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wsensesrl-my.sharepoint.com/personal/manilo_parisse_wsense_it/Documents/CONDIVISIONE HW-FW/Tecnology Roadmap/Sviluppo WNODE ENH/Alimentazione/Switching Converter/"/>
    </mc:Choice>
  </mc:AlternateContent>
  <xr:revisionPtr revIDLastSave="0" documentId="8_{6B5E075B-C8C9-4425-BAD9-47954AD85DC7}" xr6:coauthVersionLast="47" xr6:coauthVersionMax="47" xr10:uidLastSave="{00000000-0000-0000-0000-000000000000}"/>
  <workbookProtection workbookAlgorithmName="SHA-512" workbookHashValue="9Tu4NBv68gmIzXyJYbUSzn8PsZr1TFCYodfdXFLY1IFFgROBuyYld0CXgEClOR7X+OH+rO3M4mpmiuMjhvlEHw==" workbookSaltValue="EUSOMyJ7N4N2o3mpQWAtPA==" workbookSpinCount="100000" lockStructure="1"/>
  <bookViews>
    <workbookView xWindow="-3696" yWindow="-17388" windowWidth="30936" windowHeight="16776" xr2:uid="{00000000-000D-0000-FFFF-FFFF00000000}"/>
  </bookViews>
  <sheets>
    <sheet name="Design Converter" sheetId="1" r:id="rId1"/>
    <sheet name="Variable_Management" sheetId="2" state="hidden" r:id="rId2"/>
    <sheet name="Eff_vs_IOUT" sheetId="4" state="hidden" r:id="rId3"/>
    <sheet name="Loop_Modeling" sheetId="5" state="hidden" r:id="rId4"/>
    <sheet name="Constants" sheetId="3" state="hidden" r:id="rId5"/>
    <sheet name="Plot_Management_Eff" sheetId="6" state="hidden" r:id="rId6"/>
    <sheet name="Plot_Management_Sch" sheetId="7" state="hidden" r:id="rId7"/>
    <sheet name="Lists" sheetId="8" state="hidden" r:id="rId8"/>
    <sheet name="Sheet1" sheetId="9" state="hidden" r:id="rId9"/>
  </sheets>
  <definedNames>
    <definedName name="Acs">Constants!$B$33</definedName>
    <definedName name="Adc">Loop_Modeling!$B$38</definedName>
    <definedName name="Adc_ea">Loop_Modeling!$B$62</definedName>
    <definedName name="ADC_VINmin">Variable_Management!$B$160</definedName>
    <definedName name="_xlnm.Print_Area" localSheetId="0">'Design Converter'!$A$1:$Z$97</definedName>
    <definedName name="CCOMP">Variable_Management!$B$225</definedName>
    <definedName name="CCOMP_Calc">Variable_Management!$B$224</definedName>
    <definedName name="CCOMP_calc_CCM">Variable_Management!$B$189</definedName>
    <definedName name="CCOMP_CALC_DCM">Variable_Management!$B$215</definedName>
    <definedName name="CHF">Variable_Management!$B$227</definedName>
    <definedName name="CHF_calc">Variable_Management!$B$226</definedName>
    <definedName name="CHF_CALC_CCM">Variable_Management!$B$190</definedName>
    <definedName name="CHF_CALC_DCM">Variable_Management!$B$216</definedName>
    <definedName name="Comp_calc_CCM">Variable_Management!$B$189</definedName>
    <definedName name="Cout">Variable_Management!$B$110</definedName>
    <definedName name="Cout_min">Variable_Management!$B$108</definedName>
    <definedName name="D_limit_max">Constants!$B$18</definedName>
    <definedName name="D_limit_min">Constants!$B$16</definedName>
    <definedName name="D_limit_nom">Constants!$B$17</definedName>
    <definedName name="DC_DCM_max">Variable_Management!$B$39</definedName>
    <definedName name="Dc_max_IC">Variable_Management!$B$23</definedName>
    <definedName name="Dc_max_ideal">Variable_Management!$A$22</definedName>
    <definedName name="DC_rip">Variable_Management!$B$32</definedName>
    <definedName name="Dc_rip_max">Variable_Management!$B$31</definedName>
    <definedName name="Dc_VIN_max">Variable_Management!$B$71</definedName>
    <definedName name="Dc_VIN_min">Variable_Management!$B$55</definedName>
    <definedName name="Dc_VIN_nom">Variable_Management!$B$63</definedName>
    <definedName name="DC_VIN_var_DCM">Loop_Modeling!$B$70</definedName>
    <definedName name="EFF_est">Variable_Management!$B$16</definedName>
    <definedName name="Eff_vs_IOUT">Plot_Management_Eff!$C$3</definedName>
    <definedName name="fcross">Variable_Management!$B$220</definedName>
    <definedName name="fcross_est">Variable_Management!$B$219</definedName>
    <definedName name="fp_ea_est">Variable_Management!$B$182</definedName>
    <definedName name="Fsw">Variable_Management!$B$10</definedName>
    <definedName name="fz_ea_est">Variable_Management!$B$181</definedName>
    <definedName name="fz_rhp">Variable_Management!$B$169</definedName>
    <definedName name="Gcomp">Constants!$B$32</definedName>
    <definedName name="Gea_mid_calc">Variable_Management!#REF!</definedName>
    <definedName name="gfs">Variable_Management!$B$243</definedName>
    <definedName name="gm_ea">Constants!$B$37</definedName>
    <definedName name="Gplant_fc_dB">Loop_Modeling!$AD$7</definedName>
    <definedName name="IIN_33">Variable_Management!$B$35</definedName>
    <definedName name="IL_avg_VIN_max">Variable_Management!$B$73</definedName>
    <definedName name="IL_avg_VIN_min">Variable_Management!$B$57</definedName>
    <definedName name="IL_avg_VIN_nom">Variable_Management!$B$65</definedName>
    <definedName name="IL_pk">Variable_Management!$B$94</definedName>
    <definedName name="IL_pk_max">Variable_Management!$B$95</definedName>
    <definedName name="ILp_VINmax">Variable_Management!$B$75</definedName>
    <definedName name="ILp_VINmin">Variable_Management!$B$59</definedName>
    <definedName name="ILp_VINnom">Variable_Management!$B$67</definedName>
    <definedName name="ILrip">Variable_Management!$B$30</definedName>
    <definedName name="ILrip_VINmax">Variable_Management!$B$74</definedName>
    <definedName name="ILrip_VINmin">Variable_Management!$B$58</definedName>
    <definedName name="ILrip_VINnom">Variable_Management!$B$66</definedName>
    <definedName name="IOUT">Variable_Management!$B$13</definedName>
    <definedName name="IOUT_VAR">Loop_Modeling!$B$17</definedName>
    <definedName name="Ipk_margin">Variable_Management!$B$78</definedName>
    <definedName name="Ipk_selected">Variable_Management!$B$80</definedName>
    <definedName name="IQ">Constants!$B$58</definedName>
    <definedName name="IRMS_COUT">Variable_Management!$B$109</definedName>
    <definedName name="Isl">Constants!$B$26</definedName>
    <definedName name="Iss">Constants!$B$47</definedName>
    <definedName name="Kd">Loop_Modeling!$B$36</definedName>
    <definedName name="Kd_VINmin">Variable_Management!$B$156</definedName>
    <definedName name="Kex">Loop_Modeling!$B$34</definedName>
    <definedName name="Kex_VINmin">Variable_Management!$B$154</definedName>
    <definedName name="Kfb">Variable_Management!$B$139</definedName>
    <definedName name="Kfb_high">Constants!$B$39</definedName>
    <definedName name="Kfb_low">Constants!$B$38</definedName>
    <definedName name="Km">Loop_Modeling!$B$35</definedName>
    <definedName name="Km_VINmin">Variable_Management!$B$155</definedName>
    <definedName name="Kslope">Variable_Management!#REF!</definedName>
    <definedName name="Lm">Variable_Management!$B$47</definedName>
    <definedName name="Lopt">Variable_Management!#REF!</definedName>
    <definedName name="Lopt_2">Variable_Management!$B$36</definedName>
    <definedName name="M_L_DCM">Variable_Management!$B$41</definedName>
    <definedName name="Np">Variable_Management!$B$17</definedName>
    <definedName name="POUT">Variable_Management!$B$15</definedName>
    <definedName name="Q">Loop_Modeling!$B$52</definedName>
    <definedName name="Q_VINmin">Variable_Management!$B$177</definedName>
    <definedName name="Qg_tot">Variable_Management!$B$238</definedName>
    <definedName name="Qg_tot_HS">Variable_Management!$B$255</definedName>
    <definedName name="Qgd">Variable_Management!$B$239</definedName>
    <definedName name="Qgs">Variable_Management!$B$240</definedName>
    <definedName name="Qrr">Variable_Management!$B$263</definedName>
    <definedName name="R_cs">Variable_Management!$B$90</definedName>
    <definedName name="R_sl">Variable_Management!$B$91</definedName>
    <definedName name="RCOMP">Variable_Management!$B$223</definedName>
    <definedName name="RCOMP_Calc">Variable_Management!$B$222</definedName>
    <definedName name="Rcomp_calc_CCM">Variable_Management!$B$188</definedName>
    <definedName name="RCOMP_CALC_DCM">Variable_Management!$B$214</definedName>
    <definedName name="Rcs_max">Variable_Management!$B$83</definedName>
    <definedName name="Rcs_w_sl">Variable_Management!#REF!</definedName>
    <definedName name="Rcs_wo_sl">Variable_Management!$B$84</definedName>
    <definedName name="Rdcr">Variable_Management!$B$48</definedName>
    <definedName name="RDS_on">Variable_Management!$B$237</definedName>
    <definedName name="RDS_on_HS">Variable_Management!$B$254</definedName>
    <definedName name="Resr">Variable_Management!$B$111</definedName>
    <definedName name="RFBB">Variable_Management!$B$147</definedName>
    <definedName name="RFBB_calc">Variable_Management!$B$146</definedName>
    <definedName name="RFBT">Variable_Management!$B$145</definedName>
    <definedName name="Rgate">Variable_Management!$B$241</definedName>
    <definedName name="Rmax">Variable_Management!$B$140</definedName>
    <definedName name="Rmax_high">Constants!$B$41</definedName>
    <definedName name="Rmax_low">Constants!$B$40</definedName>
    <definedName name="Rmin">Variable_Management!$B$141</definedName>
    <definedName name="Rmin_high">Constants!$B$43</definedName>
    <definedName name="Rmin_low">Constants!$B$42</definedName>
    <definedName name="ROUT">Variable_Management!$B$14</definedName>
    <definedName name="Rsl_int">Constants!$B$27</definedName>
    <definedName name="RT">Variable_Management!$B$11</definedName>
    <definedName name="Ruvlo_bottom_calc">Variable_Management!$B$129</definedName>
    <definedName name="Ruvlo_top">Variable_Management!$B$128</definedName>
    <definedName name="Ruvlo_top_calc">Variable_Management!$B$127</definedName>
    <definedName name="SCH">INDIRECT(Plot_Management_Sch!$A$1)</definedName>
    <definedName name="SCH_1">Plot_Management_Sch!$B$2</definedName>
    <definedName name="SCH_2">Plot_Management_Sch!$B$5</definedName>
    <definedName name="SCH_3">Plot_Management_Sch!$B$7</definedName>
    <definedName name="Se_VINmin">Variable_Management!$B$173</definedName>
    <definedName name="Sn_VINmin">Variable_Management!$B$174</definedName>
    <definedName name="t_dead">Constants!$B$24</definedName>
    <definedName name="tf_sw">Variable_Management!$B$250</definedName>
    <definedName name="tr_sw">Variable_Management!$B$249</definedName>
    <definedName name="tss">Variable_Management!$B$118</definedName>
    <definedName name="UV_fall">Constants!$B$51</definedName>
    <definedName name="UV_I_hyst">Constants!$B$52</definedName>
    <definedName name="UV_rise">Constants!$B$50</definedName>
    <definedName name="Vcc">Constants!$B$55</definedName>
    <definedName name="Vcl">Constants!$B$30</definedName>
    <definedName name="Vd_rect">Variable_Management!$B$264</definedName>
    <definedName name="VIN_33">Variable_Management!$B$33</definedName>
    <definedName name="VIN_max">Variable_Management!$B$9</definedName>
    <definedName name="VIN_min">Variable_Management!$B$7</definedName>
    <definedName name="VIN_nom">Variable_Management!$B$8</definedName>
    <definedName name="VIN_op_max">Constants!$B$62</definedName>
    <definedName name="VIN_op_min">Constants!$B$61</definedName>
    <definedName name="VIN_var">Variable_Management!$B$8</definedName>
    <definedName name="VOUT">Variable_Management!$B$12</definedName>
    <definedName name="VOUT_range">Variable_Management!$B$19</definedName>
    <definedName name="Vout_rip_sel">Variable_Management!$B$106</definedName>
    <definedName name="Vref">Constants!$B$36</definedName>
    <definedName name="Vsl">Constants!$B$28</definedName>
    <definedName name="Vth">Variable_Management!$B$244</definedName>
    <definedName name="VTRK">Variable_Management!$B$142</definedName>
    <definedName name="Vuvlo_off">Variable_Management!$B$123</definedName>
    <definedName name="Vuvlo_on">Variable_Management!$B$122</definedName>
    <definedName name="wp_lf">Loop_Modeling!$B$39</definedName>
    <definedName name="wp_lf_DCM">Loop_Modeling!$B$73</definedName>
    <definedName name="wp_lf_VINmin">Variable_Management!$B$162</definedName>
    <definedName name="wp0_ea">Loop_Modeling!$B$64</definedName>
    <definedName name="wp1_ea">Loop_Modeling!$B$65</definedName>
    <definedName name="wsl">Loop_Modeling!$B$51</definedName>
    <definedName name="wsl_VINmin">Variable_Management!$B$176</definedName>
    <definedName name="wz_ea">Loop_Modeling!$B$63</definedName>
    <definedName name="wz_esr">Loop_Modeling!$B$45</definedName>
    <definedName name="wz_esr_VINmin">Variable_Management!$B$165</definedName>
    <definedName name="wz_rhp">Loop_Modeling!$B$42</definedName>
    <definedName name="wz_RHP_VINmin">Variable_Management!$B$168</definedName>
    <definedName name="wz1_dcm">Loop_Modeling!$B$75</definedName>
    <definedName name="wz2_dcm">Loop_Modeling!$B$77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A1" i="7"/>
  <c r="B78" i="2" l="1"/>
  <c r="B24" i="3" l="1"/>
  <c r="B264" i="2"/>
  <c r="B263" i="2"/>
  <c r="B20" i="2"/>
  <c r="B8" i="2"/>
  <c r="T8" i="4" s="1"/>
  <c r="B12" i="2"/>
  <c r="R15" i="4" s="1"/>
  <c r="B7" i="2"/>
  <c r="B3" i="8" s="1"/>
  <c r="B10" i="2"/>
  <c r="M8" i="4" s="1"/>
  <c r="B12" i="3"/>
  <c r="B254" i="2"/>
  <c r="R10" i="4"/>
  <c r="R21" i="4"/>
  <c r="R42" i="4"/>
  <c r="R43" i="4"/>
  <c r="R46" i="4"/>
  <c r="R47" i="4"/>
  <c r="R51" i="4"/>
  <c r="R62" i="4"/>
  <c r="R63" i="4"/>
  <c r="R64" i="4"/>
  <c r="R74" i="4"/>
  <c r="R75" i="4"/>
  <c r="R78" i="4"/>
  <c r="R84" i="4"/>
  <c r="R85" i="4"/>
  <c r="R86" i="4"/>
  <c r="R87" i="4"/>
  <c r="R88" i="4"/>
  <c r="R89" i="4"/>
  <c r="R90" i="4"/>
  <c r="R91" i="4"/>
  <c r="R93" i="4"/>
  <c r="R98" i="4"/>
  <c r="R99" i="4"/>
  <c r="R100" i="4"/>
  <c r="R101" i="4"/>
  <c r="R102" i="4"/>
  <c r="R103" i="4"/>
  <c r="R104" i="4"/>
  <c r="R105" i="4"/>
  <c r="R107" i="4"/>
  <c r="R113" i="4"/>
  <c r="R114" i="4"/>
  <c r="R115" i="4"/>
  <c r="R116" i="4"/>
  <c r="R117" i="4"/>
  <c r="R118" i="4"/>
  <c r="R119" i="4"/>
  <c r="R121" i="4"/>
  <c r="R127" i="4"/>
  <c r="R128" i="4"/>
  <c r="R129" i="4"/>
  <c r="R130" i="4"/>
  <c r="R131" i="4"/>
  <c r="R132" i="4"/>
  <c r="R133" i="4"/>
  <c r="R135" i="4"/>
  <c r="R141" i="4"/>
  <c r="R142" i="4"/>
  <c r="R143" i="4"/>
  <c r="R144" i="4"/>
  <c r="R145" i="4"/>
  <c r="R146" i="4"/>
  <c r="R147" i="4"/>
  <c r="R149" i="4"/>
  <c r="R155" i="4"/>
  <c r="R156" i="4"/>
  <c r="R157" i="4"/>
  <c r="R7" i="4"/>
  <c r="B244" i="2"/>
  <c r="B256" i="2"/>
  <c r="B257" i="2"/>
  <c r="B258" i="2"/>
  <c r="B261" i="2"/>
  <c r="B255" i="2"/>
  <c r="B262" i="2"/>
  <c r="E143" i="2"/>
  <c r="B128" i="2"/>
  <c r="B123" i="2"/>
  <c r="B122" i="2"/>
  <c r="B52" i="3"/>
  <c r="B39" i="2"/>
  <c r="F5" i="8"/>
  <c r="F4" i="8"/>
  <c r="F3" i="8"/>
  <c r="B37" i="3"/>
  <c r="B29" i="5"/>
  <c r="B58" i="3"/>
  <c r="B47" i="3"/>
  <c r="B116" i="2" s="1"/>
  <c r="B2" i="6"/>
  <c r="B245" i="2"/>
  <c r="B241" i="2"/>
  <c r="B240" i="2"/>
  <c r="B239" i="2"/>
  <c r="B238" i="2"/>
  <c r="B237" i="2"/>
  <c r="B126" i="2"/>
  <c r="B125" i="2"/>
  <c r="B124" i="2"/>
  <c r="G127" i="2" s="1"/>
  <c r="B118" i="2"/>
  <c r="B220" i="2"/>
  <c r="B180" i="2" s="1"/>
  <c r="O548" i="5"/>
  <c r="O549" i="5"/>
  <c r="O550" i="5"/>
  <c r="O551" i="5"/>
  <c r="O552" i="5"/>
  <c r="O553" i="5"/>
  <c r="O554" i="5"/>
  <c r="O555" i="5"/>
  <c r="O556" i="5"/>
  <c r="O557" i="5"/>
  <c r="O558" i="5"/>
  <c r="O559" i="5"/>
  <c r="O560" i="5"/>
  <c r="O537" i="5"/>
  <c r="O538" i="5"/>
  <c r="O539" i="5"/>
  <c r="O540" i="5"/>
  <c r="O541" i="5"/>
  <c r="O542" i="5"/>
  <c r="O543" i="5"/>
  <c r="O544" i="5"/>
  <c r="O545" i="5"/>
  <c r="O546" i="5"/>
  <c r="O547" i="5"/>
  <c r="O520" i="5"/>
  <c r="O521" i="5"/>
  <c r="O522" i="5"/>
  <c r="O523" i="5"/>
  <c r="O524" i="5"/>
  <c r="O525" i="5"/>
  <c r="O526" i="5"/>
  <c r="O527" i="5"/>
  <c r="O528" i="5"/>
  <c r="O529" i="5"/>
  <c r="O530" i="5"/>
  <c r="O531" i="5"/>
  <c r="O532" i="5"/>
  <c r="O533" i="5"/>
  <c r="O534" i="5"/>
  <c r="O535" i="5"/>
  <c r="O536" i="5"/>
  <c r="O5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4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3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2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1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9" i="5"/>
  <c r="B30" i="5"/>
  <c r="B145" i="2"/>
  <c r="B56" i="5" s="1"/>
  <c r="B147" i="2"/>
  <c r="B57" i="5" s="1"/>
  <c r="B225" i="2"/>
  <c r="B227" i="2"/>
  <c r="B60" i="5" s="1"/>
  <c r="B223" i="2"/>
  <c r="B27" i="5"/>
  <c r="B111" i="2"/>
  <c r="B110" i="2"/>
  <c r="B96" i="2"/>
  <c r="B90" i="2"/>
  <c r="B25" i="5" s="1"/>
  <c r="B26" i="3"/>
  <c r="B28" i="5" s="1"/>
  <c r="B26" i="5"/>
  <c r="B48" i="2"/>
  <c r="B22" i="3"/>
  <c r="B30" i="2"/>
  <c r="B14" i="3"/>
  <c r="B10" i="3"/>
  <c r="B9" i="2"/>
  <c r="B12" i="5" s="1"/>
  <c r="B106" i="2"/>
  <c r="B19" i="5"/>
  <c r="B48" i="5" l="1"/>
  <c r="B4" i="8"/>
  <c r="H54" i="1"/>
  <c r="B135" i="2" s="1"/>
  <c r="T70" i="4"/>
  <c r="AT70" i="4" s="1"/>
  <c r="T9" i="4"/>
  <c r="AT9" i="4" s="1"/>
  <c r="B11" i="5"/>
  <c r="T12" i="4"/>
  <c r="AT12" i="4" s="1"/>
  <c r="T62" i="4"/>
  <c r="AT62" i="4" s="1"/>
  <c r="T59" i="4"/>
  <c r="AT59" i="4" s="1"/>
  <c r="B170" i="2"/>
  <c r="B207" i="2"/>
  <c r="B210" i="2" s="1"/>
  <c r="B11" i="2"/>
  <c r="H14" i="1" s="1"/>
  <c r="J49" i="5"/>
  <c r="R153" i="4"/>
  <c r="R139" i="4"/>
  <c r="R125" i="4"/>
  <c r="R111" i="4"/>
  <c r="R97" i="4"/>
  <c r="R83" i="4"/>
  <c r="R154" i="4"/>
  <c r="R140" i="4"/>
  <c r="R126" i="4"/>
  <c r="R112" i="4"/>
  <c r="R59" i="4"/>
  <c r="R152" i="4"/>
  <c r="R138" i="4"/>
  <c r="R124" i="4"/>
  <c r="R110" i="4"/>
  <c r="R96" i="4"/>
  <c r="R82" i="4"/>
  <c r="R58" i="4"/>
  <c r="B19" i="2"/>
  <c r="R151" i="4"/>
  <c r="R137" i="4"/>
  <c r="R123" i="4"/>
  <c r="R109" i="4"/>
  <c r="R95" i="4"/>
  <c r="R80" i="4"/>
  <c r="R55" i="4"/>
  <c r="R150" i="4"/>
  <c r="R136" i="4"/>
  <c r="R122" i="4"/>
  <c r="R108" i="4"/>
  <c r="R94" i="4"/>
  <c r="R79" i="4"/>
  <c r="R54" i="4"/>
  <c r="R148" i="4"/>
  <c r="R134" i="4"/>
  <c r="R120" i="4"/>
  <c r="R106" i="4"/>
  <c r="R92" i="4"/>
  <c r="R76" i="4"/>
  <c r="R50" i="4"/>
  <c r="T56" i="4"/>
  <c r="AT56" i="4" s="1"/>
  <c r="O9" i="4"/>
  <c r="B16" i="5"/>
  <c r="P15" i="5" s="1"/>
  <c r="B19" i="3"/>
  <c r="B20" i="3" s="1"/>
  <c r="B23" i="2" s="1"/>
  <c r="H16" i="1" s="1"/>
  <c r="O7" i="5"/>
  <c r="B205" i="2"/>
  <c r="R37" i="4"/>
  <c r="B45" i="5"/>
  <c r="R29" i="4"/>
  <c r="T417" i="5"/>
  <c r="U417" i="5" s="1"/>
  <c r="B129" i="2"/>
  <c r="O8" i="5"/>
  <c r="B127" i="2"/>
  <c r="H48" i="1" s="1"/>
  <c r="B13" i="5"/>
  <c r="B51" i="5"/>
  <c r="B176" i="2"/>
  <c r="B173" i="2"/>
  <c r="AT8" i="4"/>
  <c r="T139" i="4"/>
  <c r="AT139" i="4" s="1"/>
  <c r="T122" i="4"/>
  <c r="AT122" i="4" s="1"/>
  <c r="T138" i="4"/>
  <c r="AT138" i="4" s="1"/>
  <c r="T123" i="4"/>
  <c r="AT123" i="4" s="1"/>
  <c r="T154" i="4"/>
  <c r="AT154" i="4" s="1"/>
  <c r="T151" i="4"/>
  <c r="AT151" i="4" s="1"/>
  <c r="T146" i="4"/>
  <c r="AT146" i="4" s="1"/>
  <c r="T143" i="4"/>
  <c r="AT143" i="4" s="1"/>
  <c r="T134" i="4"/>
  <c r="AT134" i="4" s="1"/>
  <c r="T127" i="4"/>
  <c r="AT127" i="4" s="1"/>
  <c r="T118" i="4"/>
  <c r="AT118" i="4" s="1"/>
  <c r="T100" i="4"/>
  <c r="AT100" i="4" s="1"/>
  <c r="T93" i="4"/>
  <c r="AT93" i="4" s="1"/>
  <c r="T46" i="4"/>
  <c r="AT46" i="4" s="1"/>
  <c r="T40" i="4"/>
  <c r="AT40" i="4" s="1"/>
  <c r="T22" i="4"/>
  <c r="AT22" i="4" s="1"/>
  <c r="T155" i="4"/>
  <c r="AT155" i="4" s="1"/>
  <c r="T150" i="4"/>
  <c r="AT150" i="4" s="1"/>
  <c r="T147" i="4"/>
  <c r="AT147" i="4" s="1"/>
  <c r="T109" i="4"/>
  <c r="AT109" i="4" s="1"/>
  <c r="T84" i="4"/>
  <c r="AT84" i="4" s="1"/>
  <c r="T80" i="4"/>
  <c r="AT80" i="4" s="1"/>
  <c r="T76" i="4"/>
  <c r="AT76" i="4" s="1"/>
  <c r="T43" i="4"/>
  <c r="AT43" i="4" s="1"/>
  <c r="T37" i="4"/>
  <c r="AT37" i="4" s="1"/>
  <c r="T19" i="4"/>
  <c r="AT19" i="4" s="1"/>
  <c r="T7" i="4"/>
  <c r="AT7" i="4" s="1"/>
  <c r="T132" i="4"/>
  <c r="AT132" i="4" s="1"/>
  <c r="T129" i="4"/>
  <c r="AT129" i="4" s="1"/>
  <c r="T116" i="4"/>
  <c r="AT116" i="4" s="1"/>
  <c r="T113" i="4"/>
  <c r="AT113" i="4" s="1"/>
  <c r="T107" i="4"/>
  <c r="AT107" i="4" s="1"/>
  <c r="T91" i="4"/>
  <c r="AT91" i="4" s="1"/>
  <c r="T74" i="4"/>
  <c r="AT74" i="4" s="1"/>
  <c r="T64" i="4"/>
  <c r="AT64" i="4" s="1"/>
  <c r="T51" i="4"/>
  <c r="AT51" i="4" s="1"/>
  <c r="T33" i="4"/>
  <c r="AT33" i="4" s="1"/>
  <c r="T141" i="4"/>
  <c r="AT141" i="4" s="1"/>
  <c r="T136" i="4"/>
  <c r="AT136" i="4" s="1"/>
  <c r="T125" i="4"/>
  <c r="AT125" i="4" s="1"/>
  <c r="T120" i="4"/>
  <c r="AT120" i="4" s="1"/>
  <c r="T102" i="4"/>
  <c r="AT102" i="4" s="1"/>
  <c r="T86" i="4"/>
  <c r="AT86" i="4" s="1"/>
  <c r="T67" i="4"/>
  <c r="AT67" i="4" s="1"/>
  <c r="T54" i="4"/>
  <c r="AT54" i="4" s="1"/>
  <c r="T48" i="4"/>
  <c r="AT48" i="4" s="1"/>
  <c r="T26" i="4"/>
  <c r="AT26" i="4" s="1"/>
  <c r="T15" i="4"/>
  <c r="AT15" i="4" s="1"/>
  <c r="B64" i="5"/>
  <c r="AT56" i="5" s="1"/>
  <c r="B139" i="2"/>
  <c r="H56" i="1"/>
  <c r="B138" i="2"/>
  <c r="B141" i="2"/>
  <c r="B140" i="2"/>
  <c r="B10" i="5"/>
  <c r="B165" i="2"/>
  <c r="T7" i="5" s="1"/>
  <c r="B119" i="2"/>
  <c r="H43" i="1" s="1"/>
  <c r="B63" i="5"/>
  <c r="AZ20" i="5" s="1"/>
  <c r="B58" i="5"/>
  <c r="B65" i="5"/>
  <c r="AW7" i="5" s="1"/>
  <c r="T156" i="4"/>
  <c r="AT156" i="4" s="1"/>
  <c r="T152" i="4"/>
  <c r="AT152" i="4" s="1"/>
  <c r="T148" i="4"/>
  <c r="AT148" i="4" s="1"/>
  <c r="T144" i="4"/>
  <c r="AT144" i="4" s="1"/>
  <c r="T137" i="4"/>
  <c r="AT137" i="4" s="1"/>
  <c r="T135" i="4"/>
  <c r="AT135" i="4" s="1"/>
  <c r="T130" i="4"/>
  <c r="AT130" i="4" s="1"/>
  <c r="T128" i="4"/>
  <c r="AT128" i="4" s="1"/>
  <c r="T121" i="4"/>
  <c r="AT121" i="4" s="1"/>
  <c r="T119" i="4"/>
  <c r="AT119" i="4" s="1"/>
  <c r="T114" i="4"/>
  <c r="AT114" i="4" s="1"/>
  <c r="T112" i="4"/>
  <c r="AT112" i="4" s="1"/>
  <c r="T105" i="4"/>
  <c r="AT105" i="4" s="1"/>
  <c r="T103" i="4"/>
  <c r="AT103" i="4" s="1"/>
  <c r="T98" i="4"/>
  <c r="AT98" i="4" s="1"/>
  <c r="T96" i="4"/>
  <c r="AT96" i="4" s="1"/>
  <c r="T89" i="4"/>
  <c r="AT89" i="4" s="1"/>
  <c r="T87" i="4"/>
  <c r="AT87" i="4" s="1"/>
  <c r="T82" i="4"/>
  <c r="AT82" i="4" s="1"/>
  <c r="T78" i="4"/>
  <c r="AT78" i="4" s="1"/>
  <c r="T73" i="4"/>
  <c r="AT73" i="4" s="1"/>
  <c r="T66" i="4"/>
  <c r="AT66" i="4" s="1"/>
  <c r="T61" i="4"/>
  <c r="AT61" i="4" s="1"/>
  <c r="T53" i="4"/>
  <c r="AT53" i="4" s="1"/>
  <c r="T45" i="4"/>
  <c r="AT45" i="4" s="1"/>
  <c r="T39" i="4"/>
  <c r="AT39" i="4" s="1"/>
  <c r="T36" i="4"/>
  <c r="AT36" i="4" s="1"/>
  <c r="T32" i="4"/>
  <c r="AT32" i="4" s="1"/>
  <c r="T29" i="4"/>
  <c r="AT29" i="4" s="1"/>
  <c r="T25" i="4"/>
  <c r="AT25" i="4" s="1"/>
  <c r="T18" i="4"/>
  <c r="AT18" i="4" s="1"/>
  <c r="T14" i="4"/>
  <c r="AT14" i="4" s="1"/>
  <c r="T11" i="4"/>
  <c r="AT11" i="4" s="1"/>
  <c r="T157" i="4"/>
  <c r="AT157" i="4" s="1"/>
  <c r="T153" i="4"/>
  <c r="AT153" i="4" s="1"/>
  <c r="T149" i="4"/>
  <c r="AT149" i="4" s="1"/>
  <c r="T145" i="4"/>
  <c r="AT145" i="4" s="1"/>
  <c r="T142" i="4"/>
  <c r="AT142" i="4" s="1"/>
  <c r="T140" i="4"/>
  <c r="AT140" i="4" s="1"/>
  <c r="T133" i="4"/>
  <c r="AT133" i="4" s="1"/>
  <c r="T131" i="4"/>
  <c r="AT131" i="4" s="1"/>
  <c r="T126" i="4"/>
  <c r="AT126" i="4" s="1"/>
  <c r="T124" i="4"/>
  <c r="AT124" i="4" s="1"/>
  <c r="T117" i="4"/>
  <c r="AT117" i="4" s="1"/>
  <c r="T115" i="4"/>
  <c r="AT115" i="4" s="1"/>
  <c r="T110" i="4"/>
  <c r="AT110" i="4" s="1"/>
  <c r="T108" i="4"/>
  <c r="AT108" i="4" s="1"/>
  <c r="T101" i="4"/>
  <c r="AT101" i="4" s="1"/>
  <c r="T99" i="4"/>
  <c r="AT99" i="4" s="1"/>
  <c r="T94" i="4"/>
  <c r="AT94" i="4" s="1"/>
  <c r="T92" i="4"/>
  <c r="AT92" i="4" s="1"/>
  <c r="T85" i="4"/>
  <c r="AT85" i="4" s="1"/>
  <c r="T83" i="4"/>
  <c r="AT83" i="4" s="1"/>
  <c r="T81" i="4"/>
  <c r="AT81" i="4" s="1"/>
  <c r="T77" i="4"/>
  <c r="AT77" i="4" s="1"/>
  <c r="T75" i="4"/>
  <c r="AT75" i="4" s="1"/>
  <c r="T72" i="4"/>
  <c r="AT72" i="4" s="1"/>
  <c r="T69" i="4"/>
  <c r="AT69" i="4" s="1"/>
  <c r="T65" i="4"/>
  <c r="AT65" i="4" s="1"/>
  <c r="T63" i="4"/>
  <c r="AT63" i="4" s="1"/>
  <c r="T60" i="4"/>
  <c r="AT60" i="4" s="1"/>
  <c r="T58" i="4"/>
  <c r="AT58" i="4" s="1"/>
  <c r="T55" i="4"/>
  <c r="AT55" i="4" s="1"/>
  <c r="T52" i="4"/>
  <c r="AT52" i="4" s="1"/>
  <c r="T50" i="4"/>
  <c r="AT50" i="4" s="1"/>
  <c r="T47" i="4"/>
  <c r="AT47" i="4" s="1"/>
  <c r="T44" i="4"/>
  <c r="AT44" i="4" s="1"/>
  <c r="T42" i="4"/>
  <c r="AT42" i="4" s="1"/>
  <c r="T38" i="4"/>
  <c r="AT38" i="4" s="1"/>
  <c r="T35" i="4"/>
  <c r="AT35" i="4" s="1"/>
  <c r="T31" i="4"/>
  <c r="AT31" i="4" s="1"/>
  <c r="T28" i="4"/>
  <c r="AT28" i="4" s="1"/>
  <c r="T24" i="4"/>
  <c r="AT24" i="4" s="1"/>
  <c r="T21" i="4"/>
  <c r="AT21" i="4" s="1"/>
  <c r="T17" i="4"/>
  <c r="AT17" i="4" s="1"/>
  <c r="T111" i="4"/>
  <c r="AT111" i="4" s="1"/>
  <c r="T106" i="4"/>
  <c r="AT106" i="4" s="1"/>
  <c r="T104" i="4"/>
  <c r="AT104" i="4" s="1"/>
  <c r="T97" i="4"/>
  <c r="AT97" i="4" s="1"/>
  <c r="T95" i="4"/>
  <c r="AT95" i="4" s="1"/>
  <c r="T90" i="4"/>
  <c r="AT90" i="4" s="1"/>
  <c r="T88" i="4"/>
  <c r="AT88" i="4" s="1"/>
  <c r="T79" i="4"/>
  <c r="AT79" i="4" s="1"/>
  <c r="T71" i="4"/>
  <c r="AT71" i="4" s="1"/>
  <c r="T68" i="4"/>
  <c r="AT68" i="4" s="1"/>
  <c r="T57" i="4"/>
  <c r="AT57" i="4" s="1"/>
  <c r="T49" i="4"/>
  <c r="AT49" i="4" s="1"/>
  <c r="T41" i="4"/>
  <c r="AT41" i="4" s="1"/>
  <c r="T34" i="4"/>
  <c r="AT34" i="4" s="1"/>
  <c r="T30" i="4"/>
  <c r="AT30" i="4" s="1"/>
  <c r="T27" i="4"/>
  <c r="AT27" i="4" s="1"/>
  <c r="T23" i="4"/>
  <c r="AT23" i="4" s="1"/>
  <c r="T20" i="4"/>
  <c r="AT20" i="4" s="1"/>
  <c r="T16" i="4"/>
  <c r="AT16" i="4" s="1"/>
  <c r="T13" i="4"/>
  <c r="AT13" i="4" s="1"/>
  <c r="T10" i="4"/>
  <c r="AT10" i="4" s="1"/>
  <c r="R72" i="4"/>
  <c r="R70" i="4"/>
  <c r="R68" i="4"/>
  <c r="R66" i="4"/>
  <c r="R23" i="4"/>
  <c r="R71" i="4"/>
  <c r="R67" i="4"/>
  <c r="R31" i="4"/>
  <c r="R8" i="4"/>
  <c r="B32" i="2"/>
  <c r="B33" i="2" s="1"/>
  <c r="R38" i="4"/>
  <c r="R33" i="4"/>
  <c r="R25" i="4"/>
  <c r="R17" i="4"/>
  <c r="R12" i="4"/>
  <c r="R40" i="4"/>
  <c r="R35" i="4"/>
  <c r="R27" i="4"/>
  <c r="R19" i="4"/>
  <c r="K8" i="2"/>
  <c r="B199" i="2"/>
  <c r="B200" i="2" s="1"/>
  <c r="B46" i="5"/>
  <c r="T8" i="5"/>
  <c r="T38" i="5"/>
  <c r="T24" i="5"/>
  <c r="U24" i="5" s="1"/>
  <c r="T32" i="5"/>
  <c r="V32" i="5" s="1"/>
  <c r="T22" i="5"/>
  <c r="U22" i="5" s="1"/>
  <c r="T43" i="5"/>
  <c r="T41" i="5"/>
  <c r="T64" i="5"/>
  <c r="T30" i="5"/>
  <c r="T56" i="5"/>
  <c r="U56" i="5" s="1"/>
  <c r="T67" i="5"/>
  <c r="T63" i="5"/>
  <c r="V63" i="5" s="1"/>
  <c r="T76" i="5"/>
  <c r="T57" i="5"/>
  <c r="T89" i="5"/>
  <c r="V89" i="5" s="1"/>
  <c r="T82" i="5"/>
  <c r="U82" i="5" s="1"/>
  <c r="T98" i="5"/>
  <c r="T105" i="5"/>
  <c r="T83" i="5"/>
  <c r="T91" i="5"/>
  <c r="U91" i="5" s="1"/>
  <c r="T37" i="5"/>
  <c r="V37" i="5" s="1"/>
  <c r="T121" i="5"/>
  <c r="T136" i="5"/>
  <c r="U136" i="5" s="1"/>
  <c r="T155" i="5"/>
  <c r="T106" i="5"/>
  <c r="T117" i="5"/>
  <c r="T131" i="5"/>
  <c r="T151" i="5"/>
  <c r="T114" i="5"/>
  <c r="T130" i="5"/>
  <c r="U130" i="5" s="1"/>
  <c r="T146" i="5"/>
  <c r="U146" i="5" s="1"/>
  <c r="T134" i="5"/>
  <c r="V134" i="5" s="1"/>
  <c r="T171" i="5"/>
  <c r="T181" i="5"/>
  <c r="V181" i="5" s="1"/>
  <c r="T118" i="5"/>
  <c r="T169" i="5"/>
  <c r="T79" i="5"/>
  <c r="T161" i="5"/>
  <c r="T183" i="5"/>
  <c r="V183" i="5" s="1"/>
  <c r="T190" i="5"/>
  <c r="T201" i="5"/>
  <c r="U201" i="5" s="1"/>
  <c r="T188" i="5"/>
  <c r="T203" i="5"/>
  <c r="U203" i="5" s="1"/>
  <c r="T211" i="5"/>
  <c r="T223" i="5"/>
  <c r="T239" i="5"/>
  <c r="T150" i="5"/>
  <c r="T199" i="5"/>
  <c r="V199" i="5" s="1"/>
  <c r="T222" i="5"/>
  <c r="U222" i="5" s="1"/>
  <c r="T242" i="5"/>
  <c r="U242" i="5" s="1"/>
  <c r="T174" i="5"/>
  <c r="T207" i="5"/>
  <c r="T221" i="5"/>
  <c r="T235" i="5"/>
  <c r="U235" i="5" s="1"/>
  <c r="T176" i="5"/>
  <c r="T252" i="5"/>
  <c r="T260" i="5"/>
  <c r="T273" i="5"/>
  <c r="T279" i="5"/>
  <c r="U279" i="5" s="1"/>
  <c r="T301" i="5"/>
  <c r="V301" i="5" s="1"/>
  <c r="T318" i="5"/>
  <c r="V318" i="5" s="1"/>
  <c r="T334" i="5"/>
  <c r="T250" i="5"/>
  <c r="T276" i="5"/>
  <c r="T44" i="5"/>
  <c r="T26" i="5"/>
  <c r="T39" i="5"/>
  <c r="T34" i="5"/>
  <c r="T47" i="5"/>
  <c r="T52" i="5"/>
  <c r="T70" i="5"/>
  <c r="T33" i="5"/>
  <c r="T59" i="5"/>
  <c r="T35" i="5"/>
  <c r="T66" i="5"/>
  <c r="T80" i="5"/>
  <c r="T61" i="5"/>
  <c r="T92" i="5"/>
  <c r="T94" i="5"/>
  <c r="T69" i="5"/>
  <c r="T107" i="5"/>
  <c r="T85" i="5"/>
  <c r="T101" i="5"/>
  <c r="T87" i="5"/>
  <c r="T126" i="5"/>
  <c r="T139" i="5"/>
  <c r="T84" i="5"/>
  <c r="T109" i="5"/>
  <c r="T123" i="5"/>
  <c r="T137" i="5"/>
  <c r="T156" i="5"/>
  <c r="T115" i="5"/>
  <c r="T138" i="5"/>
  <c r="T152" i="5"/>
  <c r="T149" i="5"/>
  <c r="T173" i="5"/>
  <c r="T187" i="5"/>
  <c r="T133" i="5"/>
  <c r="T170" i="5"/>
  <c r="T100" i="5"/>
  <c r="T172" i="5"/>
  <c r="T185" i="5"/>
  <c r="T194" i="5"/>
  <c r="T204" i="5"/>
  <c r="T196" i="5"/>
  <c r="T205" i="5"/>
  <c r="T215" i="5"/>
  <c r="T224" i="5"/>
  <c r="T245" i="5"/>
  <c r="T159" i="5"/>
  <c r="T212" i="5"/>
  <c r="T229" i="5"/>
  <c r="T243" i="5"/>
  <c r="T180" i="5"/>
  <c r="T210" i="5"/>
  <c r="T225" i="5"/>
  <c r="T236" i="5"/>
  <c r="T241" i="5"/>
  <c r="T254" i="5"/>
  <c r="T263" i="5"/>
  <c r="T274" i="5"/>
  <c r="T282" i="5"/>
  <c r="T306" i="5"/>
  <c r="T322" i="5"/>
  <c r="T135" i="5"/>
  <c r="T251" i="5"/>
  <c r="T284" i="5"/>
  <c r="T299" i="5"/>
  <c r="T316" i="5"/>
  <c r="T331" i="5"/>
  <c r="T246" i="5"/>
  <c r="T261" i="5"/>
  <c r="T271" i="5"/>
  <c r="T293" i="5"/>
  <c r="T303" i="5"/>
  <c r="T320" i="5"/>
  <c r="T335" i="5"/>
  <c r="T356" i="5"/>
  <c r="T283" i="5"/>
  <c r="T315" i="5"/>
  <c r="T345" i="5"/>
  <c r="T364" i="5"/>
  <c r="T381" i="5"/>
  <c r="T400" i="5"/>
  <c r="T415" i="5"/>
  <c r="T429" i="5"/>
  <c r="T214" i="5"/>
  <c r="T341" i="5"/>
  <c r="T375" i="5"/>
  <c r="T386" i="5"/>
  <c r="T407" i="5"/>
  <c r="T195" i="5"/>
  <c r="T294" i="5"/>
  <c r="T348" i="5"/>
  <c r="T363" i="5"/>
  <c r="T382" i="5"/>
  <c r="T399" i="5"/>
  <c r="T411" i="5"/>
  <c r="T324" i="5"/>
  <c r="T428" i="5"/>
  <c r="T443" i="5"/>
  <c r="T458" i="5"/>
  <c r="T478" i="5"/>
  <c r="T499" i="5"/>
  <c r="T513" i="5"/>
  <c r="T532" i="5"/>
  <c r="T347" i="5"/>
  <c r="T438" i="5"/>
  <c r="T456" i="5"/>
  <c r="T468" i="5"/>
  <c r="T480" i="5"/>
  <c r="T498" i="5"/>
  <c r="T504" i="5"/>
  <c r="T29" i="5"/>
  <c r="T31" i="5"/>
  <c r="T40" i="5"/>
  <c r="T54" i="5"/>
  <c r="T51" i="5"/>
  <c r="T58" i="5"/>
  <c r="T77" i="5"/>
  <c r="T81" i="5"/>
  <c r="T102" i="5"/>
  <c r="T90" i="5"/>
  <c r="T113" i="5"/>
  <c r="T147" i="5"/>
  <c r="T116" i="5"/>
  <c r="T148" i="5"/>
  <c r="T122" i="5"/>
  <c r="T128" i="5"/>
  <c r="T178" i="5"/>
  <c r="T163" i="5"/>
  <c r="T158" i="5"/>
  <c r="T189" i="5"/>
  <c r="T164" i="5"/>
  <c r="T209" i="5"/>
  <c r="T234" i="5"/>
  <c r="T193" i="5"/>
  <c r="T238" i="5"/>
  <c r="T192" i="5"/>
  <c r="T233" i="5"/>
  <c r="T249" i="5"/>
  <c r="T270" i="5"/>
  <c r="T295" i="5"/>
  <c r="T332" i="5"/>
  <c r="T266" i="5"/>
  <c r="T302" i="5"/>
  <c r="T325" i="5"/>
  <c r="T231" i="5"/>
  <c r="U231" i="5" s="1"/>
  <c r="T264" i="5"/>
  <c r="T285" i="5"/>
  <c r="T300" i="5"/>
  <c r="V300" i="5" s="1"/>
  <c r="T321" i="5"/>
  <c r="T349" i="5"/>
  <c r="T280" i="5"/>
  <c r="T329" i="5"/>
  <c r="T359" i="5"/>
  <c r="T378" i="5"/>
  <c r="T403" i="5"/>
  <c r="T421" i="5"/>
  <c r="T437" i="5"/>
  <c r="T369" i="5"/>
  <c r="T380" i="5"/>
  <c r="T396" i="5"/>
  <c r="V396" i="5" s="1"/>
  <c r="T228" i="5"/>
  <c r="T336" i="5"/>
  <c r="T361" i="5"/>
  <c r="T383" i="5"/>
  <c r="T404" i="5"/>
  <c r="T287" i="5"/>
  <c r="V287" i="5" s="1"/>
  <c r="T430" i="5"/>
  <c r="T448" i="5"/>
  <c r="T472" i="5"/>
  <c r="T505" i="5"/>
  <c r="T516" i="5"/>
  <c r="T339" i="5"/>
  <c r="T442" i="5"/>
  <c r="T462" i="5"/>
  <c r="T475" i="5"/>
  <c r="U475" i="5" s="1"/>
  <c r="T500" i="5"/>
  <c r="T512" i="5"/>
  <c r="T522" i="5"/>
  <c r="T368" i="5"/>
  <c r="T398" i="5"/>
  <c r="T422" i="5"/>
  <c r="T439" i="5"/>
  <c r="T457" i="5"/>
  <c r="T470" i="5"/>
  <c r="T486" i="5"/>
  <c r="T493" i="5"/>
  <c r="T526" i="5"/>
  <c r="T557" i="5"/>
  <c r="T344" i="5"/>
  <c r="T465" i="5"/>
  <c r="T536" i="5"/>
  <c r="T545" i="5"/>
  <c r="T554" i="5"/>
  <c r="T406" i="5"/>
  <c r="T490" i="5"/>
  <c r="T524" i="5"/>
  <c r="T552" i="5"/>
  <c r="T440" i="5"/>
  <c r="T535" i="5"/>
  <c r="T559" i="5"/>
  <c r="T469" i="5"/>
  <c r="T502" i="5"/>
  <c r="T19" i="5"/>
  <c r="T46" i="5"/>
  <c r="T42" i="5"/>
  <c r="T48" i="5"/>
  <c r="T20" i="5"/>
  <c r="T62" i="5"/>
  <c r="T68" i="5"/>
  <c r="T73" i="5"/>
  <c r="T96" i="5"/>
  <c r="T60" i="5"/>
  <c r="T108" i="5"/>
  <c r="T127" i="5"/>
  <c r="T99" i="5"/>
  <c r="T124" i="5"/>
  <c r="T75" i="5"/>
  <c r="T143" i="5"/>
  <c r="T165" i="5"/>
  <c r="T86" i="5"/>
  <c r="T182" i="5"/>
  <c r="T175" i="5"/>
  <c r="T197" i="5"/>
  <c r="T200" i="5"/>
  <c r="T218" i="5"/>
  <c r="T120" i="5"/>
  <c r="T216" i="5"/>
  <c r="T157" i="5"/>
  <c r="T213" i="5"/>
  <c r="T240" i="5"/>
  <c r="T255" i="5"/>
  <c r="T277" i="5"/>
  <c r="T308" i="5"/>
  <c r="T237" i="5"/>
  <c r="T288" i="5"/>
  <c r="T311" i="5"/>
  <c r="T328" i="5"/>
  <c r="T253" i="5"/>
  <c r="T268" i="5"/>
  <c r="T290" i="5"/>
  <c r="U290" i="5" s="1"/>
  <c r="T305" i="5"/>
  <c r="T326" i="5"/>
  <c r="T354" i="5"/>
  <c r="T286" i="5"/>
  <c r="T337" i="5"/>
  <c r="T362" i="5"/>
  <c r="V362" i="5" s="1"/>
  <c r="T387" i="5"/>
  <c r="T405" i="5"/>
  <c r="T424" i="5"/>
  <c r="T247" i="5"/>
  <c r="T371" i="5"/>
  <c r="T385" i="5"/>
  <c r="T409" i="5"/>
  <c r="T272" i="5"/>
  <c r="T340" i="5"/>
  <c r="T21" i="5"/>
  <c r="T45" i="5"/>
  <c r="T49" i="5"/>
  <c r="T23" i="5"/>
  <c r="T65" i="5"/>
  <c r="T71" i="5"/>
  <c r="T78" i="5"/>
  <c r="T97" i="5"/>
  <c r="T72" i="5"/>
  <c r="T110" i="5"/>
  <c r="T132" i="5"/>
  <c r="T103" i="5"/>
  <c r="T129" i="5"/>
  <c r="T104" i="5"/>
  <c r="T145" i="5"/>
  <c r="T167" i="5"/>
  <c r="T111" i="5"/>
  <c r="T184" i="5"/>
  <c r="T179" i="5"/>
  <c r="T198" i="5"/>
  <c r="T202" i="5"/>
  <c r="T220" i="5"/>
  <c r="T144" i="5"/>
  <c r="T217" i="5"/>
  <c r="T168" i="5"/>
  <c r="T219" i="5"/>
  <c r="T153" i="5"/>
  <c r="T257" i="5"/>
  <c r="T278" i="5"/>
  <c r="T314" i="5"/>
  <c r="T244" i="5"/>
  <c r="T291" i="5"/>
  <c r="T313" i="5"/>
  <c r="V313" i="5" s="1"/>
  <c r="T160" i="5"/>
  <c r="T256" i="5"/>
  <c r="T269" i="5"/>
  <c r="T296" i="5"/>
  <c r="T307" i="5"/>
  <c r="T330" i="5"/>
  <c r="T262" i="5"/>
  <c r="T309" i="5"/>
  <c r="T342" i="5"/>
  <c r="U342" i="5" s="1"/>
  <c r="T366" i="5"/>
  <c r="T390" i="5"/>
  <c r="T410" i="5"/>
  <c r="T433" i="5"/>
  <c r="T297" i="5"/>
  <c r="T372" i="5"/>
  <c r="U372" i="5" s="1"/>
  <c r="T389" i="5"/>
  <c r="T418" i="5"/>
  <c r="T275" i="5"/>
  <c r="U275" i="5" s="1"/>
  <c r="T353" i="5"/>
  <c r="T373" i="5"/>
  <c r="T392" i="5"/>
  <c r="T414" i="5"/>
  <c r="T53" i="5"/>
  <c r="T25" i="5"/>
  <c r="T141" i="5"/>
  <c r="T125" i="5"/>
  <c r="T186" i="5"/>
  <c r="T166" i="5"/>
  <c r="T248" i="5"/>
  <c r="T258" i="5"/>
  <c r="T259" i="5"/>
  <c r="T343" i="5"/>
  <c r="T367" i="5"/>
  <c r="T317" i="5"/>
  <c r="T319" i="5"/>
  <c r="T388" i="5"/>
  <c r="T357" i="5"/>
  <c r="T441" i="5"/>
  <c r="T466" i="5"/>
  <c r="T507" i="5"/>
  <c r="T533" i="5"/>
  <c r="T431" i="5"/>
  <c r="T464" i="5"/>
  <c r="U464" i="5" s="1"/>
  <c r="T485" i="5"/>
  <c r="T511" i="5"/>
  <c r="T333" i="5"/>
  <c r="T377" i="5"/>
  <c r="T416" i="5"/>
  <c r="T446" i="5"/>
  <c r="T463" i="5"/>
  <c r="T482" i="5"/>
  <c r="T495" i="5"/>
  <c r="U495" i="5" s="1"/>
  <c r="T538" i="5"/>
  <c r="T338" i="5"/>
  <c r="T484" i="5"/>
  <c r="U484" i="5" s="1"/>
  <c r="T540" i="5"/>
  <c r="T550" i="5"/>
  <c r="T412" i="5"/>
  <c r="U412" i="5" s="1"/>
  <c r="T514" i="5"/>
  <c r="T551" i="5"/>
  <c r="T449" i="5"/>
  <c r="T549" i="5"/>
  <c r="T445" i="5"/>
  <c r="T509" i="5"/>
  <c r="U509" i="5" s="1"/>
  <c r="T28" i="5"/>
  <c r="T50" i="5"/>
  <c r="T95" i="5"/>
  <c r="T112" i="5"/>
  <c r="T177" i="5"/>
  <c r="T206" i="5"/>
  <c r="T232" i="5"/>
  <c r="T265" i="5"/>
  <c r="T292" i="5"/>
  <c r="T281" i="5"/>
  <c r="T267" i="5"/>
  <c r="T393" i="5"/>
  <c r="T376" i="5"/>
  <c r="T355" i="5"/>
  <c r="T402" i="5"/>
  <c r="T370" i="5"/>
  <c r="T447" i="5"/>
  <c r="T481" i="5"/>
  <c r="T508" i="5"/>
  <c r="U508" i="5" s="1"/>
  <c r="T537" i="5"/>
  <c r="T453" i="5"/>
  <c r="T471" i="5"/>
  <c r="T496" i="5"/>
  <c r="T517" i="5"/>
  <c r="T358" i="5"/>
  <c r="T395" i="5"/>
  <c r="T425" i="5"/>
  <c r="T452" i="5"/>
  <c r="T467" i="5"/>
  <c r="T487" i="5"/>
  <c r="T506" i="5"/>
  <c r="T556" i="5"/>
  <c r="T346" i="5"/>
  <c r="T529" i="5"/>
  <c r="T542" i="5"/>
  <c r="T541" i="5"/>
  <c r="T426" i="5"/>
  <c r="T518" i="5"/>
  <c r="T553" i="5"/>
  <c r="V553" i="5" s="1"/>
  <c r="T528" i="5"/>
  <c r="T558" i="5"/>
  <c r="T476" i="5"/>
  <c r="T520" i="5"/>
  <c r="T27" i="5"/>
  <c r="T55" i="5"/>
  <c r="T88" i="5"/>
  <c r="T142" i="5"/>
  <c r="T140" i="5"/>
  <c r="T208" i="5"/>
  <c r="T191" i="5"/>
  <c r="T289" i="5"/>
  <c r="T323" i="5"/>
  <c r="T298" i="5"/>
  <c r="T312" i="5"/>
  <c r="U312" i="5" s="1"/>
  <c r="T420" i="5"/>
  <c r="T391" i="5"/>
  <c r="T365" i="5"/>
  <c r="T408" i="5"/>
  <c r="T384" i="5"/>
  <c r="U384" i="5" s="1"/>
  <c r="T451" i="5"/>
  <c r="V451" i="5" s="1"/>
  <c r="T491" i="5"/>
  <c r="T515" i="5"/>
  <c r="T351" i="5"/>
  <c r="T454" i="5"/>
  <c r="U454" i="5" s="1"/>
  <c r="T474" i="5"/>
  <c r="T501" i="5"/>
  <c r="T519" i="5"/>
  <c r="T360" i="5"/>
  <c r="T401" i="5"/>
  <c r="T434" i="5"/>
  <c r="T455" i="5"/>
  <c r="T473" i="5"/>
  <c r="U473" i="5" s="1"/>
  <c r="T489" i="5"/>
  <c r="T510" i="5"/>
  <c r="T560" i="5"/>
  <c r="T352" i="5"/>
  <c r="T534" i="5"/>
  <c r="T546" i="5"/>
  <c r="T544" i="5"/>
  <c r="T450" i="5"/>
  <c r="T527" i="5"/>
  <c r="T555" i="5"/>
  <c r="T530" i="5"/>
  <c r="T397" i="5"/>
  <c r="T479" i="5"/>
  <c r="T523" i="5"/>
  <c r="T119" i="5"/>
  <c r="T327" i="5"/>
  <c r="T436" i="5"/>
  <c r="T432" i="5"/>
  <c r="T427" i="5"/>
  <c r="T521" i="5"/>
  <c r="T461" i="5"/>
  <c r="U461" i="5" s="1"/>
  <c r="T304" i="5"/>
  <c r="T394" i="5"/>
  <c r="T547" i="5"/>
  <c r="T36" i="5"/>
  <c r="T154" i="5"/>
  <c r="T226" i="5"/>
  <c r="T162" i="5"/>
  <c r="U162" i="5" s="1"/>
  <c r="T460" i="5"/>
  <c r="T459" i="5"/>
  <c r="T374" i="5"/>
  <c r="V374" i="5" s="1"/>
  <c r="T477" i="5"/>
  <c r="T444" i="5"/>
  <c r="T497" i="5"/>
  <c r="T423" i="5"/>
  <c r="T74" i="5"/>
  <c r="T227" i="5"/>
  <c r="T310" i="5"/>
  <c r="T379" i="5"/>
  <c r="T494" i="5"/>
  <c r="T483" i="5"/>
  <c r="T413" i="5"/>
  <c r="T492" i="5"/>
  <c r="T539" i="5"/>
  <c r="V539" i="5" s="1"/>
  <c r="T543" i="5"/>
  <c r="T488" i="5"/>
  <c r="T93" i="5"/>
  <c r="T525" i="5"/>
  <c r="T548" i="5"/>
  <c r="T230" i="5"/>
  <c r="T503" i="5"/>
  <c r="T419" i="5"/>
  <c r="T350" i="5"/>
  <c r="T435" i="5"/>
  <c r="T531" i="5"/>
  <c r="B5" i="8"/>
  <c r="E28" i="2"/>
  <c r="AZ148" i="5"/>
  <c r="AZ173" i="5"/>
  <c r="AZ200" i="5"/>
  <c r="AZ55" i="5"/>
  <c r="AZ59" i="5"/>
  <c r="AZ95" i="5"/>
  <c r="AZ139" i="5"/>
  <c r="AZ255" i="5"/>
  <c r="AZ315" i="5"/>
  <c r="AZ218" i="5"/>
  <c r="AZ50" i="5"/>
  <c r="AZ171" i="5"/>
  <c r="AZ194" i="5"/>
  <c r="AZ161" i="5"/>
  <c r="AZ278" i="5"/>
  <c r="B59" i="5"/>
  <c r="G126" i="2"/>
  <c r="B148" i="2"/>
  <c r="V136" i="5"/>
  <c r="U199" i="5"/>
  <c r="V342" i="5"/>
  <c r="V509" i="5"/>
  <c r="V91" i="5"/>
  <c r="U183" i="5"/>
  <c r="U89" i="5"/>
  <c r="V290" i="5"/>
  <c r="B75" i="5"/>
  <c r="AJ56" i="5" s="1"/>
  <c r="R60" i="4"/>
  <c r="R56" i="4"/>
  <c r="R52" i="4"/>
  <c r="R48" i="4"/>
  <c r="R44" i="4"/>
  <c r="R36" i="4"/>
  <c r="R34" i="4"/>
  <c r="R32" i="4"/>
  <c r="R30" i="4"/>
  <c r="R13" i="4"/>
  <c r="R11" i="4"/>
  <c r="R9" i="4"/>
  <c r="R81" i="4"/>
  <c r="R77" i="4"/>
  <c r="R73" i="4"/>
  <c r="R69" i="4"/>
  <c r="R65" i="4"/>
  <c r="R61" i="4"/>
  <c r="R57" i="4"/>
  <c r="R53" i="4"/>
  <c r="R49" i="4"/>
  <c r="R45" i="4"/>
  <c r="R41" i="4"/>
  <c r="R39" i="4"/>
  <c r="R28" i="4"/>
  <c r="R26" i="4"/>
  <c r="R24" i="4"/>
  <c r="R22" i="4"/>
  <c r="R20" i="4"/>
  <c r="R18" i="4"/>
  <c r="R16" i="4"/>
  <c r="R14" i="4"/>
  <c r="B22" i="2"/>
  <c r="H17" i="1" s="1"/>
  <c r="H50" i="1"/>
  <c r="B130" i="2"/>
  <c r="B131" i="2"/>
  <c r="AS10" i="4"/>
  <c r="AS34" i="4"/>
  <c r="AS46" i="4"/>
  <c r="AS54" i="4"/>
  <c r="AS58" i="4"/>
  <c r="AS66" i="4"/>
  <c r="AS74" i="4"/>
  <c r="AS82" i="4"/>
  <c r="AS90" i="4"/>
  <c r="AS98" i="4"/>
  <c r="AS102" i="4"/>
  <c r="AS110" i="4"/>
  <c r="AS118" i="4"/>
  <c r="AS126" i="4"/>
  <c r="AS134" i="4"/>
  <c r="AS142" i="4"/>
  <c r="AS150" i="4"/>
  <c r="AS7" i="4"/>
  <c r="AS148" i="4"/>
  <c r="AS11" i="4"/>
  <c r="AS15" i="4"/>
  <c r="AS19" i="4"/>
  <c r="AS23" i="4"/>
  <c r="AS27" i="4"/>
  <c r="AS31" i="4"/>
  <c r="AS35" i="4"/>
  <c r="AS39" i="4"/>
  <c r="AS43" i="4"/>
  <c r="AS47" i="4"/>
  <c r="AS51" i="4"/>
  <c r="AS55" i="4"/>
  <c r="AS59" i="4"/>
  <c r="AS63" i="4"/>
  <c r="AS67" i="4"/>
  <c r="AS71" i="4"/>
  <c r="AS75" i="4"/>
  <c r="AS79" i="4"/>
  <c r="AS83" i="4"/>
  <c r="AS87" i="4"/>
  <c r="AS91" i="4"/>
  <c r="AS95" i="4"/>
  <c r="AS99" i="4"/>
  <c r="AS103" i="4"/>
  <c r="AS107" i="4"/>
  <c r="AS111" i="4"/>
  <c r="AS115" i="4"/>
  <c r="AS119" i="4"/>
  <c r="AS123" i="4"/>
  <c r="AS127" i="4"/>
  <c r="AS131" i="4"/>
  <c r="AS135" i="4"/>
  <c r="AS139" i="4"/>
  <c r="AS143" i="4"/>
  <c r="AS147" i="4"/>
  <c r="AS151" i="4"/>
  <c r="AS155" i="4"/>
  <c r="AS12" i="4"/>
  <c r="AS16" i="4"/>
  <c r="AS20" i="4"/>
  <c r="AS24" i="4"/>
  <c r="AS28" i="4"/>
  <c r="AS36" i="4"/>
  <c r="AS40" i="4"/>
  <c r="AS48" i="4"/>
  <c r="AS56" i="4"/>
  <c r="AS60" i="4"/>
  <c r="AS68" i="4"/>
  <c r="AS76" i="4"/>
  <c r="AS84" i="4"/>
  <c r="AS88" i="4"/>
  <c r="AS96" i="4"/>
  <c r="AS104" i="4"/>
  <c r="AS108" i="4"/>
  <c r="AS116" i="4"/>
  <c r="AS124" i="4"/>
  <c r="AS128" i="4"/>
  <c r="AS136" i="4"/>
  <c r="AS152" i="4"/>
  <c r="AS8" i="4"/>
  <c r="AS32" i="4"/>
  <c r="AS44" i="4"/>
  <c r="AS52" i="4"/>
  <c r="AS64" i="4"/>
  <c r="AS72" i="4"/>
  <c r="AS80" i="4"/>
  <c r="AS92" i="4"/>
  <c r="AS100" i="4"/>
  <c r="AS112" i="4"/>
  <c r="AS120" i="4"/>
  <c r="AS132" i="4"/>
  <c r="AS144" i="4"/>
  <c r="AS9" i="4"/>
  <c r="AS13" i="4"/>
  <c r="AS17" i="4"/>
  <c r="AS21" i="4"/>
  <c r="AS25" i="4"/>
  <c r="AS29" i="4"/>
  <c r="AS33" i="4"/>
  <c r="AS37" i="4"/>
  <c r="AS41" i="4"/>
  <c r="AS45" i="4"/>
  <c r="AS49" i="4"/>
  <c r="AS53" i="4"/>
  <c r="AS57" i="4"/>
  <c r="AS61" i="4"/>
  <c r="AS65" i="4"/>
  <c r="AS69" i="4"/>
  <c r="AS73" i="4"/>
  <c r="AS77" i="4"/>
  <c r="AS81" i="4"/>
  <c r="AS85" i="4"/>
  <c r="AS89" i="4"/>
  <c r="AS93" i="4"/>
  <c r="AS97" i="4"/>
  <c r="AS101" i="4"/>
  <c r="AS105" i="4"/>
  <c r="AS109" i="4"/>
  <c r="AS113" i="4"/>
  <c r="AS117" i="4"/>
  <c r="AS121" i="4"/>
  <c r="AS125" i="4"/>
  <c r="AS129" i="4"/>
  <c r="AS133" i="4"/>
  <c r="AS137" i="4"/>
  <c r="AS141" i="4"/>
  <c r="AS145" i="4"/>
  <c r="AS149" i="4"/>
  <c r="AS153" i="4"/>
  <c r="AS157" i="4"/>
  <c r="AS14" i="4"/>
  <c r="AS18" i="4"/>
  <c r="AS22" i="4"/>
  <c r="AS26" i="4"/>
  <c r="AS30" i="4"/>
  <c r="AS38" i="4"/>
  <c r="AS42" i="4"/>
  <c r="AS50" i="4"/>
  <c r="AS62" i="4"/>
  <c r="AS70" i="4"/>
  <c r="AS78" i="4"/>
  <c r="AS86" i="4"/>
  <c r="AS94" i="4"/>
  <c r="AS106" i="4"/>
  <c r="AS114" i="4"/>
  <c r="AS122" i="4"/>
  <c r="AS130" i="4"/>
  <c r="AS138" i="4"/>
  <c r="AS146" i="4"/>
  <c r="AS154" i="4"/>
  <c r="AS140" i="4"/>
  <c r="AS156" i="4"/>
  <c r="AZ127" i="5" l="1"/>
  <c r="AZ299" i="5"/>
  <c r="AZ324" i="5"/>
  <c r="AZ265" i="5"/>
  <c r="AZ91" i="5"/>
  <c r="AZ190" i="5"/>
  <c r="AZ305" i="5"/>
  <c r="AZ60" i="5"/>
  <c r="AZ98" i="5"/>
  <c r="AZ123" i="5"/>
  <c r="AZ69" i="5"/>
  <c r="AZ110" i="5"/>
  <c r="BB110" i="5" s="1"/>
  <c r="AZ66" i="5"/>
  <c r="BB66" i="5" s="1"/>
  <c r="AZ312" i="5"/>
  <c r="AZ23" i="5"/>
  <c r="AZ158" i="5"/>
  <c r="AZ318" i="5"/>
  <c r="AZ27" i="5"/>
  <c r="AZ246" i="5"/>
  <c r="AZ184" i="5"/>
  <c r="AZ196" i="5"/>
  <c r="AZ249" i="5"/>
  <c r="AZ24" i="5"/>
  <c r="AZ150" i="5"/>
  <c r="AZ264" i="5"/>
  <c r="AZ40" i="5"/>
  <c r="BB40" i="5" s="1"/>
  <c r="AZ296" i="5"/>
  <c r="BB296" i="5" s="1"/>
  <c r="AZ126" i="5"/>
  <c r="AZ212" i="5"/>
  <c r="AZ220" i="5"/>
  <c r="AZ393" i="5"/>
  <c r="AZ121" i="5"/>
  <c r="AZ211" i="5"/>
  <c r="AZ164" i="5"/>
  <c r="AZ135" i="5"/>
  <c r="AZ152" i="5"/>
  <c r="AZ290" i="5"/>
  <c r="AZ35" i="5"/>
  <c r="AZ116" i="5"/>
  <c r="AZ303" i="5"/>
  <c r="BA303" i="5" s="1"/>
  <c r="AZ22" i="5"/>
  <c r="BB22" i="5" s="1"/>
  <c r="AZ140" i="5"/>
  <c r="AT156" i="5"/>
  <c r="AT237" i="5"/>
  <c r="AT66" i="5"/>
  <c r="V495" i="5"/>
  <c r="U451" i="5"/>
  <c r="V417" i="5"/>
  <c r="V464" i="5"/>
  <c r="U396" i="5"/>
  <c r="V473" i="5"/>
  <c r="AT324" i="5"/>
  <c r="AT165" i="5"/>
  <c r="AV165" i="5" s="1"/>
  <c r="AT7" i="5"/>
  <c r="AV7" i="5" s="1"/>
  <c r="AT91" i="5"/>
  <c r="AV91" i="5" s="1"/>
  <c r="AT93" i="5"/>
  <c r="AV93" i="5" s="1"/>
  <c r="AT61" i="5"/>
  <c r="AT39" i="5"/>
  <c r="AT191" i="5"/>
  <c r="AV191" i="5" s="1"/>
  <c r="AT183" i="5"/>
  <c r="AV183" i="5" s="1"/>
  <c r="AT84" i="5"/>
  <c r="AV84" i="5" s="1"/>
  <c r="AT102" i="5"/>
  <c r="AV102" i="5" s="1"/>
  <c r="V461" i="5"/>
  <c r="V279" i="5"/>
  <c r="U301" i="5"/>
  <c r="U134" i="5"/>
  <c r="U32" i="5"/>
  <c r="V146" i="5"/>
  <c r="V24" i="5"/>
  <c r="V231" i="5"/>
  <c r="U300" i="5"/>
  <c r="B166" i="2"/>
  <c r="V454" i="5"/>
  <c r="V203" i="5"/>
  <c r="U313" i="5"/>
  <c r="V82" i="5"/>
  <c r="U63" i="5"/>
  <c r="AT286" i="5"/>
  <c r="AU286" i="5" s="1"/>
  <c r="AT54" i="5"/>
  <c r="AU54" i="5" s="1"/>
  <c r="AT115" i="5"/>
  <c r="U539" i="5"/>
  <c r="AT273" i="5"/>
  <c r="AU273" i="5" s="1"/>
  <c r="AT271" i="5"/>
  <c r="AV271" i="5" s="1"/>
  <c r="AT52" i="5"/>
  <c r="AU52" i="5" s="1"/>
  <c r="AT233" i="5"/>
  <c r="AV233" i="5" s="1"/>
  <c r="AT311" i="5"/>
  <c r="AU311" i="5" s="1"/>
  <c r="AT62" i="5"/>
  <c r="AV62" i="5" s="1"/>
  <c r="AT229" i="5"/>
  <c r="AU229" i="5" s="1"/>
  <c r="AT246" i="5"/>
  <c r="AU246" i="5" s="1"/>
  <c r="AT43" i="5"/>
  <c r="AU43" i="5" s="1"/>
  <c r="AT218" i="5"/>
  <c r="AU218" i="5" s="1"/>
  <c r="AT295" i="5"/>
  <c r="AV295" i="5" s="1"/>
  <c r="AT175" i="5"/>
  <c r="AV175" i="5" s="1"/>
  <c r="AT249" i="5"/>
  <c r="AT29" i="5"/>
  <c r="AV29" i="5" s="1"/>
  <c r="AT153" i="5"/>
  <c r="AV153" i="5" s="1"/>
  <c r="AT248" i="5"/>
  <c r="AU248" i="5" s="1"/>
  <c r="AT30" i="5"/>
  <c r="AV30" i="5" s="1"/>
  <c r="AT130" i="5"/>
  <c r="AU130" i="5" s="1"/>
  <c r="AT198" i="5"/>
  <c r="AT46" i="5"/>
  <c r="AV46" i="5" s="1"/>
  <c r="AT89" i="5"/>
  <c r="AU89" i="5" s="1"/>
  <c r="AT111" i="5"/>
  <c r="AU111" i="5" s="1"/>
  <c r="AJ84" i="5"/>
  <c r="AL84" i="5" s="1"/>
  <c r="AJ147" i="5"/>
  <c r="AT38" i="5"/>
  <c r="AV38" i="5" s="1"/>
  <c r="AT44" i="5"/>
  <c r="AU44" i="5" s="1"/>
  <c r="AT32" i="5"/>
  <c r="AV32" i="5" s="1"/>
  <c r="AT328" i="5"/>
  <c r="AV328" i="5" s="1"/>
  <c r="AT276" i="5"/>
  <c r="AU276" i="5" s="1"/>
  <c r="AT314" i="5"/>
  <c r="AV314" i="5" s="1"/>
  <c r="AT257" i="5"/>
  <c r="AU257" i="5" s="1"/>
  <c r="AT221" i="5"/>
  <c r="AV221" i="5" s="1"/>
  <c r="AT211" i="5"/>
  <c r="AV211" i="5" s="1"/>
  <c r="AT176" i="5"/>
  <c r="AU176" i="5" s="1"/>
  <c r="AT160" i="5"/>
  <c r="AU160" i="5" s="1"/>
  <c r="AT131" i="5"/>
  <c r="AU131" i="5" s="1"/>
  <c r="AT135" i="5"/>
  <c r="AU135" i="5" s="1"/>
  <c r="AT118" i="5"/>
  <c r="AU118" i="5" s="1"/>
  <c r="AT141" i="5"/>
  <c r="AV141" i="5" s="1"/>
  <c r="AT79" i="5"/>
  <c r="AV79" i="5" s="1"/>
  <c r="AT78" i="5"/>
  <c r="AT23" i="5"/>
  <c r="AU23" i="5" s="1"/>
  <c r="AT25" i="5"/>
  <c r="AU25" i="5" s="1"/>
  <c r="AT335" i="5"/>
  <c r="AU335" i="5" s="1"/>
  <c r="AT259" i="5"/>
  <c r="AU259" i="5" s="1"/>
  <c r="AT297" i="5"/>
  <c r="AU297" i="5" s="1"/>
  <c r="AT205" i="5"/>
  <c r="AU205" i="5" s="1"/>
  <c r="AT280" i="5"/>
  <c r="AT238" i="5"/>
  <c r="AV238" i="5" s="1"/>
  <c r="AT243" i="5"/>
  <c r="AV243" i="5" s="1"/>
  <c r="AT234" i="5"/>
  <c r="AV234" i="5" s="1"/>
  <c r="AT189" i="5"/>
  <c r="AV189" i="5" s="1"/>
  <c r="AT181" i="5"/>
  <c r="AU181" i="5" s="1"/>
  <c r="AT173" i="5"/>
  <c r="AU173" i="5" s="1"/>
  <c r="AT138" i="5"/>
  <c r="AT126" i="5"/>
  <c r="AU126" i="5" s="1"/>
  <c r="AT83" i="5"/>
  <c r="AU83" i="5" s="1"/>
  <c r="AT87" i="5"/>
  <c r="AV87" i="5" s="1"/>
  <c r="AT22" i="5"/>
  <c r="AU22" i="5" s="1"/>
  <c r="AT64" i="5"/>
  <c r="AV64" i="5" s="1"/>
  <c r="AT31" i="5"/>
  <c r="AV31" i="5" s="1"/>
  <c r="AT36" i="5"/>
  <c r="AU36" i="5" s="1"/>
  <c r="AT24" i="5"/>
  <c r="AV24" i="5" s="1"/>
  <c r="AT28" i="5"/>
  <c r="AV28" i="5" s="1"/>
  <c r="AT316" i="5"/>
  <c r="AU316" i="5" s="1"/>
  <c r="AT250" i="5"/>
  <c r="AV250" i="5" s="1"/>
  <c r="AT301" i="5"/>
  <c r="AU301" i="5" s="1"/>
  <c r="AT251" i="5"/>
  <c r="AV251" i="5" s="1"/>
  <c r="AT195" i="5"/>
  <c r="AT164" i="5"/>
  <c r="AV164" i="5" s="1"/>
  <c r="AT199" i="5"/>
  <c r="AV199" i="5" s="1"/>
  <c r="AT133" i="5"/>
  <c r="AV133" i="5" s="1"/>
  <c r="AT187" i="5"/>
  <c r="AU187" i="5" s="1"/>
  <c r="AT110" i="5"/>
  <c r="AU110" i="5" s="1"/>
  <c r="AT92" i="5"/>
  <c r="AT121" i="5"/>
  <c r="AT103" i="5"/>
  <c r="AV103" i="5" s="1"/>
  <c r="AT55" i="5"/>
  <c r="AU55" i="5" s="1"/>
  <c r="AT65" i="5"/>
  <c r="AV65" i="5" s="1"/>
  <c r="AT47" i="5"/>
  <c r="AT307" i="5"/>
  <c r="AU307" i="5" s="1"/>
  <c r="AT200" i="5"/>
  <c r="AV200" i="5" s="1"/>
  <c r="AT282" i="5"/>
  <c r="AT322" i="5"/>
  <c r="AU322" i="5" s="1"/>
  <c r="AT265" i="5"/>
  <c r="AU265" i="5" s="1"/>
  <c r="AT230" i="5"/>
  <c r="AU230" i="5" s="1"/>
  <c r="AT224" i="5"/>
  <c r="AU224" i="5" s="1"/>
  <c r="AT215" i="5"/>
  <c r="AU215" i="5" s="1"/>
  <c r="AT172" i="5"/>
  <c r="AV172" i="5" s="1"/>
  <c r="AT163" i="5"/>
  <c r="AT150" i="5"/>
  <c r="AU150" i="5" s="1"/>
  <c r="AT122" i="5"/>
  <c r="AU122" i="5" s="1"/>
  <c r="AT71" i="5"/>
  <c r="AU71" i="5" s="1"/>
  <c r="AT88" i="5"/>
  <c r="AV88" i="5" s="1"/>
  <c r="AT90" i="5"/>
  <c r="AU90" i="5" s="1"/>
  <c r="AT63" i="5"/>
  <c r="AV63" i="5" s="1"/>
  <c r="AT53" i="5"/>
  <c r="AT21" i="5"/>
  <c r="AV21" i="5" s="1"/>
  <c r="AT37" i="5"/>
  <c r="AV37" i="5" s="1"/>
  <c r="AT42" i="5"/>
  <c r="AV42" i="5" s="1"/>
  <c r="AT33" i="5"/>
  <c r="AT299" i="5"/>
  <c r="AV299" i="5" s="1"/>
  <c r="AT210" i="5"/>
  <c r="AV210" i="5" s="1"/>
  <c r="AT283" i="5"/>
  <c r="AV283" i="5" s="1"/>
  <c r="AT240" i="5"/>
  <c r="AV240" i="5" s="1"/>
  <c r="AT159" i="5"/>
  <c r="AU159" i="5" s="1"/>
  <c r="AT239" i="5"/>
  <c r="AU239" i="5" s="1"/>
  <c r="AT190" i="5"/>
  <c r="AV190" i="5" s="1"/>
  <c r="AT182" i="5"/>
  <c r="AV182" i="5" s="1"/>
  <c r="AT177" i="5"/>
  <c r="AU177" i="5" s="1"/>
  <c r="AT139" i="5"/>
  <c r="AT142" i="5"/>
  <c r="AT100" i="5"/>
  <c r="AU100" i="5" s="1"/>
  <c r="AT96" i="5"/>
  <c r="AU96" i="5" s="1"/>
  <c r="AT69" i="5"/>
  <c r="AU69" i="5" s="1"/>
  <c r="AT41" i="5"/>
  <c r="AV41" i="5" s="1"/>
  <c r="AT34" i="5"/>
  <c r="AT291" i="5"/>
  <c r="AU291" i="5" s="1"/>
  <c r="AT327" i="5"/>
  <c r="AU327" i="5" s="1"/>
  <c r="AT270" i="5"/>
  <c r="AU270" i="5" s="1"/>
  <c r="AT312" i="5"/>
  <c r="AV312" i="5" s="1"/>
  <c r="AT255" i="5"/>
  <c r="AV255" i="5" s="1"/>
  <c r="AT217" i="5"/>
  <c r="AU217" i="5" s="1"/>
  <c r="AT209" i="5"/>
  <c r="AV209" i="5" s="1"/>
  <c r="AT154" i="5"/>
  <c r="AT157" i="5"/>
  <c r="AU157" i="5" s="1"/>
  <c r="AT128" i="5"/>
  <c r="AV128" i="5" s="1"/>
  <c r="AT129" i="5"/>
  <c r="AU129" i="5" s="1"/>
  <c r="AT109" i="5"/>
  <c r="AV109" i="5" s="1"/>
  <c r="AT136" i="5"/>
  <c r="AV136" i="5" s="1"/>
  <c r="AT75" i="5"/>
  <c r="AV75" i="5" s="1"/>
  <c r="AT77" i="5"/>
  <c r="AT20" i="5"/>
  <c r="AV20" i="5" s="1"/>
  <c r="AT51" i="5"/>
  <c r="AU51" i="5" s="1"/>
  <c r="AT8" i="5"/>
  <c r="AV8" i="5" s="1"/>
  <c r="AT49" i="5"/>
  <c r="AT27" i="5"/>
  <c r="AT45" i="5"/>
  <c r="AT57" i="5"/>
  <c r="AT58" i="5"/>
  <c r="AT70" i="5"/>
  <c r="AT81" i="5"/>
  <c r="AT97" i="5"/>
  <c r="AT82" i="5"/>
  <c r="AT113" i="5"/>
  <c r="AT143" i="5"/>
  <c r="AT148" i="5"/>
  <c r="AT119" i="5"/>
  <c r="AT146" i="5"/>
  <c r="AT144" i="5"/>
  <c r="AT178" i="5"/>
  <c r="AT149" i="5"/>
  <c r="AT184" i="5"/>
  <c r="AT162" i="5"/>
  <c r="AT194" i="5"/>
  <c r="AT193" i="5"/>
  <c r="AT245" i="5"/>
  <c r="AT216" i="5"/>
  <c r="AT166" i="5"/>
  <c r="AT222" i="5"/>
  <c r="AT214" i="5"/>
  <c r="AT260" i="5"/>
  <c r="AT287" i="5"/>
  <c r="AT315" i="5"/>
  <c r="AT219" i="5"/>
  <c r="AT278" i="5"/>
  <c r="AT304" i="5"/>
  <c r="AT117" i="5"/>
  <c r="AT261" i="5"/>
  <c r="AT285" i="5"/>
  <c r="AT303" i="5"/>
  <c r="AT336" i="5"/>
  <c r="AT345" i="5"/>
  <c r="AT356" i="5"/>
  <c r="AT284" i="5"/>
  <c r="AT341" i="5"/>
  <c r="AT378" i="5"/>
  <c r="AT397" i="5"/>
  <c r="AT403" i="5"/>
  <c r="AT421" i="5"/>
  <c r="AT436" i="5"/>
  <c r="AT262" i="5"/>
  <c r="AT321" i="5"/>
  <c r="AT340" i="5"/>
  <c r="AT368" i="5"/>
  <c r="AT386" i="5"/>
  <c r="AT396" i="5"/>
  <c r="AT410" i="5"/>
  <c r="AT347" i="5"/>
  <c r="AT360" i="5"/>
  <c r="AT375" i="5"/>
  <c r="AT402" i="5"/>
  <c r="AT417" i="5"/>
  <c r="AT275" i="5"/>
  <c r="AT346" i="5"/>
  <c r="AT412" i="5"/>
  <c r="AT438" i="5"/>
  <c r="AT451" i="5"/>
  <c r="AT487" i="5"/>
  <c r="AT494" i="5"/>
  <c r="AT510" i="5"/>
  <c r="AT530" i="5"/>
  <c r="AT370" i="5"/>
  <c r="AT425" i="5"/>
  <c r="AT447" i="5"/>
  <c r="AT460" i="5"/>
  <c r="AT483" i="5"/>
  <c r="AT496" i="5"/>
  <c r="AT516" i="5"/>
  <c r="AT337" i="5"/>
  <c r="AT439" i="5"/>
  <c r="AT459" i="5"/>
  <c r="AT474" i="5"/>
  <c r="AT486" i="5"/>
  <c r="AT507" i="5"/>
  <c r="AT525" i="5"/>
  <c r="AT548" i="5"/>
  <c r="AT553" i="5"/>
  <c r="AT380" i="5"/>
  <c r="AT473" i="5"/>
  <c r="AT492" i="5"/>
  <c r="AT40" i="5"/>
  <c r="AT60" i="5"/>
  <c r="AT59" i="5"/>
  <c r="AT73" i="5"/>
  <c r="AT86" i="5"/>
  <c r="AT98" i="5"/>
  <c r="AT85" i="5"/>
  <c r="AT114" i="5"/>
  <c r="AT145" i="5"/>
  <c r="AT151" i="5"/>
  <c r="AT120" i="5"/>
  <c r="AT152" i="5"/>
  <c r="AT147" i="5"/>
  <c r="AT179" i="5"/>
  <c r="AT161" i="5"/>
  <c r="AT95" i="5"/>
  <c r="AT167" i="5"/>
  <c r="AT197" i="5"/>
  <c r="AT208" i="5"/>
  <c r="AT247" i="5"/>
  <c r="AT220" i="5"/>
  <c r="AT188" i="5"/>
  <c r="AT225" i="5"/>
  <c r="AT228" i="5"/>
  <c r="AT263" i="5"/>
  <c r="AT293" i="5"/>
  <c r="AT320" i="5"/>
  <c r="AT241" i="5"/>
  <c r="AT279" i="5"/>
  <c r="AT308" i="5"/>
  <c r="AT196" i="5"/>
  <c r="AT264" i="5"/>
  <c r="AT288" i="5"/>
  <c r="AT313" i="5"/>
  <c r="AT338" i="5"/>
  <c r="AT348" i="5"/>
  <c r="AT359" i="5"/>
  <c r="AT290" i="5"/>
  <c r="AT364" i="5"/>
  <c r="AT382" i="5"/>
  <c r="AT398" i="5"/>
  <c r="AT406" i="5"/>
  <c r="AT424" i="5"/>
  <c r="AT437" i="5"/>
  <c r="AT267" i="5"/>
  <c r="AT326" i="5"/>
  <c r="AT355" i="5"/>
  <c r="AT372" i="5"/>
  <c r="AT387" i="5"/>
  <c r="AT405" i="5"/>
  <c r="AT202" i="5"/>
  <c r="AT351" i="5"/>
  <c r="AT361" i="5"/>
  <c r="AT383" i="5"/>
  <c r="AT404" i="5"/>
  <c r="AT418" i="5"/>
  <c r="AT305" i="5"/>
  <c r="AT350" i="5"/>
  <c r="AT419" i="5"/>
  <c r="AT443" i="5"/>
  <c r="AT466" i="5"/>
  <c r="AT488" i="5"/>
  <c r="AT499" i="5"/>
  <c r="AT513" i="5"/>
  <c r="AT294" i="5"/>
  <c r="AT384" i="5"/>
  <c r="AT48" i="5"/>
  <c r="AT67" i="5"/>
  <c r="AT26" i="5"/>
  <c r="AT72" i="5"/>
  <c r="AT94" i="5"/>
  <c r="AT105" i="5"/>
  <c r="AT101" i="5"/>
  <c r="AT127" i="5"/>
  <c r="AT104" i="5"/>
  <c r="AT99" i="5"/>
  <c r="AT134" i="5"/>
  <c r="AT116" i="5"/>
  <c r="AT158" i="5"/>
  <c r="AT112" i="5"/>
  <c r="AT169" i="5"/>
  <c r="AT140" i="5"/>
  <c r="AT185" i="5"/>
  <c r="AT201" i="5"/>
  <c r="AT223" i="5"/>
  <c r="AT192" i="5"/>
  <c r="AT232" i="5"/>
  <c r="AT212" i="5"/>
  <c r="AT235" i="5"/>
  <c r="AT252" i="5"/>
  <c r="AT274" i="5"/>
  <c r="AT306" i="5"/>
  <c r="AT332" i="5"/>
  <c r="AT258" i="5"/>
  <c r="AT289" i="5"/>
  <c r="AT319" i="5"/>
  <c r="AT244" i="5"/>
  <c r="AT269" i="5"/>
  <c r="AT296" i="5"/>
  <c r="AT318" i="5"/>
  <c r="AT342" i="5"/>
  <c r="AT349" i="5"/>
  <c r="AT174" i="5"/>
  <c r="AT310" i="5"/>
  <c r="AT366" i="5"/>
  <c r="AT388" i="5"/>
  <c r="AT400" i="5"/>
  <c r="AT415" i="5"/>
  <c r="AT429" i="5"/>
  <c r="AT180" i="5"/>
  <c r="AT268" i="5"/>
  <c r="AT329" i="5"/>
  <c r="AT362" i="5"/>
  <c r="AT376" i="5"/>
  <c r="AT391" i="5"/>
  <c r="AT407" i="5"/>
  <c r="AT317" i="5"/>
  <c r="AT352" i="5"/>
  <c r="AT369" i="5"/>
  <c r="AT385" i="5"/>
  <c r="AT411" i="5"/>
  <c r="AT168" i="5"/>
  <c r="AT334" i="5"/>
  <c r="AT371" i="5"/>
  <c r="AT427" i="5"/>
  <c r="AT445" i="5"/>
  <c r="AT469" i="5"/>
  <c r="AT489" i="5"/>
  <c r="AT502" i="5"/>
  <c r="AT518" i="5"/>
  <c r="AT331" i="5"/>
  <c r="AT408" i="5"/>
  <c r="AT435" i="5"/>
  <c r="AT456" i="5"/>
  <c r="AT472" i="5"/>
  <c r="AT490" i="5"/>
  <c r="AT501" i="5"/>
  <c r="AT272" i="5"/>
  <c r="AT399" i="5"/>
  <c r="AT453" i="5"/>
  <c r="AT468" i="5"/>
  <c r="AT478" i="5"/>
  <c r="AT504" i="5"/>
  <c r="AT514" i="5"/>
  <c r="AT543" i="5"/>
  <c r="AT550" i="5"/>
  <c r="AT559" i="5"/>
  <c r="AT416" i="5"/>
  <c r="AT479" i="5"/>
  <c r="AT509" i="5"/>
  <c r="AT50" i="5"/>
  <c r="AT74" i="5"/>
  <c r="AT124" i="5"/>
  <c r="AT171" i="5"/>
  <c r="AT186" i="5"/>
  <c r="AT242" i="5"/>
  <c r="AT277" i="5"/>
  <c r="AT292" i="5"/>
  <c r="AT300" i="5"/>
  <c r="AT231" i="5"/>
  <c r="AT401" i="5"/>
  <c r="AT298" i="5"/>
  <c r="AT393" i="5"/>
  <c r="AT373" i="5"/>
  <c r="AT344" i="5"/>
  <c r="AT481" i="5"/>
  <c r="AT357" i="5"/>
  <c r="AT448" i="5"/>
  <c r="AT485" i="5"/>
  <c r="AT517" i="5"/>
  <c r="AT452" i="5"/>
  <c r="AT477" i="5"/>
  <c r="AT512" i="5"/>
  <c r="AT549" i="5"/>
  <c r="AT392" i="5"/>
  <c r="AT506" i="5"/>
  <c r="AT539" i="5"/>
  <c r="AT554" i="5"/>
  <c r="AT465" i="5"/>
  <c r="AT526" i="5"/>
  <c r="AT555" i="5"/>
  <c r="AT358" i="5"/>
  <c r="AT395" i="5"/>
  <c r="AT430" i="5"/>
  <c r="AT467" i="5"/>
  <c r="AT537" i="5"/>
  <c r="AT440" i="5"/>
  <c r="AT500" i="5"/>
  <c r="AT534" i="5"/>
  <c r="AT68" i="5"/>
  <c r="AT107" i="5"/>
  <c r="AT106" i="5"/>
  <c r="AT125" i="5"/>
  <c r="AT206" i="5"/>
  <c r="AT213" i="5"/>
  <c r="AT309" i="5"/>
  <c r="AT325" i="5"/>
  <c r="AT323" i="5"/>
  <c r="AT330" i="5"/>
  <c r="AT420" i="5"/>
  <c r="AT333" i="5"/>
  <c r="AT409" i="5"/>
  <c r="AT390" i="5"/>
  <c r="AT379" i="5"/>
  <c r="AT493" i="5"/>
  <c r="AT422" i="5"/>
  <c r="AT458" i="5"/>
  <c r="AT491" i="5"/>
  <c r="AT302" i="5"/>
  <c r="AT457" i="5"/>
  <c r="AT480" i="5"/>
  <c r="AT524" i="5"/>
  <c r="AT551" i="5"/>
  <c r="AT463" i="5"/>
  <c r="AT520" i="5"/>
  <c r="AT541" i="5"/>
  <c r="AT441" i="5"/>
  <c r="AT484" i="5"/>
  <c r="AT533" i="5"/>
  <c r="AT532" i="5"/>
  <c r="AT365" i="5"/>
  <c r="AT413" i="5"/>
  <c r="AT432" i="5"/>
  <c r="AT511" i="5"/>
  <c r="AT556" i="5"/>
  <c r="AT446" i="5"/>
  <c r="AT503" i="5"/>
  <c r="AT538" i="5"/>
  <c r="AT80" i="5"/>
  <c r="AT108" i="5"/>
  <c r="AT137" i="5"/>
  <c r="AT170" i="5"/>
  <c r="AT227" i="5"/>
  <c r="AT236" i="5"/>
  <c r="AT203" i="5"/>
  <c r="AT253" i="5"/>
  <c r="AT343" i="5"/>
  <c r="AT374" i="5"/>
  <c r="AT433" i="5"/>
  <c r="AT367" i="5"/>
  <c r="AT339" i="5"/>
  <c r="AT414" i="5"/>
  <c r="AT431" i="5"/>
  <c r="AT508" i="5"/>
  <c r="AT434" i="5"/>
  <c r="AT464" i="5"/>
  <c r="AT497" i="5"/>
  <c r="AT363" i="5"/>
  <c r="AT462" i="5"/>
  <c r="AT498" i="5"/>
  <c r="AT531" i="5"/>
  <c r="AT557" i="5"/>
  <c r="AT476" i="5"/>
  <c r="AT528" i="5"/>
  <c r="AT542" i="5"/>
  <c r="AT444" i="5"/>
  <c r="AT495" i="5"/>
  <c r="AT545" i="5"/>
  <c r="AT536" i="5"/>
  <c r="AT377" i="5"/>
  <c r="AT426" i="5"/>
  <c r="AT454" i="5"/>
  <c r="AT523" i="5"/>
  <c r="AT558" i="5"/>
  <c r="AT449" i="5"/>
  <c r="AT521" i="5"/>
  <c r="AT544" i="5"/>
  <c r="AT76" i="5"/>
  <c r="AT207" i="5"/>
  <c r="AT354" i="5"/>
  <c r="AT353" i="5"/>
  <c r="AT442" i="5"/>
  <c r="AT471" i="5"/>
  <c r="AT482" i="5"/>
  <c r="AT519" i="5"/>
  <c r="AT428" i="5"/>
  <c r="AT470" i="5"/>
  <c r="AT35" i="5"/>
  <c r="AT281" i="5"/>
  <c r="AT522" i="5"/>
  <c r="AT204" i="5"/>
  <c r="AT389" i="5"/>
  <c r="AT132" i="5"/>
  <c r="AT254" i="5"/>
  <c r="AT394" i="5"/>
  <c r="AT256" i="5"/>
  <c r="AT475" i="5"/>
  <c r="AT505" i="5"/>
  <c r="AT535" i="5"/>
  <c r="AT552" i="5"/>
  <c r="AT461" i="5"/>
  <c r="AT527" i="5"/>
  <c r="AT123" i="5"/>
  <c r="AT266" i="5"/>
  <c r="AT226" i="5"/>
  <c r="AT450" i="5"/>
  <c r="AT515" i="5"/>
  <c r="AT546" i="5"/>
  <c r="AT547" i="5"/>
  <c r="AT540" i="5"/>
  <c r="AT529" i="5"/>
  <c r="AT19" i="5"/>
  <c r="AT155" i="5"/>
  <c r="AT381" i="5"/>
  <c r="AT423" i="5"/>
  <c r="AT455" i="5"/>
  <c r="AT560" i="5"/>
  <c r="AV56" i="5"/>
  <c r="AU56" i="5"/>
  <c r="AV36" i="5"/>
  <c r="AZ7" i="5"/>
  <c r="BA7" i="5" s="1"/>
  <c r="AZ344" i="5"/>
  <c r="BA344" i="5" s="1"/>
  <c r="AZ302" i="5"/>
  <c r="BB302" i="5" s="1"/>
  <c r="AZ227" i="5"/>
  <c r="BB227" i="5" s="1"/>
  <c r="AZ256" i="5"/>
  <c r="BB256" i="5" s="1"/>
  <c r="AZ282" i="5"/>
  <c r="BA282" i="5" s="1"/>
  <c r="AZ240" i="5"/>
  <c r="BB240" i="5" s="1"/>
  <c r="AZ235" i="5"/>
  <c r="BB235" i="5" s="1"/>
  <c r="AZ236" i="5"/>
  <c r="BB236" i="5" s="1"/>
  <c r="AZ118" i="5"/>
  <c r="AZ115" i="5"/>
  <c r="AZ169" i="5"/>
  <c r="BA169" i="5" s="1"/>
  <c r="AZ107" i="5"/>
  <c r="BB107" i="5" s="1"/>
  <c r="AZ111" i="5"/>
  <c r="BA111" i="5" s="1"/>
  <c r="AZ103" i="5"/>
  <c r="BA103" i="5" s="1"/>
  <c r="AZ83" i="5"/>
  <c r="BA83" i="5" s="1"/>
  <c r="AZ53" i="5"/>
  <c r="BA53" i="5" s="1"/>
  <c r="AZ39" i="5"/>
  <c r="BA39" i="5" s="1"/>
  <c r="AZ38" i="5"/>
  <c r="BB38" i="5" s="1"/>
  <c r="AZ8" i="5"/>
  <c r="BA8" i="5" s="1"/>
  <c r="AZ373" i="5"/>
  <c r="BB373" i="5" s="1"/>
  <c r="AZ351" i="5"/>
  <c r="BB351" i="5" s="1"/>
  <c r="AZ309" i="5"/>
  <c r="BB309" i="5" s="1"/>
  <c r="AZ241" i="5"/>
  <c r="BA241" i="5" s="1"/>
  <c r="AZ269" i="5"/>
  <c r="BA269" i="5" s="1"/>
  <c r="AZ288" i="5"/>
  <c r="BB288" i="5" s="1"/>
  <c r="AZ191" i="5"/>
  <c r="BB191" i="5" s="1"/>
  <c r="AZ242" i="5"/>
  <c r="BB242" i="5" s="1"/>
  <c r="AZ179" i="5"/>
  <c r="BA179" i="5" s="1"/>
  <c r="AZ136" i="5"/>
  <c r="BA136" i="5" s="1"/>
  <c r="AZ134" i="5"/>
  <c r="BB134" i="5" s="1"/>
  <c r="AZ177" i="5"/>
  <c r="BA177" i="5" s="1"/>
  <c r="AZ119" i="5"/>
  <c r="BB119" i="5" s="1"/>
  <c r="AZ117" i="5"/>
  <c r="BB117" i="5" s="1"/>
  <c r="AZ94" i="5"/>
  <c r="BB94" i="5" s="1"/>
  <c r="AZ89" i="5"/>
  <c r="BB89" i="5" s="1"/>
  <c r="AZ75" i="5"/>
  <c r="BB75" i="5" s="1"/>
  <c r="AZ52" i="5"/>
  <c r="AZ44" i="5"/>
  <c r="AZ34" i="5"/>
  <c r="BA34" i="5" s="1"/>
  <c r="AZ206" i="5"/>
  <c r="BB206" i="5" s="1"/>
  <c r="AZ314" i="5"/>
  <c r="BA314" i="5" s="1"/>
  <c r="AZ251" i="5"/>
  <c r="BA251" i="5" s="1"/>
  <c r="AZ284" i="5"/>
  <c r="BA284" i="5" s="1"/>
  <c r="AZ300" i="5"/>
  <c r="BB300" i="5" s="1"/>
  <c r="AZ223" i="5"/>
  <c r="BA223" i="5" s="1"/>
  <c r="AZ178" i="5"/>
  <c r="BA178" i="5" s="1"/>
  <c r="AZ195" i="5"/>
  <c r="BA195" i="5" s="1"/>
  <c r="AZ174" i="5"/>
  <c r="BB174" i="5" s="1"/>
  <c r="AZ156" i="5"/>
  <c r="BB156" i="5" s="1"/>
  <c r="AZ141" i="5"/>
  <c r="BA141" i="5" s="1"/>
  <c r="AZ137" i="5"/>
  <c r="BA137" i="5" s="1"/>
  <c r="AZ125" i="5"/>
  <c r="BB125" i="5" s="1"/>
  <c r="AZ114" i="5"/>
  <c r="AZ92" i="5"/>
  <c r="BA92" i="5" s="1"/>
  <c r="AZ47" i="5"/>
  <c r="BB47" i="5" s="1"/>
  <c r="AZ51" i="5"/>
  <c r="BB51" i="5" s="1"/>
  <c r="AZ32" i="5"/>
  <c r="BB32" i="5" s="1"/>
  <c r="AZ45" i="5"/>
  <c r="BB45" i="5" s="1"/>
  <c r="AZ326" i="5"/>
  <c r="BA326" i="5" s="1"/>
  <c r="AZ274" i="5"/>
  <c r="BB274" i="5" s="1"/>
  <c r="AZ219" i="5"/>
  <c r="BA219" i="5" s="1"/>
  <c r="AZ197" i="5"/>
  <c r="BB197" i="5" s="1"/>
  <c r="AZ132" i="5"/>
  <c r="BB132" i="5" s="1"/>
  <c r="AZ81" i="5"/>
  <c r="BB81" i="5" s="1"/>
  <c r="AZ80" i="5"/>
  <c r="AZ70" i="5"/>
  <c r="AZ68" i="5"/>
  <c r="BA68" i="5" s="1"/>
  <c r="AZ43" i="5"/>
  <c r="BA43" i="5" s="1"/>
  <c r="O12" i="5"/>
  <c r="AJ12" i="5" s="1"/>
  <c r="AK12" i="5" s="1"/>
  <c r="AZ352" i="5"/>
  <c r="BA352" i="5" s="1"/>
  <c r="AZ339" i="5"/>
  <c r="BB339" i="5" s="1"/>
  <c r="AZ295" i="5"/>
  <c r="BA295" i="5" s="1"/>
  <c r="AZ188" i="5"/>
  <c r="AZ247" i="5"/>
  <c r="BB247" i="5" s="1"/>
  <c r="AZ279" i="5"/>
  <c r="BB279" i="5" s="1"/>
  <c r="AZ237" i="5"/>
  <c r="BA237" i="5" s="1"/>
  <c r="AZ226" i="5"/>
  <c r="BB226" i="5" s="1"/>
  <c r="AZ230" i="5"/>
  <c r="BA230" i="5" s="1"/>
  <c r="AZ201" i="5"/>
  <c r="BA201" i="5" s="1"/>
  <c r="AZ180" i="5"/>
  <c r="BB180" i="5" s="1"/>
  <c r="AZ163" i="5"/>
  <c r="AZ154" i="5"/>
  <c r="BB154" i="5" s="1"/>
  <c r="AZ100" i="5"/>
  <c r="BA100" i="5" s="1"/>
  <c r="AZ86" i="5"/>
  <c r="BA86" i="5" s="1"/>
  <c r="AZ84" i="5"/>
  <c r="BA84" i="5" s="1"/>
  <c r="AZ78" i="5"/>
  <c r="BA78" i="5" s="1"/>
  <c r="AZ21" i="5"/>
  <c r="BA21" i="5" s="1"/>
  <c r="AZ30" i="5"/>
  <c r="BA30" i="5" s="1"/>
  <c r="AZ369" i="5"/>
  <c r="BB369" i="5" s="1"/>
  <c r="AZ346" i="5"/>
  <c r="BA346" i="5" s="1"/>
  <c r="AZ306" i="5"/>
  <c r="BA306" i="5" s="1"/>
  <c r="AZ232" i="5"/>
  <c r="BB232" i="5" s="1"/>
  <c r="AZ262" i="5"/>
  <c r="AZ285" i="5"/>
  <c r="AZ189" i="5"/>
  <c r="BA189" i="5" s="1"/>
  <c r="AZ238" i="5"/>
  <c r="BB238" i="5" s="1"/>
  <c r="AZ243" i="5"/>
  <c r="BA243" i="5" s="1"/>
  <c r="AZ130" i="5"/>
  <c r="BB130" i="5" s="1"/>
  <c r="AZ122" i="5"/>
  <c r="BB122" i="5" s="1"/>
  <c r="AZ175" i="5"/>
  <c r="BA175" i="5" s="1"/>
  <c r="AZ113" i="5"/>
  <c r="BA113" i="5" s="1"/>
  <c r="AZ112" i="5"/>
  <c r="BB112" i="5" s="1"/>
  <c r="AZ109" i="5"/>
  <c r="BA109" i="5" s="1"/>
  <c r="AZ88" i="5"/>
  <c r="BB88" i="5" s="1"/>
  <c r="AZ71" i="5"/>
  <c r="BB71" i="5" s="1"/>
  <c r="AZ48" i="5"/>
  <c r="BB48" i="5" s="1"/>
  <c r="AZ41" i="5"/>
  <c r="BB41" i="5" s="1"/>
  <c r="AZ29" i="5"/>
  <c r="BA29" i="5" s="1"/>
  <c r="AZ332" i="5"/>
  <c r="BA332" i="5" s="1"/>
  <c r="AZ283" i="5"/>
  <c r="BB283" i="5" s="1"/>
  <c r="AZ157" i="5"/>
  <c r="BB157" i="5" s="1"/>
  <c r="AZ231" i="5"/>
  <c r="BA231" i="5" s="1"/>
  <c r="AZ221" i="5"/>
  <c r="BB221" i="5" s="1"/>
  <c r="AZ172" i="5"/>
  <c r="BA172" i="5" s="1"/>
  <c r="AZ147" i="5"/>
  <c r="BA147" i="5" s="1"/>
  <c r="AZ105" i="5"/>
  <c r="BA105" i="5" s="1"/>
  <c r="AZ322" i="5"/>
  <c r="BA322" i="5" s="1"/>
  <c r="AZ263" i="5"/>
  <c r="BA263" i="5" s="1"/>
  <c r="AZ298" i="5"/>
  <c r="BA298" i="5" s="1"/>
  <c r="AZ313" i="5"/>
  <c r="BA313" i="5" s="1"/>
  <c r="AZ261" i="5"/>
  <c r="AZ199" i="5"/>
  <c r="AZ210" i="5"/>
  <c r="BA210" i="5" s="1"/>
  <c r="AZ208" i="5"/>
  <c r="BA208" i="5" s="1"/>
  <c r="AZ168" i="5"/>
  <c r="BA168" i="5" s="1"/>
  <c r="AZ159" i="5"/>
  <c r="BA159" i="5" s="1"/>
  <c r="AZ145" i="5"/>
  <c r="BA145" i="5" s="1"/>
  <c r="AZ133" i="5"/>
  <c r="BA133" i="5" s="1"/>
  <c r="AZ131" i="5"/>
  <c r="BA131" i="5" s="1"/>
  <c r="AZ97" i="5"/>
  <c r="BA97" i="5" s="1"/>
  <c r="AZ65" i="5"/>
  <c r="BB65" i="5" s="1"/>
  <c r="AZ61" i="5"/>
  <c r="BB61" i="5" s="1"/>
  <c r="AZ56" i="5"/>
  <c r="BA56" i="5" s="1"/>
  <c r="AZ26" i="5"/>
  <c r="BA26" i="5" s="1"/>
  <c r="AZ411" i="5"/>
  <c r="BB411" i="5" s="1"/>
  <c r="AZ316" i="5"/>
  <c r="BA316" i="5" s="1"/>
  <c r="AZ329" i="5"/>
  <c r="BB329" i="5" s="1"/>
  <c r="AZ268" i="5"/>
  <c r="BB268" i="5" s="1"/>
  <c r="AZ317" i="5"/>
  <c r="BB317" i="5" s="1"/>
  <c r="AZ323" i="5"/>
  <c r="BA323" i="5" s="1"/>
  <c r="AZ266" i="5"/>
  <c r="BB266" i="5" s="1"/>
  <c r="AZ202" i="5"/>
  <c r="BB202" i="5" s="1"/>
  <c r="AZ214" i="5"/>
  <c r="BB214" i="5" s="1"/>
  <c r="AZ213" i="5"/>
  <c r="BB213" i="5" s="1"/>
  <c r="AZ183" i="5"/>
  <c r="BB183" i="5" s="1"/>
  <c r="AZ166" i="5"/>
  <c r="BB166" i="5" s="1"/>
  <c r="AZ101" i="5"/>
  <c r="BA101" i="5" s="1"/>
  <c r="AZ138" i="5"/>
  <c r="BA138" i="5" s="1"/>
  <c r="AZ144" i="5"/>
  <c r="AZ74" i="5"/>
  <c r="AZ76" i="5"/>
  <c r="BB76" i="5" s="1"/>
  <c r="AZ54" i="5"/>
  <c r="BB54" i="5" s="1"/>
  <c r="AZ64" i="5"/>
  <c r="BB64" i="5" s="1"/>
  <c r="AZ31" i="5"/>
  <c r="BA31" i="5" s="1"/>
  <c r="AZ338" i="5"/>
  <c r="BA338" i="5" s="1"/>
  <c r="AZ337" i="5"/>
  <c r="BA337" i="5" s="1"/>
  <c r="AZ287" i="5"/>
  <c r="BA287" i="5" s="1"/>
  <c r="AZ331" i="5"/>
  <c r="BB331" i="5" s="1"/>
  <c r="AZ207" i="5"/>
  <c r="BA207" i="5" s="1"/>
  <c r="AZ276" i="5"/>
  <c r="BA276" i="5" s="1"/>
  <c r="AZ234" i="5"/>
  <c r="BB234" i="5" s="1"/>
  <c r="AZ222" i="5"/>
  <c r="BA222" i="5" s="1"/>
  <c r="AZ225" i="5"/>
  <c r="BA225" i="5" s="1"/>
  <c r="AZ198" i="5"/>
  <c r="BB198" i="5" s="1"/>
  <c r="AZ176" i="5"/>
  <c r="BB176" i="5" s="1"/>
  <c r="AZ160" i="5"/>
  <c r="BB160" i="5" s="1"/>
  <c r="AZ149" i="5"/>
  <c r="BB149" i="5" s="1"/>
  <c r="AZ85" i="5"/>
  <c r="BB85" i="5" s="1"/>
  <c r="AZ108" i="5"/>
  <c r="BA108" i="5" s="1"/>
  <c r="AZ82" i="5"/>
  <c r="BB82" i="5" s="1"/>
  <c r="AZ72" i="5"/>
  <c r="BA72" i="5" s="1"/>
  <c r="AZ73" i="5"/>
  <c r="BA73" i="5" s="1"/>
  <c r="U287" i="5"/>
  <c r="AU31" i="5"/>
  <c r="AJ172" i="5"/>
  <c r="AU195" i="5"/>
  <c r="AV195" i="5"/>
  <c r="AU164" i="5"/>
  <c r="AV110" i="5"/>
  <c r="AV92" i="5"/>
  <c r="AU92" i="5"/>
  <c r="AV121" i="5"/>
  <c r="AU121" i="5"/>
  <c r="AV47" i="5"/>
  <c r="AU47" i="5"/>
  <c r="AU282" i="5"/>
  <c r="AV282" i="5"/>
  <c r="AU172" i="5"/>
  <c r="AU163" i="5"/>
  <c r="AV163" i="5"/>
  <c r="AU53" i="5"/>
  <c r="AV53" i="5"/>
  <c r="AU21" i="5"/>
  <c r="B142" i="2"/>
  <c r="B144" i="2" s="1"/>
  <c r="H58" i="1" s="1"/>
  <c r="B62" i="5"/>
  <c r="AU211" i="5"/>
  <c r="AU78" i="5"/>
  <c r="AV78" i="5"/>
  <c r="AV205" i="5"/>
  <c r="AV280" i="5"/>
  <c r="AU280" i="5"/>
  <c r="AV138" i="5"/>
  <c r="AU138" i="5"/>
  <c r="AJ166" i="5"/>
  <c r="AK166" i="5" s="1"/>
  <c r="AJ7" i="5"/>
  <c r="AK7" i="5" s="1"/>
  <c r="AJ109" i="5"/>
  <c r="AL109" i="5" s="1"/>
  <c r="AJ121" i="5"/>
  <c r="AL121" i="5" s="1"/>
  <c r="V242" i="5"/>
  <c r="AU32" i="5"/>
  <c r="AU210" i="5"/>
  <c r="AU283" i="5"/>
  <c r="AU139" i="5"/>
  <c r="AV139" i="5"/>
  <c r="AU142" i="5"/>
  <c r="AV142" i="5"/>
  <c r="AU34" i="5"/>
  <c r="AV34" i="5"/>
  <c r="AV154" i="5"/>
  <c r="AU154" i="5"/>
  <c r="AU77" i="5"/>
  <c r="AV77" i="5"/>
  <c r="AU20" i="5"/>
  <c r="AJ43" i="5"/>
  <c r="V484" i="5"/>
  <c r="AU237" i="5"/>
  <c r="AV237" i="5"/>
  <c r="AV324" i="5"/>
  <c r="AU324" i="5"/>
  <c r="AV89" i="5"/>
  <c r="AV66" i="5"/>
  <c r="AU66" i="5"/>
  <c r="AU39" i="5"/>
  <c r="AV39" i="5"/>
  <c r="AV311" i="5"/>
  <c r="AU249" i="5"/>
  <c r="AV249" i="5"/>
  <c r="AU191" i="5"/>
  <c r="AU198" i="5"/>
  <c r="AV198" i="5"/>
  <c r="AU84" i="5"/>
  <c r="AU156" i="5"/>
  <c r="AV156" i="5"/>
  <c r="AV115" i="5"/>
  <c r="AU115" i="5"/>
  <c r="AU62" i="5"/>
  <c r="AZ25" i="5"/>
  <c r="AZ42" i="5"/>
  <c r="AZ58" i="5"/>
  <c r="AZ62" i="5"/>
  <c r="AZ96" i="5"/>
  <c r="AZ129" i="5"/>
  <c r="AZ128" i="5"/>
  <c r="AZ142" i="5"/>
  <c r="AZ153" i="5"/>
  <c r="AZ162" i="5"/>
  <c r="AZ205" i="5"/>
  <c r="AZ204" i="5"/>
  <c r="AZ186" i="5"/>
  <c r="AZ259" i="5"/>
  <c r="AZ307" i="5"/>
  <c r="AZ294" i="5"/>
  <c r="AZ257" i="5"/>
  <c r="AZ320" i="5"/>
  <c r="AZ358" i="5"/>
  <c r="AZ335" i="5"/>
  <c r="AZ383" i="5"/>
  <c r="AZ410" i="5"/>
  <c r="AZ428" i="5"/>
  <c r="AZ440" i="5"/>
  <c r="AZ277" i="5"/>
  <c r="AZ345" i="5"/>
  <c r="AZ361" i="5"/>
  <c r="AZ375" i="5"/>
  <c r="AZ386" i="5"/>
  <c r="AZ399" i="5"/>
  <c r="AZ417" i="5"/>
  <c r="AZ245" i="5"/>
  <c r="AZ280" i="5"/>
  <c r="AZ333" i="5"/>
  <c r="AZ342" i="5"/>
  <c r="AZ364" i="5"/>
  <c r="AZ378" i="5"/>
  <c r="AZ398" i="5"/>
  <c r="AZ416" i="5"/>
  <c r="AZ368" i="5"/>
  <c r="AZ452" i="5"/>
  <c r="AZ460" i="5"/>
  <c r="AZ478" i="5"/>
  <c r="AZ504" i="5"/>
  <c r="AZ531" i="5"/>
  <c r="AZ382" i="5"/>
  <c r="AZ403" i="5"/>
  <c r="AZ429" i="5"/>
  <c r="AZ461" i="5"/>
  <c r="AZ468" i="5"/>
  <c r="AZ480" i="5"/>
  <c r="AZ507" i="5"/>
  <c r="AZ516" i="5"/>
  <c r="AZ353" i="5"/>
  <c r="AZ405" i="5"/>
  <c r="AZ441" i="5"/>
  <c r="AZ453" i="5"/>
  <c r="AZ466" i="5"/>
  <c r="AZ479" i="5"/>
  <c r="AZ488" i="5"/>
  <c r="AZ494" i="5"/>
  <c r="AZ502" i="5"/>
  <c r="AZ509" i="5"/>
  <c r="AZ522" i="5"/>
  <c r="AZ545" i="5"/>
  <c r="AZ229" i="5"/>
  <c r="AZ425" i="5"/>
  <c r="AZ513" i="5"/>
  <c r="AZ529" i="5"/>
  <c r="AZ548" i="5"/>
  <c r="AZ558" i="5"/>
  <c r="AZ448" i="5"/>
  <c r="AZ544" i="5"/>
  <c r="AZ407" i="5"/>
  <c r="AZ501" i="5"/>
  <c r="AZ541" i="5"/>
  <c r="AZ559" i="5"/>
  <c r="AZ464" i="5"/>
  <c r="AZ19" i="5"/>
  <c r="AZ37" i="5"/>
  <c r="AZ67" i="5"/>
  <c r="AZ57" i="5"/>
  <c r="AZ77" i="5"/>
  <c r="AZ102" i="5"/>
  <c r="AZ151" i="5"/>
  <c r="AZ146" i="5"/>
  <c r="AZ104" i="5"/>
  <c r="AZ170" i="5"/>
  <c r="AZ187" i="5"/>
  <c r="AZ216" i="5"/>
  <c r="AZ217" i="5"/>
  <c r="AZ215" i="5"/>
  <c r="AZ271" i="5"/>
  <c r="AZ327" i="5"/>
  <c r="AZ321" i="5"/>
  <c r="AZ275" i="5"/>
  <c r="AZ330" i="5"/>
  <c r="AZ224" i="5"/>
  <c r="AZ360" i="5"/>
  <c r="AZ385" i="5"/>
  <c r="AZ414" i="5"/>
  <c r="AZ431" i="5"/>
  <c r="AZ250" i="5"/>
  <c r="AZ293" i="5"/>
  <c r="AZ350" i="5"/>
  <c r="AZ363" i="5"/>
  <c r="AZ377" i="5"/>
  <c r="AZ389" i="5"/>
  <c r="AZ402" i="5"/>
  <c r="AZ418" i="5"/>
  <c r="AZ254" i="5"/>
  <c r="AZ286" i="5"/>
  <c r="AZ336" i="5"/>
  <c r="AZ348" i="5"/>
  <c r="AZ366" i="5"/>
  <c r="AZ379" i="5"/>
  <c r="AZ400" i="5"/>
  <c r="AZ311" i="5"/>
  <c r="AZ401" i="5"/>
  <c r="AZ457" i="5"/>
  <c r="AZ471" i="5"/>
  <c r="AZ490" i="5"/>
  <c r="AZ515" i="5"/>
  <c r="AZ532" i="5"/>
  <c r="AZ391" i="5"/>
  <c r="AZ412" i="5"/>
  <c r="AZ439" i="5"/>
  <c r="AZ462" i="5"/>
  <c r="AZ470" i="5"/>
  <c r="AZ484" i="5"/>
  <c r="AZ511" i="5"/>
  <c r="AZ519" i="5"/>
  <c r="AZ381" i="5"/>
  <c r="AZ430" i="5"/>
  <c r="AZ443" i="5"/>
  <c r="AZ454" i="5"/>
  <c r="AZ469" i="5"/>
  <c r="AZ482" i="5"/>
  <c r="AZ489" i="5"/>
  <c r="AZ495" i="5"/>
  <c r="AZ503" i="5"/>
  <c r="AZ510" i="5"/>
  <c r="AZ523" i="5"/>
  <c r="AZ554" i="5"/>
  <c r="AZ297" i="5"/>
  <c r="AZ449" i="5"/>
  <c r="AZ517" i="5"/>
  <c r="AZ534" i="5"/>
  <c r="AZ553" i="5"/>
  <c r="AZ433" i="5"/>
  <c r="AZ524" i="5"/>
  <c r="AZ549" i="5"/>
  <c r="AZ424" i="5"/>
  <c r="AZ528" i="5"/>
  <c r="AZ542" i="5"/>
  <c r="AZ372" i="5"/>
  <c r="AZ483" i="5"/>
  <c r="AZ33" i="5"/>
  <c r="AZ28" i="5"/>
  <c r="AZ49" i="5"/>
  <c r="AZ93" i="5"/>
  <c r="AZ87" i="5"/>
  <c r="AZ106" i="5"/>
  <c r="AZ155" i="5"/>
  <c r="AZ167" i="5"/>
  <c r="AZ185" i="5"/>
  <c r="AZ203" i="5"/>
  <c r="AZ233" i="5"/>
  <c r="AZ228" i="5"/>
  <c r="AZ239" i="5"/>
  <c r="AZ281" i="5"/>
  <c r="AZ253" i="5"/>
  <c r="AZ192" i="5"/>
  <c r="AZ301" i="5"/>
  <c r="AZ343" i="5"/>
  <c r="AZ258" i="5"/>
  <c r="AZ367" i="5"/>
  <c r="AZ404" i="5"/>
  <c r="AZ420" i="5"/>
  <c r="AZ435" i="5"/>
  <c r="AZ252" i="5"/>
  <c r="AZ304" i="5"/>
  <c r="AZ356" i="5"/>
  <c r="AZ365" i="5"/>
  <c r="AZ380" i="5"/>
  <c r="AZ390" i="5"/>
  <c r="AZ408" i="5"/>
  <c r="AZ419" i="5"/>
  <c r="AZ267" i="5"/>
  <c r="AZ289" i="5"/>
  <c r="AZ340" i="5"/>
  <c r="AZ349" i="5"/>
  <c r="AZ371" i="5"/>
  <c r="AZ388" i="5"/>
  <c r="AZ406" i="5"/>
  <c r="AZ354" i="5"/>
  <c r="AZ422" i="5"/>
  <c r="AZ458" i="5"/>
  <c r="AZ472" i="5"/>
  <c r="AZ496" i="5"/>
  <c r="AZ525" i="5"/>
  <c r="AZ270" i="5"/>
  <c r="AZ394" i="5"/>
  <c r="AZ426" i="5"/>
  <c r="AZ446" i="5"/>
  <c r="AZ465" i="5"/>
  <c r="AZ474" i="5"/>
  <c r="AZ498" i="5"/>
  <c r="AZ512" i="5"/>
  <c r="AZ308" i="5"/>
  <c r="AZ387" i="5"/>
  <c r="AZ432" i="5"/>
  <c r="AZ444" i="5"/>
  <c r="AZ455" i="5"/>
  <c r="AZ473" i="5"/>
  <c r="AZ486" i="5"/>
  <c r="AZ492" i="5"/>
  <c r="AZ499" i="5"/>
  <c r="AZ505" i="5"/>
  <c r="AZ518" i="5"/>
  <c r="AZ530" i="5"/>
  <c r="AZ555" i="5"/>
  <c r="AZ328" i="5"/>
  <c r="AZ456" i="5"/>
  <c r="AZ521" i="5"/>
  <c r="AZ536" i="5"/>
  <c r="AZ557" i="5"/>
  <c r="AZ437" i="5"/>
  <c r="AZ538" i="5"/>
  <c r="AZ550" i="5"/>
  <c r="AZ481" i="5"/>
  <c r="AZ533" i="5"/>
  <c r="AZ547" i="5"/>
  <c r="AZ438" i="5"/>
  <c r="AZ537" i="5"/>
  <c r="AZ36" i="5"/>
  <c r="AZ46" i="5"/>
  <c r="AZ63" i="5"/>
  <c r="AZ79" i="5"/>
  <c r="AZ90" i="5"/>
  <c r="AZ99" i="5"/>
  <c r="AZ120" i="5"/>
  <c r="AZ124" i="5"/>
  <c r="AZ181" i="5"/>
  <c r="AZ143" i="5"/>
  <c r="AZ165" i="5"/>
  <c r="AZ182" i="5"/>
  <c r="AZ244" i="5"/>
  <c r="AZ193" i="5"/>
  <c r="AZ291" i="5"/>
  <c r="AZ272" i="5"/>
  <c r="AZ248" i="5"/>
  <c r="AZ310" i="5"/>
  <c r="AZ357" i="5"/>
  <c r="AZ319" i="5"/>
  <c r="AZ376" i="5"/>
  <c r="AZ409" i="5"/>
  <c r="AZ423" i="5"/>
  <c r="AZ436" i="5"/>
  <c r="AZ260" i="5"/>
  <c r="AZ334" i="5"/>
  <c r="AZ359" i="5"/>
  <c r="AZ370" i="5"/>
  <c r="AZ384" i="5"/>
  <c r="AZ392" i="5"/>
  <c r="AZ413" i="5"/>
  <c r="AZ209" i="5"/>
  <c r="AZ273" i="5"/>
  <c r="AZ292" i="5"/>
  <c r="AZ341" i="5"/>
  <c r="AZ355" i="5"/>
  <c r="AZ374" i="5"/>
  <c r="AZ395" i="5"/>
  <c r="AZ415" i="5"/>
  <c r="AZ362" i="5"/>
  <c r="AZ442" i="5"/>
  <c r="AZ459" i="5"/>
  <c r="AZ475" i="5"/>
  <c r="AZ497" i="5"/>
  <c r="AZ526" i="5"/>
  <c r="AZ325" i="5"/>
  <c r="AZ397" i="5"/>
  <c r="AZ427" i="5"/>
  <c r="AZ447" i="5"/>
  <c r="AZ467" i="5"/>
  <c r="AZ477" i="5"/>
  <c r="AZ506" i="5"/>
  <c r="AZ514" i="5"/>
  <c r="AZ347" i="5"/>
  <c r="AZ396" i="5"/>
  <c r="AZ434" i="5"/>
  <c r="AZ451" i="5"/>
  <c r="AZ463" i="5"/>
  <c r="AZ476" i="5"/>
  <c r="AZ487" i="5"/>
  <c r="AZ493" i="5"/>
  <c r="AZ500" i="5"/>
  <c r="AZ508" i="5"/>
  <c r="AZ520" i="5"/>
  <c r="AZ539" i="5"/>
  <c r="AZ556" i="5"/>
  <c r="AZ421" i="5"/>
  <c r="AZ485" i="5"/>
  <c r="AZ527" i="5"/>
  <c r="AZ540" i="5"/>
  <c r="AZ560" i="5"/>
  <c r="AZ445" i="5"/>
  <c r="AZ543" i="5"/>
  <c r="AZ551" i="5"/>
  <c r="AZ491" i="5"/>
  <c r="AZ535" i="5"/>
  <c r="AZ552" i="5"/>
  <c r="AZ450" i="5"/>
  <c r="AZ546" i="5"/>
  <c r="AW26" i="5"/>
  <c r="AW48" i="5"/>
  <c r="AW33" i="5"/>
  <c r="AW46" i="5"/>
  <c r="AW32" i="5"/>
  <c r="AW45" i="5"/>
  <c r="AW34" i="5"/>
  <c r="AW59" i="5"/>
  <c r="AW36" i="5"/>
  <c r="AW54" i="5"/>
  <c r="AW65" i="5"/>
  <c r="AW40" i="5"/>
  <c r="AW58" i="5"/>
  <c r="AW83" i="5"/>
  <c r="AW70" i="5"/>
  <c r="AW81" i="5"/>
  <c r="AW99" i="5"/>
  <c r="AW84" i="5"/>
  <c r="AW95" i="5"/>
  <c r="AW107" i="5"/>
  <c r="AW111" i="5"/>
  <c r="AW120" i="5"/>
  <c r="AW135" i="5"/>
  <c r="AW152" i="5"/>
  <c r="AW115" i="5"/>
  <c r="AW130" i="5"/>
  <c r="AW141" i="5"/>
  <c r="AW157" i="5"/>
  <c r="AW102" i="5"/>
  <c r="AW114" i="5"/>
  <c r="AW131" i="5"/>
  <c r="AW147" i="5"/>
  <c r="AW155" i="5"/>
  <c r="AW164" i="5"/>
  <c r="AW176" i="5"/>
  <c r="AW156" i="5"/>
  <c r="AW183" i="5"/>
  <c r="AW170" i="5"/>
  <c r="AW188" i="5"/>
  <c r="AW205" i="5"/>
  <c r="AW148" i="5"/>
  <c r="AW195" i="5"/>
  <c r="AW214" i="5"/>
  <c r="AW226" i="5"/>
  <c r="AW240" i="5"/>
  <c r="AW197" i="5"/>
  <c r="AW231" i="5"/>
  <c r="AW169" i="5"/>
  <c r="AW187" i="5"/>
  <c r="AW198" i="5"/>
  <c r="AW216" i="5"/>
  <c r="AW224" i="5"/>
  <c r="AW241" i="5"/>
  <c r="AW233" i="5"/>
  <c r="AW253" i="5"/>
  <c r="AW272" i="5"/>
  <c r="AW294" i="5"/>
  <c r="AW310" i="5"/>
  <c r="AW329" i="5"/>
  <c r="AW225" i="5"/>
  <c r="AW251" i="5"/>
  <c r="AW263" i="5"/>
  <c r="AW280" i="5"/>
  <c r="AW295" i="5"/>
  <c r="AW312" i="5"/>
  <c r="AW322" i="5"/>
  <c r="AW213" i="5"/>
  <c r="AW252" i="5"/>
  <c r="AW270" i="5"/>
  <c r="AW282" i="5"/>
  <c r="AW297" i="5"/>
  <c r="AW311" i="5"/>
  <c r="AW328" i="5"/>
  <c r="AW347" i="5"/>
  <c r="AW246" i="5"/>
  <c r="AW313" i="5"/>
  <c r="AW345" i="5"/>
  <c r="AW357" i="5"/>
  <c r="AW370" i="5"/>
  <c r="AW380" i="5"/>
  <c r="AW392" i="5"/>
  <c r="AW413" i="5"/>
  <c r="AW427" i="5"/>
  <c r="AW271" i="5"/>
  <c r="AW341" i="5"/>
  <c r="O13" i="5"/>
  <c r="AJ13" i="5" s="1"/>
  <c r="AW22" i="5"/>
  <c r="AW31" i="5"/>
  <c r="AW20" i="5"/>
  <c r="AW38" i="5"/>
  <c r="AW21" i="5"/>
  <c r="AW35" i="5"/>
  <c r="AW52" i="5"/>
  <c r="AW51" i="5"/>
  <c r="AW61" i="5"/>
  <c r="AW47" i="5"/>
  <c r="AW56" i="5"/>
  <c r="AW71" i="5"/>
  <c r="AW60" i="5"/>
  <c r="AW68" i="5"/>
  <c r="AW88" i="5"/>
  <c r="AW72" i="5"/>
  <c r="AW85" i="5"/>
  <c r="AW101" i="5"/>
  <c r="AW89" i="5"/>
  <c r="AW96" i="5"/>
  <c r="AW97" i="5"/>
  <c r="AW112" i="5"/>
  <c r="AW125" i="5"/>
  <c r="AW138" i="5"/>
  <c r="AW158" i="5"/>
  <c r="AW116" i="5"/>
  <c r="AW132" i="5"/>
  <c r="AW143" i="5"/>
  <c r="AW64" i="5"/>
  <c r="AW105" i="5"/>
  <c r="AW121" i="5"/>
  <c r="AW133" i="5"/>
  <c r="AW150" i="5"/>
  <c r="AW113" i="5"/>
  <c r="AW166" i="5"/>
  <c r="AW180" i="5"/>
  <c r="AW173" i="5"/>
  <c r="AW119" i="5"/>
  <c r="AW171" i="5"/>
  <c r="AW191" i="5"/>
  <c r="AW207" i="5"/>
  <c r="AW160" i="5"/>
  <c r="AW203" i="5"/>
  <c r="AW217" i="5"/>
  <c r="AW228" i="5"/>
  <c r="AW242" i="5"/>
  <c r="AW199" i="5"/>
  <c r="AW234" i="5"/>
  <c r="AW172" i="5"/>
  <c r="AW189" i="5"/>
  <c r="AW201" i="5"/>
  <c r="AW218" i="5"/>
  <c r="AW227" i="5"/>
  <c r="AW163" i="5"/>
  <c r="AW236" i="5"/>
  <c r="AW256" i="5"/>
  <c r="AW278" i="5"/>
  <c r="AW298" i="5"/>
  <c r="AW317" i="5"/>
  <c r="AW330" i="5"/>
  <c r="AW230" i="5"/>
  <c r="AW254" i="5"/>
  <c r="AW265" i="5"/>
  <c r="AW283" i="5"/>
  <c r="AW301" i="5"/>
  <c r="AW314" i="5"/>
  <c r="AW324" i="5"/>
  <c r="AW221" i="5"/>
  <c r="AW258" i="5"/>
  <c r="AW273" i="5"/>
  <c r="AW286" i="5"/>
  <c r="AW299" i="5"/>
  <c r="AW316" i="5"/>
  <c r="AW333" i="5"/>
  <c r="AW353" i="5"/>
  <c r="AW281" i="5"/>
  <c r="AW327" i="5"/>
  <c r="AW346" i="5"/>
  <c r="AW359" i="5"/>
  <c r="AW371" i="5"/>
  <c r="AW384" i="5"/>
  <c r="AW399" i="5"/>
  <c r="AW416" i="5"/>
  <c r="AW8" i="5"/>
  <c r="AW23" i="5"/>
  <c r="AW37" i="5"/>
  <c r="AW29" i="5"/>
  <c r="AW41" i="5"/>
  <c r="AW24" i="5"/>
  <c r="AW39" i="5"/>
  <c r="AW63" i="5"/>
  <c r="AW53" i="5"/>
  <c r="AW66" i="5"/>
  <c r="AW49" i="5"/>
  <c r="AW57" i="5"/>
  <c r="AW75" i="5"/>
  <c r="AW76" i="5"/>
  <c r="AW73" i="5"/>
  <c r="AW91" i="5"/>
  <c r="AW82" i="5"/>
  <c r="AW93" i="5"/>
  <c r="AW104" i="5"/>
  <c r="AW90" i="5"/>
  <c r="AW98" i="5"/>
  <c r="AW103" i="5"/>
  <c r="AW117" i="5"/>
  <c r="AW126" i="5"/>
  <c r="AW146" i="5"/>
  <c r="AW161" i="5"/>
  <c r="AW122" i="5"/>
  <c r="AW134" i="5"/>
  <c r="AW145" i="5"/>
  <c r="AW80" i="5"/>
  <c r="AW108" i="5"/>
  <c r="AW123" i="5"/>
  <c r="AW140" i="5"/>
  <c r="AW151" i="5"/>
  <c r="AW139" i="5"/>
  <c r="AW168" i="5"/>
  <c r="AW185" i="5"/>
  <c r="AW178" i="5"/>
  <c r="AW137" i="5"/>
  <c r="AW182" i="5"/>
  <c r="AW196" i="5"/>
  <c r="AW124" i="5"/>
  <c r="AW162" i="5"/>
  <c r="AW204" i="5"/>
  <c r="AW219" i="5"/>
  <c r="AW235" i="5"/>
  <c r="AW244" i="5"/>
  <c r="AW202" i="5"/>
  <c r="AW237" i="5"/>
  <c r="AW175" i="5"/>
  <c r="AW192" i="5"/>
  <c r="AW206" i="5"/>
  <c r="AW220" i="5"/>
  <c r="AW229" i="5"/>
  <c r="AW208" i="5"/>
  <c r="AW243" i="5"/>
  <c r="AW262" i="5"/>
  <c r="AW284" i="5"/>
  <c r="AW302" i="5"/>
  <c r="AW321" i="5"/>
  <c r="AW331" i="5"/>
  <c r="AW248" i="5"/>
  <c r="AW255" i="5"/>
  <c r="AW268" i="5"/>
  <c r="AW287" i="5"/>
  <c r="AW306" i="5"/>
  <c r="AW315" i="5"/>
  <c r="AW332" i="5"/>
  <c r="AW245" i="5"/>
  <c r="AW260" i="5"/>
  <c r="AW276" i="5"/>
  <c r="AW289" i="5"/>
  <c r="AW304" i="5"/>
  <c r="AW319" i="5"/>
  <c r="AW334" i="5"/>
  <c r="AW355" i="5"/>
  <c r="AW296" i="5"/>
  <c r="AW337" i="5"/>
  <c r="AW350" i="5"/>
  <c r="AW363" i="5"/>
  <c r="AW377" i="5"/>
  <c r="AW389" i="5"/>
  <c r="AW408" i="5"/>
  <c r="AW419" i="5"/>
  <c r="AW434" i="5"/>
  <c r="AW25" i="5"/>
  <c r="AW43" i="5"/>
  <c r="AW30" i="5"/>
  <c r="AW44" i="5"/>
  <c r="AW28" i="5"/>
  <c r="AW42" i="5"/>
  <c r="AW69" i="5"/>
  <c r="AW55" i="5"/>
  <c r="AW27" i="5"/>
  <c r="AW50" i="5"/>
  <c r="AW62" i="5"/>
  <c r="AW79" i="5"/>
  <c r="AW77" i="5"/>
  <c r="AW74" i="5"/>
  <c r="AW67" i="5"/>
  <c r="AW78" i="5"/>
  <c r="AW94" i="5"/>
  <c r="AW109" i="5"/>
  <c r="AW92" i="5"/>
  <c r="AW100" i="5"/>
  <c r="AW106" i="5"/>
  <c r="AW118" i="5"/>
  <c r="AW128" i="5"/>
  <c r="AW149" i="5"/>
  <c r="AW87" i="5"/>
  <c r="AW127" i="5"/>
  <c r="AW136" i="5"/>
  <c r="AW153" i="5"/>
  <c r="AW86" i="5"/>
  <c r="AW110" i="5"/>
  <c r="AW129" i="5"/>
  <c r="AW144" i="5"/>
  <c r="AW154" i="5"/>
  <c r="AW159" i="5"/>
  <c r="AW174" i="5"/>
  <c r="AW186" i="5"/>
  <c r="AW179" i="5"/>
  <c r="AW165" i="5"/>
  <c r="AW184" i="5"/>
  <c r="AW200" i="5"/>
  <c r="AW142" i="5"/>
  <c r="AW194" i="5"/>
  <c r="AW210" i="5"/>
  <c r="AW222" i="5"/>
  <c r="AW238" i="5"/>
  <c r="AW167" i="5"/>
  <c r="AW215" i="5"/>
  <c r="AW239" i="5"/>
  <c r="AW181" i="5"/>
  <c r="AW193" i="5"/>
  <c r="AW209" i="5"/>
  <c r="AW223" i="5"/>
  <c r="AW232" i="5"/>
  <c r="AW211" i="5"/>
  <c r="AW247" i="5"/>
  <c r="AW269" i="5"/>
  <c r="AW290" i="5"/>
  <c r="AW305" i="5"/>
  <c r="AW326" i="5"/>
  <c r="AW177" i="5"/>
  <c r="AW249" i="5"/>
  <c r="AW257" i="5"/>
  <c r="AW275" i="5"/>
  <c r="AW293" i="5"/>
  <c r="AW309" i="5"/>
  <c r="AW320" i="5"/>
  <c r="AW190" i="5"/>
  <c r="AW250" i="5"/>
  <c r="AW267" i="5"/>
  <c r="AW277" i="5"/>
  <c r="AW292" i="5"/>
  <c r="AW308" i="5"/>
  <c r="AW325" i="5"/>
  <c r="AW340" i="5"/>
  <c r="AW212" i="5"/>
  <c r="AW307" i="5"/>
  <c r="AW344" i="5"/>
  <c r="AW356" i="5"/>
  <c r="AW365" i="5"/>
  <c r="AW379" i="5"/>
  <c r="AW390" i="5"/>
  <c r="AW412" i="5"/>
  <c r="AW426" i="5"/>
  <c r="AW318" i="5"/>
  <c r="AW349" i="5"/>
  <c r="AW366" i="5"/>
  <c r="AW394" i="5"/>
  <c r="AW406" i="5"/>
  <c r="AW264" i="5"/>
  <c r="AW343" i="5"/>
  <c r="AW376" i="5"/>
  <c r="AW387" i="5"/>
  <c r="AW401" i="5"/>
  <c r="AW409" i="5"/>
  <c r="AW385" i="5"/>
  <c r="AW440" i="5"/>
  <c r="AW461" i="5"/>
  <c r="AW476" i="5"/>
  <c r="AW482" i="5"/>
  <c r="AW500" i="5"/>
  <c r="AW512" i="5"/>
  <c r="AW288" i="5"/>
  <c r="AW418" i="5"/>
  <c r="AW441" i="5"/>
  <c r="AW451" i="5"/>
  <c r="AW466" i="5"/>
  <c r="AW487" i="5"/>
  <c r="AW494" i="5"/>
  <c r="AW508" i="5"/>
  <c r="AW518" i="5"/>
  <c r="AW335" i="5"/>
  <c r="AW393" i="5"/>
  <c r="AW417" i="5"/>
  <c r="AW425" i="5"/>
  <c r="AW442" i="5"/>
  <c r="AW458" i="5"/>
  <c r="AW483" i="5"/>
  <c r="AW496" i="5"/>
  <c r="AW527" i="5"/>
  <c r="AW538" i="5"/>
  <c r="AW547" i="5"/>
  <c r="AW279" i="5"/>
  <c r="AW423" i="5"/>
  <c r="AW532" i="5"/>
  <c r="AW556" i="5"/>
  <c r="AW516" i="5"/>
  <c r="AW535" i="5"/>
  <c r="AW551" i="5"/>
  <c r="AW383" i="5"/>
  <c r="AW475" i="5"/>
  <c r="AW504" i="5"/>
  <c r="AW555" i="5"/>
  <c r="AW497" i="5"/>
  <c r="AW543" i="5"/>
  <c r="AW432" i="5"/>
  <c r="AW336" i="5"/>
  <c r="AW354" i="5"/>
  <c r="AW374" i="5"/>
  <c r="AW395" i="5"/>
  <c r="AW415" i="5"/>
  <c r="AW300" i="5"/>
  <c r="AW362" i="5"/>
  <c r="AW381" i="5"/>
  <c r="AW391" i="5"/>
  <c r="AW403" i="5"/>
  <c r="AW410" i="5"/>
  <c r="AW428" i="5"/>
  <c r="AW444" i="5"/>
  <c r="AW465" i="5"/>
  <c r="AW477" i="5"/>
  <c r="AW484" i="5"/>
  <c r="AW505" i="5"/>
  <c r="AW519" i="5"/>
  <c r="AW361" i="5"/>
  <c r="AW431" i="5"/>
  <c r="AW443" i="5"/>
  <c r="AW454" i="5"/>
  <c r="AW469" i="5"/>
  <c r="AW488" i="5"/>
  <c r="AW499" i="5"/>
  <c r="AW509" i="5"/>
  <c r="AW520" i="5"/>
  <c r="AW339" i="5"/>
  <c r="AW402" i="5"/>
  <c r="AW421" i="5"/>
  <c r="AW433" i="5"/>
  <c r="AW445" i="5"/>
  <c r="AW460" i="5"/>
  <c r="AW485" i="5"/>
  <c r="AW501" i="5"/>
  <c r="AW533" i="5"/>
  <c r="AW540" i="5"/>
  <c r="AW552" i="5"/>
  <c r="AW285" i="5"/>
  <c r="AW452" i="5"/>
  <c r="AW549" i="5"/>
  <c r="AW369" i="5"/>
  <c r="AW522" i="5"/>
  <c r="AW539" i="5"/>
  <c r="AW554" i="5"/>
  <c r="AW447" i="5"/>
  <c r="AW478" i="5"/>
  <c r="AW515" i="5"/>
  <c r="AW557" i="5"/>
  <c r="AW507" i="5"/>
  <c r="AW545" i="5"/>
  <c r="AW439" i="5"/>
  <c r="AW342" i="5"/>
  <c r="AW358" i="5"/>
  <c r="AW378" i="5"/>
  <c r="AW398" i="5"/>
  <c r="AW420" i="5"/>
  <c r="AW303" i="5"/>
  <c r="AW368" i="5"/>
  <c r="AW382" i="5"/>
  <c r="AW396" i="5"/>
  <c r="AW405" i="5"/>
  <c r="AW338" i="5"/>
  <c r="AW429" i="5"/>
  <c r="AW446" i="5"/>
  <c r="AW467" i="5"/>
  <c r="AW479" i="5"/>
  <c r="AW492" i="5"/>
  <c r="AW506" i="5"/>
  <c r="AW523" i="5"/>
  <c r="AW367" i="5"/>
  <c r="AW436" i="5"/>
  <c r="AW449" i="5"/>
  <c r="AW455" i="5"/>
  <c r="AW473" i="5"/>
  <c r="AW489" i="5"/>
  <c r="AW502" i="5"/>
  <c r="AW510" i="5"/>
  <c r="AW521" i="5"/>
  <c r="AW351" i="5"/>
  <c r="AW411" i="5"/>
  <c r="AW422" i="5"/>
  <c r="AW435" i="5"/>
  <c r="AW448" i="5"/>
  <c r="AW464" i="5"/>
  <c r="AW490" i="5"/>
  <c r="AW517" i="5"/>
  <c r="AW534" i="5"/>
  <c r="AW542" i="5"/>
  <c r="AW558" i="5"/>
  <c r="AW291" i="5"/>
  <c r="AW459" i="5"/>
  <c r="AW550" i="5"/>
  <c r="AW462" i="5"/>
  <c r="AW528" i="5"/>
  <c r="AW541" i="5"/>
  <c r="AW548" i="5"/>
  <c r="AW457" i="5"/>
  <c r="AW486" i="5"/>
  <c r="AW525" i="5"/>
  <c r="AW360" i="5"/>
  <c r="AW514" i="5"/>
  <c r="AW553" i="5"/>
  <c r="AW388" i="5"/>
  <c r="AW372" i="5"/>
  <c r="AW352" i="5"/>
  <c r="AW480" i="5"/>
  <c r="AW373" i="5"/>
  <c r="AW481" i="5"/>
  <c r="AW266" i="5"/>
  <c r="AW437" i="5"/>
  <c r="AW526" i="5"/>
  <c r="AW404" i="5"/>
  <c r="AW530" i="5"/>
  <c r="AW498" i="5"/>
  <c r="AW19" i="5"/>
  <c r="AW274" i="5"/>
  <c r="AW400" i="5"/>
  <c r="AW386" i="5"/>
  <c r="AW430" i="5"/>
  <c r="AW495" i="5"/>
  <c r="AW438" i="5"/>
  <c r="AW493" i="5"/>
  <c r="AW375" i="5"/>
  <c r="AW456" i="5"/>
  <c r="AW536" i="5"/>
  <c r="AW524" i="5"/>
  <c r="AW546" i="5"/>
  <c r="AW531" i="5"/>
  <c r="AW348" i="5"/>
  <c r="AW259" i="5"/>
  <c r="AW397" i="5"/>
  <c r="AW453" i="5"/>
  <c r="AW511" i="5"/>
  <c r="AW450" i="5"/>
  <c r="AW503" i="5"/>
  <c r="AW414" i="5"/>
  <c r="AW472" i="5"/>
  <c r="AW544" i="5"/>
  <c r="AW559" i="5"/>
  <c r="AW560" i="5"/>
  <c r="AW474" i="5"/>
  <c r="AW470" i="5"/>
  <c r="AW424" i="5"/>
  <c r="AW471" i="5"/>
  <c r="AW364" i="5"/>
  <c r="AW537" i="5"/>
  <c r="AW491" i="5"/>
  <c r="AW529" i="5"/>
  <c r="AW323" i="5"/>
  <c r="AW463" i="5"/>
  <c r="AW261" i="5"/>
  <c r="AW407" i="5"/>
  <c r="AW513" i="5"/>
  <c r="AW468" i="5"/>
  <c r="V162" i="5"/>
  <c r="V508" i="5"/>
  <c r="V130" i="5"/>
  <c r="V56" i="5"/>
  <c r="U374" i="5"/>
  <c r="V235" i="5"/>
  <c r="V372" i="5"/>
  <c r="V475" i="5"/>
  <c r="U553" i="5"/>
  <c r="V384" i="5"/>
  <c r="U181" i="5"/>
  <c r="V7" i="5"/>
  <c r="U7" i="5"/>
  <c r="BA240" i="5"/>
  <c r="BB169" i="5"/>
  <c r="BA125" i="5"/>
  <c r="U488" i="5"/>
  <c r="V488" i="5"/>
  <c r="U497" i="5"/>
  <c r="V497" i="5"/>
  <c r="V523" i="5"/>
  <c r="U523" i="5"/>
  <c r="U510" i="5"/>
  <c r="V510" i="5"/>
  <c r="V529" i="5"/>
  <c r="U529" i="5"/>
  <c r="V471" i="5"/>
  <c r="U471" i="5"/>
  <c r="V50" i="5"/>
  <c r="U50" i="5"/>
  <c r="V338" i="5"/>
  <c r="U338" i="5"/>
  <c r="V441" i="5"/>
  <c r="U441" i="5"/>
  <c r="U256" i="5"/>
  <c r="V256" i="5"/>
  <c r="U145" i="5"/>
  <c r="V145" i="5"/>
  <c r="U49" i="5"/>
  <c r="V49" i="5"/>
  <c r="U253" i="5"/>
  <c r="V253" i="5"/>
  <c r="U120" i="5"/>
  <c r="V120" i="5"/>
  <c r="U48" i="5"/>
  <c r="V48" i="5"/>
  <c r="U465" i="5"/>
  <c r="V465" i="5"/>
  <c r="U462" i="5"/>
  <c r="V462" i="5"/>
  <c r="V369" i="5"/>
  <c r="U369" i="5"/>
  <c r="V266" i="5"/>
  <c r="U266" i="5"/>
  <c r="U128" i="5"/>
  <c r="V128" i="5"/>
  <c r="U504" i="5"/>
  <c r="V504" i="5"/>
  <c r="U399" i="5"/>
  <c r="V399" i="5"/>
  <c r="V335" i="5"/>
  <c r="U335" i="5"/>
  <c r="U135" i="5"/>
  <c r="V135" i="5"/>
  <c r="V196" i="5"/>
  <c r="U196" i="5"/>
  <c r="U138" i="5"/>
  <c r="V138" i="5"/>
  <c r="V107" i="5"/>
  <c r="U107" i="5"/>
  <c r="U8" i="5"/>
  <c r="V8" i="5"/>
  <c r="V312" i="5"/>
  <c r="U318" i="5"/>
  <c r="BB80" i="5"/>
  <c r="BA80" i="5"/>
  <c r="BB70" i="5"/>
  <c r="BA70" i="5"/>
  <c r="BB68" i="5"/>
  <c r="BB188" i="5"/>
  <c r="BA188" i="5"/>
  <c r="BB237" i="5"/>
  <c r="BA180" i="5"/>
  <c r="BA163" i="5"/>
  <c r="BB163" i="5"/>
  <c r="BA262" i="5"/>
  <c r="BB262" i="5"/>
  <c r="BB285" i="5"/>
  <c r="BA285" i="5"/>
  <c r="BA71" i="5"/>
  <c r="BB29" i="5"/>
  <c r="U419" i="5"/>
  <c r="V419" i="5"/>
  <c r="V548" i="5"/>
  <c r="U548" i="5"/>
  <c r="U543" i="5"/>
  <c r="V543" i="5"/>
  <c r="V483" i="5"/>
  <c r="U483" i="5"/>
  <c r="U227" i="5"/>
  <c r="V227" i="5"/>
  <c r="U444" i="5"/>
  <c r="V444" i="5"/>
  <c r="U460" i="5"/>
  <c r="V460" i="5"/>
  <c r="U36" i="5"/>
  <c r="V36" i="5"/>
  <c r="V436" i="5"/>
  <c r="U436" i="5"/>
  <c r="V479" i="5"/>
  <c r="U479" i="5"/>
  <c r="U527" i="5"/>
  <c r="V527" i="5"/>
  <c r="V534" i="5"/>
  <c r="U534" i="5"/>
  <c r="U489" i="5"/>
  <c r="V489" i="5"/>
  <c r="U401" i="5"/>
  <c r="V401" i="5"/>
  <c r="U474" i="5"/>
  <c r="V474" i="5"/>
  <c r="V491" i="5"/>
  <c r="U491" i="5"/>
  <c r="U365" i="5"/>
  <c r="V365" i="5"/>
  <c r="U298" i="5"/>
  <c r="V298" i="5"/>
  <c r="U208" i="5"/>
  <c r="V208" i="5"/>
  <c r="V55" i="5"/>
  <c r="U55" i="5"/>
  <c r="V558" i="5"/>
  <c r="U558" i="5"/>
  <c r="U426" i="5"/>
  <c r="V426" i="5"/>
  <c r="U346" i="5"/>
  <c r="V346" i="5"/>
  <c r="U467" i="5"/>
  <c r="V467" i="5"/>
  <c r="U358" i="5"/>
  <c r="V358" i="5"/>
  <c r="V453" i="5"/>
  <c r="U453" i="5"/>
  <c r="U447" i="5"/>
  <c r="V447" i="5"/>
  <c r="V376" i="5"/>
  <c r="U376" i="5"/>
  <c r="V292" i="5"/>
  <c r="U292" i="5"/>
  <c r="U177" i="5"/>
  <c r="V177" i="5"/>
  <c r="U28" i="5"/>
  <c r="V28" i="5"/>
  <c r="U449" i="5"/>
  <c r="V449" i="5"/>
  <c r="U550" i="5"/>
  <c r="V550" i="5"/>
  <c r="U538" i="5"/>
  <c r="V538" i="5"/>
  <c r="U446" i="5"/>
  <c r="V446" i="5"/>
  <c r="U511" i="5"/>
  <c r="V511" i="5"/>
  <c r="U533" i="5"/>
  <c r="V533" i="5"/>
  <c r="U357" i="5"/>
  <c r="V357" i="5"/>
  <c r="U367" i="5"/>
  <c r="V367" i="5"/>
  <c r="U248" i="5"/>
  <c r="V248" i="5"/>
  <c r="U141" i="5"/>
  <c r="V141" i="5"/>
  <c r="U392" i="5"/>
  <c r="V392" i="5"/>
  <c r="V418" i="5"/>
  <c r="U418" i="5"/>
  <c r="U433" i="5"/>
  <c r="V433" i="5"/>
  <c r="U307" i="5"/>
  <c r="V307" i="5"/>
  <c r="U160" i="5"/>
  <c r="V160" i="5"/>
  <c r="U314" i="5"/>
  <c r="V314" i="5"/>
  <c r="U219" i="5"/>
  <c r="V219" i="5"/>
  <c r="U220" i="5"/>
  <c r="V220" i="5"/>
  <c r="U184" i="5"/>
  <c r="V184" i="5"/>
  <c r="V104" i="5"/>
  <c r="U104" i="5"/>
  <c r="U110" i="5"/>
  <c r="V110" i="5"/>
  <c r="U71" i="5"/>
  <c r="V71" i="5"/>
  <c r="U45" i="5"/>
  <c r="V45" i="5"/>
  <c r="U409" i="5"/>
  <c r="V409" i="5"/>
  <c r="U424" i="5"/>
  <c r="V424" i="5"/>
  <c r="U337" i="5"/>
  <c r="V337" i="5"/>
  <c r="V305" i="5"/>
  <c r="U305" i="5"/>
  <c r="U328" i="5"/>
  <c r="V328" i="5"/>
  <c r="V308" i="5"/>
  <c r="U308" i="5"/>
  <c r="U213" i="5"/>
  <c r="V213" i="5"/>
  <c r="U218" i="5"/>
  <c r="V218" i="5"/>
  <c r="U182" i="5"/>
  <c r="V182" i="5"/>
  <c r="U75" i="5"/>
  <c r="V75" i="5"/>
  <c r="U108" i="5"/>
  <c r="V108" i="5"/>
  <c r="U68" i="5"/>
  <c r="V68" i="5"/>
  <c r="U42" i="5"/>
  <c r="V42" i="5"/>
  <c r="U469" i="5"/>
  <c r="V469" i="5"/>
  <c r="V552" i="5"/>
  <c r="U552" i="5"/>
  <c r="U554" i="5"/>
  <c r="V554" i="5"/>
  <c r="V344" i="5"/>
  <c r="U344" i="5"/>
  <c r="V486" i="5"/>
  <c r="U486" i="5"/>
  <c r="U422" i="5"/>
  <c r="V422" i="5"/>
  <c r="V512" i="5"/>
  <c r="U512" i="5"/>
  <c r="V442" i="5"/>
  <c r="U442" i="5"/>
  <c r="V472" i="5"/>
  <c r="U472" i="5"/>
  <c r="U404" i="5"/>
  <c r="V404" i="5"/>
  <c r="V228" i="5"/>
  <c r="U228" i="5"/>
  <c r="U437" i="5"/>
  <c r="V437" i="5"/>
  <c r="U359" i="5"/>
  <c r="V359" i="5"/>
  <c r="U321" i="5"/>
  <c r="V321" i="5"/>
  <c r="U332" i="5"/>
  <c r="V332" i="5"/>
  <c r="V233" i="5"/>
  <c r="U233" i="5"/>
  <c r="V234" i="5"/>
  <c r="U234" i="5"/>
  <c r="V158" i="5"/>
  <c r="U158" i="5"/>
  <c r="V122" i="5"/>
  <c r="U122" i="5"/>
  <c r="V113" i="5"/>
  <c r="U113" i="5"/>
  <c r="V77" i="5"/>
  <c r="U77" i="5"/>
  <c r="V40" i="5"/>
  <c r="U40" i="5"/>
  <c r="V498" i="5"/>
  <c r="U498" i="5"/>
  <c r="V438" i="5"/>
  <c r="U438" i="5"/>
  <c r="U499" i="5"/>
  <c r="V499" i="5"/>
  <c r="U428" i="5"/>
  <c r="V428" i="5"/>
  <c r="U382" i="5"/>
  <c r="V382" i="5"/>
  <c r="V195" i="5"/>
  <c r="U195" i="5"/>
  <c r="V341" i="5"/>
  <c r="U341" i="5"/>
  <c r="V400" i="5"/>
  <c r="U400" i="5"/>
  <c r="U315" i="5"/>
  <c r="V315" i="5"/>
  <c r="U320" i="5"/>
  <c r="V320" i="5"/>
  <c r="V261" i="5"/>
  <c r="U261" i="5"/>
  <c r="U299" i="5"/>
  <c r="V299" i="5"/>
  <c r="U322" i="5"/>
  <c r="V322" i="5"/>
  <c r="U263" i="5"/>
  <c r="V263" i="5"/>
  <c r="V225" i="5"/>
  <c r="U225" i="5"/>
  <c r="V229" i="5"/>
  <c r="U229" i="5"/>
  <c r="V224" i="5"/>
  <c r="U224" i="5"/>
  <c r="V204" i="5"/>
  <c r="U204" i="5"/>
  <c r="V100" i="5"/>
  <c r="U100" i="5"/>
  <c r="U173" i="5"/>
  <c r="V173" i="5"/>
  <c r="V115" i="5"/>
  <c r="U115" i="5"/>
  <c r="V109" i="5"/>
  <c r="U109" i="5"/>
  <c r="V87" i="5"/>
  <c r="U87" i="5"/>
  <c r="V69" i="5"/>
  <c r="U69" i="5"/>
  <c r="V80" i="5"/>
  <c r="U80" i="5"/>
  <c r="V33" i="5"/>
  <c r="U33" i="5"/>
  <c r="V34" i="5"/>
  <c r="U34" i="5"/>
  <c r="U276" i="5"/>
  <c r="V276" i="5"/>
  <c r="U252" i="5"/>
  <c r="V252" i="5"/>
  <c r="U207" i="5"/>
  <c r="V207" i="5"/>
  <c r="U211" i="5"/>
  <c r="V211" i="5"/>
  <c r="U190" i="5"/>
  <c r="V190" i="5"/>
  <c r="V169" i="5"/>
  <c r="U169" i="5"/>
  <c r="V151" i="5"/>
  <c r="U151" i="5"/>
  <c r="U155" i="5"/>
  <c r="V155" i="5"/>
  <c r="U64" i="5"/>
  <c r="V64" i="5"/>
  <c r="BA118" i="5"/>
  <c r="BB118" i="5"/>
  <c r="BA351" i="5"/>
  <c r="BB269" i="5"/>
  <c r="BA52" i="5"/>
  <c r="BB52" i="5"/>
  <c r="BB223" i="5"/>
  <c r="BA174" i="5"/>
  <c r="BB141" i="5"/>
  <c r="BB114" i="5"/>
  <c r="BA114" i="5"/>
  <c r="U350" i="5"/>
  <c r="V350" i="5"/>
  <c r="V413" i="5"/>
  <c r="U413" i="5"/>
  <c r="U459" i="5"/>
  <c r="V459" i="5"/>
  <c r="U304" i="5"/>
  <c r="V304" i="5"/>
  <c r="U555" i="5"/>
  <c r="V555" i="5"/>
  <c r="V434" i="5"/>
  <c r="U434" i="5"/>
  <c r="V515" i="5"/>
  <c r="U515" i="5"/>
  <c r="U191" i="5"/>
  <c r="V191" i="5"/>
  <c r="U518" i="5"/>
  <c r="V518" i="5"/>
  <c r="U395" i="5"/>
  <c r="V395" i="5"/>
  <c r="V355" i="5"/>
  <c r="U355" i="5"/>
  <c r="V206" i="5"/>
  <c r="U206" i="5"/>
  <c r="U333" i="5"/>
  <c r="V333" i="5"/>
  <c r="V317" i="5"/>
  <c r="U317" i="5"/>
  <c r="U125" i="5"/>
  <c r="V125" i="5"/>
  <c r="V297" i="5"/>
  <c r="U297" i="5"/>
  <c r="U330" i="5"/>
  <c r="V330" i="5"/>
  <c r="V153" i="5"/>
  <c r="U153" i="5"/>
  <c r="V179" i="5"/>
  <c r="U179" i="5"/>
  <c r="U78" i="5"/>
  <c r="V78" i="5"/>
  <c r="U247" i="5"/>
  <c r="V247" i="5"/>
  <c r="V326" i="5"/>
  <c r="U326" i="5"/>
  <c r="U240" i="5"/>
  <c r="V240" i="5"/>
  <c r="V143" i="5"/>
  <c r="U143" i="5"/>
  <c r="V73" i="5"/>
  <c r="U73" i="5"/>
  <c r="U440" i="5"/>
  <c r="V440" i="5"/>
  <c r="U493" i="5"/>
  <c r="V493" i="5"/>
  <c r="V522" i="5"/>
  <c r="U522" i="5"/>
  <c r="V378" i="5"/>
  <c r="U378" i="5"/>
  <c r="V264" i="5"/>
  <c r="U264" i="5"/>
  <c r="V193" i="5"/>
  <c r="U193" i="5"/>
  <c r="V147" i="5"/>
  <c r="U147" i="5"/>
  <c r="V54" i="5"/>
  <c r="U54" i="5"/>
  <c r="V513" i="5"/>
  <c r="U513" i="5"/>
  <c r="U294" i="5"/>
  <c r="V294" i="5"/>
  <c r="U415" i="5"/>
  <c r="V415" i="5"/>
  <c r="U271" i="5"/>
  <c r="V271" i="5"/>
  <c r="V274" i="5"/>
  <c r="U274" i="5"/>
  <c r="V243" i="5"/>
  <c r="U243" i="5"/>
  <c r="U172" i="5"/>
  <c r="V172" i="5"/>
  <c r="V123" i="5"/>
  <c r="U123" i="5"/>
  <c r="U59" i="5"/>
  <c r="V59" i="5"/>
  <c r="U44" i="5"/>
  <c r="V44" i="5"/>
  <c r="U221" i="5"/>
  <c r="V221" i="5"/>
  <c r="U223" i="5"/>
  <c r="V223" i="5"/>
  <c r="V171" i="5"/>
  <c r="U171" i="5"/>
  <c r="V106" i="5"/>
  <c r="U106" i="5"/>
  <c r="U76" i="5"/>
  <c r="V76" i="5"/>
  <c r="U30" i="5"/>
  <c r="V30" i="5"/>
  <c r="AJ93" i="5"/>
  <c r="AJ49" i="5"/>
  <c r="AL49" i="5" s="1"/>
  <c r="AJ105" i="5"/>
  <c r="AK105" i="5" s="1"/>
  <c r="AJ75" i="5"/>
  <c r="AL75" i="5" s="1"/>
  <c r="AJ188" i="5"/>
  <c r="AK188" i="5" s="1"/>
  <c r="AJ146" i="5"/>
  <c r="AJ77" i="5"/>
  <c r="AK77" i="5" s="1"/>
  <c r="AJ169" i="5"/>
  <c r="AL169" i="5" s="1"/>
  <c r="AJ195" i="5"/>
  <c r="AL195" i="5" s="1"/>
  <c r="AJ156" i="5"/>
  <c r="AL156" i="5" s="1"/>
  <c r="AJ87" i="5"/>
  <c r="AL87" i="5" s="1"/>
  <c r="AJ24" i="5"/>
  <c r="AL24" i="5" s="1"/>
  <c r="AJ44" i="5"/>
  <c r="AK44" i="5" s="1"/>
  <c r="V201" i="5"/>
  <c r="V275" i="5"/>
  <c r="BA261" i="5"/>
  <c r="BB261" i="5"/>
  <c r="BB199" i="5"/>
  <c r="BA199" i="5"/>
  <c r="BA329" i="5"/>
  <c r="BA268" i="5"/>
  <c r="BA144" i="5"/>
  <c r="BB144" i="5"/>
  <c r="BA74" i="5"/>
  <c r="BB74" i="5"/>
  <c r="BA198" i="5"/>
  <c r="BA176" i="5"/>
  <c r="BA20" i="5"/>
  <c r="BB20" i="5"/>
  <c r="U503" i="5"/>
  <c r="V503" i="5"/>
  <c r="V525" i="5"/>
  <c r="U525" i="5"/>
  <c r="V494" i="5"/>
  <c r="U494" i="5"/>
  <c r="U74" i="5"/>
  <c r="V74" i="5"/>
  <c r="U477" i="5"/>
  <c r="V477" i="5"/>
  <c r="V547" i="5"/>
  <c r="U547" i="5"/>
  <c r="U521" i="5"/>
  <c r="V521" i="5"/>
  <c r="U327" i="5"/>
  <c r="V327" i="5"/>
  <c r="U397" i="5"/>
  <c r="V397" i="5"/>
  <c r="U450" i="5"/>
  <c r="V450" i="5"/>
  <c r="V352" i="5"/>
  <c r="U352" i="5"/>
  <c r="U360" i="5"/>
  <c r="V360" i="5"/>
  <c r="V391" i="5"/>
  <c r="U391" i="5"/>
  <c r="U323" i="5"/>
  <c r="V323" i="5"/>
  <c r="U140" i="5"/>
  <c r="V140" i="5"/>
  <c r="V27" i="5"/>
  <c r="U27" i="5"/>
  <c r="U528" i="5"/>
  <c r="V528" i="5"/>
  <c r="U541" i="5"/>
  <c r="V541" i="5"/>
  <c r="V556" i="5"/>
  <c r="U556" i="5"/>
  <c r="U452" i="5"/>
  <c r="V452" i="5"/>
  <c r="V517" i="5"/>
  <c r="U517" i="5"/>
  <c r="U537" i="5"/>
  <c r="V537" i="5"/>
  <c r="V370" i="5"/>
  <c r="U370" i="5"/>
  <c r="U393" i="5"/>
  <c r="V393" i="5"/>
  <c r="V265" i="5"/>
  <c r="U265" i="5"/>
  <c r="U112" i="5"/>
  <c r="V112" i="5"/>
  <c r="V551" i="5"/>
  <c r="U551" i="5"/>
  <c r="U540" i="5"/>
  <c r="V540" i="5"/>
  <c r="V416" i="5"/>
  <c r="U416" i="5"/>
  <c r="U485" i="5"/>
  <c r="V485" i="5"/>
  <c r="U507" i="5"/>
  <c r="V507" i="5"/>
  <c r="V388" i="5"/>
  <c r="U388" i="5"/>
  <c r="V343" i="5"/>
  <c r="U343" i="5"/>
  <c r="U166" i="5"/>
  <c r="V166" i="5"/>
  <c r="U25" i="5"/>
  <c r="V25" i="5"/>
  <c r="U373" i="5"/>
  <c r="V373" i="5"/>
  <c r="V389" i="5"/>
  <c r="U389" i="5"/>
  <c r="V410" i="5"/>
  <c r="U410" i="5"/>
  <c r="V309" i="5"/>
  <c r="U309" i="5"/>
  <c r="V296" i="5"/>
  <c r="U296" i="5"/>
  <c r="U278" i="5"/>
  <c r="V278" i="5"/>
  <c r="U168" i="5"/>
  <c r="V168" i="5"/>
  <c r="U202" i="5"/>
  <c r="V202" i="5"/>
  <c r="V111" i="5"/>
  <c r="U111" i="5"/>
  <c r="U129" i="5"/>
  <c r="V129" i="5"/>
  <c r="U72" i="5"/>
  <c r="V72" i="5"/>
  <c r="U65" i="5"/>
  <c r="V65" i="5"/>
  <c r="U21" i="5"/>
  <c r="V21" i="5"/>
  <c r="U385" i="5"/>
  <c r="V385" i="5"/>
  <c r="V405" i="5"/>
  <c r="U405" i="5"/>
  <c r="U286" i="5"/>
  <c r="V286" i="5"/>
  <c r="U311" i="5"/>
  <c r="V311" i="5"/>
  <c r="U277" i="5"/>
  <c r="V277" i="5"/>
  <c r="V157" i="5"/>
  <c r="U157" i="5"/>
  <c r="U200" i="5"/>
  <c r="V200" i="5"/>
  <c r="V86" i="5"/>
  <c r="U86" i="5"/>
  <c r="U124" i="5"/>
  <c r="V124" i="5"/>
  <c r="U60" i="5"/>
  <c r="V60" i="5"/>
  <c r="U62" i="5"/>
  <c r="V62" i="5"/>
  <c r="U46" i="5"/>
  <c r="V46" i="5"/>
  <c r="U559" i="5"/>
  <c r="V559" i="5"/>
  <c r="U524" i="5"/>
  <c r="V524" i="5"/>
  <c r="V545" i="5"/>
  <c r="U545" i="5"/>
  <c r="V557" i="5"/>
  <c r="U557" i="5"/>
  <c r="V470" i="5"/>
  <c r="U470" i="5"/>
  <c r="U398" i="5"/>
  <c r="V398" i="5"/>
  <c r="V500" i="5"/>
  <c r="U500" i="5"/>
  <c r="V339" i="5"/>
  <c r="U339" i="5"/>
  <c r="V448" i="5"/>
  <c r="U448" i="5"/>
  <c r="U383" i="5"/>
  <c r="V383" i="5"/>
  <c r="U421" i="5"/>
  <c r="V421" i="5"/>
  <c r="U329" i="5"/>
  <c r="V329" i="5"/>
  <c r="U325" i="5"/>
  <c r="V325" i="5"/>
  <c r="V295" i="5"/>
  <c r="U295" i="5"/>
  <c r="V192" i="5"/>
  <c r="U192" i="5"/>
  <c r="V209" i="5"/>
  <c r="U209" i="5"/>
  <c r="V163" i="5"/>
  <c r="U163" i="5"/>
  <c r="V148" i="5"/>
  <c r="U148" i="5"/>
  <c r="V90" i="5"/>
  <c r="U90" i="5"/>
  <c r="U58" i="5"/>
  <c r="V58" i="5"/>
  <c r="V31" i="5"/>
  <c r="U31" i="5"/>
  <c r="U480" i="5"/>
  <c r="V480" i="5"/>
  <c r="U347" i="5"/>
  <c r="V347" i="5"/>
  <c r="U478" i="5"/>
  <c r="V478" i="5"/>
  <c r="U324" i="5"/>
  <c r="V324" i="5"/>
  <c r="U363" i="5"/>
  <c r="V363" i="5"/>
  <c r="V407" i="5"/>
  <c r="U407" i="5"/>
  <c r="U214" i="5"/>
  <c r="V214" i="5"/>
  <c r="V381" i="5"/>
  <c r="U381" i="5"/>
  <c r="V283" i="5"/>
  <c r="U283" i="5"/>
  <c r="V303" i="5"/>
  <c r="U303" i="5"/>
  <c r="U246" i="5"/>
  <c r="V246" i="5"/>
  <c r="V284" i="5"/>
  <c r="U284" i="5"/>
  <c r="V306" i="5"/>
  <c r="U306" i="5"/>
  <c r="U254" i="5"/>
  <c r="V254" i="5"/>
  <c r="U210" i="5"/>
  <c r="V210" i="5"/>
  <c r="U212" i="5"/>
  <c r="V212" i="5"/>
  <c r="V215" i="5"/>
  <c r="U215" i="5"/>
  <c r="U194" i="5"/>
  <c r="V194" i="5"/>
  <c r="U170" i="5"/>
  <c r="V170" i="5"/>
  <c r="V149" i="5"/>
  <c r="U149" i="5"/>
  <c r="V156" i="5"/>
  <c r="U156" i="5"/>
  <c r="U84" i="5"/>
  <c r="V84" i="5"/>
  <c r="U101" i="5"/>
  <c r="V101" i="5"/>
  <c r="U94" i="5"/>
  <c r="V94" i="5"/>
  <c r="U66" i="5"/>
  <c r="V66" i="5"/>
  <c r="U70" i="5"/>
  <c r="V70" i="5"/>
  <c r="U39" i="5"/>
  <c r="V39" i="5"/>
  <c r="V250" i="5"/>
  <c r="U250" i="5"/>
  <c r="V176" i="5"/>
  <c r="U176" i="5"/>
  <c r="V174" i="5"/>
  <c r="U174" i="5"/>
  <c r="U150" i="5"/>
  <c r="V150" i="5"/>
  <c r="U118" i="5"/>
  <c r="V118" i="5"/>
  <c r="U131" i="5"/>
  <c r="V131" i="5"/>
  <c r="V83" i="5"/>
  <c r="U83" i="5"/>
  <c r="U67" i="5"/>
  <c r="V67" i="5"/>
  <c r="U41" i="5"/>
  <c r="V41" i="5"/>
  <c r="BA236" i="5"/>
  <c r="BA115" i="5"/>
  <c r="BB115" i="5"/>
  <c r="BA288" i="5"/>
  <c r="BB177" i="5"/>
  <c r="BB44" i="5"/>
  <c r="BA44" i="5"/>
  <c r="BB137" i="5"/>
  <c r="V531" i="5"/>
  <c r="U531" i="5"/>
  <c r="V310" i="5"/>
  <c r="U310" i="5"/>
  <c r="V154" i="5"/>
  <c r="U154" i="5"/>
  <c r="V432" i="5"/>
  <c r="U432" i="5"/>
  <c r="V546" i="5"/>
  <c r="U546" i="5"/>
  <c r="U501" i="5"/>
  <c r="V501" i="5"/>
  <c r="U408" i="5"/>
  <c r="V408" i="5"/>
  <c r="U88" i="5"/>
  <c r="V88" i="5"/>
  <c r="V476" i="5"/>
  <c r="U476" i="5"/>
  <c r="V487" i="5"/>
  <c r="U487" i="5"/>
  <c r="V481" i="5"/>
  <c r="U481" i="5"/>
  <c r="V281" i="5"/>
  <c r="U281" i="5"/>
  <c r="U549" i="5"/>
  <c r="V549" i="5"/>
  <c r="V463" i="5"/>
  <c r="U463" i="5"/>
  <c r="U431" i="5"/>
  <c r="V431" i="5"/>
  <c r="U258" i="5"/>
  <c r="V258" i="5"/>
  <c r="U414" i="5"/>
  <c r="V414" i="5"/>
  <c r="U366" i="5"/>
  <c r="V366" i="5"/>
  <c r="U244" i="5"/>
  <c r="V244" i="5"/>
  <c r="U144" i="5"/>
  <c r="V144" i="5"/>
  <c r="U132" i="5"/>
  <c r="V132" i="5"/>
  <c r="V272" i="5"/>
  <c r="U272" i="5"/>
  <c r="U237" i="5"/>
  <c r="V237" i="5"/>
  <c r="V175" i="5"/>
  <c r="U175" i="5"/>
  <c r="V127" i="5"/>
  <c r="U127" i="5"/>
  <c r="U502" i="5"/>
  <c r="V502" i="5"/>
  <c r="U406" i="5"/>
  <c r="V406" i="5"/>
  <c r="V439" i="5"/>
  <c r="U439" i="5"/>
  <c r="V505" i="5"/>
  <c r="U505" i="5"/>
  <c r="V336" i="5"/>
  <c r="U336" i="5"/>
  <c r="U349" i="5"/>
  <c r="V349" i="5"/>
  <c r="V249" i="5"/>
  <c r="U249" i="5"/>
  <c r="U189" i="5"/>
  <c r="V189" i="5"/>
  <c r="U81" i="5"/>
  <c r="V81" i="5"/>
  <c r="U456" i="5"/>
  <c r="V456" i="5"/>
  <c r="V443" i="5"/>
  <c r="U443" i="5"/>
  <c r="U375" i="5"/>
  <c r="V375" i="5"/>
  <c r="U345" i="5"/>
  <c r="V345" i="5"/>
  <c r="U316" i="5"/>
  <c r="V316" i="5"/>
  <c r="U236" i="5"/>
  <c r="V236" i="5"/>
  <c r="U245" i="5"/>
  <c r="V245" i="5"/>
  <c r="V187" i="5"/>
  <c r="U187" i="5"/>
  <c r="U126" i="5"/>
  <c r="V126" i="5"/>
  <c r="V61" i="5"/>
  <c r="U61" i="5"/>
  <c r="U47" i="5"/>
  <c r="V47" i="5"/>
  <c r="U260" i="5"/>
  <c r="V260" i="5"/>
  <c r="V79" i="5"/>
  <c r="U79" i="5"/>
  <c r="U114" i="5"/>
  <c r="V114" i="5"/>
  <c r="U98" i="5"/>
  <c r="V98" i="5"/>
  <c r="AJ28" i="5"/>
  <c r="AL28" i="5" s="1"/>
  <c r="AJ158" i="5"/>
  <c r="AL158" i="5" s="1"/>
  <c r="AJ27" i="5"/>
  <c r="AK27" i="5" s="1"/>
  <c r="AJ164" i="5"/>
  <c r="AL164" i="5" s="1"/>
  <c r="AJ40" i="5"/>
  <c r="AL40" i="5" s="1"/>
  <c r="AJ174" i="5"/>
  <c r="AJ125" i="5"/>
  <c r="AJ61" i="5"/>
  <c r="AJ153" i="5"/>
  <c r="AK153" i="5" s="1"/>
  <c r="AJ184" i="5"/>
  <c r="AK184" i="5" s="1"/>
  <c r="AJ143" i="5"/>
  <c r="AL143" i="5" s="1"/>
  <c r="AJ71" i="5"/>
  <c r="AJ165" i="5"/>
  <c r="AK165" i="5" s="1"/>
  <c r="AJ138" i="5"/>
  <c r="AK138" i="5" s="1"/>
  <c r="V412" i="5"/>
  <c r="V222" i="5"/>
  <c r="U37" i="5"/>
  <c r="U362" i="5"/>
  <c r="V22" i="5"/>
  <c r="BB312" i="5"/>
  <c r="BA312" i="5"/>
  <c r="BB249" i="5"/>
  <c r="BA249" i="5"/>
  <c r="BA278" i="5"/>
  <c r="BB278" i="5"/>
  <c r="BB220" i="5"/>
  <c r="BA220" i="5"/>
  <c r="BB161" i="5"/>
  <c r="BA161" i="5"/>
  <c r="BB194" i="5"/>
  <c r="BA194" i="5"/>
  <c r="BA171" i="5"/>
  <c r="BB171" i="5"/>
  <c r="BB152" i="5"/>
  <c r="BA152" i="5"/>
  <c r="BA116" i="5"/>
  <c r="BB116" i="5"/>
  <c r="BA127" i="5"/>
  <c r="BB127" i="5"/>
  <c r="BA123" i="5"/>
  <c r="BB123" i="5"/>
  <c r="BA110" i="5"/>
  <c r="BB91" i="5"/>
  <c r="BA91" i="5"/>
  <c r="BA23" i="5"/>
  <c r="BB23" i="5"/>
  <c r="BA24" i="5"/>
  <c r="BB24" i="5"/>
  <c r="BB50" i="5"/>
  <c r="BA50" i="5"/>
  <c r="BA393" i="5"/>
  <c r="BB393" i="5"/>
  <c r="BA218" i="5"/>
  <c r="BB218" i="5"/>
  <c r="BB315" i="5"/>
  <c r="BA315" i="5"/>
  <c r="BA255" i="5"/>
  <c r="BB255" i="5"/>
  <c r="BA290" i="5"/>
  <c r="BB290" i="5"/>
  <c r="BA246" i="5"/>
  <c r="BB246" i="5"/>
  <c r="BA184" i="5"/>
  <c r="BB184" i="5"/>
  <c r="BA196" i="5"/>
  <c r="BB196" i="5"/>
  <c r="BA190" i="5"/>
  <c r="BB190" i="5"/>
  <c r="BB158" i="5"/>
  <c r="BA158" i="5"/>
  <c r="BB150" i="5"/>
  <c r="BA150" i="5"/>
  <c r="BA139" i="5"/>
  <c r="BB139" i="5"/>
  <c r="BB126" i="5"/>
  <c r="BA126" i="5"/>
  <c r="BB121" i="5"/>
  <c r="BA121" i="5"/>
  <c r="BA95" i="5"/>
  <c r="BB95" i="5"/>
  <c r="BB59" i="5"/>
  <c r="BA59" i="5"/>
  <c r="BB55" i="5"/>
  <c r="BA55" i="5"/>
  <c r="BA35" i="5"/>
  <c r="BB35" i="5"/>
  <c r="BA299" i="5"/>
  <c r="BB299" i="5"/>
  <c r="BB324" i="5"/>
  <c r="BA324" i="5"/>
  <c r="BB265" i="5"/>
  <c r="BA265" i="5"/>
  <c r="BA305" i="5"/>
  <c r="BB305" i="5"/>
  <c r="BB318" i="5"/>
  <c r="BA318" i="5"/>
  <c r="BB264" i="5"/>
  <c r="BA264" i="5"/>
  <c r="BB200" i="5"/>
  <c r="BA200" i="5"/>
  <c r="BB212" i="5"/>
  <c r="BA212" i="5"/>
  <c r="BB211" i="5"/>
  <c r="BA211" i="5"/>
  <c r="BA173" i="5"/>
  <c r="BB173" i="5"/>
  <c r="BA164" i="5"/>
  <c r="BB164" i="5"/>
  <c r="BA148" i="5"/>
  <c r="BB148" i="5"/>
  <c r="BB135" i="5"/>
  <c r="BA135" i="5"/>
  <c r="BB140" i="5"/>
  <c r="BA140" i="5"/>
  <c r="BB98" i="5"/>
  <c r="BA98" i="5"/>
  <c r="BA69" i="5"/>
  <c r="BB69" i="5"/>
  <c r="BA66" i="5"/>
  <c r="BB60" i="5"/>
  <c r="BA60" i="5"/>
  <c r="BA27" i="5"/>
  <c r="BB27" i="5"/>
  <c r="V435" i="5"/>
  <c r="U435" i="5"/>
  <c r="V230" i="5"/>
  <c r="U230" i="5"/>
  <c r="U93" i="5"/>
  <c r="V93" i="5"/>
  <c r="U492" i="5"/>
  <c r="V492" i="5"/>
  <c r="V379" i="5"/>
  <c r="U379" i="5"/>
  <c r="U423" i="5"/>
  <c r="V423" i="5"/>
  <c r="V226" i="5"/>
  <c r="U226" i="5"/>
  <c r="U394" i="5"/>
  <c r="V394" i="5"/>
  <c r="V427" i="5"/>
  <c r="U427" i="5"/>
  <c r="U119" i="5"/>
  <c r="V119" i="5"/>
  <c r="U530" i="5"/>
  <c r="V530" i="5"/>
  <c r="U544" i="5"/>
  <c r="V544" i="5"/>
  <c r="U560" i="5"/>
  <c r="V560" i="5"/>
  <c r="U455" i="5"/>
  <c r="V455" i="5"/>
  <c r="V519" i="5"/>
  <c r="U519" i="5"/>
  <c r="U351" i="5"/>
  <c r="V351" i="5"/>
  <c r="U420" i="5"/>
  <c r="V420" i="5"/>
  <c r="V289" i="5"/>
  <c r="U289" i="5"/>
  <c r="U142" i="5"/>
  <c r="V142" i="5"/>
  <c r="U520" i="5"/>
  <c r="V520" i="5"/>
  <c r="V542" i="5"/>
  <c r="U542" i="5"/>
  <c r="U506" i="5"/>
  <c r="V506" i="5"/>
  <c r="U425" i="5"/>
  <c r="V425" i="5"/>
  <c r="V496" i="5"/>
  <c r="U496" i="5"/>
  <c r="U402" i="5"/>
  <c r="V402" i="5"/>
  <c r="V267" i="5"/>
  <c r="U267" i="5"/>
  <c r="V232" i="5"/>
  <c r="U232" i="5"/>
  <c r="V95" i="5"/>
  <c r="U95" i="5"/>
  <c r="V445" i="5"/>
  <c r="U445" i="5"/>
  <c r="V514" i="5"/>
  <c r="U514" i="5"/>
  <c r="V482" i="5"/>
  <c r="U482" i="5"/>
  <c r="V377" i="5"/>
  <c r="U377" i="5"/>
  <c r="U466" i="5"/>
  <c r="V466" i="5"/>
  <c r="U319" i="5"/>
  <c r="V319" i="5"/>
  <c r="U259" i="5"/>
  <c r="V259" i="5"/>
  <c r="V186" i="5"/>
  <c r="U186" i="5"/>
  <c r="U53" i="5"/>
  <c r="V53" i="5"/>
  <c r="U353" i="5"/>
  <c r="V353" i="5"/>
  <c r="V390" i="5"/>
  <c r="U390" i="5"/>
  <c r="U262" i="5"/>
  <c r="V262" i="5"/>
  <c r="V269" i="5"/>
  <c r="U269" i="5"/>
  <c r="V291" i="5"/>
  <c r="U291" i="5"/>
  <c r="V257" i="5"/>
  <c r="U257" i="5"/>
  <c r="U217" i="5"/>
  <c r="V217" i="5"/>
  <c r="U198" i="5"/>
  <c r="V198" i="5"/>
  <c r="U167" i="5"/>
  <c r="V167" i="5"/>
  <c r="U103" i="5"/>
  <c r="V103" i="5"/>
  <c r="U97" i="5"/>
  <c r="V97" i="5"/>
  <c r="U23" i="5"/>
  <c r="V23" i="5"/>
  <c r="U340" i="5"/>
  <c r="V340" i="5"/>
  <c r="U371" i="5"/>
  <c r="V371" i="5"/>
  <c r="U387" i="5"/>
  <c r="V387" i="5"/>
  <c r="V354" i="5"/>
  <c r="U354" i="5"/>
  <c r="V268" i="5"/>
  <c r="U268" i="5"/>
  <c r="V288" i="5"/>
  <c r="U288" i="5"/>
  <c r="U255" i="5"/>
  <c r="V255" i="5"/>
  <c r="U216" i="5"/>
  <c r="V216" i="5"/>
  <c r="U197" i="5"/>
  <c r="V197" i="5"/>
  <c r="V165" i="5"/>
  <c r="U165" i="5"/>
  <c r="U99" i="5"/>
  <c r="V99" i="5"/>
  <c r="U96" i="5"/>
  <c r="V96" i="5"/>
  <c r="U20" i="5"/>
  <c r="V20" i="5"/>
  <c r="U19" i="5"/>
  <c r="V19" i="5"/>
  <c r="V535" i="5"/>
  <c r="U535" i="5"/>
  <c r="U490" i="5"/>
  <c r="V490" i="5"/>
  <c r="U536" i="5"/>
  <c r="V536" i="5"/>
  <c r="U526" i="5"/>
  <c r="V526" i="5"/>
  <c r="V457" i="5"/>
  <c r="U457" i="5"/>
  <c r="V368" i="5"/>
  <c r="U368" i="5"/>
  <c r="U516" i="5"/>
  <c r="V516" i="5"/>
  <c r="V430" i="5"/>
  <c r="U430" i="5"/>
  <c r="U361" i="5"/>
  <c r="V361" i="5"/>
  <c r="V380" i="5"/>
  <c r="U380" i="5"/>
  <c r="V403" i="5"/>
  <c r="U403" i="5"/>
  <c r="U280" i="5"/>
  <c r="V280" i="5"/>
  <c r="V285" i="5"/>
  <c r="U285" i="5"/>
  <c r="V302" i="5"/>
  <c r="U302" i="5"/>
  <c r="V270" i="5"/>
  <c r="U270" i="5"/>
  <c r="V238" i="5"/>
  <c r="U238" i="5"/>
  <c r="V164" i="5"/>
  <c r="U164" i="5"/>
  <c r="V178" i="5"/>
  <c r="U178" i="5"/>
  <c r="V116" i="5"/>
  <c r="U116" i="5"/>
  <c r="V102" i="5"/>
  <c r="U102" i="5"/>
  <c r="V51" i="5"/>
  <c r="U51" i="5"/>
  <c r="V29" i="5"/>
  <c r="U29" i="5"/>
  <c r="V468" i="5"/>
  <c r="U468" i="5"/>
  <c r="V532" i="5"/>
  <c r="U532" i="5"/>
  <c r="V458" i="5"/>
  <c r="U458" i="5"/>
  <c r="V411" i="5"/>
  <c r="U411" i="5"/>
  <c r="U348" i="5"/>
  <c r="V348" i="5"/>
  <c r="U386" i="5"/>
  <c r="V386" i="5"/>
  <c r="U429" i="5"/>
  <c r="V429" i="5"/>
  <c r="U364" i="5"/>
  <c r="V364" i="5"/>
  <c r="U356" i="5"/>
  <c r="V356" i="5"/>
  <c r="U293" i="5"/>
  <c r="V293" i="5"/>
  <c r="V331" i="5"/>
  <c r="U331" i="5"/>
  <c r="V251" i="5"/>
  <c r="U251" i="5"/>
  <c r="U282" i="5"/>
  <c r="V282" i="5"/>
  <c r="V241" i="5"/>
  <c r="U241" i="5"/>
  <c r="V180" i="5"/>
  <c r="U180" i="5"/>
  <c r="U159" i="5"/>
  <c r="V159" i="5"/>
  <c r="V205" i="5"/>
  <c r="U205" i="5"/>
  <c r="U185" i="5"/>
  <c r="V185" i="5"/>
  <c r="V133" i="5"/>
  <c r="U133" i="5"/>
  <c r="V152" i="5"/>
  <c r="U152" i="5"/>
  <c r="U137" i="5"/>
  <c r="V137" i="5"/>
  <c r="V139" i="5"/>
  <c r="U139" i="5"/>
  <c r="V85" i="5"/>
  <c r="U85" i="5"/>
  <c r="V92" i="5"/>
  <c r="U92" i="5"/>
  <c r="U35" i="5"/>
  <c r="V35" i="5"/>
  <c r="V52" i="5"/>
  <c r="U52" i="5"/>
  <c r="U26" i="5"/>
  <c r="V26" i="5"/>
  <c r="V334" i="5"/>
  <c r="U334" i="5"/>
  <c r="V273" i="5"/>
  <c r="U273" i="5"/>
  <c r="V239" i="5"/>
  <c r="U239" i="5"/>
  <c r="U188" i="5"/>
  <c r="V188" i="5"/>
  <c r="V161" i="5"/>
  <c r="U161" i="5"/>
  <c r="U117" i="5"/>
  <c r="V117" i="5"/>
  <c r="U121" i="5"/>
  <c r="V121" i="5"/>
  <c r="U105" i="5"/>
  <c r="V105" i="5"/>
  <c r="U57" i="5"/>
  <c r="V57" i="5"/>
  <c r="V43" i="5"/>
  <c r="U43" i="5"/>
  <c r="V38" i="5"/>
  <c r="U38" i="5"/>
  <c r="AJ33" i="5"/>
  <c r="AJ141" i="5"/>
  <c r="AJ29" i="5"/>
  <c r="AJ64" i="5"/>
  <c r="AJ97" i="5"/>
  <c r="AJ129" i="5"/>
  <c r="AJ160" i="5"/>
  <c r="AJ176" i="5"/>
  <c r="AJ62" i="5"/>
  <c r="AJ185" i="5"/>
  <c r="AJ203" i="5"/>
  <c r="AJ219" i="5"/>
  <c r="AJ233" i="5"/>
  <c r="AJ255" i="5"/>
  <c r="AJ270" i="5"/>
  <c r="AJ286" i="5"/>
  <c r="AJ302" i="5"/>
  <c r="AJ319" i="5"/>
  <c r="AJ55" i="5"/>
  <c r="AJ107" i="5"/>
  <c r="AJ139" i="5"/>
  <c r="AJ186" i="5"/>
  <c r="AJ202" i="5"/>
  <c r="AJ218" i="5"/>
  <c r="AJ235" i="5"/>
  <c r="AJ20" i="5"/>
  <c r="AJ67" i="5"/>
  <c r="AJ193" i="5"/>
  <c r="AJ212" i="5"/>
  <c r="AJ231" i="5"/>
  <c r="AJ244" i="5"/>
  <c r="AJ252" i="5"/>
  <c r="AJ260" i="5"/>
  <c r="AJ276" i="5"/>
  <c r="AJ292" i="5"/>
  <c r="AJ308" i="5"/>
  <c r="AJ324" i="5"/>
  <c r="AJ194" i="5"/>
  <c r="AJ264" i="5"/>
  <c r="AJ296" i="5"/>
  <c r="AJ321" i="5"/>
  <c r="AJ339" i="5"/>
  <c r="AJ355" i="5"/>
  <c r="AJ371" i="5"/>
  <c r="AJ383" i="5"/>
  <c r="AJ396" i="5"/>
  <c r="AJ462" i="5"/>
  <c r="AJ478" i="5"/>
  <c r="AJ494" i="5"/>
  <c r="AJ509" i="5"/>
  <c r="AJ519" i="5"/>
  <c r="AJ529" i="5"/>
  <c r="AJ543" i="5"/>
  <c r="AJ559" i="5"/>
  <c r="AJ127" i="5"/>
  <c r="AJ221" i="5"/>
  <c r="AJ269" i="5"/>
  <c r="AJ301" i="5"/>
  <c r="AJ318" i="5"/>
  <c r="AJ333" i="5"/>
  <c r="AJ349" i="5"/>
  <c r="AJ365" i="5"/>
  <c r="AJ385" i="5"/>
  <c r="AJ401" i="5"/>
  <c r="AJ417" i="5"/>
  <c r="AJ433" i="5"/>
  <c r="AJ253" i="5"/>
  <c r="AJ271" i="5"/>
  <c r="AJ303" i="5"/>
  <c r="AJ389" i="5"/>
  <c r="AJ403" i="5"/>
  <c r="AJ419" i="5"/>
  <c r="AJ435" i="5"/>
  <c r="AJ451" i="5"/>
  <c r="AJ467" i="5"/>
  <c r="AJ483" i="5"/>
  <c r="AJ499" i="5"/>
  <c r="AJ514" i="5"/>
  <c r="AJ530" i="5"/>
  <c r="AJ540" i="5"/>
  <c r="AJ548" i="5"/>
  <c r="AJ209" i="5"/>
  <c r="AJ344" i="5"/>
  <c r="AJ376" i="5"/>
  <c r="AJ59" i="5"/>
  <c r="AJ157" i="5"/>
  <c r="AJ34" i="5"/>
  <c r="AJ66" i="5"/>
  <c r="AJ101" i="5"/>
  <c r="AJ133" i="5"/>
  <c r="AJ162" i="5"/>
  <c r="AJ180" i="5"/>
  <c r="AJ89" i="5"/>
  <c r="AJ189" i="5"/>
  <c r="AJ207" i="5"/>
  <c r="AJ223" i="5"/>
  <c r="AJ239" i="5"/>
  <c r="AJ259" i="5"/>
  <c r="AJ275" i="5"/>
  <c r="AJ291" i="5"/>
  <c r="AJ307" i="5"/>
  <c r="AJ326" i="5"/>
  <c r="AJ73" i="5"/>
  <c r="AJ115" i="5"/>
  <c r="AJ148" i="5"/>
  <c r="AJ190" i="5"/>
  <c r="AJ206" i="5"/>
  <c r="AJ222" i="5"/>
  <c r="AJ238" i="5"/>
  <c r="AJ30" i="5"/>
  <c r="AJ76" i="5"/>
  <c r="AJ200" i="5"/>
  <c r="AJ216" i="5"/>
  <c r="AJ234" i="5"/>
  <c r="AJ246" i="5"/>
  <c r="AJ254" i="5"/>
  <c r="AJ262" i="5"/>
  <c r="AJ278" i="5"/>
  <c r="AJ294" i="5"/>
  <c r="AJ312" i="5"/>
  <c r="AJ119" i="5"/>
  <c r="AJ227" i="5"/>
  <c r="AJ277" i="5"/>
  <c r="AJ309" i="5"/>
  <c r="AJ325" i="5"/>
  <c r="AJ343" i="5"/>
  <c r="AJ359" i="5"/>
  <c r="AJ375" i="5"/>
  <c r="AJ388" i="5"/>
  <c r="AJ398" i="5"/>
  <c r="AJ464" i="5"/>
  <c r="AJ480" i="5"/>
  <c r="AJ496" i="5"/>
  <c r="AJ511" i="5"/>
  <c r="AJ523" i="5"/>
  <c r="AJ533" i="5"/>
  <c r="AJ547" i="5"/>
  <c r="AJ23" i="5"/>
  <c r="AJ196" i="5"/>
  <c r="AJ230" i="5"/>
  <c r="AJ274" i="5"/>
  <c r="AJ306" i="5"/>
  <c r="B76" i="5"/>
  <c r="AJ91" i="5"/>
  <c r="AJ173" i="5"/>
  <c r="AJ50" i="5"/>
  <c r="AJ82" i="5"/>
  <c r="AJ117" i="5"/>
  <c r="AJ154" i="5"/>
  <c r="AJ170" i="5"/>
  <c r="AJ52" i="5"/>
  <c r="AJ181" i="5"/>
  <c r="AJ199" i="5"/>
  <c r="AJ215" i="5"/>
  <c r="AJ228" i="5"/>
  <c r="AJ251" i="5"/>
  <c r="AJ268" i="5"/>
  <c r="AJ284" i="5"/>
  <c r="AJ300" i="5"/>
  <c r="AJ315" i="5"/>
  <c r="AJ46" i="5"/>
  <c r="AJ99" i="5"/>
  <c r="AJ131" i="5"/>
  <c r="AJ182" i="5"/>
  <c r="AJ198" i="5"/>
  <c r="AJ214" i="5"/>
  <c r="AJ229" i="5"/>
  <c r="AJ242" i="5"/>
  <c r="AJ57" i="5"/>
  <c r="AJ178" i="5"/>
  <c r="AJ208" i="5"/>
  <c r="AJ225" i="5"/>
  <c r="AJ241" i="5"/>
  <c r="AJ250" i="5"/>
  <c r="AJ258" i="5"/>
  <c r="AJ273" i="5"/>
  <c r="AJ289" i="5"/>
  <c r="AJ305" i="5"/>
  <c r="AJ320" i="5"/>
  <c r="AJ179" i="5"/>
  <c r="AJ247" i="5"/>
  <c r="AJ287" i="5"/>
  <c r="AJ317" i="5"/>
  <c r="AJ335" i="5"/>
  <c r="AJ351" i="5"/>
  <c r="AJ367" i="5"/>
  <c r="AJ379" i="5"/>
  <c r="AJ394" i="5"/>
  <c r="AJ459" i="5"/>
  <c r="AJ475" i="5"/>
  <c r="AJ491" i="5"/>
  <c r="AJ507" i="5"/>
  <c r="AJ517" i="5"/>
  <c r="AJ527" i="5"/>
  <c r="AJ539" i="5"/>
  <c r="AJ555" i="5"/>
  <c r="AJ95" i="5"/>
  <c r="AJ213" i="5"/>
  <c r="AJ249" i="5"/>
  <c r="AJ288" i="5"/>
  <c r="AJ314" i="5"/>
  <c r="AJ331" i="5"/>
  <c r="AJ345" i="5"/>
  <c r="AJ361" i="5"/>
  <c r="AJ381" i="5"/>
  <c r="AJ395" i="5"/>
  <c r="AJ413" i="5"/>
  <c r="AJ429" i="5"/>
  <c r="AJ232" i="5"/>
  <c r="AJ266" i="5"/>
  <c r="AJ298" i="5"/>
  <c r="AJ378" i="5"/>
  <c r="AJ399" i="5"/>
  <c r="AJ415" i="5"/>
  <c r="AJ431" i="5"/>
  <c r="AJ447" i="5"/>
  <c r="AJ461" i="5"/>
  <c r="AJ477" i="5"/>
  <c r="AJ493" i="5"/>
  <c r="AJ508" i="5"/>
  <c r="AJ524" i="5"/>
  <c r="AJ538" i="5"/>
  <c r="AJ546" i="5"/>
  <c r="AJ144" i="5"/>
  <c r="AJ336" i="5"/>
  <c r="AJ368" i="5"/>
  <c r="AJ408" i="5"/>
  <c r="AJ161" i="5"/>
  <c r="AJ150" i="5"/>
  <c r="AJ197" i="5"/>
  <c r="AJ265" i="5"/>
  <c r="AJ36" i="5"/>
  <c r="AJ192" i="5"/>
  <c r="AJ39" i="5"/>
  <c r="AJ236" i="5"/>
  <c r="AJ283" i="5"/>
  <c r="AJ237" i="5"/>
  <c r="AJ347" i="5"/>
  <c r="AJ453" i="5"/>
  <c r="AJ513" i="5"/>
  <c r="AJ60" i="5"/>
  <c r="AJ310" i="5"/>
  <c r="AJ341" i="5"/>
  <c r="AJ373" i="5"/>
  <c r="AJ409" i="5"/>
  <c r="AJ135" i="5"/>
  <c r="AJ293" i="5"/>
  <c r="AJ393" i="5"/>
  <c r="AJ427" i="5"/>
  <c r="AJ456" i="5"/>
  <c r="AJ488" i="5"/>
  <c r="AJ520" i="5"/>
  <c r="AJ544" i="5"/>
  <c r="AJ327" i="5"/>
  <c r="AJ400" i="5"/>
  <c r="AJ437" i="5"/>
  <c r="AJ458" i="5"/>
  <c r="AJ490" i="5"/>
  <c r="AJ560" i="5"/>
  <c r="AJ500" i="5"/>
  <c r="AJ541" i="5"/>
  <c r="AJ406" i="5"/>
  <c r="AJ466" i="5"/>
  <c r="AJ263" i="5"/>
  <c r="AJ354" i="5"/>
  <c r="AJ402" i="5"/>
  <c r="AJ434" i="5"/>
  <c r="AJ450" i="5"/>
  <c r="AJ528" i="5"/>
  <c r="AJ436" i="5"/>
  <c r="AJ78" i="5"/>
  <c r="AJ348" i="5"/>
  <c r="AJ380" i="5"/>
  <c r="AJ428" i="5"/>
  <c r="AJ474" i="5"/>
  <c r="AJ506" i="5"/>
  <c r="AJ526" i="5"/>
  <c r="AJ111" i="5"/>
  <c r="AJ334" i="5"/>
  <c r="AJ366" i="5"/>
  <c r="AJ444" i="5"/>
  <c r="AJ554" i="5"/>
  <c r="AJ175" i="5"/>
  <c r="AJ136" i="5"/>
  <c r="AJ31" i="5"/>
  <c r="AJ86" i="5"/>
  <c r="AJ22" i="5"/>
  <c r="AJ132" i="5"/>
  <c r="AJ124" i="5"/>
  <c r="AJ85" i="5"/>
  <c r="AJ163" i="5"/>
  <c r="AJ130" i="5"/>
  <c r="AJ191" i="5"/>
  <c r="AJ110" i="5"/>
  <c r="AJ42" i="5"/>
  <c r="AJ100" i="5"/>
  <c r="AJ79" i="5"/>
  <c r="AJ32" i="5"/>
  <c r="AJ53" i="5"/>
  <c r="AJ45" i="5"/>
  <c r="AJ168" i="5"/>
  <c r="AJ211" i="5"/>
  <c r="AJ281" i="5"/>
  <c r="AJ83" i="5"/>
  <c r="AJ210" i="5"/>
  <c r="AJ142" i="5"/>
  <c r="AJ248" i="5"/>
  <c r="AJ299" i="5"/>
  <c r="AJ282" i="5"/>
  <c r="AJ363" i="5"/>
  <c r="AJ469" i="5"/>
  <c r="AJ525" i="5"/>
  <c r="AJ205" i="5"/>
  <c r="AJ322" i="5"/>
  <c r="AJ353" i="5"/>
  <c r="AJ387" i="5"/>
  <c r="AJ421" i="5"/>
  <c r="AJ257" i="5"/>
  <c r="AJ323" i="5"/>
  <c r="AJ407" i="5"/>
  <c r="AJ439" i="5"/>
  <c r="AJ470" i="5"/>
  <c r="AJ502" i="5"/>
  <c r="AJ532" i="5"/>
  <c r="AJ550" i="5"/>
  <c r="AJ352" i="5"/>
  <c r="AJ416" i="5"/>
  <c r="AJ441" i="5"/>
  <c r="AJ471" i="5"/>
  <c r="AJ503" i="5"/>
  <c r="AJ463" i="5"/>
  <c r="AJ512" i="5"/>
  <c r="AJ549" i="5"/>
  <c r="AJ422" i="5"/>
  <c r="AJ479" i="5"/>
  <c r="AJ329" i="5"/>
  <c r="AJ362" i="5"/>
  <c r="AJ410" i="5"/>
  <c r="AJ438" i="5"/>
  <c r="AJ468" i="5"/>
  <c r="AJ545" i="5"/>
  <c r="AJ452" i="5"/>
  <c r="AJ285" i="5"/>
  <c r="AJ356" i="5"/>
  <c r="AJ404" i="5"/>
  <c r="AJ455" i="5"/>
  <c r="AJ487" i="5"/>
  <c r="AJ510" i="5"/>
  <c r="AJ534" i="5"/>
  <c r="AJ201" i="5"/>
  <c r="AJ342" i="5"/>
  <c r="AJ397" i="5"/>
  <c r="AJ457" i="5"/>
  <c r="AJ120" i="5"/>
  <c r="AJ81" i="5"/>
  <c r="AJ187" i="5"/>
  <c r="AJ70" i="5"/>
  <c r="AJ159" i="5"/>
  <c r="AJ116" i="5"/>
  <c r="AJ104" i="5"/>
  <c r="AJ106" i="5"/>
  <c r="AJ171" i="5"/>
  <c r="AJ134" i="5"/>
  <c r="AJ98" i="5"/>
  <c r="AJ80" i="5"/>
  <c r="AJ25" i="5"/>
  <c r="AJ226" i="5"/>
  <c r="AJ297" i="5"/>
  <c r="AJ123" i="5"/>
  <c r="AJ224" i="5"/>
  <c r="AJ204" i="5"/>
  <c r="AJ256" i="5"/>
  <c r="AJ316" i="5"/>
  <c r="AJ313" i="5"/>
  <c r="AJ377" i="5"/>
  <c r="AJ485" i="5"/>
  <c r="AJ535" i="5"/>
  <c r="AJ245" i="5"/>
  <c r="AJ328" i="5"/>
  <c r="AJ357" i="5"/>
  <c r="AJ392" i="5"/>
  <c r="AJ425" i="5"/>
  <c r="AJ261" i="5"/>
  <c r="AJ332" i="5"/>
  <c r="AJ411" i="5"/>
  <c r="AJ443" i="5"/>
  <c r="AJ472" i="5"/>
  <c r="AJ504" i="5"/>
  <c r="AJ536" i="5"/>
  <c r="AJ552" i="5"/>
  <c r="AJ360" i="5"/>
  <c r="AJ424" i="5"/>
  <c r="AJ445" i="5"/>
  <c r="AJ476" i="5"/>
  <c r="AJ515" i="5"/>
  <c r="AJ473" i="5"/>
  <c r="AJ521" i="5"/>
  <c r="AJ553" i="5"/>
  <c r="AJ440" i="5"/>
  <c r="AJ41" i="5"/>
  <c r="AJ338" i="5"/>
  <c r="AJ370" i="5"/>
  <c r="AJ418" i="5"/>
  <c r="AJ442" i="5"/>
  <c r="AJ482" i="5"/>
  <c r="AJ558" i="5"/>
  <c r="AJ489" i="5"/>
  <c r="AJ304" i="5"/>
  <c r="AJ364" i="5"/>
  <c r="AJ412" i="5"/>
  <c r="AJ460" i="5"/>
  <c r="AJ492" i="5"/>
  <c r="AJ518" i="5"/>
  <c r="AJ556" i="5"/>
  <c r="AJ272" i="5"/>
  <c r="AJ350" i="5"/>
  <c r="AJ414" i="5"/>
  <c r="AJ484" i="5"/>
  <c r="AJ65" i="5"/>
  <c r="AJ128" i="5"/>
  <c r="AJ54" i="5"/>
  <c r="AJ112" i="5"/>
  <c r="AJ149" i="5"/>
  <c r="AJ108" i="5"/>
  <c r="AJ8" i="5"/>
  <c r="AJ140" i="5"/>
  <c r="AJ122" i="5"/>
  <c r="AJ90" i="5"/>
  <c r="AJ126" i="5"/>
  <c r="AJ102" i="5"/>
  <c r="AJ74" i="5"/>
  <c r="AJ51" i="5"/>
  <c r="AJ35" i="5"/>
  <c r="AJ92" i="5"/>
  <c r="AJ26" i="5"/>
  <c r="AJ72" i="5"/>
  <c r="AJ113" i="5"/>
  <c r="AJ177" i="5"/>
  <c r="AJ152" i="5"/>
  <c r="AJ551" i="5"/>
  <c r="AJ405" i="5"/>
  <c r="AJ423" i="5"/>
  <c r="AJ542" i="5"/>
  <c r="AJ449" i="5"/>
  <c r="AJ537" i="5"/>
  <c r="AJ346" i="5"/>
  <c r="AJ505" i="5"/>
  <c r="AJ372" i="5"/>
  <c r="AJ522" i="5"/>
  <c r="AJ430" i="5"/>
  <c r="AJ151" i="5"/>
  <c r="AJ167" i="5"/>
  <c r="AJ118" i="5"/>
  <c r="AJ37" i="5"/>
  <c r="AJ137" i="5"/>
  <c r="AJ240" i="5"/>
  <c r="AJ330" i="5"/>
  <c r="AJ279" i="5"/>
  <c r="AJ103" i="5"/>
  <c r="AJ454" i="5"/>
  <c r="AJ295" i="5"/>
  <c r="AJ481" i="5"/>
  <c r="AJ374" i="5"/>
  <c r="AJ386" i="5"/>
  <c r="AJ382" i="5"/>
  <c r="AJ420" i="5"/>
  <c r="AJ19" i="5"/>
  <c r="AJ498" i="5"/>
  <c r="AJ47" i="5"/>
  <c r="AJ114" i="5"/>
  <c r="AJ69" i="5"/>
  <c r="AJ58" i="5"/>
  <c r="AJ96" i="5"/>
  <c r="AJ21" i="5"/>
  <c r="AJ243" i="5"/>
  <c r="AJ220" i="5"/>
  <c r="AJ390" i="5"/>
  <c r="AJ337" i="5"/>
  <c r="AJ280" i="5"/>
  <c r="AJ486" i="5"/>
  <c r="AJ384" i="5"/>
  <c r="AJ531" i="5"/>
  <c r="AJ448" i="5"/>
  <c r="AJ426" i="5"/>
  <c r="AJ557" i="5"/>
  <c r="AJ465" i="5"/>
  <c r="AJ290" i="5"/>
  <c r="AJ145" i="5"/>
  <c r="AJ94" i="5"/>
  <c r="AJ63" i="5"/>
  <c r="AJ88" i="5"/>
  <c r="AJ311" i="5"/>
  <c r="AJ391" i="5"/>
  <c r="AJ217" i="5"/>
  <c r="AJ358" i="5"/>
  <c r="AJ183" i="5"/>
  <c r="AJ48" i="5"/>
  <c r="AJ267" i="5"/>
  <c r="AJ516" i="5"/>
  <c r="AJ446" i="5"/>
  <c r="AJ155" i="5"/>
  <c r="AJ501" i="5"/>
  <c r="AJ432" i="5"/>
  <c r="AJ340" i="5"/>
  <c r="AJ369" i="5"/>
  <c r="AJ495" i="5"/>
  <c r="AJ38" i="5"/>
  <c r="AJ497" i="5"/>
  <c r="AJ68" i="5"/>
  <c r="B25" i="2"/>
  <c r="AK158" i="5"/>
  <c r="AL27" i="5"/>
  <c r="AX7" i="5"/>
  <c r="AY7" i="5"/>
  <c r="AL44" i="5"/>
  <c r="AL174" i="5"/>
  <c r="AK174" i="5"/>
  <c r="AK125" i="5"/>
  <c r="AL125" i="5"/>
  <c r="AL138" i="5"/>
  <c r="AK43" i="5"/>
  <c r="AL43" i="5"/>
  <c r="AK172" i="5"/>
  <c r="AL172" i="5"/>
  <c r="AK121" i="5"/>
  <c r="AK56" i="5"/>
  <c r="AL56" i="5"/>
  <c r="AL147" i="5"/>
  <c r="AK147" i="5"/>
  <c r="AV23" i="5" l="1"/>
  <c r="AU29" i="5"/>
  <c r="AV322" i="5"/>
  <c r="AV157" i="5"/>
  <c r="AU328" i="5"/>
  <c r="AV126" i="5"/>
  <c r="AU165" i="5"/>
  <c r="AU37" i="5"/>
  <c r="AV273" i="5"/>
  <c r="BB92" i="5"/>
  <c r="AV291" i="5"/>
  <c r="BA40" i="5"/>
  <c r="BA296" i="5"/>
  <c r="AT12" i="5"/>
  <c r="AV176" i="5"/>
  <c r="AU46" i="5"/>
  <c r="BA22" i="5"/>
  <c r="BB303" i="5"/>
  <c r="BB243" i="5"/>
  <c r="BA238" i="5"/>
  <c r="AV100" i="5"/>
  <c r="AU128" i="5"/>
  <c r="AV25" i="5"/>
  <c r="BB43" i="5"/>
  <c r="BA206" i="5"/>
  <c r="BA154" i="5"/>
  <c r="BA107" i="5"/>
  <c r="BA283" i="5"/>
  <c r="BB208" i="5"/>
  <c r="BA191" i="5"/>
  <c r="BA160" i="5"/>
  <c r="BB332" i="5"/>
  <c r="AW12" i="5"/>
  <c r="AU75" i="5"/>
  <c r="AV111" i="5"/>
  <c r="AV159" i="5"/>
  <c r="AV270" i="5"/>
  <c r="AV51" i="5"/>
  <c r="BB159" i="5"/>
  <c r="BB168" i="5"/>
  <c r="AU7" i="5"/>
  <c r="AU42" i="5"/>
  <c r="AV96" i="5"/>
  <c r="AU87" i="5"/>
  <c r="AU271" i="5"/>
  <c r="AV83" i="5"/>
  <c r="AU240" i="5"/>
  <c r="AV230" i="5"/>
  <c r="AV187" i="5"/>
  <c r="AV276" i="5"/>
  <c r="AU183" i="5"/>
  <c r="AV265" i="5"/>
  <c r="AU199" i="5"/>
  <c r="AU153" i="5"/>
  <c r="BB314" i="5"/>
  <c r="BB31" i="5"/>
  <c r="T12" i="5"/>
  <c r="AU233" i="5"/>
  <c r="AU133" i="5"/>
  <c r="AZ12" i="5"/>
  <c r="BB284" i="5"/>
  <c r="AV327" i="5"/>
  <c r="AU221" i="5"/>
  <c r="BA64" i="5"/>
  <c r="BA242" i="5"/>
  <c r="AV248" i="5"/>
  <c r="AU93" i="5"/>
  <c r="AU136" i="5"/>
  <c r="AV52" i="5"/>
  <c r="AU314" i="5"/>
  <c r="AU91" i="5"/>
  <c r="AU109" i="5"/>
  <c r="AV297" i="5"/>
  <c r="BB111" i="5"/>
  <c r="AV129" i="5"/>
  <c r="AU64" i="5"/>
  <c r="AV259" i="5"/>
  <c r="AV257" i="5"/>
  <c r="AV215" i="5"/>
  <c r="AV130" i="5"/>
  <c r="AU41" i="5"/>
  <c r="AV22" i="5"/>
  <c r="AV335" i="5"/>
  <c r="AV224" i="5"/>
  <c r="AU30" i="5"/>
  <c r="AV69" i="5"/>
  <c r="AU299" i="5"/>
  <c r="BA32" i="5"/>
  <c r="BA302" i="5"/>
  <c r="BA82" i="5"/>
  <c r="BB251" i="5"/>
  <c r="BB172" i="5"/>
  <c r="BB108" i="5"/>
  <c r="BB295" i="5"/>
  <c r="BB103" i="5"/>
  <c r="BA300" i="5"/>
  <c r="BA134" i="5"/>
  <c r="BB344" i="5"/>
  <c r="BB78" i="5"/>
  <c r="BB352" i="5"/>
  <c r="BA221" i="5"/>
  <c r="BA202" i="5"/>
  <c r="BB84" i="5"/>
  <c r="BB53" i="5"/>
  <c r="BB179" i="5"/>
  <c r="BA266" i="5"/>
  <c r="BB136" i="5"/>
  <c r="BB7" i="5"/>
  <c r="BA45" i="5"/>
  <c r="BB175" i="5"/>
  <c r="BB86" i="5"/>
  <c r="BB323" i="5"/>
  <c r="BA130" i="5"/>
  <c r="BB83" i="5"/>
  <c r="BB337" i="5"/>
  <c r="BA51" i="5"/>
  <c r="AK24" i="5"/>
  <c r="AK87" i="5"/>
  <c r="AK164" i="5"/>
  <c r="AL7" i="5"/>
  <c r="AV217" i="5"/>
  <c r="AU255" i="5"/>
  <c r="AV286" i="5"/>
  <c r="AV118" i="5"/>
  <c r="AU190" i="5"/>
  <c r="BA132" i="5"/>
  <c r="AU63" i="5"/>
  <c r="BA75" i="5"/>
  <c r="BA89" i="5"/>
  <c r="AV54" i="5"/>
  <c r="AV90" i="5"/>
  <c r="AU251" i="5"/>
  <c r="AV173" i="5"/>
  <c r="AV44" i="5"/>
  <c r="AU102" i="5"/>
  <c r="AU175" i="5"/>
  <c r="AV181" i="5"/>
  <c r="BA197" i="5"/>
  <c r="AU88" i="5"/>
  <c r="AV301" i="5"/>
  <c r="BA81" i="5"/>
  <c r="BB26" i="5"/>
  <c r="BB263" i="5"/>
  <c r="AU38" i="5"/>
  <c r="AV218" i="5"/>
  <c r="AU189" i="5"/>
  <c r="BA94" i="5"/>
  <c r="BA309" i="5"/>
  <c r="AU250" i="5"/>
  <c r="AV61" i="5"/>
  <c r="AU61" i="5"/>
  <c r="BA373" i="5"/>
  <c r="BB138" i="5"/>
  <c r="BB56" i="5"/>
  <c r="AV177" i="5"/>
  <c r="AU79" i="5"/>
  <c r="BB222" i="5"/>
  <c r="BA166" i="5"/>
  <c r="BB230" i="5"/>
  <c r="AU295" i="5"/>
  <c r="AU200" i="5"/>
  <c r="AU182" i="5"/>
  <c r="BA156" i="5"/>
  <c r="BA48" i="5"/>
  <c r="BA234" i="5"/>
  <c r="BB346" i="5"/>
  <c r="BA226" i="5"/>
  <c r="AU209" i="5"/>
  <c r="AU141" i="5"/>
  <c r="AV307" i="5"/>
  <c r="BA61" i="5"/>
  <c r="BA232" i="5"/>
  <c r="BB8" i="5"/>
  <c r="BB282" i="5"/>
  <c r="BA247" i="5"/>
  <c r="BA117" i="5"/>
  <c r="AL188" i="5"/>
  <c r="AL105" i="5"/>
  <c r="AK75" i="5"/>
  <c r="AL77" i="5"/>
  <c r="AK169" i="5"/>
  <c r="AK109" i="5"/>
  <c r="AV316" i="5"/>
  <c r="BA331" i="5"/>
  <c r="AV122" i="5"/>
  <c r="AV55" i="5"/>
  <c r="AU234" i="5"/>
  <c r="BB287" i="5"/>
  <c r="BA183" i="5"/>
  <c r="AL166" i="5"/>
  <c r="BA38" i="5"/>
  <c r="AU28" i="5"/>
  <c r="AV135" i="5"/>
  <c r="AV150" i="5"/>
  <c r="AU103" i="5"/>
  <c r="AV71" i="5"/>
  <c r="AU65" i="5"/>
  <c r="AK195" i="5"/>
  <c r="BB178" i="5"/>
  <c r="BB97" i="5"/>
  <c r="BA112" i="5"/>
  <c r="BA227" i="5"/>
  <c r="AV160" i="5"/>
  <c r="AK143" i="5"/>
  <c r="BB39" i="5"/>
  <c r="BB322" i="5"/>
  <c r="AV131" i="5"/>
  <c r="BB131" i="5"/>
  <c r="BB113" i="5"/>
  <c r="BA369" i="5"/>
  <c r="AU24" i="5"/>
  <c r="AU243" i="5"/>
  <c r="BB219" i="5"/>
  <c r="BB73" i="5"/>
  <c r="AK84" i="5"/>
  <c r="AL184" i="5"/>
  <c r="BA119" i="5"/>
  <c r="BB30" i="5"/>
  <c r="AV43" i="5"/>
  <c r="AV246" i="5"/>
  <c r="AV229" i="5"/>
  <c r="AU8" i="5"/>
  <c r="AU312" i="5"/>
  <c r="AV239" i="5"/>
  <c r="AU238" i="5"/>
  <c r="BA256" i="5"/>
  <c r="BA274" i="5"/>
  <c r="BB326" i="5"/>
  <c r="AV33" i="5"/>
  <c r="AU33" i="5"/>
  <c r="AV49" i="5"/>
  <c r="AU49" i="5"/>
  <c r="AU560" i="5"/>
  <c r="AV560" i="5"/>
  <c r="AV475" i="5"/>
  <c r="AU475" i="5"/>
  <c r="AV431" i="5"/>
  <c r="AU431" i="5"/>
  <c r="AV119" i="5"/>
  <c r="AU119" i="5"/>
  <c r="AV455" i="5"/>
  <c r="AU455" i="5"/>
  <c r="AU19" i="5"/>
  <c r="AV19" i="5"/>
  <c r="AV546" i="5"/>
  <c r="AU546" i="5"/>
  <c r="AV266" i="5"/>
  <c r="AU266" i="5"/>
  <c r="AU552" i="5"/>
  <c r="AV552" i="5"/>
  <c r="AU256" i="5"/>
  <c r="AV256" i="5"/>
  <c r="AV389" i="5"/>
  <c r="AU389" i="5"/>
  <c r="AU35" i="5"/>
  <c r="AV35" i="5"/>
  <c r="AV482" i="5"/>
  <c r="AU482" i="5"/>
  <c r="AU354" i="5"/>
  <c r="AV354" i="5"/>
  <c r="AV521" i="5"/>
  <c r="AU521" i="5"/>
  <c r="AU454" i="5"/>
  <c r="AV454" i="5"/>
  <c r="AU545" i="5"/>
  <c r="AV545" i="5"/>
  <c r="AV528" i="5"/>
  <c r="AU528" i="5"/>
  <c r="AV498" i="5"/>
  <c r="AU498" i="5"/>
  <c r="AV464" i="5"/>
  <c r="AU464" i="5"/>
  <c r="AU414" i="5"/>
  <c r="AV414" i="5"/>
  <c r="AV374" i="5"/>
  <c r="AU374" i="5"/>
  <c r="AV236" i="5"/>
  <c r="AU236" i="5"/>
  <c r="AV108" i="5"/>
  <c r="AU108" i="5"/>
  <c r="AV446" i="5"/>
  <c r="AU446" i="5"/>
  <c r="AU413" i="5"/>
  <c r="AV413" i="5"/>
  <c r="AU484" i="5"/>
  <c r="AV484" i="5"/>
  <c r="AU463" i="5"/>
  <c r="AV463" i="5"/>
  <c r="AU457" i="5"/>
  <c r="AV457" i="5"/>
  <c r="AU422" i="5"/>
  <c r="AV422" i="5"/>
  <c r="AV409" i="5"/>
  <c r="AU409" i="5"/>
  <c r="AV323" i="5"/>
  <c r="AU323" i="5"/>
  <c r="AV206" i="5"/>
  <c r="AU206" i="5"/>
  <c r="AU68" i="5"/>
  <c r="AV68" i="5"/>
  <c r="AU537" i="5"/>
  <c r="AV537" i="5"/>
  <c r="AU358" i="5"/>
  <c r="AV358" i="5"/>
  <c r="AV554" i="5"/>
  <c r="AU554" i="5"/>
  <c r="AV549" i="5"/>
  <c r="AU549" i="5"/>
  <c r="AV517" i="5"/>
  <c r="AU517" i="5"/>
  <c r="AV481" i="5"/>
  <c r="AU481" i="5"/>
  <c r="AU298" i="5"/>
  <c r="AV298" i="5"/>
  <c r="AV292" i="5"/>
  <c r="AU292" i="5"/>
  <c r="AV171" i="5"/>
  <c r="AU171" i="5"/>
  <c r="AU509" i="5"/>
  <c r="AV509" i="5"/>
  <c r="AV550" i="5"/>
  <c r="AU550" i="5"/>
  <c r="AU478" i="5"/>
  <c r="AV478" i="5"/>
  <c r="AU272" i="5"/>
  <c r="AV272" i="5"/>
  <c r="AU456" i="5"/>
  <c r="AV456" i="5"/>
  <c r="AU518" i="5"/>
  <c r="AV518" i="5"/>
  <c r="AU445" i="5"/>
  <c r="AV445" i="5"/>
  <c r="AV168" i="5"/>
  <c r="AU168" i="5"/>
  <c r="AU352" i="5"/>
  <c r="AV352" i="5"/>
  <c r="AV376" i="5"/>
  <c r="AU376" i="5"/>
  <c r="AU180" i="5"/>
  <c r="AV180" i="5"/>
  <c r="AV388" i="5"/>
  <c r="AU388" i="5"/>
  <c r="AU349" i="5"/>
  <c r="AV349" i="5"/>
  <c r="AU269" i="5"/>
  <c r="AV269" i="5"/>
  <c r="AU258" i="5"/>
  <c r="AV258" i="5"/>
  <c r="AU252" i="5"/>
  <c r="AV252" i="5"/>
  <c r="AV192" i="5"/>
  <c r="AU192" i="5"/>
  <c r="AV140" i="5"/>
  <c r="AU140" i="5"/>
  <c r="AU116" i="5"/>
  <c r="AV116" i="5"/>
  <c r="AU127" i="5"/>
  <c r="AV127" i="5"/>
  <c r="AU72" i="5"/>
  <c r="AV72" i="5"/>
  <c r="AV384" i="5"/>
  <c r="AU384" i="5"/>
  <c r="AU488" i="5"/>
  <c r="AV488" i="5"/>
  <c r="AV350" i="5"/>
  <c r="AU350" i="5"/>
  <c r="AV383" i="5"/>
  <c r="AU383" i="5"/>
  <c r="AV405" i="5"/>
  <c r="AU405" i="5"/>
  <c r="AV326" i="5"/>
  <c r="AU326" i="5"/>
  <c r="AV406" i="5"/>
  <c r="AU406" i="5"/>
  <c r="AU290" i="5"/>
  <c r="AV290" i="5"/>
  <c r="AV313" i="5"/>
  <c r="AU313" i="5"/>
  <c r="AV308" i="5"/>
  <c r="AU308" i="5"/>
  <c r="AU293" i="5"/>
  <c r="AV293" i="5"/>
  <c r="AU188" i="5"/>
  <c r="AV188" i="5"/>
  <c r="AV197" i="5"/>
  <c r="AU197" i="5"/>
  <c r="AV179" i="5"/>
  <c r="AU179" i="5"/>
  <c r="AV151" i="5"/>
  <c r="AU151" i="5"/>
  <c r="AV98" i="5"/>
  <c r="AU98" i="5"/>
  <c r="AU60" i="5"/>
  <c r="AV60" i="5"/>
  <c r="AU380" i="5"/>
  <c r="AV380" i="5"/>
  <c r="AV507" i="5"/>
  <c r="AU507" i="5"/>
  <c r="AV439" i="5"/>
  <c r="AU439" i="5"/>
  <c r="AU483" i="5"/>
  <c r="AV483" i="5"/>
  <c r="AV370" i="5"/>
  <c r="AU370" i="5"/>
  <c r="AU487" i="5"/>
  <c r="AV487" i="5"/>
  <c r="AV346" i="5"/>
  <c r="AU346" i="5"/>
  <c r="AU375" i="5"/>
  <c r="AV375" i="5"/>
  <c r="AV396" i="5"/>
  <c r="AU396" i="5"/>
  <c r="AV321" i="5"/>
  <c r="AU321" i="5"/>
  <c r="AV403" i="5"/>
  <c r="AU403" i="5"/>
  <c r="AU284" i="5"/>
  <c r="AV284" i="5"/>
  <c r="AV303" i="5"/>
  <c r="AU303" i="5"/>
  <c r="AU304" i="5"/>
  <c r="AV304" i="5"/>
  <c r="AV287" i="5"/>
  <c r="AU287" i="5"/>
  <c r="AV166" i="5"/>
  <c r="AU166" i="5"/>
  <c r="AU194" i="5"/>
  <c r="AV194" i="5"/>
  <c r="AV178" i="5"/>
  <c r="AU178" i="5"/>
  <c r="AV148" i="5"/>
  <c r="AU148" i="5"/>
  <c r="AV97" i="5"/>
  <c r="AU97" i="5"/>
  <c r="AU57" i="5"/>
  <c r="AV57" i="5"/>
  <c r="AV155" i="5"/>
  <c r="AU155" i="5"/>
  <c r="AU226" i="5"/>
  <c r="AV226" i="5"/>
  <c r="AU132" i="5"/>
  <c r="AV132" i="5"/>
  <c r="AV519" i="5"/>
  <c r="AU519" i="5"/>
  <c r="AU544" i="5"/>
  <c r="AV544" i="5"/>
  <c r="AV536" i="5"/>
  <c r="AU536" i="5"/>
  <c r="AV531" i="5"/>
  <c r="AU531" i="5"/>
  <c r="AV433" i="5"/>
  <c r="AU433" i="5"/>
  <c r="AU137" i="5"/>
  <c r="AV137" i="5"/>
  <c r="AU432" i="5"/>
  <c r="AV432" i="5"/>
  <c r="AV520" i="5"/>
  <c r="AU520" i="5"/>
  <c r="AU458" i="5"/>
  <c r="AV458" i="5"/>
  <c r="AU330" i="5"/>
  <c r="AV330" i="5"/>
  <c r="AU107" i="5"/>
  <c r="AV107" i="5"/>
  <c r="AV395" i="5"/>
  <c r="AU395" i="5"/>
  <c r="AV392" i="5"/>
  <c r="AU392" i="5"/>
  <c r="AU357" i="5"/>
  <c r="AV357" i="5"/>
  <c r="AV300" i="5"/>
  <c r="AU300" i="5"/>
  <c r="AU50" i="5"/>
  <c r="AV50" i="5"/>
  <c r="AV504" i="5"/>
  <c r="AU504" i="5"/>
  <c r="AV472" i="5"/>
  <c r="AU472" i="5"/>
  <c r="AV469" i="5"/>
  <c r="AU469" i="5"/>
  <c r="AV369" i="5"/>
  <c r="AU369" i="5"/>
  <c r="AV268" i="5"/>
  <c r="AU268" i="5"/>
  <c r="AU174" i="5"/>
  <c r="AV174" i="5"/>
  <c r="AU289" i="5"/>
  <c r="AV289" i="5"/>
  <c r="AU232" i="5"/>
  <c r="AV232" i="5"/>
  <c r="AV158" i="5"/>
  <c r="AU158" i="5"/>
  <c r="AV94" i="5"/>
  <c r="AU94" i="5"/>
  <c r="AU499" i="5"/>
  <c r="AV499" i="5"/>
  <c r="AV404" i="5"/>
  <c r="AU404" i="5"/>
  <c r="AV355" i="5"/>
  <c r="AU355" i="5"/>
  <c r="AV364" i="5"/>
  <c r="AU364" i="5"/>
  <c r="AU196" i="5"/>
  <c r="AV196" i="5"/>
  <c r="AV225" i="5"/>
  <c r="AU225" i="5"/>
  <c r="AU161" i="5"/>
  <c r="AV161" i="5"/>
  <c r="AV85" i="5"/>
  <c r="AU85" i="5"/>
  <c r="AU473" i="5"/>
  <c r="AV473" i="5"/>
  <c r="AU459" i="5"/>
  <c r="AV459" i="5"/>
  <c r="AU425" i="5"/>
  <c r="AV425" i="5"/>
  <c r="AV412" i="5"/>
  <c r="AU412" i="5"/>
  <c r="AV410" i="5"/>
  <c r="AU410" i="5"/>
  <c r="AV421" i="5"/>
  <c r="AU421" i="5"/>
  <c r="AV117" i="5"/>
  <c r="AU117" i="5"/>
  <c r="AV315" i="5"/>
  <c r="AU315" i="5"/>
  <c r="AU193" i="5"/>
  <c r="AV193" i="5"/>
  <c r="AU82" i="5"/>
  <c r="AV82" i="5"/>
  <c r="AV423" i="5"/>
  <c r="AU423" i="5"/>
  <c r="AV529" i="5"/>
  <c r="AU529" i="5"/>
  <c r="AU515" i="5"/>
  <c r="AV515" i="5"/>
  <c r="AV123" i="5"/>
  <c r="AU123" i="5"/>
  <c r="AV535" i="5"/>
  <c r="AU535" i="5"/>
  <c r="AU394" i="5"/>
  <c r="AV394" i="5"/>
  <c r="AV204" i="5"/>
  <c r="AU204" i="5"/>
  <c r="AV470" i="5"/>
  <c r="AU470" i="5"/>
  <c r="AU471" i="5"/>
  <c r="AV471" i="5"/>
  <c r="AV207" i="5"/>
  <c r="AU207" i="5"/>
  <c r="AU449" i="5"/>
  <c r="AV449" i="5"/>
  <c r="AV426" i="5"/>
  <c r="AU426" i="5"/>
  <c r="AV495" i="5"/>
  <c r="AU495" i="5"/>
  <c r="AV476" i="5"/>
  <c r="AU476" i="5"/>
  <c r="AV462" i="5"/>
  <c r="AU462" i="5"/>
  <c r="AV434" i="5"/>
  <c r="AU434" i="5"/>
  <c r="AV339" i="5"/>
  <c r="AU339" i="5"/>
  <c r="AV343" i="5"/>
  <c r="AU343" i="5"/>
  <c r="AV227" i="5"/>
  <c r="AU227" i="5"/>
  <c r="AU80" i="5"/>
  <c r="AV80" i="5"/>
  <c r="AU556" i="5"/>
  <c r="AV556" i="5"/>
  <c r="AU365" i="5"/>
  <c r="AV365" i="5"/>
  <c r="AV441" i="5"/>
  <c r="AU441" i="5"/>
  <c r="AU551" i="5"/>
  <c r="AV551" i="5"/>
  <c r="AV302" i="5"/>
  <c r="AU302" i="5"/>
  <c r="AU493" i="5"/>
  <c r="AV493" i="5"/>
  <c r="AU333" i="5"/>
  <c r="AV333" i="5"/>
  <c r="AU325" i="5"/>
  <c r="AV325" i="5"/>
  <c r="AU125" i="5"/>
  <c r="AV125" i="5"/>
  <c r="AU534" i="5"/>
  <c r="AV534" i="5"/>
  <c r="AU467" i="5"/>
  <c r="AV467" i="5"/>
  <c r="AV555" i="5"/>
  <c r="AU555" i="5"/>
  <c r="AV539" i="5"/>
  <c r="AU539" i="5"/>
  <c r="AV512" i="5"/>
  <c r="AU512" i="5"/>
  <c r="AV485" i="5"/>
  <c r="AU485" i="5"/>
  <c r="AU344" i="5"/>
  <c r="AV344" i="5"/>
  <c r="AU401" i="5"/>
  <c r="AV401" i="5"/>
  <c r="AV277" i="5"/>
  <c r="AU277" i="5"/>
  <c r="AU124" i="5"/>
  <c r="AV124" i="5"/>
  <c r="AV479" i="5"/>
  <c r="AU479" i="5"/>
  <c r="AU543" i="5"/>
  <c r="AV543" i="5"/>
  <c r="AV468" i="5"/>
  <c r="AU468" i="5"/>
  <c r="AV501" i="5"/>
  <c r="AU501" i="5"/>
  <c r="AV435" i="5"/>
  <c r="AU435" i="5"/>
  <c r="AV502" i="5"/>
  <c r="AU502" i="5"/>
  <c r="AV427" i="5"/>
  <c r="AU427" i="5"/>
  <c r="AV411" i="5"/>
  <c r="AU411" i="5"/>
  <c r="AV317" i="5"/>
  <c r="AU317" i="5"/>
  <c r="AU362" i="5"/>
  <c r="AV362" i="5"/>
  <c r="AV429" i="5"/>
  <c r="AU429" i="5"/>
  <c r="AV366" i="5"/>
  <c r="AU366" i="5"/>
  <c r="AV342" i="5"/>
  <c r="AU342" i="5"/>
  <c r="AU244" i="5"/>
  <c r="AV244" i="5"/>
  <c r="AV332" i="5"/>
  <c r="AU332" i="5"/>
  <c r="AU235" i="5"/>
  <c r="AV235" i="5"/>
  <c r="AV223" i="5"/>
  <c r="AU223" i="5"/>
  <c r="AU169" i="5"/>
  <c r="AV169" i="5"/>
  <c r="AV134" i="5"/>
  <c r="AU134" i="5"/>
  <c r="AV101" i="5"/>
  <c r="AU101" i="5"/>
  <c r="AV26" i="5"/>
  <c r="AU26" i="5"/>
  <c r="AV294" i="5"/>
  <c r="AU294" i="5"/>
  <c r="AV466" i="5"/>
  <c r="AU466" i="5"/>
  <c r="AU305" i="5"/>
  <c r="AV305" i="5"/>
  <c r="AV361" i="5"/>
  <c r="AU361" i="5"/>
  <c r="AV387" i="5"/>
  <c r="AU387" i="5"/>
  <c r="AU267" i="5"/>
  <c r="AV267" i="5"/>
  <c r="AV398" i="5"/>
  <c r="AU398" i="5"/>
  <c r="AV359" i="5"/>
  <c r="AU359" i="5"/>
  <c r="AU288" i="5"/>
  <c r="AV288" i="5"/>
  <c r="AU279" i="5"/>
  <c r="AV279" i="5"/>
  <c r="AU263" i="5"/>
  <c r="AV263" i="5"/>
  <c r="AU220" i="5"/>
  <c r="AV220" i="5"/>
  <c r="AU167" i="5"/>
  <c r="AV167" i="5"/>
  <c r="AV147" i="5"/>
  <c r="AU147" i="5"/>
  <c r="AV145" i="5"/>
  <c r="AU145" i="5"/>
  <c r="AU86" i="5"/>
  <c r="AV86" i="5"/>
  <c r="AU40" i="5"/>
  <c r="AV40" i="5"/>
  <c r="AV553" i="5"/>
  <c r="AU553" i="5"/>
  <c r="AV486" i="5"/>
  <c r="AU486" i="5"/>
  <c r="AV337" i="5"/>
  <c r="AU337" i="5"/>
  <c r="AV460" i="5"/>
  <c r="AU460" i="5"/>
  <c r="AU530" i="5"/>
  <c r="AV530" i="5"/>
  <c r="AU451" i="5"/>
  <c r="AV451" i="5"/>
  <c r="AV275" i="5"/>
  <c r="AU275" i="5"/>
  <c r="AU360" i="5"/>
  <c r="AV360" i="5"/>
  <c r="AU386" i="5"/>
  <c r="AV386" i="5"/>
  <c r="AV262" i="5"/>
  <c r="AU262" i="5"/>
  <c r="AU397" i="5"/>
  <c r="AV397" i="5"/>
  <c r="AU356" i="5"/>
  <c r="AV356" i="5"/>
  <c r="AV285" i="5"/>
  <c r="AU285" i="5"/>
  <c r="AV278" i="5"/>
  <c r="AU278" i="5"/>
  <c r="AU260" i="5"/>
  <c r="AV260" i="5"/>
  <c r="AV216" i="5"/>
  <c r="AU216" i="5"/>
  <c r="AU162" i="5"/>
  <c r="AV162" i="5"/>
  <c r="AU144" i="5"/>
  <c r="AV144" i="5"/>
  <c r="AV143" i="5"/>
  <c r="AU143" i="5"/>
  <c r="AU81" i="5"/>
  <c r="AV81" i="5"/>
  <c r="AU45" i="5"/>
  <c r="AV45" i="5"/>
  <c r="AV547" i="5"/>
  <c r="AU547" i="5"/>
  <c r="AV461" i="5"/>
  <c r="AU461" i="5"/>
  <c r="AU281" i="5"/>
  <c r="AV281" i="5"/>
  <c r="AU353" i="5"/>
  <c r="AV353" i="5"/>
  <c r="AV523" i="5"/>
  <c r="AU523" i="5"/>
  <c r="AV542" i="5"/>
  <c r="AU542" i="5"/>
  <c r="AV497" i="5"/>
  <c r="AU497" i="5"/>
  <c r="AU203" i="5"/>
  <c r="AV203" i="5"/>
  <c r="AU503" i="5"/>
  <c r="AV503" i="5"/>
  <c r="AU533" i="5"/>
  <c r="AV533" i="5"/>
  <c r="AV480" i="5"/>
  <c r="AU480" i="5"/>
  <c r="AU390" i="5"/>
  <c r="AV390" i="5"/>
  <c r="AU213" i="5"/>
  <c r="AV213" i="5"/>
  <c r="AV440" i="5"/>
  <c r="AU440" i="5"/>
  <c r="AV465" i="5"/>
  <c r="AU465" i="5"/>
  <c r="AU452" i="5"/>
  <c r="AV452" i="5"/>
  <c r="AV393" i="5"/>
  <c r="AU393" i="5"/>
  <c r="AU186" i="5"/>
  <c r="AV186" i="5"/>
  <c r="AV559" i="5"/>
  <c r="AU559" i="5"/>
  <c r="AU399" i="5"/>
  <c r="AV399" i="5"/>
  <c r="AV331" i="5"/>
  <c r="AU331" i="5"/>
  <c r="AU334" i="5"/>
  <c r="AV334" i="5"/>
  <c r="AU391" i="5"/>
  <c r="AV391" i="5"/>
  <c r="AV400" i="5"/>
  <c r="AU400" i="5"/>
  <c r="AV296" i="5"/>
  <c r="AU296" i="5"/>
  <c r="AU274" i="5"/>
  <c r="AV274" i="5"/>
  <c r="AV185" i="5"/>
  <c r="AU185" i="5"/>
  <c r="AV104" i="5"/>
  <c r="AU104" i="5"/>
  <c r="AU48" i="5"/>
  <c r="AV48" i="5"/>
  <c r="AV419" i="5"/>
  <c r="AU419" i="5"/>
  <c r="AU202" i="5"/>
  <c r="AV202" i="5"/>
  <c r="AV424" i="5"/>
  <c r="AU424" i="5"/>
  <c r="AV338" i="5"/>
  <c r="AU338" i="5"/>
  <c r="AV320" i="5"/>
  <c r="AU320" i="5"/>
  <c r="AU208" i="5"/>
  <c r="AV208" i="5"/>
  <c r="AV120" i="5"/>
  <c r="AU120" i="5"/>
  <c r="AV59" i="5"/>
  <c r="AU59" i="5"/>
  <c r="AV525" i="5"/>
  <c r="AU525" i="5"/>
  <c r="AV496" i="5"/>
  <c r="AU496" i="5"/>
  <c r="AV494" i="5"/>
  <c r="AU494" i="5"/>
  <c r="AV402" i="5"/>
  <c r="AU402" i="5"/>
  <c r="AV340" i="5"/>
  <c r="AU340" i="5"/>
  <c r="AV341" i="5"/>
  <c r="AU341" i="5"/>
  <c r="AV336" i="5"/>
  <c r="AU336" i="5"/>
  <c r="AU222" i="5"/>
  <c r="AV222" i="5"/>
  <c r="AU149" i="5"/>
  <c r="AV149" i="5"/>
  <c r="AV58" i="5"/>
  <c r="AU58" i="5"/>
  <c r="AU381" i="5"/>
  <c r="AV381" i="5"/>
  <c r="AV540" i="5"/>
  <c r="AU540" i="5"/>
  <c r="AV450" i="5"/>
  <c r="AU450" i="5"/>
  <c r="AV527" i="5"/>
  <c r="AU527" i="5"/>
  <c r="AV505" i="5"/>
  <c r="AU505" i="5"/>
  <c r="AV254" i="5"/>
  <c r="AU254" i="5"/>
  <c r="AV522" i="5"/>
  <c r="AU522" i="5"/>
  <c r="AV428" i="5"/>
  <c r="AU428" i="5"/>
  <c r="AV442" i="5"/>
  <c r="AU442" i="5"/>
  <c r="AV76" i="5"/>
  <c r="AU76" i="5"/>
  <c r="AU558" i="5"/>
  <c r="AV558" i="5"/>
  <c r="AU377" i="5"/>
  <c r="AV377" i="5"/>
  <c r="AV444" i="5"/>
  <c r="AU444" i="5"/>
  <c r="AU557" i="5"/>
  <c r="AV557" i="5"/>
  <c r="AV363" i="5"/>
  <c r="AU363" i="5"/>
  <c r="AU508" i="5"/>
  <c r="AV508" i="5"/>
  <c r="AV367" i="5"/>
  <c r="AU367" i="5"/>
  <c r="AV253" i="5"/>
  <c r="AU253" i="5"/>
  <c r="AU170" i="5"/>
  <c r="AV170" i="5"/>
  <c r="AU538" i="5"/>
  <c r="AV538" i="5"/>
  <c r="AU511" i="5"/>
  <c r="AV511" i="5"/>
  <c r="AV532" i="5"/>
  <c r="AU532" i="5"/>
  <c r="AU541" i="5"/>
  <c r="AV541" i="5"/>
  <c r="AV524" i="5"/>
  <c r="AU524" i="5"/>
  <c r="AV491" i="5"/>
  <c r="AU491" i="5"/>
  <c r="AU379" i="5"/>
  <c r="AV379" i="5"/>
  <c r="AU420" i="5"/>
  <c r="AV420" i="5"/>
  <c r="AU309" i="5"/>
  <c r="AV309" i="5"/>
  <c r="AV106" i="5"/>
  <c r="AU106" i="5"/>
  <c r="AU500" i="5"/>
  <c r="AV500" i="5"/>
  <c r="AV430" i="5"/>
  <c r="AU430" i="5"/>
  <c r="AU526" i="5"/>
  <c r="AV526" i="5"/>
  <c r="AU506" i="5"/>
  <c r="AV506" i="5"/>
  <c r="AV477" i="5"/>
  <c r="AU477" i="5"/>
  <c r="AV448" i="5"/>
  <c r="AU448" i="5"/>
  <c r="AV373" i="5"/>
  <c r="AU373" i="5"/>
  <c r="AV231" i="5"/>
  <c r="AU231" i="5"/>
  <c r="AU242" i="5"/>
  <c r="AV242" i="5"/>
  <c r="AU74" i="5"/>
  <c r="AV74" i="5"/>
  <c r="AU416" i="5"/>
  <c r="AV416" i="5"/>
  <c r="AU514" i="5"/>
  <c r="AV514" i="5"/>
  <c r="AU453" i="5"/>
  <c r="AV453" i="5"/>
  <c r="AU490" i="5"/>
  <c r="AV490" i="5"/>
  <c r="AU408" i="5"/>
  <c r="AV408" i="5"/>
  <c r="AU489" i="5"/>
  <c r="AV489" i="5"/>
  <c r="AU371" i="5"/>
  <c r="AV371" i="5"/>
  <c r="AU385" i="5"/>
  <c r="AV385" i="5"/>
  <c r="AU407" i="5"/>
  <c r="AV407" i="5"/>
  <c r="AV329" i="5"/>
  <c r="AU329" i="5"/>
  <c r="AV415" i="5"/>
  <c r="AU415" i="5"/>
  <c r="AV310" i="5"/>
  <c r="AU310" i="5"/>
  <c r="AU318" i="5"/>
  <c r="AV318" i="5"/>
  <c r="AV319" i="5"/>
  <c r="AU319" i="5"/>
  <c r="AU306" i="5"/>
  <c r="AV306" i="5"/>
  <c r="AU212" i="5"/>
  <c r="AV212" i="5"/>
  <c r="AV201" i="5"/>
  <c r="AU201" i="5"/>
  <c r="AV112" i="5"/>
  <c r="AU112" i="5"/>
  <c r="AU99" i="5"/>
  <c r="AV99" i="5"/>
  <c r="AV105" i="5"/>
  <c r="AU105" i="5"/>
  <c r="AU67" i="5"/>
  <c r="AV67" i="5"/>
  <c r="AV513" i="5"/>
  <c r="AU513" i="5"/>
  <c r="AV443" i="5"/>
  <c r="AU443" i="5"/>
  <c r="AV418" i="5"/>
  <c r="AU418" i="5"/>
  <c r="AV351" i="5"/>
  <c r="AU351" i="5"/>
  <c r="AV372" i="5"/>
  <c r="AU372" i="5"/>
  <c r="AV437" i="5"/>
  <c r="AU437" i="5"/>
  <c r="AV382" i="5"/>
  <c r="AU382" i="5"/>
  <c r="AV348" i="5"/>
  <c r="AU348" i="5"/>
  <c r="AV264" i="5"/>
  <c r="AU264" i="5"/>
  <c r="AU241" i="5"/>
  <c r="AV241" i="5"/>
  <c r="AV228" i="5"/>
  <c r="AU228" i="5"/>
  <c r="AU247" i="5"/>
  <c r="AV247" i="5"/>
  <c r="AV95" i="5"/>
  <c r="AU95" i="5"/>
  <c r="AU152" i="5"/>
  <c r="AV152" i="5"/>
  <c r="AU114" i="5"/>
  <c r="AV114" i="5"/>
  <c r="AU73" i="5"/>
  <c r="AV73" i="5"/>
  <c r="AU492" i="5"/>
  <c r="AV492" i="5"/>
  <c r="AV548" i="5"/>
  <c r="AU548" i="5"/>
  <c r="AV474" i="5"/>
  <c r="AU474" i="5"/>
  <c r="AV516" i="5"/>
  <c r="AU516" i="5"/>
  <c r="AV447" i="5"/>
  <c r="AU447" i="5"/>
  <c r="AV510" i="5"/>
  <c r="AU510" i="5"/>
  <c r="AV438" i="5"/>
  <c r="AU438" i="5"/>
  <c r="AV417" i="5"/>
  <c r="AU417" i="5"/>
  <c r="AV347" i="5"/>
  <c r="AU347" i="5"/>
  <c r="AU368" i="5"/>
  <c r="AV368" i="5"/>
  <c r="AV436" i="5"/>
  <c r="AU436" i="5"/>
  <c r="AV378" i="5"/>
  <c r="AU378" i="5"/>
  <c r="AV345" i="5"/>
  <c r="AU345" i="5"/>
  <c r="AV261" i="5"/>
  <c r="AU261" i="5"/>
  <c r="AV219" i="5"/>
  <c r="AU219" i="5"/>
  <c r="AV214" i="5"/>
  <c r="AU214" i="5"/>
  <c r="AU245" i="5"/>
  <c r="AV245" i="5"/>
  <c r="AU184" i="5"/>
  <c r="AV184" i="5"/>
  <c r="AU146" i="5"/>
  <c r="AV146" i="5"/>
  <c r="AU113" i="5"/>
  <c r="AV113" i="5"/>
  <c r="AU70" i="5"/>
  <c r="AV70" i="5"/>
  <c r="AU27" i="5"/>
  <c r="AV27" i="5"/>
  <c r="BA85" i="5"/>
  <c r="BB276" i="5"/>
  <c r="BA54" i="5"/>
  <c r="BA213" i="5"/>
  <c r="BB316" i="5"/>
  <c r="BB133" i="5"/>
  <c r="BB313" i="5"/>
  <c r="BB105" i="5"/>
  <c r="BA88" i="5"/>
  <c r="BB231" i="5"/>
  <c r="BA235" i="5"/>
  <c r="BB109" i="5"/>
  <c r="BB21" i="5"/>
  <c r="BB201" i="5"/>
  <c r="BA339" i="5"/>
  <c r="BB195" i="5"/>
  <c r="BB34" i="5"/>
  <c r="BB241" i="5"/>
  <c r="BB72" i="5"/>
  <c r="BA149" i="5"/>
  <c r="BB225" i="5"/>
  <c r="BB207" i="5"/>
  <c r="BB338" i="5"/>
  <c r="BA76" i="5"/>
  <c r="BB101" i="5"/>
  <c r="BA214" i="5"/>
  <c r="BA317" i="5"/>
  <c r="BA411" i="5"/>
  <c r="BA65" i="5"/>
  <c r="BB145" i="5"/>
  <c r="BB210" i="5"/>
  <c r="BB298" i="5"/>
  <c r="BA41" i="5"/>
  <c r="BA122" i="5"/>
  <c r="BB189" i="5"/>
  <c r="BB306" i="5"/>
  <c r="BB100" i="5"/>
  <c r="BA279" i="5"/>
  <c r="BB147" i="5"/>
  <c r="BA157" i="5"/>
  <c r="BA47" i="5"/>
  <c r="AK71" i="5"/>
  <c r="AL71" i="5"/>
  <c r="AL61" i="5"/>
  <c r="AK61" i="5"/>
  <c r="AK40" i="5"/>
  <c r="AL146" i="5"/>
  <c r="AK146" i="5"/>
  <c r="AK93" i="5"/>
  <c r="AL93" i="5"/>
  <c r="H57" i="1"/>
  <c r="B146" i="2"/>
  <c r="H61" i="1" s="1"/>
  <c r="B143" i="2"/>
  <c r="H59" i="1" s="1"/>
  <c r="AS31" i="5"/>
  <c r="BC31" i="5" s="1"/>
  <c r="AS466" i="5"/>
  <c r="BC466" i="5" s="1"/>
  <c r="AS417" i="5"/>
  <c r="AS422" i="5"/>
  <c r="BC422" i="5" s="1"/>
  <c r="AS497" i="5"/>
  <c r="AS449" i="5"/>
  <c r="AS405" i="5"/>
  <c r="BC405" i="5" s="1"/>
  <c r="AS492" i="5"/>
  <c r="BC492" i="5" s="1"/>
  <c r="AS264" i="5"/>
  <c r="BC264" i="5" s="1"/>
  <c r="BE264" i="5" s="1"/>
  <c r="AS26" i="5"/>
  <c r="BC26" i="5" s="1"/>
  <c r="AS12" i="5"/>
  <c r="AS287" i="5"/>
  <c r="BC287" i="5" s="1"/>
  <c r="BE287" i="5" s="1"/>
  <c r="AS339" i="5"/>
  <c r="AS446" i="5"/>
  <c r="BC446" i="5" s="1"/>
  <c r="AS91" i="5"/>
  <c r="BC91" i="5" s="1"/>
  <c r="AS161" i="5"/>
  <c r="BC161" i="5" s="1"/>
  <c r="AS484" i="5"/>
  <c r="AS310" i="5"/>
  <c r="BC310" i="5" s="1"/>
  <c r="AS50" i="5"/>
  <c r="AS435" i="5"/>
  <c r="BC435" i="5" s="1"/>
  <c r="AS210" i="5"/>
  <c r="BC210" i="5" s="1"/>
  <c r="BE210" i="5" s="1"/>
  <c r="AS71" i="5"/>
  <c r="BC71" i="5" s="1"/>
  <c r="BE71" i="5" s="1"/>
  <c r="AS177" i="5"/>
  <c r="BC177" i="5" s="1"/>
  <c r="AS540" i="5"/>
  <c r="BC540" i="5" s="1"/>
  <c r="AS511" i="5"/>
  <c r="AS444" i="5"/>
  <c r="BC444" i="5" s="1"/>
  <c r="AS548" i="5"/>
  <c r="AS319" i="5"/>
  <c r="BC319" i="5" s="1"/>
  <c r="AS455" i="5"/>
  <c r="AS128" i="5"/>
  <c r="BC128" i="5" s="1"/>
  <c r="AS528" i="5"/>
  <c r="BC528" i="5" s="1"/>
  <c r="AS434" i="5"/>
  <c r="BC434" i="5" s="1"/>
  <c r="AS205" i="5"/>
  <c r="AS538" i="5"/>
  <c r="BC538" i="5" s="1"/>
  <c r="AS452" i="5"/>
  <c r="BC452" i="5" s="1"/>
  <c r="AS265" i="5"/>
  <c r="BC265" i="5" s="1"/>
  <c r="AS64" i="5"/>
  <c r="BC64" i="5" s="1"/>
  <c r="BE64" i="5" s="1"/>
  <c r="AS114" i="5"/>
  <c r="BC114" i="5" s="1"/>
  <c r="BD114" i="5" s="1"/>
  <c r="AS11" i="5"/>
  <c r="AS514" i="5"/>
  <c r="BC514" i="5" s="1"/>
  <c r="AS382" i="5"/>
  <c r="AS373" i="5"/>
  <c r="BC373" i="5" s="1"/>
  <c r="AS500" i="5"/>
  <c r="BC500" i="5" s="1"/>
  <c r="AS258" i="5"/>
  <c r="BC258" i="5" s="1"/>
  <c r="AS426" i="5"/>
  <c r="AS54" i="5"/>
  <c r="BC54" i="5" s="1"/>
  <c r="AS429" i="5"/>
  <c r="AS439" i="5"/>
  <c r="BC439" i="5" s="1"/>
  <c r="AS208" i="5"/>
  <c r="BC208" i="5" s="1"/>
  <c r="AS240" i="5"/>
  <c r="BC240" i="5" s="1"/>
  <c r="AS550" i="5"/>
  <c r="BC550" i="5" s="1"/>
  <c r="AS506" i="5"/>
  <c r="BC506" i="5" s="1"/>
  <c r="AS496" i="5"/>
  <c r="AS350" i="5"/>
  <c r="AS159" i="5"/>
  <c r="BC159" i="5" s="1"/>
  <c r="AS33" i="5"/>
  <c r="BC33" i="5" s="1"/>
  <c r="AS164" i="5"/>
  <c r="BC164" i="5" s="1"/>
  <c r="BE164" i="5" s="1"/>
  <c r="AS292" i="5"/>
  <c r="BC292" i="5" s="1"/>
  <c r="AS252" i="5"/>
  <c r="BC252" i="5" s="1"/>
  <c r="AS418" i="5"/>
  <c r="BC418" i="5" s="1"/>
  <c r="AS43" i="5"/>
  <c r="BC43" i="5" s="1"/>
  <c r="BD43" i="5" s="1"/>
  <c r="AS120" i="5"/>
  <c r="BC120" i="5" s="1"/>
  <c r="AS219" i="5"/>
  <c r="BC219" i="5" s="1"/>
  <c r="BD219" i="5" s="1"/>
  <c r="AS290" i="5"/>
  <c r="BC290" i="5" s="1"/>
  <c r="AS315" i="5"/>
  <c r="BC315" i="5" s="1"/>
  <c r="BE315" i="5" s="1"/>
  <c r="AS442" i="5"/>
  <c r="BC442" i="5" s="1"/>
  <c r="AS156" i="5"/>
  <c r="BC156" i="5" s="1"/>
  <c r="AS21" i="5"/>
  <c r="AS154" i="5"/>
  <c r="BC154" i="5" s="1"/>
  <c r="AS505" i="5"/>
  <c r="BC505" i="5" s="1"/>
  <c r="AS197" i="5"/>
  <c r="BC197" i="5" s="1"/>
  <c r="AS524" i="5"/>
  <c r="BC524" i="5" s="1"/>
  <c r="AS390" i="5"/>
  <c r="BC390" i="5" s="1"/>
  <c r="AS359" i="5"/>
  <c r="BC359" i="5" s="1"/>
  <c r="AS101" i="5"/>
  <c r="BC101" i="5" s="1"/>
  <c r="AS200" i="5"/>
  <c r="AS199" i="5"/>
  <c r="BC199" i="5" s="1"/>
  <c r="AS146" i="5"/>
  <c r="BC146" i="5" s="1"/>
  <c r="AS212" i="5"/>
  <c r="BC212" i="5" s="1"/>
  <c r="AS55" i="5"/>
  <c r="BC55" i="5" s="1"/>
  <c r="BD55" i="5" s="1"/>
  <c r="AS460" i="5"/>
  <c r="AS109" i="5"/>
  <c r="BC109" i="5" s="1"/>
  <c r="AS365" i="5"/>
  <c r="AS28" i="5"/>
  <c r="BC28" i="5" s="1"/>
  <c r="AS179" i="5"/>
  <c r="AS467" i="5"/>
  <c r="BC467" i="5" s="1"/>
  <c r="AS180" i="5"/>
  <c r="BC180" i="5" s="1"/>
  <c r="BE180" i="5" s="1"/>
  <c r="AS398" i="5"/>
  <c r="BC398" i="5" s="1"/>
  <c r="AS207" i="5"/>
  <c r="AS428" i="5"/>
  <c r="BC428" i="5" s="1"/>
  <c r="AS488" i="5"/>
  <c r="BC488" i="5" s="1"/>
  <c r="AS306" i="5"/>
  <c r="BC306" i="5" s="1"/>
  <c r="BD306" i="5" s="1"/>
  <c r="AS98" i="5"/>
  <c r="BC98" i="5" s="1"/>
  <c r="BE98" i="5" s="1"/>
  <c r="AS512" i="5"/>
  <c r="BC512" i="5" s="1"/>
  <c r="AS304" i="5"/>
  <c r="AS46" i="5"/>
  <c r="AS202" i="5"/>
  <c r="BC202" i="5" s="1"/>
  <c r="AS337" i="5"/>
  <c r="BC337" i="5" s="1"/>
  <c r="BD337" i="5" s="1"/>
  <c r="AS228" i="5"/>
  <c r="AS552" i="5"/>
  <c r="BC552" i="5" s="1"/>
  <c r="AS157" i="5"/>
  <c r="BC157" i="5" s="1"/>
  <c r="AS355" i="5"/>
  <c r="AS508" i="5"/>
  <c r="AS515" i="5"/>
  <c r="BC515" i="5" s="1"/>
  <c r="AS215" i="5"/>
  <c r="BC215" i="5" s="1"/>
  <c r="AS29" i="5"/>
  <c r="BC29" i="5" s="1"/>
  <c r="AS454" i="5"/>
  <c r="AS402" i="5"/>
  <c r="BC402" i="5" s="1"/>
  <c r="AS222" i="5"/>
  <c r="BC222" i="5" s="1"/>
  <c r="BE222" i="5" s="1"/>
  <c r="AS84" i="5"/>
  <c r="BC84" i="5" s="1"/>
  <c r="BE84" i="5" s="1"/>
  <c r="AS225" i="5"/>
  <c r="BC225" i="5" s="1"/>
  <c r="AS302" i="5"/>
  <c r="BC302" i="5" s="1"/>
  <c r="AS380" i="5"/>
  <c r="AS86" i="5"/>
  <c r="AS230" i="5"/>
  <c r="BC230" i="5" s="1"/>
  <c r="BD230" i="5" s="1"/>
  <c r="AS358" i="5"/>
  <c r="BC358" i="5" s="1"/>
  <c r="AS371" i="5"/>
  <c r="AS149" i="5"/>
  <c r="BC149" i="5" s="1"/>
  <c r="AS192" i="5"/>
  <c r="BC192" i="5" s="1"/>
  <c r="AS85" i="5"/>
  <c r="BC85" i="5" s="1"/>
  <c r="AS22" i="5"/>
  <c r="BC22" i="5" s="1"/>
  <c r="BD22" i="5" s="1"/>
  <c r="AS234" i="5"/>
  <c r="BC234" i="5" s="1"/>
  <c r="BD234" i="5" s="1"/>
  <c r="AS254" i="5"/>
  <c r="AS403" i="5"/>
  <c r="BC403" i="5" s="1"/>
  <c r="AS106" i="5"/>
  <c r="AS178" i="5"/>
  <c r="BC178" i="5" s="1"/>
  <c r="AS259" i="5"/>
  <c r="BC259" i="5" s="1"/>
  <c r="AS368" i="5"/>
  <c r="BC368" i="5" s="1"/>
  <c r="AS384" i="5"/>
  <c r="BC384" i="5" s="1"/>
  <c r="AS143" i="5"/>
  <c r="BC143" i="5" s="1"/>
  <c r="AS66" i="5"/>
  <c r="AS122" i="5"/>
  <c r="BC122" i="5" s="1"/>
  <c r="BD122" i="5" s="1"/>
  <c r="AS99" i="5"/>
  <c r="BC99" i="5" s="1"/>
  <c r="AS36" i="5"/>
  <c r="BC36" i="5" s="1"/>
  <c r="AS267" i="5"/>
  <c r="BC267" i="5" s="1"/>
  <c r="AS283" i="5"/>
  <c r="BC283" i="5" s="1"/>
  <c r="BD283" i="5" s="1"/>
  <c r="AS425" i="5"/>
  <c r="AS148" i="5"/>
  <c r="BC148" i="5" s="1"/>
  <c r="AS195" i="5"/>
  <c r="BC195" i="5" s="1"/>
  <c r="BD195" i="5" s="1"/>
  <c r="AS271" i="5"/>
  <c r="BC271" i="5" s="1"/>
  <c r="AS386" i="5"/>
  <c r="AS399" i="5"/>
  <c r="BC399" i="5" s="1"/>
  <c r="AS115" i="5"/>
  <c r="BC115" i="5" s="1"/>
  <c r="BE115" i="5" s="1"/>
  <c r="AS47" i="5"/>
  <c r="BC47" i="5" s="1"/>
  <c r="AS184" i="5"/>
  <c r="BC184" i="5" s="1"/>
  <c r="AS100" i="5"/>
  <c r="BC100" i="5" s="1"/>
  <c r="BE100" i="5" s="1"/>
  <c r="AS45" i="5"/>
  <c r="BC45" i="5" s="1"/>
  <c r="BD45" i="5" s="1"/>
  <c r="AS303" i="5"/>
  <c r="AS409" i="5"/>
  <c r="BC409" i="5" s="1"/>
  <c r="AS336" i="5"/>
  <c r="BC336" i="5" s="1"/>
  <c r="AS96" i="5"/>
  <c r="AS216" i="5"/>
  <c r="BC216" i="5" s="1"/>
  <c r="AS327" i="5"/>
  <c r="AS324" i="5"/>
  <c r="BC324" i="5" s="1"/>
  <c r="AS357" i="5"/>
  <c r="AS182" i="5"/>
  <c r="BC182" i="5" s="1"/>
  <c r="AS78" i="5"/>
  <c r="BC78" i="5" s="1"/>
  <c r="BE78" i="5" s="1"/>
  <c r="AS172" i="5"/>
  <c r="BC172" i="5" s="1"/>
  <c r="AS142" i="5"/>
  <c r="AS37" i="5"/>
  <c r="BC37" i="5" s="1"/>
  <c r="AS522" i="5"/>
  <c r="BC522" i="5" s="1"/>
  <c r="AS366" i="5"/>
  <c r="BC366" i="5" s="1"/>
  <c r="AS165" i="5"/>
  <c r="BC165" i="5" s="1"/>
  <c r="AS322" i="5"/>
  <c r="AS110" i="5"/>
  <c r="BC110" i="5" s="1"/>
  <c r="AS464" i="5"/>
  <c r="BC464" i="5" s="1"/>
  <c r="AS51" i="5"/>
  <c r="BC51" i="5" s="1"/>
  <c r="BD51" i="5" s="1"/>
  <c r="AS471" i="5"/>
  <c r="AS438" i="5"/>
  <c r="BC438" i="5" s="1"/>
  <c r="AS556" i="5"/>
  <c r="BC556" i="5" s="1"/>
  <c r="AS479" i="5"/>
  <c r="BC479" i="5" s="1"/>
  <c r="AS489" i="5"/>
  <c r="BC489" i="5" s="1"/>
  <c r="AS389" i="5"/>
  <c r="AS558" i="5"/>
  <c r="BC558" i="5" s="1"/>
  <c r="AS342" i="5"/>
  <c r="AS56" i="5"/>
  <c r="BC56" i="5" s="1"/>
  <c r="AS13" i="5"/>
  <c r="AS256" i="5"/>
  <c r="AS547" i="5"/>
  <c r="AS223" i="5"/>
  <c r="BC223" i="5" s="1"/>
  <c r="BE223" i="5" s="1"/>
  <c r="AS81" i="5"/>
  <c r="BC81" i="5" s="1"/>
  <c r="AS313" i="5"/>
  <c r="BC313" i="5" s="1"/>
  <c r="AS473" i="5"/>
  <c r="AS340" i="5"/>
  <c r="BC340" i="5" s="1"/>
  <c r="AS27" i="5"/>
  <c r="BC27" i="5" s="1"/>
  <c r="BD27" i="5" s="1"/>
  <c r="AS516" i="5"/>
  <c r="BC516" i="5" s="1"/>
  <c r="AS139" i="5"/>
  <c r="BC139" i="5" s="1"/>
  <c r="AS93" i="5"/>
  <c r="BC93" i="5" s="1"/>
  <c r="AS430" i="5"/>
  <c r="BC430" i="5" s="1"/>
  <c r="AS494" i="5"/>
  <c r="BC494" i="5" s="1"/>
  <c r="AS551" i="5"/>
  <c r="BC551" i="5" s="1"/>
  <c r="AS485" i="5"/>
  <c r="BC485" i="5" s="1"/>
  <c r="AS23" i="5"/>
  <c r="BC23" i="5" s="1"/>
  <c r="BE23" i="5" s="1"/>
  <c r="AS227" i="5"/>
  <c r="BC227" i="5" s="1"/>
  <c r="AS519" i="5"/>
  <c r="AS397" i="5"/>
  <c r="BC397" i="5" s="1"/>
  <c r="AS299" i="5"/>
  <c r="BC299" i="5" s="1"/>
  <c r="BD299" i="5" s="1"/>
  <c r="AS443" i="5"/>
  <c r="BC443" i="5" s="1"/>
  <c r="AS498" i="5"/>
  <c r="BC498" i="5" s="1"/>
  <c r="AS407" i="5"/>
  <c r="BC407" i="5" s="1"/>
  <c r="AS111" i="5"/>
  <c r="BC111" i="5" s="1"/>
  <c r="AS116" i="5"/>
  <c r="BC116" i="5" s="1"/>
  <c r="AS231" i="5"/>
  <c r="BC231" i="5" s="1"/>
  <c r="BE231" i="5" s="1"/>
  <c r="AS367" i="5"/>
  <c r="BC367" i="5" s="1"/>
  <c r="AS388" i="5"/>
  <c r="BC388" i="5" s="1"/>
  <c r="AS123" i="5"/>
  <c r="AS282" i="5"/>
  <c r="AS354" i="5"/>
  <c r="BC354" i="5" s="1"/>
  <c r="AS348" i="5"/>
  <c r="AS57" i="5"/>
  <c r="AS152" i="5"/>
  <c r="BC152" i="5" s="1"/>
  <c r="AS97" i="5"/>
  <c r="BC97" i="5" s="1"/>
  <c r="BE97" i="5" s="1"/>
  <c r="AS201" i="5"/>
  <c r="BC201" i="5" s="1"/>
  <c r="AS321" i="5"/>
  <c r="BC321" i="5" s="1"/>
  <c r="AS361" i="5"/>
  <c r="AS472" i="5"/>
  <c r="BC472" i="5" s="1"/>
  <c r="AS140" i="5"/>
  <c r="BC140" i="5" s="1"/>
  <c r="AS238" i="5"/>
  <c r="BC238" i="5" s="1"/>
  <c r="AS198" i="5"/>
  <c r="BC198" i="5" s="1"/>
  <c r="BD198" i="5" s="1"/>
  <c r="AS193" i="5"/>
  <c r="BC193" i="5" s="1"/>
  <c r="AS394" i="5"/>
  <c r="AS131" i="5"/>
  <c r="BC131" i="5" s="1"/>
  <c r="AS25" i="5"/>
  <c r="AS141" i="5"/>
  <c r="BC141" i="5" s="1"/>
  <c r="BD141" i="5" s="1"/>
  <c r="AS48" i="5"/>
  <c r="BC48" i="5" s="1"/>
  <c r="BD48" i="5" s="1"/>
  <c r="AS266" i="5"/>
  <c r="BC266" i="5" s="1"/>
  <c r="AS331" i="5"/>
  <c r="BC331" i="5" s="1"/>
  <c r="AS383" i="5"/>
  <c r="BC383" i="5" s="1"/>
  <c r="AS490" i="5"/>
  <c r="AS155" i="5"/>
  <c r="BC155" i="5" s="1"/>
  <c r="AS194" i="5"/>
  <c r="BC194" i="5" s="1"/>
  <c r="AS247" i="5"/>
  <c r="BC247" i="5" s="1"/>
  <c r="AS257" i="5"/>
  <c r="BC257" i="5" s="1"/>
  <c r="AS406" i="5"/>
  <c r="BC406" i="5" s="1"/>
  <c r="AS117" i="5"/>
  <c r="BC117" i="5" s="1"/>
  <c r="AS40" i="5"/>
  <c r="BC40" i="5" s="1"/>
  <c r="AS121" i="5"/>
  <c r="BC121" i="5" s="1"/>
  <c r="AS75" i="5"/>
  <c r="BC75" i="5" s="1"/>
  <c r="BD75" i="5" s="1"/>
  <c r="AS214" i="5"/>
  <c r="BC214" i="5" s="1"/>
  <c r="BE214" i="5" s="1"/>
  <c r="AS284" i="5"/>
  <c r="BC284" i="5" s="1"/>
  <c r="AS312" i="5"/>
  <c r="AS436" i="5"/>
  <c r="BC436" i="5" s="1"/>
  <c r="AS102" i="5"/>
  <c r="AS217" i="5"/>
  <c r="BC217" i="5" s="1"/>
  <c r="AS291" i="5"/>
  <c r="BC291" i="5" s="1"/>
  <c r="AS396" i="5"/>
  <c r="BC396" i="5" s="1"/>
  <c r="AS416" i="5"/>
  <c r="BC416" i="5" s="1"/>
  <c r="AS88" i="5"/>
  <c r="BC88" i="5" s="1"/>
  <c r="AS65" i="5"/>
  <c r="AS169" i="5"/>
  <c r="BC169" i="5" s="1"/>
  <c r="AS83" i="5"/>
  <c r="BC83" i="5" s="1"/>
  <c r="BD83" i="5" s="1"/>
  <c r="AS445" i="5"/>
  <c r="BC445" i="5" s="1"/>
  <c r="AS504" i="5"/>
  <c r="AS493" i="5"/>
  <c r="BC493" i="5" s="1"/>
  <c r="AS135" i="5"/>
  <c r="AS235" i="5"/>
  <c r="BC235" i="5" s="1"/>
  <c r="AS468" i="5"/>
  <c r="AS241" i="5"/>
  <c r="BC241" i="5" s="1"/>
  <c r="AS333" i="5"/>
  <c r="AS539" i="5"/>
  <c r="BC539" i="5" s="1"/>
  <c r="AS408" i="5"/>
  <c r="BC408" i="5" s="1"/>
  <c r="AS502" i="5"/>
  <c r="BC502" i="5" s="1"/>
  <c r="AS459" i="5"/>
  <c r="AS431" i="5"/>
  <c r="BC431" i="5" s="1"/>
  <c r="AS173" i="5"/>
  <c r="AS534" i="5"/>
  <c r="BC534" i="5" s="1"/>
  <c r="AS250" i="5"/>
  <c r="BC250" i="5" s="1"/>
  <c r="AS535" i="5"/>
  <c r="BC535" i="5" s="1"/>
  <c r="AS463" i="5"/>
  <c r="BC463" i="5" s="1"/>
  <c r="AS82" i="5"/>
  <c r="BC82" i="5" s="1"/>
  <c r="BD82" i="5" s="1"/>
  <c r="AS423" i="5"/>
  <c r="AS63" i="5"/>
  <c r="BC63" i="5" s="1"/>
  <c r="AS253" i="5"/>
  <c r="BC253" i="5" s="1"/>
  <c r="AS456" i="5"/>
  <c r="BC456" i="5" s="1"/>
  <c r="AS183" i="5"/>
  <c r="BC183" i="5" s="1"/>
  <c r="AS118" i="5"/>
  <c r="BC118" i="5" s="1"/>
  <c r="AS138" i="5"/>
  <c r="BC138" i="5" s="1"/>
  <c r="AS308" i="5"/>
  <c r="BC308" i="5" s="1"/>
  <c r="AS334" i="5"/>
  <c r="AS181" i="5"/>
  <c r="BC181" i="5" s="1"/>
  <c r="AS305" i="5"/>
  <c r="BC305" i="5" s="1"/>
  <c r="BE305" i="5" s="1"/>
  <c r="AS458" i="5"/>
  <c r="BC458" i="5" s="1"/>
  <c r="AS211" i="5"/>
  <c r="BC211" i="5" s="1"/>
  <c r="AS53" i="5"/>
  <c r="BC53" i="5" s="1"/>
  <c r="BD53" i="5" s="1"/>
  <c r="AS301" i="5"/>
  <c r="AS60" i="5"/>
  <c r="BC60" i="5" s="1"/>
  <c r="AS246" i="5"/>
  <c r="BC246" i="5" s="1"/>
  <c r="BD246" i="5" s="1"/>
  <c r="AS369" i="5"/>
  <c r="BC369" i="5" s="1"/>
  <c r="BE369" i="5" s="1"/>
  <c r="AS104" i="5"/>
  <c r="BC104" i="5" s="1"/>
  <c r="AS133" i="5"/>
  <c r="BC133" i="5" s="1"/>
  <c r="BD133" i="5" s="1"/>
  <c r="AS279" i="5"/>
  <c r="BC279" i="5" s="1"/>
  <c r="AS404" i="5"/>
  <c r="BC404" i="5" s="1"/>
  <c r="AS127" i="5"/>
  <c r="BC127" i="5" s="1"/>
  <c r="BD127" i="5" s="1"/>
  <c r="AS268" i="5"/>
  <c r="BC268" i="5" s="1"/>
  <c r="AS433" i="5"/>
  <c r="BC433" i="5" s="1"/>
  <c r="AS42" i="5"/>
  <c r="BC42" i="5" s="1"/>
  <c r="AS35" i="5"/>
  <c r="BC35" i="5" s="1"/>
  <c r="BE35" i="5" s="1"/>
  <c r="AS320" i="5"/>
  <c r="BC320" i="5" s="1"/>
  <c r="AS410" i="5"/>
  <c r="AS124" i="5"/>
  <c r="BC124" i="5" s="1"/>
  <c r="AS326" i="5"/>
  <c r="BC326" i="5" s="1"/>
  <c r="AS39" i="5"/>
  <c r="BC39" i="5" s="1"/>
  <c r="AS103" i="5"/>
  <c r="BC103" i="5" s="1"/>
  <c r="BD103" i="5" s="1"/>
  <c r="AS391" i="5"/>
  <c r="BC391" i="5" s="1"/>
  <c r="AS220" i="5"/>
  <c r="AS518" i="5"/>
  <c r="AS343" i="5"/>
  <c r="AS381" i="5"/>
  <c r="AS105" i="5"/>
  <c r="BC105" i="5" s="1"/>
  <c r="AS134" i="5"/>
  <c r="BC134" i="5" s="1"/>
  <c r="AS349" i="5"/>
  <c r="BC349" i="5" s="1"/>
  <c r="AS125" i="5"/>
  <c r="BC125" i="5" s="1"/>
  <c r="AS196" i="5"/>
  <c r="AS176" i="5"/>
  <c r="BC176" i="5" s="1"/>
  <c r="AS542" i="5"/>
  <c r="BC542" i="5" s="1"/>
  <c r="AS170" i="5"/>
  <c r="BC170" i="5" s="1"/>
  <c r="AS483" i="5"/>
  <c r="BC483" i="5" s="1"/>
  <c r="AS332" i="5"/>
  <c r="BC332" i="5" s="1"/>
  <c r="AS187" i="5"/>
  <c r="AS224" i="5"/>
  <c r="BC224" i="5" s="1"/>
  <c r="AS448" i="5"/>
  <c r="AS24" i="5"/>
  <c r="BC24" i="5" s="1"/>
  <c r="AS364" i="5"/>
  <c r="BC364" i="5" s="1"/>
  <c r="AS527" i="5"/>
  <c r="BC527" i="5" s="1"/>
  <c r="AS520" i="5"/>
  <c r="BC520" i="5" s="1"/>
  <c r="AS32" i="5"/>
  <c r="BC32" i="5" s="1"/>
  <c r="AS531" i="5"/>
  <c r="AS513" i="5"/>
  <c r="BC513" i="5" s="1"/>
  <c r="AS377" i="5"/>
  <c r="BC377" i="5" s="1"/>
  <c r="AS507" i="5"/>
  <c r="BC507" i="5" s="1"/>
  <c r="AS144" i="5"/>
  <c r="BC144" i="5" s="1"/>
  <c r="BD144" i="5" s="1"/>
  <c r="AS263" i="5"/>
  <c r="BC263" i="5" s="1"/>
  <c r="BE263" i="5" s="1"/>
  <c r="AS34" i="5"/>
  <c r="AS323" i="5"/>
  <c r="BC323" i="5" s="1"/>
  <c r="AS38" i="5"/>
  <c r="BC38" i="5" s="1"/>
  <c r="BD38" i="5" s="1"/>
  <c r="AS307" i="5"/>
  <c r="BC307" i="5" s="1"/>
  <c r="AS163" i="5"/>
  <c r="BC163" i="5" s="1"/>
  <c r="BD163" i="5" s="1"/>
  <c r="AS112" i="5"/>
  <c r="BC112" i="5" s="1"/>
  <c r="BE112" i="5" s="1"/>
  <c r="AS269" i="5"/>
  <c r="BC269" i="5" s="1"/>
  <c r="BE269" i="5" s="1"/>
  <c r="AS395" i="5"/>
  <c r="BC395" i="5" s="1"/>
  <c r="AS204" i="5"/>
  <c r="AS255" i="5"/>
  <c r="BC255" i="5" s="1"/>
  <c r="AS162" i="5"/>
  <c r="BC162" i="5" s="1"/>
  <c r="AS168" i="5"/>
  <c r="BC168" i="5" s="1"/>
  <c r="BD168" i="5" s="1"/>
  <c r="AS62" i="5"/>
  <c r="BC62" i="5" s="1"/>
  <c r="AS393" i="5"/>
  <c r="BC393" i="5" s="1"/>
  <c r="BD393" i="5" s="1"/>
  <c r="AS79" i="5"/>
  <c r="AS311" i="5"/>
  <c r="BC311" i="5" s="1"/>
  <c r="AS335" i="5"/>
  <c r="AS74" i="5"/>
  <c r="BC74" i="5" s="1"/>
  <c r="AS160" i="5"/>
  <c r="BC160" i="5" s="1"/>
  <c r="AS171" i="5"/>
  <c r="BC171" i="5" s="1"/>
  <c r="AS370" i="5"/>
  <c r="AS175" i="5"/>
  <c r="BC175" i="5" s="1"/>
  <c r="BE175" i="5" s="1"/>
  <c r="AS341" i="5"/>
  <c r="AS174" i="5"/>
  <c r="BC174" i="5" s="1"/>
  <c r="AS158" i="5"/>
  <c r="BC158" i="5" s="1"/>
  <c r="BE158" i="5" s="1"/>
  <c r="AS58" i="5"/>
  <c r="BC58" i="5" s="1"/>
  <c r="AS206" i="5"/>
  <c r="BC206" i="5" s="1"/>
  <c r="AS486" i="5"/>
  <c r="BC486" i="5" s="1"/>
  <c r="AS376" i="5"/>
  <c r="AS378" i="5"/>
  <c r="BC378" i="5" s="1"/>
  <c r="AS530" i="5"/>
  <c r="AS153" i="5"/>
  <c r="BC153" i="5" s="1"/>
  <c r="AS526" i="5"/>
  <c r="AS328" i="5"/>
  <c r="BC328" i="5" s="1"/>
  <c r="AS461" i="5"/>
  <c r="BC461" i="5" s="1"/>
  <c r="AS20" i="5"/>
  <c r="BC20" i="5" s="1"/>
  <c r="AS451" i="5"/>
  <c r="AS145" i="5"/>
  <c r="BC145" i="5" s="1"/>
  <c r="AS441" i="5"/>
  <c r="BC441" i="5" s="1"/>
  <c r="AS69" i="5"/>
  <c r="BC69" i="5" s="1"/>
  <c r="AS274" i="5"/>
  <c r="BC274" i="5" s="1"/>
  <c r="AS237" i="5"/>
  <c r="BC237" i="5" s="1"/>
  <c r="BD237" i="5" s="1"/>
  <c r="AS147" i="5"/>
  <c r="BC147" i="5" s="1"/>
  <c r="AS346" i="5"/>
  <c r="BC346" i="5" s="1"/>
  <c r="AS475" i="5"/>
  <c r="AS30" i="5"/>
  <c r="BC30" i="5" s="1"/>
  <c r="AS203" i="5"/>
  <c r="AS107" i="5"/>
  <c r="AS457" i="5"/>
  <c r="BC457" i="5" s="1"/>
  <c r="AS419" i="5"/>
  <c r="BC419" i="5" s="1"/>
  <c r="AS517" i="5"/>
  <c r="AS420" i="5"/>
  <c r="BC420" i="5" s="1"/>
  <c r="AS248" i="5"/>
  <c r="BC248" i="5" s="1"/>
  <c r="AS544" i="5"/>
  <c r="BC544" i="5" s="1"/>
  <c r="AS213" i="5"/>
  <c r="BC213" i="5" s="1"/>
  <c r="AS330" i="5"/>
  <c r="BC330" i="5" s="1"/>
  <c r="AS374" i="5"/>
  <c r="AS229" i="5"/>
  <c r="BC229" i="5" s="1"/>
  <c r="AS411" i="5"/>
  <c r="BC411" i="5" s="1"/>
  <c r="AS72" i="5"/>
  <c r="BC72" i="5" s="1"/>
  <c r="AS297" i="5"/>
  <c r="BC297" i="5" s="1"/>
  <c r="AS61" i="5"/>
  <c r="BC61" i="5" s="1"/>
  <c r="BD61" i="5" s="1"/>
  <c r="AS413" i="5"/>
  <c r="AS277" i="5"/>
  <c r="BC277" i="5" s="1"/>
  <c r="AS44" i="5"/>
  <c r="BC44" i="5" s="1"/>
  <c r="BD44" i="5" s="1"/>
  <c r="AS270" i="5"/>
  <c r="BC270" i="5" s="1"/>
  <c r="AS95" i="5"/>
  <c r="BC95" i="5" s="1"/>
  <c r="AS482" i="5"/>
  <c r="BC482" i="5" s="1"/>
  <c r="AS529" i="5"/>
  <c r="BC529" i="5" s="1"/>
  <c r="AS151" i="5"/>
  <c r="BC151" i="5" s="1"/>
  <c r="AS67" i="5"/>
  <c r="AS167" i="5"/>
  <c r="BC167" i="5" s="1"/>
  <c r="AS375" i="5"/>
  <c r="AS314" i="5"/>
  <c r="BC314" i="5" s="1"/>
  <c r="AS300" i="5"/>
  <c r="AS166" i="5"/>
  <c r="BC166" i="5" s="1"/>
  <c r="BE166" i="5" s="1"/>
  <c r="AS76" i="5"/>
  <c r="BC76" i="5" s="1"/>
  <c r="AS41" i="5"/>
  <c r="BC41" i="5" s="1"/>
  <c r="BD41" i="5" s="1"/>
  <c r="AS347" i="5"/>
  <c r="AS325" i="5"/>
  <c r="BC325" i="5" s="1"/>
  <c r="AS137" i="5"/>
  <c r="BC137" i="5" s="1"/>
  <c r="AS189" i="5"/>
  <c r="BC189" i="5" s="1"/>
  <c r="AS352" i="5"/>
  <c r="BC352" i="5" s="1"/>
  <c r="BE352" i="5" s="1"/>
  <c r="AS295" i="5"/>
  <c r="BC295" i="5" s="1"/>
  <c r="AS244" i="5"/>
  <c r="AS474" i="5"/>
  <c r="BC474" i="5" s="1"/>
  <c r="AS119" i="5"/>
  <c r="BC119" i="5" s="1"/>
  <c r="BD119" i="5" s="1"/>
  <c r="AS338" i="5"/>
  <c r="BC338" i="5" s="1"/>
  <c r="BD338" i="5" s="1"/>
  <c r="AS239" i="5"/>
  <c r="AS89" i="5"/>
  <c r="BC89" i="5" s="1"/>
  <c r="AS260" i="5"/>
  <c r="BC260" i="5" s="1"/>
  <c r="AS278" i="5"/>
  <c r="BC278" i="5" s="1"/>
  <c r="BD278" i="5" s="1"/>
  <c r="AS232" i="5"/>
  <c r="BC232" i="5" s="1"/>
  <c r="AS52" i="5"/>
  <c r="BC52" i="5" s="1"/>
  <c r="AS77" i="5"/>
  <c r="BC77" i="5" s="1"/>
  <c r="AS249" i="5"/>
  <c r="BC249" i="5" s="1"/>
  <c r="AS288" i="5"/>
  <c r="BC288" i="5" s="1"/>
  <c r="AS186" i="5"/>
  <c r="BC186" i="5" s="1"/>
  <c r="AS130" i="5"/>
  <c r="BC130" i="5" s="1"/>
  <c r="BE130" i="5" s="1"/>
  <c r="AS49" i="5"/>
  <c r="BC49" i="5" s="1"/>
  <c r="AS385" i="5"/>
  <c r="AS480" i="5"/>
  <c r="BC480" i="5" s="1"/>
  <c r="AS316" i="5"/>
  <c r="BC316" i="5" s="1"/>
  <c r="BD316" i="5" s="1"/>
  <c r="AS87" i="5"/>
  <c r="BC87" i="5" s="1"/>
  <c r="AS465" i="5"/>
  <c r="BC465" i="5" s="1"/>
  <c r="AS363" i="5"/>
  <c r="BC363" i="5" s="1"/>
  <c r="AS424" i="5"/>
  <c r="BC424" i="5" s="1"/>
  <c r="AS281" i="5"/>
  <c r="BC281" i="5" s="1"/>
  <c r="AS537" i="5"/>
  <c r="BC537" i="5" s="1"/>
  <c r="BD537" i="5" s="1"/>
  <c r="AS275" i="5"/>
  <c r="BC275" i="5" s="1"/>
  <c r="AS372" i="5"/>
  <c r="BC372" i="5" s="1"/>
  <c r="AS129" i="5"/>
  <c r="BC129" i="5" s="1"/>
  <c r="AS427" i="5"/>
  <c r="AS108" i="5"/>
  <c r="BC108" i="5" s="1"/>
  <c r="AS421" i="5"/>
  <c r="AS543" i="5"/>
  <c r="BC543" i="5" s="1"/>
  <c r="BE543" i="5" s="1"/>
  <c r="AS7" i="5"/>
  <c r="BC7" i="5" s="1"/>
  <c r="BD7" i="5" s="1"/>
  <c r="AS555" i="5"/>
  <c r="BC555" i="5" s="1"/>
  <c r="BE555" i="5" s="1"/>
  <c r="AS509" i="5"/>
  <c r="BC509" i="5" s="1"/>
  <c r="AS491" i="5"/>
  <c r="BC491" i="5" s="1"/>
  <c r="AS440" i="5"/>
  <c r="AS94" i="5"/>
  <c r="BC94" i="5" s="1"/>
  <c r="BD94" i="5" s="1"/>
  <c r="AS437" i="5"/>
  <c r="BC437" i="5" s="1"/>
  <c r="AS285" i="5"/>
  <c r="BC285" i="5" s="1"/>
  <c r="AS545" i="5"/>
  <c r="BC545" i="5" s="1"/>
  <c r="AS549" i="5"/>
  <c r="BC549" i="5" s="1"/>
  <c r="BE549" i="5" s="1"/>
  <c r="AS136" i="5"/>
  <c r="BC136" i="5" s="1"/>
  <c r="AS296" i="5"/>
  <c r="BC296" i="5" s="1"/>
  <c r="BD296" i="5" s="1"/>
  <c r="AS262" i="5"/>
  <c r="BC262" i="5" s="1"/>
  <c r="BE262" i="5" s="1"/>
  <c r="AS245" i="5"/>
  <c r="BC245" i="5" s="1"/>
  <c r="BD245" i="5" s="1"/>
  <c r="AS289" i="5"/>
  <c r="BC289" i="5" s="1"/>
  <c r="AS280" i="5"/>
  <c r="AS59" i="5"/>
  <c r="BC59" i="5" s="1"/>
  <c r="BE59" i="5" s="1"/>
  <c r="AS190" i="5"/>
  <c r="BC190" i="5" s="1"/>
  <c r="AS559" i="5"/>
  <c r="BC559" i="5" s="1"/>
  <c r="AS226" i="5"/>
  <c r="BC226" i="5" s="1"/>
  <c r="AS309" i="5"/>
  <c r="BC309" i="5" s="1"/>
  <c r="AS185" i="5"/>
  <c r="BC185" i="5" s="1"/>
  <c r="AS379" i="5"/>
  <c r="BC379" i="5" s="1"/>
  <c r="AS242" i="5"/>
  <c r="BC242" i="5" s="1"/>
  <c r="AS553" i="5"/>
  <c r="BC553" i="5" s="1"/>
  <c r="AS362" i="5"/>
  <c r="BC362" i="5" s="1"/>
  <c r="AS150" i="5"/>
  <c r="BC150" i="5" s="1"/>
  <c r="AS525" i="5"/>
  <c r="BC525" i="5" s="1"/>
  <c r="AS345" i="5"/>
  <c r="AS92" i="5"/>
  <c r="BC92" i="5" s="1"/>
  <c r="AS298" i="5"/>
  <c r="BC298" i="5" s="1"/>
  <c r="AS191" i="5"/>
  <c r="BC191" i="5" s="1"/>
  <c r="BE191" i="5" s="1"/>
  <c r="AS462" i="5"/>
  <c r="AS432" i="5"/>
  <c r="BC432" i="5" s="1"/>
  <c r="AS412" i="5"/>
  <c r="BC412" i="5" s="1"/>
  <c r="AS521" i="5"/>
  <c r="BC521" i="5" s="1"/>
  <c r="BD521" i="5" s="1"/>
  <c r="AS353" i="5"/>
  <c r="BC353" i="5" s="1"/>
  <c r="AS401" i="5"/>
  <c r="BC401" i="5" s="1"/>
  <c r="AS90" i="5"/>
  <c r="AS453" i="5"/>
  <c r="BC453" i="5" s="1"/>
  <c r="BD453" i="5" s="1"/>
  <c r="AS450" i="5"/>
  <c r="BC450" i="5" s="1"/>
  <c r="AS360" i="5"/>
  <c r="BC360" i="5" s="1"/>
  <c r="AS344" i="5"/>
  <c r="BC344" i="5" s="1"/>
  <c r="BE344" i="5" s="1"/>
  <c r="AS392" i="5"/>
  <c r="BC392" i="5" s="1"/>
  <c r="AS251" i="5"/>
  <c r="BC251" i="5" s="1"/>
  <c r="AS510" i="5"/>
  <c r="BC510" i="5" s="1"/>
  <c r="AS560" i="5"/>
  <c r="BC560" i="5" s="1"/>
  <c r="BE560" i="5" s="1"/>
  <c r="AS536" i="5"/>
  <c r="BC536" i="5" s="1"/>
  <c r="BD536" i="5" s="1"/>
  <c r="AS476" i="5"/>
  <c r="BC476" i="5" s="1"/>
  <c r="AS477" i="5"/>
  <c r="BC477" i="5" s="1"/>
  <c r="AS503" i="5"/>
  <c r="BC503" i="5" s="1"/>
  <c r="AS469" i="5"/>
  <c r="BC469" i="5" s="1"/>
  <c r="BD469" i="5" s="1"/>
  <c r="AS10" i="5"/>
  <c r="AS70" i="5"/>
  <c r="BC70" i="5" s="1"/>
  <c r="BD70" i="5" s="1"/>
  <c r="AS209" i="5"/>
  <c r="BC209" i="5" s="1"/>
  <c r="AS400" i="5"/>
  <c r="BC400" i="5" s="1"/>
  <c r="AS233" i="5"/>
  <c r="BC233" i="5" s="1"/>
  <c r="AS415" i="5"/>
  <c r="BC415" i="5" s="1"/>
  <c r="AS80" i="5"/>
  <c r="BC80" i="5" s="1"/>
  <c r="AS294" i="5"/>
  <c r="BC294" i="5" s="1"/>
  <c r="AS73" i="5"/>
  <c r="BC73" i="5" s="1"/>
  <c r="AS113" i="5"/>
  <c r="BC113" i="5" s="1"/>
  <c r="BD113" i="5" s="1"/>
  <c r="AS533" i="5"/>
  <c r="BC533" i="5" s="1"/>
  <c r="BD533" i="5" s="1"/>
  <c r="AS478" i="5"/>
  <c r="BC478" i="5" s="1"/>
  <c r="AS9" i="5"/>
  <c r="AS218" i="5"/>
  <c r="BC218" i="5" s="1"/>
  <c r="AS132" i="5"/>
  <c r="BC132" i="5" s="1"/>
  <c r="AS557" i="5"/>
  <c r="BC557" i="5" s="1"/>
  <c r="AS293" i="5"/>
  <c r="AS501" i="5"/>
  <c r="BC501" i="5" s="1"/>
  <c r="AS126" i="5"/>
  <c r="BC126" i="5" s="1"/>
  <c r="AS499" i="5"/>
  <c r="BC499" i="5" s="1"/>
  <c r="AS541" i="5"/>
  <c r="BC541" i="5" s="1"/>
  <c r="AS481" i="5"/>
  <c r="BC481" i="5" s="1"/>
  <c r="BD481" i="5" s="1"/>
  <c r="AS236" i="5"/>
  <c r="BC236" i="5" s="1"/>
  <c r="BD236" i="5" s="1"/>
  <c r="AS554" i="5"/>
  <c r="BC554" i="5" s="1"/>
  <c r="AS286" i="5"/>
  <c r="BC286" i="5" s="1"/>
  <c r="AS273" i="5"/>
  <c r="BC273" i="5" s="1"/>
  <c r="AS487" i="5"/>
  <c r="BC487" i="5" s="1"/>
  <c r="AS470" i="5"/>
  <c r="BC470" i="5" s="1"/>
  <c r="BE470" i="5" s="1"/>
  <c r="AS68" i="5"/>
  <c r="BC68" i="5" s="1"/>
  <c r="AS221" i="5"/>
  <c r="BC221" i="5" s="1"/>
  <c r="BE221" i="5" s="1"/>
  <c r="AS317" i="5"/>
  <c r="BC317" i="5" s="1"/>
  <c r="AS8" i="5"/>
  <c r="BC8" i="5" s="1"/>
  <c r="BD8" i="5" s="1"/>
  <c r="AS329" i="5"/>
  <c r="BC329" i="5" s="1"/>
  <c r="BE329" i="5" s="1"/>
  <c r="AS447" i="5"/>
  <c r="BC447" i="5" s="1"/>
  <c r="AS351" i="5"/>
  <c r="BC351" i="5" s="1"/>
  <c r="AS532" i="5"/>
  <c r="BC532" i="5" s="1"/>
  <c r="AS546" i="5"/>
  <c r="BC546" i="5" s="1"/>
  <c r="AS414" i="5"/>
  <c r="BC414" i="5" s="1"/>
  <c r="AS387" i="5"/>
  <c r="BC387" i="5" s="1"/>
  <c r="AS318" i="5"/>
  <c r="BC318" i="5" s="1"/>
  <c r="AS272" i="5"/>
  <c r="BC272" i="5" s="1"/>
  <c r="AS523" i="5"/>
  <c r="BC523" i="5" s="1"/>
  <c r="AS188" i="5"/>
  <c r="AS495" i="5"/>
  <c r="BC495" i="5" s="1"/>
  <c r="BE495" i="5" s="1"/>
  <c r="AS276" i="5"/>
  <c r="BC276" i="5" s="1"/>
  <c r="AS356" i="5"/>
  <c r="BC356" i="5" s="1"/>
  <c r="BD356" i="5" s="1"/>
  <c r="AS243" i="5"/>
  <c r="BC243" i="5" s="1"/>
  <c r="AS261" i="5"/>
  <c r="BC261" i="5" s="1"/>
  <c r="AS19" i="5"/>
  <c r="BC19" i="5" s="1"/>
  <c r="AL12" i="5"/>
  <c r="BC462" i="5"/>
  <c r="BD462" i="5" s="1"/>
  <c r="BB552" i="5"/>
  <c r="BA552" i="5"/>
  <c r="BB539" i="5"/>
  <c r="BA539" i="5"/>
  <c r="BA514" i="5"/>
  <c r="BB514" i="5"/>
  <c r="BA273" i="5"/>
  <c r="BB273" i="5"/>
  <c r="BB376" i="5"/>
  <c r="BA376" i="5"/>
  <c r="BA90" i="5"/>
  <c r="BB90" i="5"/>
  <c r="BB456" i="5"/>
  <c r="BA456" i="5"/>
  <c r="BA498" i="5"/>
  <c r="BB498" i="5"/>
  <c r="BA349" i="5"/>
  <c r="BB349" i="5"/>
  <c r="BA258" i="5"/>
  <c r="BB258" i="5"/>
  <c r="BB155" i="5"/>
  <c r="BA155" i="5"/>
  <c r="BA534" i="5"/>
  <c r="BB534" i="5"/>
  <c r="BA519" i="5"/>
  <c r="BB519" i="5"/>
  <c r="BA379" i="5"/>
  <c r="BB379" i="5"/>
  <c r="BA385" i="5"/>
  <c r="BB385" i="5"/>
  <c r="BB170" i="5"/>
  <c r="BA170" i="5"/>
  <c r="BB513" i="5"/>
  <c r="BA513" i="5"/>
  <c r="BB441" i="5"/>
  <c r="BA441" i="5"/>
  <c r="BA204" i="5"/>
  <c r="BB204" i="5"/>
  <c r="BA535" i="5"/>
  <c r="BB535" i="5"/>
  <c r="BA445" i="5"/>
  <c r="BB445" i="5"/>
  <c r="BA485" i="5"/>
  <c r="BB485" i="5"/>
  <c r="BA520" i="5"/>
  <c r="BB520" i="5"/>
  <c r="BB487" i="5"/>
  <c r="BA487" i="5"/>
  <c r="BB434" i="5"/>
  <c r="BA434" i="5"/>
  <c r="BA506" i="5"/>
  <c r="BB506" i="5"/>
  <c r="BA427" i="5"/>
  <c r="BB427" i="5"/>
  <c r="BB497" i="5"/>
  <c r="BA497" i="5"/>
  <c r="BA362" i="5"/>
  <c r="BB362" i="5"/>
  <c r="BB355" i="5"/>
  <c r="BA355" i="5"/>
  <c r="BA209" i="5"/>
  <c r="BB209" i="5"/>
  <c r="BB370" i="5"/>
  <c r="BA370" i="5"/>
  <c r="BA436" i="5"/>
  <c r="BB436" i="5"/>
  <c r="BB319" i="5"/>
  <c r="BA319" i="5"/>
  <c r="BB272" i="5"/>
  <c r="BA272" i="5"/>
  <c r="BB182" i="5"/>
  <c r="BA182" i="5"/>
  <c r="BB124" i="5"/>
  <c r="BA124" i="5"/>
  <c r="BA79" i="5"/>
  <c r="BB79" i="5"/>
  <c r="BB537" i="5"/>
  <c r="BA537" i="5"/>
  <c r="BA481" i="5"/>
  <c r="BB481" i="5"/>
  <c r="BA557" i="5"/>
  <c r="BB557" i="5"/>
  <c r="BA328" i="5"/>
  <c r="BB328" i="5"/>
  <c r="BB505" i="5"/>
  <c r="BA505" i="5"/>
  <c r="BB473" i="5"/>
  <c r="BA473" i="5"/>
  <c r="BA387" i="5"/>
  <c r="BB387" i="5"/>
  <c r="BB474" i="5"/>
  <c r="BA474" i="5"/>
  <c r="BB394" i="5"/>
  <c r="BA394" i="5"/>
  <c r="BA472" i="5"/>
  <c r="BB472" i="5"/>
  <c r="BB406" i="5"/>
  <c r="BA406" i="5"/>
  <c r="BB340" i="5"/>
  <c r="BA340" i="5"/>
  <c r="BA408" i="5"/>
  <c r="BB408" i="5"/>
  <c r="BA356" i="5"/>
  <c r="BB356" i="5"/>
  <c r="BA420" i="5"/>
  <c r="BB420" i="5"/>
  <c r="BA343" i="5"/>
  <c r="BB343" i="5"/>
  <c r="BB281" i="5"/>
  <c r="BA281" i="5"/>
  <c r="BB203" i="5"/>
  <c r="BA203" i="5"/>
  <c r="BA106" i="5"/>
  <c r="BB106" i="5"/>
  <c r="BA28" i="5"/>
  <c r="BB28" i="5"/>
  <c r="BB542" i="5"/>
  <c r="BA542" i="5"/>
  <c r="BB524" i="5"/>
  <c r="BA524" i="5"/>
  <c r="BB517" i="5"/>
  <c r="BA517" i="5"/>
  <c r="BB523" i="5"/>
  <c r="BA523" i="5"/>
  <c r="BB489" i="5"/>
  <c r="BA489" i="5"/>
  <c r="BB443" i="5"/>
  <c r="BA443" i="5"/>
  <c r="BA511" i="5"/>
  <c r="BB511" i="5"/>
  <c r="BA439" i="5"/>
  <c r="BB439" i="5"/>
  <c r="BA515" i="5"/>
  <c r="BB515" i="5"/>
  <c r="BA401" i="5"/>
  <c r="BB401" i="5"/>
  <c r="BB366" i="5"/>
  <c r="BA366" i="5"/>
  <c r="BA254" i="5"/>
  <c r="BB254" i="5"/>
  <c r="BA377" i="5"/>
  <c r="BB377" i="5"/>
  <c r="BA250" i="5"/>
  <c r="BB250" i="5"/>
  <c r="BB360" i="5"/>
  <c r="BA360" i="5"/>
  <c r="BB321" i="5"/>
  <c r="BA321" i="5"/>
  <c r="BA217" i="5"/>
  <c r="BB217" i="5"/>
  <c r="BA104" i="5"/>
  <c r="BB104" i="5"/>
  <c r="BB77" i="5"/>
  <c r="BA77" i="5"/>
  <c r="BA19" i="5"/>
  <c r="BB19" i="5"/>
  <c r="BB501" i="5"/>
  <c r="BA501" i="5"/>
  <c r="BA558" i="5"/>
  <c r="BB558" i="5"/>
  <c r="BB425" i="5"/>
  <c r="BA425" i="5"/>
  <c r="BB509" i="5"/>
  <c r="BA509" i="5"/>
  <c r="BB479" i="5"/>
  <c r="BA479" i="5"/>
  <c r="BA405" i="5"/>
  <c r="BB405" i="5"/>
  <c r="BB480" i="5"/>
  <c r="BA480" i="5"/>
  <c r="BA403" i="5"/>
  <c r="BB403" i="5"/>
  <c r="BA478" i="5"/>
  <c r="BB478" i="5"/>
  <c r="BB416" i="5"/>
  <c r="BA416" i="5"/>
  <c r="BA342" i="5"/>
  <c r="BB342" i="5"/>
  <c r="BB417" i="5"/>
  <c r="BA417" i="5"/>
  <c r="BB361" i="5"/>
  <c r="BA361" i="5"/>
  <c r="BA428" i="5"/>
  <c r="BB428" i="5"/>
  <c r="BA358" i="5"/>
  <c r="BB358" i="5"/>
  <c r="BB307" i="5"/>
  <c r="BA307" i="5"/>
  <c r="BA205" i="5"/>
  <c r="BB205" i="5"/>
  <c r="BB128" i="5"/>
  <c r="BA128" i="5"/>
  <c r="BB58" i="5"/>
  <c r="BA58" i="5"/>
  <c r="BA543" i="5"/>
  <c r="BB543" i="5"/>
  <c r="BA493" i="5"/>
  <c r="BB493" i="5"/>
  <c r="BB447" i="5"/>
  <c r="BA447" i="5"/>
  <c r="BA442" i="5"/>
  <c r="BB442" i="5"/>
  <c r="BA260" i="5"/>
  <c r="BB260" i="5"/>
  <c r="BA244" i="5"/>
  <c r="BB244" i="5"/>
  <c r="BA36" i="5"/>
  <c r="BB36" i="5"/>
  <c r="BA437" i="5"/>
  <c r="BB437" i="5"/>
  <c r="BB486" i="5"/>
  <c r="BA486" i="5"/>
  <c r="BB426" i="5"/>
  <c r="BA426" i="5"/>
  <c r="BA354" i="5"/>
  <c r="BB354" i="5"/>
  <c r="BA365" i="5"/>
  <c r="BB365" i="5"/>
  <c r="BB253" i="5"/>
  <c r="BA253" i="5"/>
  <c r="BA49" i="5"/>
  <c r="BB49" i="5"/>
  <c r="BA549" i="5"/>
  <c r="BB549" i="5"/>
  <c r="BA495" i="5"/>
  <c r="BB495" i="5"/>
  <c r="BB462" i="5"/>
  <c r="BA462" i="5"/>
  <c r="BB457" i="5"/>
  <c r="BA457" i="5"/>
  <c r="BA389" i="5"/>
  <c r="BB389" i="5"/>
  <c r="BA275" i="5"/>
  <c r="BB275" i="5"/>
  <c r="BB102" i="5"/>
  <c r="BA102" i="5"/>
  <c r="BB541" i="5"/>
  <c r="BA541" i="5"/>
  <c r="BA522" i="5"/>
  <c r="BB522" i="5"/>
  <c r="BA507" i="5"/>
  <c r="BB507" i="5"/>
  <c r="BB504" i="5"/>
  <c r="BA504" i="5"/>
  <c r="BA364" i="5"/>
  <c r="BB364" i="5"/>
  <c r="BB375" i="5"/>
  <c r="BA375" i="5"/>
  <c r="BB294" i="5"/>
  <c r="BA294" i="5"/>
  <c r="BB142" i="5"/>
  <c r="BA142" i="5"/>
  <c r="BC90" i="5"/>
  <c r="BA546" i="5"/>
  <c r="BB546" i="5"/>
  <c r="BB491" i="5"/>
  <c r="BA491" i="5"/>
  <c r="BA560" i="5"/>
  <c r="BB560" i="5"/>
  <c r="BA421" i="5"/>
  <c r="BB421" i="5"/>
  <c r="BA508" i="5"/>
  <c r="BB508" i="5"/>
  <c r="BB476" i="5"/>
  <c r="BA476" i="5"/>
  <c r="BA396" i="5"/>
  <c r="BB396" i="5"/>
  <c r="BB477" i="5"/>
  <c r="BA477" i="5"/>
  <c r="BA397" i="5"/>
  <c r="BB397" i="5"/>
  <c r="BA475" i="5"/>
  <c r="BB475" i="5"/>
  <c r="BA415" i="5"/>
  <c r="BB415" i="5"/>
  <c r="BA341" i="5"/>
  <c r="BB341" i="5"/>
  <c r="BB413" i="5"/>
  <c r="BA413" i="5"/>
  <c r="BA359" i="5"/>
  <c r="BB359" i="5"/>
  <c r="BB423" i="5"/>
  <c r="BA423" i="5"/>
  <c r="BA357" i="5"/>
  <c r="BB357" i="5"/>
  <c r="BB291" i="5"/>
  <c r="BA291" i="5"/>
  <c r="BB165" i="5"/>
  <c r="BA165" i="5"/>
  <c r="BA120" i="5"/>
  <c r="BB120" i="5"/>
  <c r="BA63" i="5"/>
  <c r="BB63" i="5"/>
  <c r="BB438" i="5"/>
  <c r="BA438" i="5"/>
  <c r="BA550" i="5"/>
  <c r="BB550" i="5"/>
  <c r="BA536" i="5"/>
  <c r="BB536" i="5"/>
  <c r="BA555" i="5"/>
  <c r="BB555" i="5"/>
  <c r="BB499" i="5"/>
  <c r="BA499" i="5"/>
  <c r="BA455" i="5"/>
  <c r="BB455" i="5"/>
  <c r="BB308" i="5"/>
  <c r="BA308" i="5"/>
  <c r="BA465" i="5"/>
  <c r="BB465" i="5"/>
  <c r="BB270" i="5"/>
  <c r="BA270" i="5"/>
  <c r="BA458" i="5"/>
  <c r="BB458" i="5"/>
  <c r="BB388" i="5"/>
  <c r="BA388" i="5"/>
  <c r="BA289" i="5"/>
  <c r="BB289" i="5"/>
  <c r="BB390" i="5"/>
  <c r="BA390" i="5"/>
  <c r="BA304" i="5"/>
  <c r="BB304" i="5"/>
  <c r="BB404" i="5"/>
  <c r="BA404" i="5"/>
  <c r="BB301" i="5"/>
  <c r="BA301" i="5"/>
  <c r="BB239" i="5"/>
  <c r="BA239" i="5"/>
  <c r="BB185" i="5"/>
  <c r="BA185" i="5"/>
  <c r="BA87" i="5"/>
  <c r="BB87" i="5"/>
  <c r="BA33" i="5"/>
  <c r="BB33" i="5"/>
  <c r="BA528" i="5"/>
  <c r="BB528" i="5"/>
  <c r="BB433" i="5"/>
  <c r="BA433" i="5"/>
  <c r="BB449" i="5"/>
  <c r="BA449" i="5"/>
  <c r="BB510" i="5"/>
  <c r="BA510" i="5"/>
  <c r="BA482" i="5"/>
  <c r="BB482" i="5"/>
  <c r="BB430" i="5"/>
  <c r="BA430" i="5"/>
  <c r="BB484" i="5"/>
  <c r="BA484" i="5"/>
  <c r="BB412" i="5"/>
  <c r="BA412" i="5"/>
  <c r="BA490" i="5"/>
  <c r="BB490" i="5"/>
  <c r="BA311" i="5"/>
  <c r="BB311" i="5"/>
  <c r="BB348" i="5"/>
  <c r="BA348" i="5"/>
  <c r="BB418" i="5"/>
  <c r="BA418" i="5"/>
  <c r="BA363" i="5"/>
  <c r="BB363" i="5"/>
  <c r="BA431" i="5"/>
  <c r="BB431" i="5"/>
  <c r="BB224" i="5"/>
  <c r="BA224" i="5"/>
  <c r="BB327" i="5"/>
  <c r="BA327" i="5"/>
  <c r="BA216" i="5"/>
  <c r="BB216" i="5"/>
  <c r="BA146" i="5"/>
  <c r="BB146" i="5"/>
  <c r="BA57" i="5"/>
  <c r="BB57" i="5"/>
  <c r="BB464" i="5"/>
  <c r="BA464" i="5"/>
  <c r="BA407" i="5"/>
  <c r="BB407" i="5"/>
  <c r="BB548" i="5"/>
  <c r="BA548" i="5"/>
  <c r="BA229" i="5"/>
  <c r="BB229" i="5"/>
  <c r="BB502" i="5"/>
  <c r="BA502" i="5"/>
  <c r="BA466" i="5"/>
  <c r="BB466" i="5"/>
  <c r="BB353" i="5"/>
  <c r="BA353" i="5"/>
  <c r="BB468" i="5"/>
  <c r="BA468" i="5"/>
  <c r="BA382" i="5"/>
  <c r="BB382" i="5"/>
  <c r="BB460" i="5"/>
  <c r="BA460" i="5"/>
  <c r="BB398" i="5"/>
  <c r="BA398" i="5"/>
  <c r="BB333" i="5"/>
  <c r="BA333" i="5"/>
  <c r="BA399" i="5"/>
  <c r="BB399" i="5"/>
  <c r="BB345" i="5"/>
  <c r="BA345" i="5"/>
  <c r="BA410" i="5"/>
  <c r="BB410" i="5"/>
  <c r="BA320" i="5"/>
  <c r="BB320" i="5"/>
  <c r="BB259" i="5"/>
  <c r="BA259" i="5"/>
  <c r="BB162" i="5"/>
  <c r="BA162" i="5"/>
  <c r="BB129" i="5"/>
  <c r="BA129" i="5"/>
  <c r="BB42" i="5"/>
  <c r="BA42" i="5"/>
  <c r="BA527" i="5"/>
  <c r="BB527" i="5"/>
  <c r="BA451" i="5"/>
  <c r="BB451" i="5"/>
  <c r="BA526" i="5"/>
  <c r="BB526" i="5"/>
  <c r="BA374" i="5"/>
  <c r="BB374" i="5"/>
  <c r="BA384" i="5"/>
  <c r="BB384" i="5"/>
  <c r="BA248" i="5"/>
  <c r="BB248" i="5"/>
  <c r="BB181" i="5"/>
  <c r="BA181" i="5"/>
  <c r="BA533" i="5"/>
  <c r="BB533" i="5"/>
  <c r="BB518" i="5"/>
  <c r="BA518" i="5"/>
  <c r="BB432" i="5"/>
  <c r="BA432" i="5"/>
  <c r="BA496" i="5"/>
  <c r="BB496" i="5"/>
  <c r="BB419" i="5"/>
  <c r="BA419" i="5"/>
  <c r="BA435" i="5"/>
  <c r="BB435" i="5"/>
  <c r="BB233" i="5"/>
  <c r="BA233" i="5"/>
  <c r="BA372" i="5"/>
  <c r="BB372" i="5"/>
  <c r="BB554" i="5"/>
  <c r="BA554" i="5"/>
  <c r="BB454" i="5"/>
  <c r="BA454" i="5"/>
  <c r="BB532" i="5"/>
  <c r="BA532" i="5"/>
  <c r="BB286" i="5"/>
  <c r="BA286" i="5"/>
  <c r="BA293" i="5"/>
  <c r="BB293" i="5"/>
  <c r="BB215" i="5"/>
  <c r="BA215" i="5"/>
  <c r="BA37" i="5"/>
  <c r="BB37" i="5"/>
  <c r="BB448" i="5"/>
  <c r="BA448" i="5"/>
  <c r="BB488" i="5"/>
  <c r="BA488" i="5"/>
  <c r="BB429" i="5"/>
  <c r="BA429" i="5"/>
  <c r="BA368" i="5"/>
  <c r="BB368" i="5"/>
  <c r="BA245" i="5"/>
  <c r="BB245" i="5"/>
  <c r="BB440" i="5"/>
  <c r="BA440" i="5"/>
  <c r="BB335" i="5"/>
  <c r="BA335" i="5"/>
  <c r="BA62" i="5"/>
  <c r="BB62" i="5"/>
  <c r="BC440" i="5"/>
  <c r="BB450" i="5"/>
  <c r="BA450" i="5"/>
  <c r="BB551" i="5"/>
  <c r="BA551" i="5"/>
  <c r="BB540" i="5"/>
  <c r="BA540" i="5"/>
  <c r="BB556" i="5"/>
  <c r="BA556" i="5"/>
  <c r="BB500" i="5"/>
  <c r="BA500" i="5"/>
  <c r="BB463" i="5"/>
  <c r="BA463" i="5"/>
  <c r="BB347" i="5"/>
  <c r="BA347" i="5"/>
  <c r="BB467" i="5"/>
  <c r="BA467" i="5"/>
  <c r="BA325" i="5"/>
  <c r="BB325" i="5"/>
  <c r="BB459" i="5"/>
  <c r="BA459" i="5"/>
  <c r="BB395" i="5"/>
  <c r="BA395" i="5"/>
  <c r="BA292" i="5"/>
  <c r="BB292" i="5"/>
  <c r="BA392" i="5"/>
  <c r="BB392" i="5"/>
  <c r="BA334" i="5"/>
  <c r="BB334" i="5"/>
  <c r="BB409" i="5"/>
  <c r="BA409" i="5"/>
  <c r="BB310" i="5"/>
  <c r="BA310" i="5"/>
  <c r="BA193" i="5"/>
  <c r="BB193" i="5"/>
  <c r="BB143" i="5"/>
  <c r="BA143" i="5"/>
  <c r="BA99" i="5"/>
  <c r="BB99" i="5"/>
  <c r="BA46" i="5"/>
  <c r="BB46" i="5"/>
  <c r="BA547" i="5"/>
  <c r="BB547" i="5"/>
  <c r="BB538" i="5"/>
  <c r="BA538" i="5"/>
  <c r="BA521" i="5"/>
  <c r="BB521" i="5"/>
  <c r="BB530" i="5"/>
  <c r="BA530" i="5"/>
  <c r="BA492" i="5"/>
  <c r="BB492" i="5"/>
  <c r="BB444" i="5"/>
  <c r="BA444" i="5"/>
  <c r="BA512" i="5"/>
  <c r="BB512" i="5"/>
  <c r="BA446" i="5"/>
  <c r="BB446" i="5"/>
  <c r="BB525" i="5"/>
  <c r="BA525" i="5"/>
  <c r="BA422" i="5"/>
  <c r="BB422" i="5"/>
  <c r="BA371" i="5"/>
  <c r="BB371" i="5"/>
  <c r="BB267" i="5"/>
  <c r="BA267" i="5"/>
  <c r="BB380" i="5"/>
  <c r="BA380" i="5"/>
  <c r="BB252" i="5"/>
  <c r="BA252" i="5"/>
  <c r="BB367" i="5"/>
  <c r="BA367" i="5"/>
  <c r="BB192" i="5"/>
  <c r="BA192" i="5"/>
  <c r="BB228" i="5"/>
  <c r="BA228" i="5"/>
  <c r="BA167" i="5"/>
  <c r="BB167" i="5"/>
  <c r="BB93" i="5"/>
  <c r="BA93" i="5"/>
  <c r="BB483" i="5"/>
  <c r="BA483" i="5"/>
  <c r="BA424" i="5"/>
  <c r="BB424" i="5"/>
  <c r="BB553" i="5"/>
  <c r="BA553" i="5"/>
  <c r="BA297" i="5"/>
  <c r="BB297" i="5"/>
  <c r="BA503" i="5"/>
  <c r="BB503" i="5"/>
  <c r="BB469" i="5"/>
  <c r="BA469" i="5"/>
  <c r="BB381" i="5"/>
  <c r="BA381" i="5"/>
  <c r="BA470" i="5"/>
  <c r="BB470" i="5"/>
  <c r="BB391" i="5"/>
  <c r="BA391" i="5"/>
  <c r="BB471" i="5"/>
  <c r="BA471" i="5"/>
  <c r="BB400" i="5"/>
  <c r="BA400" i="5"/>
  <c r="BA336" i="5"/>
  <c r="BB336" i="5"/>
  <c r="BB402" i="5"/>
  <c r="BA402" i="5"/>
  <c r="BA350" i="5"/>
  <c r="BB350" i="5"/>
  <c r="BB414" i="5"/>
  <c r="BA414" i="5"/>
  <c r="BB330" i="5"/>
  <c r="BA330" i="5"/>
  <c r="BA271" i="5"/>
  <c r="BB271" i="5"/>
  <c r="BA187" i="5"/>
  <c r="BB187" i="5"/>
  <c r="BB151" i="5"/>
  <c r="BA151" i="5"/>
  <c r="BA67" i="5"/>
  <c r="BB67" i="5"/>
  <c r="BB559" i="5"/>
  <c r="BA559" i="5"/>
  <c r="BB544" i="5"/>
  <c r="BA544" i="5"/>
  <c r="BB529" i="5"/>
  <c r="BA529" i="5"/>
  <c r="BA545" i="5"/>
  <c r="BB545" i="5"/>
  <c r="BB494" i="5"/>
  <c r="BA494" i="5"/>
  <c r="BB453" i="5"/>
  <c r="BA453" i="5"/>
  <c r="BB516" i="5"/>
  <c r="BA516" i="5"/>
  <c r="BA461" i="5"/>
  <c r="BB461" i="5"/>
  <c r="BB531" i="5"/>
  <c r="BA531" i="5"/>
  <c r="BA452" i="5"/>
  <c r="BB452" i="5"/>
  <c r="BA378" i="5"/>
  <c r="BB378" i="5"/>
  <c r="BB280" i="5"/>
  <c r="BA280" i="5"/>
  <c r="BA386" i="5"/>
  <c r="BB386" i="5"/>
  <c r="BB277" i="5"/>
  <c r="BA277" i="5"/>
  <c r="BB383" i="5"/>
  <c r="BA383" i="5"/>
  <c r="BA257" i="5"/>
  <c r="BB257" i="5"/>
  <c r="BA186" i="5"/>
  <c r="BB186" i="5"/>
  <c r="BB153" i="5"/>
  <c r="BA153" i="5"/>
  <c r="BA96" i="5"/>
  <c r="BB96" i="5"/>
  <c r="BA25" i="5"/>
  <c r="BB25" i="5"/>
  <c r="AY364" i="5"/>
  <c r="AX364" i="5"/>
  <c r="AY511" i="5"/>
  <c r="AX511" i="5"/>
  <c r="BC511" i="5"/>
  <c r="AY438" i="5"/>
  <c r="AX438" i="5"/>
  <c r="AY530" i="5"/>
  <c r="BC530" i="5"/>
  <c r="AX530" i="5"/>
  <c r="AY514" i="5"/>
  <c r="AX514" i="5"/>
  <c r="AX558" i="5"/>
  <c r="AY558" i="5"/>
  <c r="AX510" i="5"/>
  <c r="AY510" i="5"/>
  <c r="AY523" i="5"/>
  <c r="AX523" i="5"/>
  <c r="AX303" i="5"/>
  <c r="AY303" i="5"/>
  <c r="AY447" i="5"/>
  <c r="AX447" i="5"/>
  <c r="AY421" i="5"/>
  <c r="AX421" i="5"/>
  <c r="BC454" i="5"/>
  <c r="AX454" i="5"/>
  <c r="AY454" i="5"/>
  <c r="AX403" i="5"/>
  <c r="AY403" i="5"/>
  <c r="AX497" i="5"/>
  <c r="AY497" i="5"/>
  <c r="BC497" i="5"/>
  <c r="AY547" i="5"/>
  <c r="AX547" i="5"/>
  <c r="BC547" i="5"/>
  <c r="AX417" i="5"/>
  <c r="AY417" i="5"/>
  <c r="BC417" i="5"/>
  <c r="AY512" i="5"/>
  <c r="AX512" i="5"/>
  <c r="AX264" i="5"/>
  <c r="AY264" i="5"/>
  <c r="AX344" i="5"/>
  <c r="AY344" i="5"/>
  <c r="AX267" i="5"/>
  <c r="AY267" i="5"/>
  <c r="AX232" i="5"/>
  <c r="AY232" i="5"/>
  <c r="AX142" i="5"/>
  <c r="AY142" i="5"/>
  <c r="BC142" i="5"/>
  <c r="AX86" i="5"/>
  <c r="AY86" i="5"/>
  <c r="AX94" i="5"/>
  <c r="AY94" i="5"/>
  <c r="AX27" i="5"/>
  <c r="AY27" i="5"/>
  <c r="AX389" i="5"/>
  <c r="AY389" i="5"/>
  <c r="BC389" i="5"/>
  <c r="AY260" i="5"/>
  <c r="AX260" i="5"/>
  <c r="AX284" i="5"/>
  <c r="AY284" i="5"/>
  <c r="AX175" i="5"/>
  <c r="AY175" i="5"/>
  <c r="AY151" i="5"/>
  <c r="AX151" i="5"/>
  <c r="AY103" i="5"/>
  <c r="AX103" i="5"/>
  <c r="AY66" i="5"/>
  <c r="AX66" i="5"/>
  <c r="AY384" i="5"/>
  <c r="AX384" i="5"/>
  <c r="AY316" i="5"/>
  <c r="AX316" i="5"/>
  <c r="AY230" i="5"/>
  <c r="AX230" i="5"/>
  <c r="AX172" i="5"/>
  <c r="AY172" i="5"/>
  <c r="AY173" i="5"/>
  <c r="AX173" i="5"/>
  <c r="AX64" i="5"/>
  <c r="AY64" i="5"/>
  <c r="AY97" i="5"/>
  <c r="AX97" i="5"/>
  <c r="AX60" i="5"/>
  <c r="AY60" i="5"/>
  <c r="AY61" i="5"/>
  <c r="AX61" i="5"/>
  <c r="AY21" i="5"/>
  <c r="AX21" i="5"/>
  <c r="AY22" i="5"/>
  <c r="AX22" i="5"/>
  <c r="AY427" i="5"/>
  <c r="AX427" i="5"/>
  <c r="BC370" i="5"/>
  <c r="AX370" i="5"/>
  <c r="AY370" i="5"/>
  <c r="AY297" i="5"/>
  <c r="AX297" i="5"/>
  <c r="AX280" i="5"/>
  <c r="AY280" i="5"/>
  <c r="AY329" i="5"/>
  <c r="AX329" i="5"/>
  <c r="AX253" i="5"/>
  <c r="AY253" i="5"/>
  <c r="AY216" i="5"/>
  <c r="AX216" i="5"/>
  <c r="AX231" i="5"/>
  <c r="AY231" i="5"/>
  <c r="AY214" i="5"/>
  <c r="AX214" i="5"/>
  <c r="AY188" i="5"/>
  <c r="AX188" i="5"/>
  <c r="AY176" i="5"/>
  <c r="AX176" i="5"/>
  <c r="AX131" i="5"/>
  <c r="AY131" i="5"/>
  <c r="AY141" i="5"/>
  <c r="AX141" i="5"/>
  <c r="AX135" i="5"/>
  <c r="AY135" i="5"/>
  <c r="AY95" i="5"/>
  <c r="AX95" i="5"/>
  <c r="AX70" i="5"/>
  <c r="AY70" i="5"/>
  <c r="AY65" i="5"/>
  <c r="AX65" i="5"/>
  <c r="AX34" i="5"/>
  <c r="AY34" i="5"/>
  <c r="AX33" i="5"/>
  <c r="AY33" i="5"/>
  <c r="BC427" i="5"/>
  <c r="BC421" i="5"/>
  <c r="BC86" i="5"/>
  <c r="BE86" i="5" s="1"/>
  <c r="BC21" i="5"/>
  <c r="BE21" i="5" s="1"/>
  <c r="AX407" i="5"/>
  <c r="AY407" i="5"/>
  <c r="AY529" i="5"/>
  <c r="AX529" i="5"/>
  <c r="AY471" i="5"/>
  <c r="AX471" i="5"/>
  <c r="BC471" i="5"/>
  <c r="AY560" i="5"/>
  <c r="AX560" i="5"/>
  <c r="AX414" i="5"/>
  <c r="AY414" i="5"/>
  <c r="AY453" i="5"/>
  <c r="AX453" i="5"/>
  <c r="AX531" i="5"/>
  <c r="AY531" i="5"/>
  <c r="BC531" i="5"/>
  <c r="AX456" i="5"/>
  <c r="AY456" i="5"/>
  <c r="AX495" i="5"/>
  <c r="AY495" i="5"/>
  <c r="AY274" i="5"/>
  <c r="AX274" i="5"/>
  <c r="AY404" i="5"/>
  <c r="AX404" i="5"/>
  <c r="AX481" i="5"/>
  <c r="AY481" i="5"/>
  <c r="AX372" i="5"/>
  <c r="AY372" i="5"/>
  <c r="AY360" i="5"/>
  <c r="AX360" i="5"/>
  <c r="AY548" i="5"/>
  <c r="AX548" i="5"/>
  <c r="BC548" i="5"/>
  <c r="AX550" i="5"/>
  <c r="AY550" i="5"/>
  <c r="AY542" i="5"/>
  <c r="AX542" i="5"/>
  <c r="AX464" i="5"/>
  <c r="AY464" i="5"/>
  <c r="AX411" i="5"/>
  <c r="AY411" i="5"/>
  <c r="AY502" i="5"/>
  <c r="AX502" i="5"/>
  <c r="AX449" i="5"/>
  <c r="AY449" i="5"/>
  <c r="BC449" i="5"/>
  <c r="AY506" i="5"/>
  <c r="AX506" i="5"/>
  <c r="AY446" i="5"/>
  <c r="AX446" i="5"/>
  <c r="AX396" i="5"/>
  <c r="AY396" i="5"/>
  <c r="AX420" i="5"/>
  <c r="AY420" i="5"/>
  <c r="AX342" i="5"/>
  <c r="AY342" i="5"/>
  <c r="BC342" i="5"/>
  <c r="AY557" i="5"/>
  <c r="AX557" i="5"/>
  <c r="AY554" i="5"/>
  <c r="AX554" i="5"/>
  <c r="AX549" i="5"/>
  <c r="AY549" i="5"/>
  <c r="AY540" i="5"/>
  <c r="AX540" i="5"/>
  <c r="AY460" i="5"/>
  <c r="AX460" i="5"/>
  <c r="BC460" i="5"/>
  <c r="AX402" i="5"/>
  <c r="AY402" i="5"/>
  <c r="AX499" i="5"/>
  <c r="AY499" i="5"/>
  <c r="AX443" i="5"/>
  <c r="AY443" i="5"/>
  <c r="AX505" i="5"/>
  <c r="AY505" i="5"/>
  <c r="AX444" i="5"/>
  <c r="AY444" i="5"/>
  <c r="AX391" i="5"/>
  <c r="AY391" i="5"/>
  <c r="AX415" i="5"/>
  <c r="AY415" i="5"/>
  <c r="AX336" i="5"/>
  <c r="AY336" i="5"/>
  <c r="AY555" i="5"/>
  <c r="AX555" i="5"/>
  <c r="AY551" i="5"/>
  <c r="AX551" i="5"/>
  <c r="AX532" i="5"/>
  <c r="AY532" i="5"/>
  <c r="AY538" i="5"/>
  <c r="AX538" i="5"/>
  <c r="AY458" i="5"/>
  <c r="AX458" i="5"/>
  <c r="AX393" i="5"/>
  <c r="AY393" i="5"/>
  <c r="AX494" i="5"/>
  <c r="AY494" i="5"/>
  <c r="AX441" i="5"/>
  <c r="AY441" i="5"/>
  <c r="AX500" i="5"/>
  <c r="AY500" i="5"/>
  <c r="AX440" i="5"/>
  <c r="AY440" i="5"/>
  <c r="AX387" i="5"/>
  <c r="AY387" i="5"/>
  <c r="AX406" i="5"/>
  <c r="AY406" i="5"/>
  <c r="AY318" i="5"/>
  <c r="AX318" i="5"/>
  <c r="AX379" i="5"/>
  <c r="AY379" i="5"/>
  <c r="AY307" i="5"/>
  <c r="AX307" i="5"/>
  <c r="AX308" i="5"/>
  <c r="AY308" i="5"/>
  <c r="AX250" i="5"/>
  <c r="AY250" i="5"/>
  <c r="AY293" i="5"/>
  <c r="AX293" i="5"/>
  <c r="BC293" i="5"/>
  <c r="AX177" i="5"/>
  <c r="AY177" i="5"/>
  <c r="AX269" i="5"/>
  <c r="AY269" i="5"/>
  <c r="AX223" i="5"/>
  <c r="AY223" i="5"/>
  <c r="AX239" i="5"/>
  <c r="AY239" i="5"/>
  <c r="BC239" i="5"/>
  <c r="AX222" i="5"/>
  <c r="AY222" i="5"/>
  <c r="AX200" i="5"/>
  <c r="AY200" i="5"/>
  <c r="AY186" i="5"/>
  <c r="AX186" i="5"/>
  <c r="AY144" i="5"/>
  <c r="AX144" i="5"/>
  <c r="AX153" i="5"/>
  <c r="AY153" i="5"/>
  <c r="AX149" i="5"/>
  <c r="AY149" i="5"/>
  <c r="AX100" i="5"/>
  <c r="AY100" i="5"/>
  <c r="AX78" i="5"/>
  <c r="AY78" i="5"/>
  <c r="AX79" i="5"/>
  <c r="AY79" i="5"/>
  <c r="BC79" i="5"/>
  <c r="AX55" i="5"/>
  <c r="AY55" i="5"/>
  <c r="AX44" i="5"/>
  <c r="AY44" i="5"/>
  <c r="AY434" i="5"/>
  <c r="AX434" i="5"/>
  <c r="AY377" i="5"/>
  <c r="AX377" i="5"/>
  <c r="AX296" i="5"/>
  <c r="AY296" i="5"/>
  <c r="AY304" i="5"/>
  <c r="AX304" i="5"/>
  <c r="BC304" i="5"/>
  <c r="AX245" i="5"/>
  <c r="AY245" i="5"/>
  <c r="AY287" i="5"/>
  <c r="AX287" i="5"/>
  <c r="AY331" i="5"/>
  <c r="AX331" i="5"/>
  <c r="AX262" i="5"/>
  <c r="AY262" i="5"/>
  <c r="AY220" i="5"/>
  <c r="AX220" i="5"/>
  <c r="AY237" i="5"/>
  <c r="AX237" i="5"/>
  <c r="AY219" i="5"/>
  <c r="AX219" i="5"/>
  <c r="AY196" i="5"/>
  <c r="AX196" i="5"/>
  <c r="AY185" i="5"/>
  <c r="AX185" i="5"/>
  <c r="AY140" i="5"/>
  <c r="AX140" i="5"/>
  <c r="AX145" i="5"/>
  <c r="AY145" i="5"/>
  <c r="AX146" i="5"/>
  <c r="AY146" i="5"/>
  <c r="AX98" i="5"/>
  <c r="AY98" i="5"/>
  <c r="AY82" i="5"/>
  <c r="AX82" i="5"/>
  <c r="AY75" i="5"/>
  <c r="AX75" i="5"/>
  <c r="AY53" i="5"/>
  <c r="AX53" i="5"/>
  <c r="AY41" i="5"/>
  <c r="AX41" i="5"/>
  <c r="AY8" i="5"/>
  <c r="AX8" i="5"/>
  <c r="AX371" i="5"/>
  <c r="AY371" i="5"/>
  <c r="BC371" i="5"/>
  <c r="AX281" i="5"/>
  <c r="AY281" i="5"/>
  <c r="AY299" i="5"/>
  <c r="AX299" i="5"/>
  <c r="AX221" i="5"/>
  <c r="AY221" i="5"/>
  <c r="AY283" i="5"/>
  <c r="AX283" i="5"/>
  <c r="AX330" i="5"/>
  <c r="AY330" i="5"/>
  <c r="AX256" i="5"/>
  <c r="AY256" i="5"/>
  <c r="AY218" i="5"/>
  <c r="AX218" i="5"/>
  <c r="AY234" i="5"/>
  <c r="AX234" i="5"/>
  <c r="AX217" i="5"/>
  <c r="AY217" i="5"/>
  <c r="AX191" i="5"/>
  <c r="AY191" i="5"/>
  <c r="AY180" i="5"/>
  <c r="AX180" i="5"/>
  <c r="AX133" i="5"/>
  <c r="AY133" i="5"/>
  <c r="AX143" i="5"/>
  <c r="AY143" i="5"/>
  <c r="AX138" i="5"/>
  <c r="AY138" i="5"/>
  <c r="AX96" i="5"/>
  <c r="AY96" i="5"/>
  <c r="BC96" i="5"/>
  <c r="AX72" i="5"/>
  <c r="AY72" i="5"/>
  <c r="AX71" i="5"/>
  <c r="AY71" i="5"/>
  <c r="AX51" i="5"/>
  <c r="AY51" i="5"/>
  <c r="AX38" i="5"/>
  <c r="AY38" i="5"/>
  <c r="AT13" i="5"/>
  <c r="AZ13" i="5"/>
  <c r="AW13" i="5"/>
  <c r="T13" i="5"/>
  <c r="AY413" i="5"/>
  <c r="AX413" i="5"/>
  <c r="BC413" i="5"/>
  <c r="BC357" i="5"/>
  <c r="AY357" i="5"/>
  <c r="AX357" i="5"/>
  <c r="AX347" i="5"/>
  <c r="BC347" i="5"/>
  <c r="AY347" i="5"/>
  <c r="AY282" i="5"/>
  <c r="AX282" i="5"/>
  <c r="AX322" i="5"/>
  <c r="AY322" i="5"/>
  <c r="AX263" i="5"/>
  <c r="AY263" i="5"/>
  <c r="AY310" i="5"/>
  <c r="AX310" i="5"/>
  <c r="AX233" i="5"/>
  <c r="AY233" i="5"/>
  <c r="AX198" i="5"/>
  <c r="AY198" i="5"/>
  <c r="AY197" i="5"/>
  <c r="AX197" i="5"/>
  <c r="AY195" i="5"/>
  <c r="AX195" i="5"/>
  <c r="AY170" i="5"/>
  <c r="AX170" i="5"/>
  <c r="AY164" i="5"/>
  <c r="AX164" i="5"/>
  <c r="AX114" i="5"/>
  <c r="AY114" i="5"/>
  <c r="AY130" i="5"/>
  <c r="AX130" i="5"/>
  <c r="AX120" i="5"/>
  <c r="AY120" i="5"/>
  <c r="AX84" i="5"/>
  <c r="AY84" i="5"/>
  <c r="AX83" i="5"/>
  <c r="AY83" i="5"/>
  <c r="AX54" i="5"/>
  <c r="AY54" i="5"/>
  <c r="AX45" i="5"/>
  <c r="AY45" i="5"/>
  <c r="AX48" i="5"/>
  <c r="AY48" i="5"/>
  <c r="BC282" i="5"/>
  <c r="AY513" i="5"/>
  <c r="AX513" i="5"/>
  <c r="AY474" i="5"/>
  <c r="AX474" i="5"/>
  <c r="AY536" i="5"/>
  <c r="AX536" i="5"/>
  <c r="AX266" i="5"/>
  <c r="AY266" i="5"/>
  <c r="AX462" i="5"/>
  <c r="AY462" i="5"/>
  <c r="AY422" i="5"/>
  <c r="AX422" i="5"/>
  <c r="AY467" i="5"/>
  <c r="AX467" i="5"/>
  <c r="AY507" i="5"/>
  <c r="AX507" i="5"/>
  <c r="AY552" i="5"/>
  <c r="AX552" i="5"/>
  <c r="AY519" i="5"/>
  <c r="BC519" i="5"/>
  <c r="AX519" i="5"/>
  <c r="AY300" i="5"/>
  <c r="AX300" i="5"/>
  <c r="AY556" i="5"/>
  <c r="AX556" i="5"/>
  <c r="AX508" i="5"/>
  <c r="AY508" i="5"/>
  <c r="BC508" i="5"/>
  <c r="AX401" i="5"/>
  <c r="AY401" i="5"/>
  <c r="AX390" i="5"/>
  <c r="AY390" i="5"/>
  <c r="AY309" i="5"/>
  <c r="AX309" i="5"/>
  <c r="AX181" i="5"/>
  <c r="AY181" i="5"/>
  <c r="AX179" i="5"/>
  <c r="AY179" i="5"/>
  <c r="AX106" i="5"/>
  <c r="AY106" i="5"/>
  <c r="BC106" i="5"/>
  <c r="AY28" i="5"/>
  <c r="AX28" i="5"/>
  <c r="AX319" i="5"/>
  <c r="AY319" i="5"/>
  <c r="AY248" i="5"/>
  <c r="AX248" i="5"/>
  <c r="AX235" i="5"/>
  <c r="AY235" i="5"/>
  <c r="AY80" i="5"/>
  <c r="AX80" i="5"/>
  <c r="AY93" i="5"/>
  <c r="AX93" i="5"/>
  <c r="AY23" i="5"/>
  <c r="AX23" i="5"/>
  <c r="AX258" i="5"/>
  <c r="AY258" i="5"/>
  <c r="AY227" i="5"/>
  <c r="AX227" i="5"/>
  <c r="AY207" i="5"/>
  <c r="AX207" i="5"/>
  <c r="BC207" i="5"/>
  <c r="AY246" i="5"/>
  <c r="AX246" i="5"/>
  <c r="BC66" i="5"/>
  <c r="BE66" i="5" s="1"/>
  <c r="BC34" i="5"/>
  <c r="BD34" i="5" s="1"/>
  <c r="BC173" i="5"/>
  <c r="AY261" i="5"/>
  <c r="AX261" i="5"/>
  <c r="AX491" i="5"/>
  <c r="AY491" i="5"/>
  <c r="AY424" i="5"/>
  <c r="AX424" i="5"/>
  <c r="AY559" i="5"/>
  <c r="AX559" i="5"/>
  <c r="AY503" i="5"/>
  <c r="AX503" i="5"/>
  <c r="AX397" i="5"/>
  <c r="AY397" i="5"/>
  <c r="AX546" i="5"/>
  <c r="AY546" i="5"/>
  <c r="AX375" i="5"/>
  <c r="AY375" i="5"/>
  <c r="BC375" i="5"/>
  <c r="AX430" i="5"/>
  <c r="AY430" i="5"/>
  <c r="AX19" i="5"/>
  <c r="AY19" i="5"/>
  <c r="AX526" i="5"/>
  <c r="AY526" i="5"/>
  <c r="BC526" i="5"/>
  <c r="AX373" i="5"/>
  <c r="AY373" i="5"/>
  <c r="AY388" i="5"/>
  <c r="AX388" i="5"/>
  <c r="AY525" i="5"/>
  <c r="AX525" i="5"/>
  <c r="AX541" i="5"/>
  <c r="AY541" i="5"/>
  <c r="AY459" i="5"/>
  <c r="AX459" i="5"/>
  <c r="BC459" i="5"/>
  <c r="AY534" i="5"/>
  <c r="AX534" i="5"/>
  <c r="AY448" i="5"/>
  <c r="AX448" i="5"/>
  <c r="BC448" i="5"/>
  <c r="AY351" i="5"/>
  <c r="AX351" i="5"/>
  <c r="AY489" i="5"/>
  <c r="AX489" i="5"/>
  <c r="AY436" i="5"/>
  <c r="AX436" i="5"/>
  <c r="AY492" i="5"/>
  <c r="AX492" i="5"/>
  <c r="AY429" i="5"/>
  <c r="AX429" i="5"/>
  <c r="BC429" i="5"/>
  <c r="AY382" i="5"/>
  <c r="AX382" i="5"/>
  <c r="BC382" i="5"/>
  <c r="AX398" i="5"/>
  <c r="AY398" i="5"/>
  <c r="AX439" i="5"/>
  <c r="AY439" i="5"/>
  <c r="AX515" i="5"/>
  <c r="AY515" i="5"/>
  <c r="AY539" i="5"/>
  <c r="AX539" i="5"/>
  <c r="AX452" i="5"/>
  <c r="AY452" i="5"/>
  <c r="AX533" i="5"/>
  <c r="AY533" i="5"/>
  <c r="AX445" i="5"/>
  <c r="AY445" i="5"/>
  <c r="AX339" i="5"/>
  <c r="AY339" i="5"/>
  <c r="AX488" i="5"/>
  <c r="AY488" i="5"/>
  <c r="AX431" i="5"/>
  <c r="AY431" i="5"/>
  <c r="BC484" i="5"/>
  <c r="AX484" i="5"/>
  <c r="AY484" i="5"/>
  <c r="AY428" i="5"/>
  <c r="AX428" i="5"/>
  <c r="AY381" i="5"/>
  <c r="AX381" i="5"/>
  <c r="BC381" i="5"/>
  <c r="AX395" i="5"/>
  <c r="AY395" i="5"/>
  <c r="AX432" i="5"/>
  <c r="AY432" i="5"/>
  <c r="AX504" i="5"/>
  <c r="AY504" i="5"/>
  <c r="BC504" i="5"/>
  <c r="AX535" i="5"/>
  <c r="AY535" i="5"/>
  <c r="AX423" i="5"/>
  <c r="AY423" i="5"/>
  <c r="BC423" i="5"/>
  <c r="AX527" i="5"/>
  <c r="AY527" i="5"/>
  <c r="AX442" i="5"/>
  <c r="AY442" i="5"/>
  <c r="AX335" i="5"/>
  <c r="AY335" i="5"/>
  <c r="BC335" i="5"/>
  <c r="AX487" i="5"/>
  <c r="AY487" i="5"/>
  <c r="AY418" i="5"/>
  <c r="AX418" i="5"/>
  <c r="AX482" i="5"/>
  <c r="AY482" i="5"/>
  <c r="AX385" i="5"/>
  <c r="AY385" i="5"/>
  <c r="BC385" i="5"/>
  <c r="AX376" i="5"/>
  <c r="AY376" i="5"/>
  <c r="BC376" i="5"/>
  <c r="AX394" i="5"/>
  <c r="AY394" i="5"/>
  <c r="BC394" i="5"/>
  <c r="AX426" i="5"/>
  <c r="AY426" i="5"/>
  <c r="BC426" i="5"/>
  <c r="AX365" i="5"/>
  <c r="AY365" i="5"/>
  <c r="BC365" i="5"/>
  <c r="AX212" i="5"/>
  <c r="AY212" i="5"/>
  <c r="AY292" i="5"/>
  <c r="AX292" i="5"/>
  <c r="AY190" i="5"/>
  <c r="AX190" i="5"/>
  <c r="AX275" i="5"/>
  <c r="AY275" i="5"/>
  <c r="AX326" i="5"/>
  <c r="AY326" i="5"/>
  <c r="AY247" i="5"/>
  <c r="AX247" i="5"/>
  <c r="AY209" i="5"/>
  <c r="AX209" i="5"/>
  <c r="AY215" i="5"/>
  <c r="AX215" i="5"/>
  <c r="AY210" i="5"/>
  <c r="AX210" i="5"/>
  <c r="AX184" i="5"/>
  <c r="AY184" i="5"/>
  <c r="AX174" i="5"/>
  <c r="AY174" i="5"/>
  <c r="AY129" i="5"/>
  <c r="AX129" i="5"/>
  <c r="AY136" i="5"/>
  <c r="AX136" i="5"/>
  <c r="AX128" i="5"/>
  <c r="AY128" i="5"/>
  <c r="AX92" i="5"/>
  <c r="AY92" i="5"/>
  <c r="AX67" i="5"/>
  <c r="AY67" i="5"/>
  <c r="BC67" i="5"/>
  <c r="AY62" i="5"/>
  <c r="AX62" i="5"/>
  <c r="AX69" i="5"/>
  <c r="AY69" i="5"/>
  <c r="AX30" i="5"/>
  <c r="AY30" i="5"/>
  <c r="AY419" i="5"/>
  <c r="AX419" i="5"/>
  <c r="AY363" i="5"/>
  <c r="AX363" i="5"/>
  <c r="AY355" i="5"/>
  <c r="AX355" i="5"/>
  <c r="BC355" i="5"/>
  <c r="AX289" i="5"/>
  <c r="AY289" i="5"/>
  <c r="AY332" i="5"/>
  <c r="AX332" i="5"/>
  <c r="AX268" i="5"/>
  <c r="AY268" i="5"/>
  <c r="AX321" i="5"/>
  <c r="AY321" i="5"/>
  <c r="AY243" i="5"/>
  <c r="AX243" i="5"/>
  <c r="AY206" i="5"/>
  <c r="AX206" i="5"/>
  <c r="AY202" i="5"/>
  <c r="AX202" i="5"/>
  <c r="AY204" i="5"/>
  <c r="AX204" i="5"/>
  <c r="BC204" i="5"/>
  <c r="AX182" i="5"/>
  <c r="AY182" i="5"/>
  <c r="AY168" i="5"/>
  <c r="AX168" i="5"/>
  <c r="AY123" i="5"/>
  <c r="AX123" i="5"/>
  <c r="AY134" i="5"/>
  <c r="AX134" i="5"/>
  <c r="AX126" i="5"/>
  <c r="AY126" i="5"/>
  <c r="AY90" i="5"/>
  <c r="AX90" i="5"/>
  <c r="AX91" i="5"/>
  <c r="AY91" i="5"/>
  <c r="AY57" i="5"/>
  <c r="AX57" i="5"/>
  <c r="BC57" i="5"/>
  <c r="AY63" i="5"/>
  <c r="AX63" i="5"/>
  <c r="AY29" i="5"/>
  <c r="AX29" i="5"/>
  <c r="AY416" i="5"/>
  <c r="AX416" i="5"/>
  <c r="AY359" i="5"/>
  <c r="AX359" i="5"/>
  <c r="AX353" i="5"/>
  <c r="AY353" i="5"/>
  <c r="AX286" i="5"/>
  <c r="AY286" i="5"/>
  <c r="AX324" i="5"/>
  <c r="AY324" i="5"/>
  <c r="AX265" i="5"/>
  <c r="AY265" i="5"/>
  <c r="AX317" i="5"/>
  <c r="AY317" i="5"/>
  <c r="AY236" i="5"/>
  <c r="AX236" i="5"/>
  <c r="AX201" i="5"/>
  <c r="AY201" i="5"/>
  <c r="AY199" i="5"/>
  <c r="AX199" i="5"/>
  <c r="AY203" i="5"/>
  <c r="AX203" i="5"/>
  <c r="BC203" i="5"/>
  <c r="AY171" i="5"/>
  <c r="AX171" i="5"/>
  <c r="AY166" i="5"/>
  <c r="AX166" i="5"/>
  <c r="AX121" i="5"/>
  <c r="AY121" i="5"/>
  <c r="AY132" i="5"/>
  <c r="AX132" i="5"/>
  <c r="AY125" i="5"/>
  <c r="AX125" i="5"/>
  <c r="AX89" i="5"/>
  <c r="AY89" i="5"/>
  <c r="AX88" i="5"/>
  <c r="AY88" i="5"/>
  <c r="AY56" i="5"/>
  <c r="AX56" i="5"/>
  <c r="AX52" i="5"/>
  <c r="AY52" i="5"/>
  <c r="AY20" i="5"/>
  <c r="AX20" i="5"/>
  <c r="BC341" i="5"/>
  <c r="AY341" i="5"/>
  <c r="AX341" i="5"/>
  <c r="AX392" i="5"/>
  <c r="AY392" i="5"/>
  <c r="AY345" i="5"/>
  <c r="BC345" i="5"/>
  <c r="AX345" i="5"/>
  <c r="AY328" i="5"/>
  <c r="AX328" i="5"/>
  <c r="AX270" i="5"/>
  <c r="AY270" i="5"/>
  <c r="AY312" i="5"/>
  <c r="AX312" i="5"/>
  <c r="AY251" i="5"/>
  <c r="AX251" i="5"/>
  <c r="AY294" i="5"/>
  <c r="AX294" i="5"/>
  <c r="AX241" i="5"/>
  <c r="AY241" i="5"/>
  <c r="BC187" i="5"/>
  <c r="AX187" i="5"/>
  <c r="AY187" i="5"/>
  <c r="AX240" i="5"/>
  <c r="AY240" i="5"/>
  <c r="AY148" i="5"/>
  <c r="AX148" i="5"/>
  <c r="AX183" i="5"/>
  <c r="AY183" i="5"/>
  <c r="AX155" i="5"/>
  <c r="AY155" i="5"/>
  <c r="AX102" i="5"/>
  <c r="AY102" i="5"/>
  <c r="BC102" i="5"/>
  <c r="AX115" i="5"/>
  <c r="AY115" i="5"/>
  <c r="AX111" i="5"/>
  <c r="AY111" i="5"/>
  <c r="AX99" i="5"/>
  <c r="AY99" i="5"/>
  <c r="AX58" i="5"/>
  <c r="AY58" i="5"/>
  <c r="AY36" i="5"/>
  <c r="AX36" i="5"/>
  <c r="AY32" i="5"/>
  <c r="AX32" i="5"/>
  <c r="AX26" i="5"/>
  <c r="AY26" i="5"/>
  <c r="BC220" i="5"/>
  <c r="BC256" i="5"/>
  <c r="BC196" i="5"/>
  <c r="AX323" i="5"/>
  <c r="AY323" i="5"/>
  <c r="AX472" i="5"/>
  <c r="AY472" i="5"/>
  <c r="AX348" i="5"/>
  <c r="AY348" i="5"/>
  <c r="BC348" i="5"/>
  <c r="AX400" i="5"/>
  <c r="AY400" i="5"/>
  <c r="AY352" i="5"/>
  <c r="AX352" i="5"/>
  <c r="AY457" i="5"/>
  <c r="AX457" i="5"/>
  <c r="AY490" i="5"/>
  <c r="AX490" i="5"/>
  <c r="BC490" i="5"/>
  <c r="AY455" i="5"/>
  <c r="AX455" i="5"/>
  <c r="BC455" i="5"/>
  <c r="AY405" i="5"/>
  <c r="AX405" i="5"/>
  <c r="AY358" i="5"/>
  <c r="AX358" i="5"/>
  <c r="AX369" i="5"/>
  <c r="AY369" i="5"/>
  <c r="AX485" i="5"/>
  <c r="AY485" i="5"/>
  <c r="AX509" i="5"/>
  <c r="AY509" i="5"/>
  <c r="AX465" i="5"/>
  <c r="AY465" i="5"/>
  <c r="AY354" i="5"/>
  <c r="AX354" i="5"/>
  <c r="AX383" i="5"/>
  <c r="AY383" i="5"/>
  <c r="AX483" i="5"/>
  <c r="AY483" i="5"/>
  <c r="AX451" i="5"/>
  <c r="AY451" i="5"/>
  <c r="BC451" i="5"/>
  <c r="AX461" i="5"/>
  <c r="AY461" i="5"/>
  <c r="AY349" i="5"/>
  <c r="AX349" i="5"/>
  <c r="AX325" i="5"/>
  <c r="AY325" i="5"/>
  <c r="AY249" i="5"/>
  <c r="AX249" i="5"/>
  <c r="AY290" i="5"/>
  <c r="AX290" i="5"/>
  <c r="AY238" i="5"/>
  <c r="AX238" i="5"/>
  <c r="AY154" i="5"/>
  <c r="AX154" i="5"/>
  <c r="AX87" i="5"/>
  <c r="AY87" i="5"/>
  <c r="AX77" i="5"/>
  <c r="AY77" i="5"/>
  <c r="AY25" i="5"/>
  <c r="AX25" i="5"/>
  <c r="BC25" i="5"/>
  <c r="AY337" i="5"/>
  <c r="AX337" i="5"/>
  <c r="AX306" i="5"/>
  <c r="AY306" i="5"/>
  <c r="AY229" i="5"/>
  <c r="AX229" i="5"/>
  <c r="AY124" i="5"/>
  <c r="AX124" i="5"/>
  <c r="AX178" i="5"/>
  <c r="AY178" i="5"/>
  <c r="AY161" i="5"/>
  <c r="AX161" i="5"/>
  <c r="AY76" i="5"/>
  <c r="AX76" i="5"/>
  <c r="AY24" i="5"/>
  <c r="AX24" i="5"/>
  <c r="AY327" i="5"/>
  <c r="AX327" i="5"/>
  <c r="BC327" i="5"/>
  <c r="AX301" i="5"/>
  <c r="AY301" i="5"/>
  <c r="BC301" i="5"/>
  <c r="AY278" i="5"/>
  <c r="AX278" i="5"/>
  <c r="AY228" i="5"/>
  <c r="AX228" i="5"/>
  <c r="BC228" i="5"/>
  <c r="AY150" i="5"/>
  <c r="AX150" i="5"/>
  <c r="AY158" i="5"/>
  <c r="AX158" i="5"/>
  <c r="AY85" i="5"/>
  <c r="AX85" i="5"/>
  <c r="AX213" i="5"/>
  <c r="AY213" i="5"/>
  <c r="BC300" i="5"/>
  <c r="BE300" i="5" s="1"/>
  <c r="BC188" i="5"/>
  <c r="BE188" i="5" s="1"/>
  <c r="BC65" i="5"/>
  <c r="BD65" i="5" s="1"/>
  <c r="BC280" i="5"/>
  <c r="BC135" i="5"/>
  <c r="BC339" i="5"/>
  <c r="AX468" i="5"/>
  <c r="AY468" i="5"/>
  <c r="BC468" i="5"/>
  <c r="AY463" i="5"/>
  <c r="AX463" i="5"/>
  <c r="AX537" i="5"/>
  <c r="AY537" i="5"/>
  <c r="AY470" i="5"/>
  <c r="AX470" i="5"/>
  <c r="AY544" i="5"/>
  <c r="AX544" i="5"/>
  <c r="AY450" i="5"/>
  <c r="AX450" i="5"/>
  <c r="AX259" i="5"/>
  <c r="AY259" i="5"/>
  <c r="AX524" i="5"/>
  <c r="AY524" i="5"/>
  <c r="AY493" i="5"/>
  <c r="AX493" i="5"/>
  <c r="AX386" i="5"/>
  <c r="AY386" i="5"/>
  <c r="BC386" i="5"/>
  <c r="AY498" i="5"/>
  <c r="AX498" i="5"/>
  <c r="AY437" i="5"/>
  <c r="AX437" i="5"/>
  <c r="AX480" i="5"/>
  <c r="AY480" i="5"/>
  <c r="AY553" i="5"/>
  <c r="AX553" i="5"/>
  <c r="AX486" i="5"/>
  <c r="AY486" i="5"/>
  <c r="AY528" i="5"/>
  <c r="AX528" i="5"/>
  <c r="AY291" i="5"/>
  <c r="AX291" i="5"/>
  <c r="AX517" i="5"/>
  <c r="AY517" i="5"/>
  <c r="BC517" i="5"/>
  <c r="AX435" i="5"/>
  <c r="AY435" i="5"/>
  <c r="AX521" i="5"/>
  <c r="AY521" i="5"/>
  <c r="AY473" i="5"/>
  <c r="AX473" i="5"/>
  <c r="BC473" i="5"/>
  <c r="AX367" i="5"/>
  <c r="AY367" i="5"/>
  <c r="AX479" i="5"/>
  <c r="AY479" i="5"/>
  <c r="AY338" i="5"/>
  <c r="AX338" i="5"/>
  <c r="AX368" i="5"/>
  <c r="AY368" i="5"/>
  <c r="AX378" i="5"/>
  <c r="AY378" i="5"/>
  <c r="AY545" i="5"/>
  <c r="AX545" i="5"/>
  <c r="AY478" i="5"/>
  <c r="AX478" i="5"/>
  <c r="AX522" i="5"/>
  <c r="AY522" i="5"/>
  <c r="AX285" i="5"/>
  <c r="AY285" i="5"/>
  <c r="AY501" i="5"/>
  <c r="AX501" i="5"/>
  <c r="AY433" i="5"/>
  <c r="AX433" i="5"/>
  <c r="AY520" i="5"/>
  <c r="AX520" i="5"/>
  <c r="AY469" i="5"/>
  <c r="AX469" i="5"/>
  <c r="AX361" i="5"/>
  <c r="AY361" i="5"/>
  <c r="BC361" i="5"/>
  <c r="AY477" i="5"/>
  <c r="AX477" i="5"/>
  <c r="AY410" i="5"/>
  <c r="BC410" i="5"/>
  <c r="AX410" i="5"/>
  <c r="AY362" i="5"/>
  <c r="AX362" i="5"/>
  <c r="AX374" i="5"/>
  <c r="BC374" i="5"/>
  <c r="AY374" i="5"/>
  <c r="AY543" i="5"/>
  <c r="AX543" i="5"/>
  <c r="AY475" i="5"/>
  <c r="AX475" i="5"/>
  <c r="BC475" i="5"/>
  <c r="AX516" i="5"/>
  <c r="AY516" i="5"/>
  <c r="AY279" i="5"/>
  <c r="AX279" i="5"/>
  <c r="AY496" i="5"/>
  <c r="AX496" i="5"/>
  <c r="BC496" i="5"/>
  <c r="AX425" i="5"/>
  <c r="AY425" i="5"/>
  <c r="BC425" i="5"/>
  <c r="AY518" i="5"/>
  <c r="AX518" i="5"/>
  <c r="BC518" i="5"/>
  <c r="AX466" i="5"/>
  <c r="AY466" i="5"/>
  <c r="AY288" i="5"/>
  <c r="AX288" i="5"/>
  <c r="AX476" i="5"/>
  <c r="AY476" i="5"/>
  <c r="AX409" i="5"/>
  <c r="AY409" i="5"/>
  <c r="AY343" i="5"/>
  <c r="AX343" i="5"/>
  <c r="BC343" i="5"/>
  <c r="AX366" i="5"/>
  <c r="AY366" i="5"/>
  <c r="AX412" i="5"/>
  <c r="AY412" i="5"/>
  <c r="AX356" i="5"/>
  <c r="AY356" i="5"/>
  <c r="AX340" i="5"/>
  <c r="AY340" i="5"/>
  <c r="AX277" i="5"/>
  <c r="AY277" i="5"/>
  <c r="AY320" i="5"/>
  <c r="AX320" i="5"/>
  <c r="AY257" i="5"/>
  <c r="AX257" i="5"/>
  <c r="AY305" i="5"/>
  <c r="AX305" i="5"/>
  <c r="AX211" i="5"/>
  <c r="AY211" i="5"/>
  <c r="AX193" i="5"/>
  <c r="AY193" i="5"/>
  <c r="AX167" i="5"/>
  <c r="AY167" i="5"/>
  <c r="AX194" i="5"/>
  <c r="AY194" i="5"/>
  <c r="AX165" i="5"/>
  <c r="AY165" i="5"/>
  <c r="AX159" i="5"/>
  <c r="AY159" i="5"/>
  <c r="AX110" i="5"/>
  <c r="AY110" i="5"/>
  <c r="AX127" i="5"/>
  <c r="AY127" i="5"/>
  <c r="AX118" i="5"/>
  <c r="AY118" i="5"/>
  <c r="AX109" i="5"/>
  <c r="AY109" i="5"/>
  <c r="AX74" i="5"/>
  <c r="AY74" i="5"/>
  <c r="AX50" i="5"/>
  <c r="AY50" i="5"/>
  <c r="AX42" i="5"/>
  <c r="AY42" i="5"/>
  <c r="AX43" i="5"/>
  <c r="AY43" i="5"/>
  <c r="AX408" i="5"/>
  <c r="AY408" i="5"/>
  <c r="AX350" i="5"/>
  <c r="AY350" i="5"/>
  <c r="BC350" i="5"/>
  <c r="AY334" i="5"/>
  <c r="AX334" i="5"/>
  <c r="BC334" i="5"/>
  <c r="AY276" i="5"/>
  <c r="AX276" i="5"/>
  <c r="AX315" i="5"/>
  <c r="AY315" i="5"/>
  <c r="AY255" i="5"/>
  <c r="AX255" i="5"/>
  <c r="AX302" i="5"/>
  <c r="AY302" i="5"/>
  <c r="AX208" i="5"/>
  <c r="AY208" i="5"/>
  <c r="AX192" i="5"/>
  <c r="AY192" i="5"/>
  <c r="AX244" i="5"/>
  <c r="AY244" i="5"/>
  <c r="BC244" i="5"/>
  <c r="AX162" i="5"/>
  <c r="AY162" i="5"/>
  <c r="AY137" i="5"/>
  <c r="AX137" i="5"/>
  <c r="AX139" i="5"/>
  <c r="AY139" i="5"/>
  <c r="AX108" i="5"/>
  <c r="AY108" i="5"/>
  <c r="AY122" i="5"/>
  <c r="AX122" i="5"/>
  <c r="AY117" i="5"/>
  <c r="AX117" i="5"/>
  <c r="AY104" i="5"/>
  <c r="AX104" i="5"/>
  <c r="AY73" i="5"/>
  <c r="AX73" i="5"/>
  <c r="AY49" i="5"/>
  <c r="AX49" i="5"/>
  <c r="AY39" i="5"/>
  <c r="AX39" i="5"/>
  <c r="AX37" i="5"/>
  <c r="AY37" i="5"/>
  <c r="AX399" i="5"/>
  <c r="AY399" i="5"/>
  <c r="AX346" i="5"/>
  <c r="AY346" i="5"/>
  <c r="AX333" i="5"/>
  <c r="AY333" i="5"/>
  <c r="BC333" i="5"/>
  <c r="AY273" i="5"/>
  <c r="AX273" i="5"/>
  <c r="AY314" i="5"/>
  <c r="AX314" i="5"/>
  <c r="AX254" i="5"/>
  <c r="AY254" i="5"/>
  <c r="BC254" i="5"/>
  <c r="AY298" i="5"/>
  <c r="AX298" i="5"/>
  <c r="AY163" i="5"/>
  <c r="AX163" i="5"/>
  <c r="AX189" i="5"/>
  <c r="AY189" i="5"/>
  <c r="AX242" i="5"/>
  <c r="AY242" i="5"/>
  <c r="AY160" i="5"/>
  <c r="AX160" i="5"/>
  <c r="AY119" i="5"/>
  <c r="AX119" i="5"/>
  <c r="AX113" i="5"/>
  <c r="AY113" i="5"/>
  <c r="AY105" i="5"/>
  <c r="AX105" i="5"/>
  <c r="AX116" i="5"/>
  <c r="AY116" i="5"/>
  <c r="AX112" i="5"/>
  <c r="AY112" i="5"/>
  <c r="AY101" i="5"/>
  <c r="AX101" i="5"/>
  <c r="AY68" i="5"/>
  <c r="AX68" i="5"/>
  <c r="AX47" i="5"/>
  <c r="AY47" i="5"/>
  <c r="AX35" i="5"/>
  <c r="AY35" i="5"/>
  <c r="AX31" i="5"/>
  <c r="AY31" i="5"/>
  <c r="AX271" i="5"/>
  <c r="AY271" i="5"/>
  <c r="AX380" i="5"/>
  <c r="AY380" i="5"/>
  <c r="BC380" i="5"/>
  <c r="AX313" i="5"/>
  <c r="AY313" i="5"/>
  <c r="AY311" i="5"/>
  <c r="AX311" i="5"/>
  <c r="AY252" i="5"/>
  <c r="AX252" i="5"/>
  <c r="AY295" i="5"/>
  <c r="AX295" i="5"/>
  <c r="AX225" i="5"/>
  <c r="AY225" i="5"/>
  <c r="AX272" i="5"/>
  <c r="AY272" i="5"/>
  <c r="AY224" i="5"/>
  <c r="AX224" i="5"/>
  <c r="AX169" i="5"/>
  <c r="AY169" i="5"/>
  <c r="AX226" i="5"/>
  <c r="AY226" i="5"/>
  <c r="AY205" i="5"/>
  <c r="AX205" i="5"/>
  <c r="BC205" i="5"/>
  <c r="AX156" i="5"/>
  <c r="AY156" i="5"/>
  <c r="AY147" i="5"/>
  <c r="AX147" i="5"/>
  <c r="AY157" i="5"/>
  <c r="AX157" i="5"/>
  <c r="AX152" i="5"/>
  <c r="AY152" i="5"/>
  <c r="AY107" i="5"/>
  <c r="AX107" i="5"/>
  <c r="AY81" i="5"/>
  <c r="AX81" i="5"/>
  <c r="AY40" i="5"/>
  <c r="AX40" i="5"/>
  <c r="AY59" i="5"/>
  <c r="AX59" i="5"/>
  <c r="BC46" i="5"/>
  <c r="AY46" i="5"/>
  <c r="AX46" i="5"/>
  <c r="BC200" i="5"/>
  <c r="BC50" i="5"/>
  <c r="BC312" i="5"/>
  <c r="BC179" i="5"/>
  <c r="BC107" i="5"/>
  <c r="BC303" i="5"/>
  <c r="BC123" i="5"/>
  <c r="BC322" i="5"/>
  <c r="AL165" i="5"/>
  <c r="AL153" i="5"/>
  <c r="AK156" i="5"/>
  <c r="AU12" i="5"/>
  <c r="AV12" i="5"/>
  <c r="BC12" i="5"/>
  <c r="AK49" i="5"/>
  <c r="AK28" i="5"/>
  <c r="AY12" i="5"/>
  <c r="AX12" i="5"/>
  <c r="AK13" i="5"/>
  <c r="AL13" i="5"/>
  <c r="U12" i="5"/>
  <c r="V12" i="5"/>
  <c r="BA12" i="5"/>
  <c r="BB12" i="5"/>
  <c r="AL516" i="5"/>
  <c r="AK516" i="5"/>
  <c r="AL290" i="5"/>
  <c r="AK290" i="5"/>
  <c r="AL243" i="5"/>
  <c r="AK243" i="5"/>
  <c r="AL374" i="5"/>
  <c r="AK374" i="5"/>
  <c r="AK151" i="5"/>
  <c r="AL151" i="5"/>
  <c r="AL152" i="5"/>
  <c r="AK152" i="5"/>
  <c r="AK65" i="5"/>
  <c r="AL65" i="5"/>
  <c r="AK489" i="5"/>
  <c r="AL489" i="5"/>
  <c r="AK515" i="5"/>
  <c r="AL515" i="5"/>
  <c r="AL377" i="5"/>
  <c r="AK377" i="5"/>
  <c r="AL134" i="5"/>
  <c r="AK134" i="5"/>
  <c r="AL342" i="5"/>
  <c r="AK342" i="5"/>
  <c r="AK463" i="5"/>
  <c r="AL463" i="5"/>
  <c r="AL323" i="5"/>
  <c r="AK323" i="5"/>
  <c r="AK281" i="5"/>
  <c r="AL281" i="5"/>
  <c r="AK163" i="5"/>
  <c r="AL163" i="5"/>
  <c r="AL175" i="5"/>
  <c r="AK175" i="5"/>
  <c r="AL474" i="5"/>
  <c r="AK474" i="5"/>
  <c r="AL466" i="5"/>
  <c r="AK466" i="5"/>
  <c r="AK400" i="5"/>
  <c r="AL400" i="5"/>
  <c r="AK453" i="5"/>
  <c r="AL453" i="5"/>
  <c r="AL546" i="5"/>
  <c r="AK546" i="5"/>
  <c r="AL413" i="5"/>
  <c r="AK413" i="5"/>
  <c r="AK491" i="5"/>
  <c r="AL491" i="5"/>
  <c r="AK258" i="5"/>
  <c r="AL258" i="5"/>
  <c r="AL300" i="5"/>
  <c r="AK300" i="5"/>
  <c r="AK196" i="5"/>
  <c r="AL196" i="5"/>
  <c r="AK359" i="5"/>
  <c r="AL359" i="5"/>
  <c r="AK206" i="5"/>
  <c r="AL206" i="5"/>
  <c r="AK207" i="5"/>
  <c r="AL207" i="5"/>
  <c r="AL467" i="5"/>
  <c r="AK467" i="5"/>
  <c r="AK385" i="5"/>
  <c r="AL385" i="5"/>
  <c r="AK462" i="5"/>
  <c r="AL462" i="5"/>
  <c r="AL244" i="5"/>
  <c r="AK244" i="5"/>
  <c r="AL160" i="5"/>
  <c r="AK160" i="5"/>
  <c r="AL495" i="5"/>
  <c r="AK495" i="5"/>
  <c r="AK501" i="5"/>
  <c r="AL501" i="5"/>
  <c r="AK267" i="5"/>
  <c r="AL267" i="5"/>
  <c r="AL217" i="5"/>
  <c r="AK217" i="5"/>
  <c r="AK63" i="5"/>
  <c r="AL63" i="5"/>
  <c r="AK465" i="5"/>
  <c r="AL465" i="5"/>
  <c r="AK531" i="5"/>
  <c r="AL531" i="5"/>
  <c r="AL337" i="5"/>
  <c r="AK337" i="5"/>
  <c r="AK21" i="5"/>
  <c r="AL21" i="5"/>
  <c r="AL114" i="5"/>
  <c r="AK114" i="5"/>
  <c r="AL420" i="5"/>
  <c r="AK420" i="5"/>
  <c r="AK481" i="5"/>
  <c r="AL481" i="5"/>
  <c r="AK279" i="5"/>
  <c r="AL279" i="5"/>
  <c r="AK37" i="5"/>
  <c r="AL37" i="5"/>
  <c r="AL430" i="5"/>
  <c r="AK430" i="5"/>
  <c r="AK346" i="5"/>
  <c r="AL346" i="5"/>
  <c r="AK423" i="5"/>
  <c r="AL423" i="5"/>
  <c r="AL177" i="5"/>
  <c r="AK177" i="5"/>
  <c r="AK92" i="5"/>
  <c r="AL92" i="5"/>
  <c r="AL102" i="5"/>
  <c r="AK102" i="5"/>
  <c r="AL140" i="5"/>
  <c r="AK140" i="5"/>
  <c r="AL112" i="5"/>
  <c r="AK112" i="5"/>
  <c r="AL484" i="5"/>
  <c r="AK484" i="5"/>
  <c r="AK556" i="5"/>
  <c r="AL556" i="5"/>
  <c r="AL412" i="5"/>
  <c r="AK412" i="5"/>
  <c r="AK558" i="5"/>
  <c r="AL558" i="5"/>
  <c r="AK370" i="5"/>
  <c r="AL370" i="5"/>
  <c r="AK553" i="5"/>
  <c r="AL553" i="5"/>
  <c r="AL476" i="5"/>
  <c r="AK476" i="5"/>
  <c r="AL552" i="5"/>
  <c r="AK552" i="5"/>
  <c r="AL443" i="5"/>
  <c r="AK443" i="5"/>
  <c r="AK425" i="5"/>
  <c r="AL425" i="5"/>
  <c r="AL245" i="5"/>
  <c r="AK245" i="5"/>
  <c r="AL313" i="5"/>
  <c r="AK313" i="5"/>
  <c r="AK224" i="5"/>
  <c r="AL224" i="5"/>
  <c r="AK25" i="5"/>
  <c r="AL25" i="5"/>
  <c r="AL171" i="5"/>
  <c r="AK171" i="5"/>
  <c r="AK159" i="5"/>
  <c r="AL159" i="5"/>
  <c r="AL120" i="5"/>
  <c r="AK120" i="5"/>
  <c r="AK201" i="5"/>
  <c r="AL201" i="5"/>
  <c r="AL455" i="5"/>
  <c r="AK455" i="5"/>
  <c r="AK452" i="5"/>
  <c r="AL452" i="5"/>
  <c r="AK410" i="5"/>
  <c r="AL410" i="5"/>
  <c r="AK422" i="5"/>
  <c r="AL422" i="5"/>
  <c r="AK503" i="5"/>
  <c r="AL503" i="5"/>
  <c r="AK352" i="5"/>
  <c r="AL352" i="5"/>
  <c r="AL470" i="5"/>
  <c r="AK470" i="5"/>
  <c r="AK257" i="5"/>
  <c r="AL257" i="5"/>
  <c r="AL322" i="5"/>
  <c r="AK322" i="5"/>
  <c r="AK363" i="5"/>
  <c r="AL363" i="5"/>
  <c r="AK142" i="5"/>
  <c r="AL142" i="5"/>
  <c r="AL211" i="5"/>
  <c r="AK211" i="5"/>
  <c r="AK32" i="5"/>
  <c r="AL32" i="5"/>
  <c r="AK110" i="5"/>
  <c r="AL110" i="5"/>
  <c r="AL85" i="5"/>
  <c r="AK85" i="5"/>
  <c r="AK86" i="5"/>
  <c r="AL86" i="5"/>
  <c r="AK554" i="5"/>
  <c r="AL554" i="5"/>
  <c r="AK111" i="5"/>
  <c r="AL111" i="5"/>
  <c r="AL428" i="5"/>
  <c r="AK428" i="5"/>
  <c r="AL436" i="5"/>
  <c r="AK436" i="5"/>
  <c r="AK402" i="5"/>
  <c r="AL402" i="5"/>
  <c r="AK406" i="5"/>
  <c r="AL406" i="5"/>
  <c r="AK490" i="5"/>
  <c r="AL490" i="5"/>
  <c r="AK327" i="5"/>
  <c r="AL327" i="5"/>
  <c r="AL456" i="5"/>
  <c r="AK456" i="5"/>
  <c r="AK135" i="5"/>
  <c r="AL135" i="5"/>
  <c r="AK310" i="5"/>
  <c r="AL310" i="5"/>
  <c r="AK347" i="5"/>
  <c r="AL347" i="5"/>
  <c r="AL39" i="5"/>
  <c r="AK39" i="5"/>
  <c r="AK197" i="5"/>
  <c r="AL197" i="5"/>
  <c r="AK368" i="5"/>
  <c r="AL368" i="5"/>
  <c r="AK538" i="5"/>
  <c r="AL538" i="5"/>
  <c r="AK477" i="5"/>
  <c r="AL477" i="5"/>
  <c r="AK415" i="5"/>
  <c r="AL415" i="5"/>
  <c r="AL266" i="5"/>
  <c r="AK266" i="5"/>
  <c r="AK395" i="5"/>
  <c r="AL395" i="5"/>
  <c r="AK331" i="5"/>
  <c r="AL331" i="5"/>
  <c r="AK213" i="5"/>
  <c r="AL213" i="5"/>
  <c r="AL527" i="5"/>
  <c r="AK527" i="5"/>
  <c r="AL475" i="5"/>
  <c r="AK475" i="5"/>
  <c r="AK367" i="5"/>
  <c r="AL367" i="5"/>
  <c r="AK287" i="5"/>
  <c r="AL287" i="5"/>
  <c r="AL305" i="5"/>
  <c r="AK305" i="5"/>
  <c r="AL250" i="5"/>
  <c r="AK250" i="5"/>
  <c r="AL178" i="5"/>
  <c r="AK178" i="5"/>
  <c r="AK214" i="5"/>
  <c r="AL214" i="5"/>
  <c r="AK99" i="5"/>
  <c r="AL99" i="5"/>
  <c r="AL284" i="5"/>
  <c r="AK284" i="5"/>
  <c r="AL215" i="5"/>
  <c r="AK215" i="5"/>
  <c r="AL170" i="5"/>
  <c r="AK170" i="5"/>
  <c r="AK50" i="5"/>
  <c r="AL50" i="5"/>
  <c r="AL306" i="5"/>
  <c r="AK306" i="5"/>
  <c r="AK23" i="5"/>
  <c r="AL23" i="5"/>
  <c r="AL511" i="5"/>
  <c r="AK511" i="5"/>
  <c r="AK398" i="5"/>
  <c r="AL398" i="5"/>
  <c r="AK343" i="5"/>
  <c r="AL343" i="5"/>
  <c r="AL227" i="5"/>
  <c r="AK227" i="5"/>
  <c r="AL278" i="5"/>
  <c r="AK278" i="5"/>
  <c r="AL234" i="5"/>
  <c r="AK234" i="5"/>
  <c r="AK30" i="5"/>
  <c r="AL30" i="5"/>
  <c r="AK190" i="5"/>
  <c r="AL190" i="5"/>
  <c r="AL326" i="5"/>
  <c r="AK326" i="5"/>
  <c r="AK259" i="5"/>
  <c r="AL259" i="5"/>
  <c r="AK189" i="5"/>
  <c r="AL189" i="5"/>
  <c r="AK133" i="5"/>
  <c r="AL133" i="5"/>
  <c r="AK157" i="5"/>
  <c r="AL157" i="5"/>
  <c r="AK209" i="5"/>
  <c r="AL209" i="5"/>
  <c r="AK514" i="5"/>
  <c r="AL514" i="5"/>
  <c r="AL451" i="5"/>
  <c r="AK451" i="5"/>
  <c r="AL389" i="5"/>
  <c r="AK389" i="5"/>
  <c r="AL433" i="5"/>
  <c r="AK433" i="5"/>
  <c r="AL365" i="5"/>
  <c r="AK365" i="5"/>
  <c r="AL301" i="5"/>
  <c r="AK301" i="5"/>
  <c r="AL559" i="5"/>
  <c r="AK559" i="5"/>
  <c r="AK509" i="5"/>
  <c r="AL509" i="5"/>
  <c r="AK396" i="5"/>
  <c r="AL396" i="5"/>
  <c r="AK339" i="5"/>
  <c r="AL339" i="5"/>
  <c r="AK194" i="5"/>
  <c r="AL194" i="5"/>
  <c r="AL276" i="5"/>
  <c r="AK276" i="5"/>
  <c r="AL231" i="5"/>
  <c r="AK231" i="5"/>
  <c r="AK20" i="5"/>
  <c r="AL20" i="5"/>
  <c r="AK186" i="5"/>
  <c r="AL186" i="5"/>
  <c r="AK319" i="5"/>
  <c r="AL319" i="5"/>
  <c r="AK255" i="5"/>
  <c r="AL255" i="5"/>
  <c r="AK185" i="5"/>
  <c r="AL185" i="5"/>
  <c r="AK129" i="5"/>
  <c r="AL129" i="5"/>
  <c r="AK141" i="5"/>
  <c r="AL141" i="5"/>
  <c r="AL38" i="5"/>
  <c r="AK38" i="5"/>
  <c r="AK358" i="5"/>
  <c r="AL358" i="5"/>
  <c r="AL448" i="5"/>
  <c r="AK448" i="5"/>
  <c r="AL69" i="5"/>
  <c r="AK69" i="5"/>
  <c r="AK103" i="5"/>
  <c r="AL103" i="5"/>
  <c r="AK505" i="5"/>
  <c r="AL505" i="5"/>
  <c r="AL26" i="5"/>
  <c r="AK26" i="5"/>
  <c r="AK122" i="5"/>
  <c r="AL122" i="5"/>
  <c r="AL460" i="5"/>
  <c r="AK460" i="5"/>
  <c r="AL440" i="5"/>
  <c r="AK440" i="5"/>
  <c r="AL472" i="5"/>
  <c r="AK472" i="5"/>
  <c r="AK328" i="5"/>
  <c r="AL328" i="5"/>
  <c r="AK226" i="5"/>
  <c r="AL226" i="5"/>
  <c r="AL81" i="5"/>
  <c r="AK81" i="5"/>
  <c r="AK285" i="5"/>
  <c r="AL285" i="5"/>
  <c r="AL479" i="5"/>
  <c r="AK479" i="5"/>
  <c r="AL502" i="5"/>
  <c r="AK502" i="5"/>
  <c r="AL469" i="5"/>
  <c r="AK469" i="5"/>
  <c r="AK53" i="5"/>
  <c r="AL53" i="5"/>
  <c r="AK488" i="5"/>
  <c r="AL488" i="5"/>
  <c r="AK341" i="5"/>
  <c r="AL341" i="5"/>
  <c r="AK265" i="5"/>
  <c r="AL265" i="5"/>
  <c r="AL493" i="5"/>
  <c r="AK493" i="5"/>
  <c r="AK298" i="5"/>
  <c r="AL298" i="5"/>
  <c r="AL249" i="5"/>
  <c r="AK249" i="5"/>
  <c r="AL379" i="5"/>
  <c r="AK379" i="5"/>
  <c r="AK320" i="5"/>
  <c r="AL320" i="5"/>
  <c r="AL229" i="5"/>
  <c r="AK229" i="5"/>
  <c r="AK228" i="5"/>
  <c r="AL228" i="5"/>
  <c r="AK82" i="5"/>
  <c r="AL82" i="5"/>
  <c r="AL464" i="5"/>
  <c r="AK464" i="5"/>
  <c r="AL294" i="5"/>
  <c r="AK294" i="5"/>
  <c r="AK76" i="5"/>
  <c r="AL76" i="5"/>
  <c r="AL275" i="5"/>
  <c r="AK275" i="5"/>
  <c r="AK34" i="5"/>
  <c r="AL34" i="5"/>
  <c r="AL530" i="5"/>
  <c r="AK530" i="5"/>
  <c r="AK253" i="5"/>
  <c r="AL253" i="5"/>
  <c r="AK127" i="5"/>
  <c r="AL127" i="5"/>
  <c r="AL355" i="5"/>
  <c r="AK355" i="5"/>
  <c r="AK292" i="5"/>
  <c r="AL292" i="5"/>
  <c r="AL202" i="5"/>
  <c r="AK202" i="5"/>
  <c r="AK270" i="5"/>
  <c r="AL270" i="5"/>
  <c r="AK29" i="5"/>
  <c r="AL29" i="5"/>
  <c r="AL68" i="5"/>
  <c r="AK68" i="5"/>
  <c r="AL369" i="5"/>
  <c r="AK369" i="5"/>
  <c r="AK155" i="5"/>
  <c r="AL155" i="5"/>
  <c r="AL48" i="5"/>
  <c r="AK48" i="5"/>
  <c r="AL391" i="5"/>
  <c r="AK391" i="5"/>
  <c r="AK94" i="5"/>
  <c r="AL94" i="5"/>
  <c r="AK557" i="5"/>
  <c r="AL557" i="5"/>
  <c r="AK384" i="5"/>
  <c r="AL384" i="5"/>
  <c r="AK390" i="5"/>
  <c r="AL390" i="5"/>
  <c r="AL96" i="5"/>
  <c r="AK96" i="5"/>
  <c r="AK47" i="5"/>
  <c r="AL47" i="5"/>
  <c r="AK382" i="5"/>
  <c r="AL382" i="5"/>
  <c r="AK295" i="5"/>
  <c r="AL295" i="5"/>
  <c r="AL330" i="5"/>
  <c r="AK330" i="5"/>
  <c r="AK118" i="5"/>
  <c r="AL118" i="5"/>
  <c r="AK522" i="5"/>
  <c r="AL522" i="5"/>
  <c r="AK537" i="5"/>
  <c r="AL537" i="5"/>
  <c r="AK405" i="5"/>
  <c r="AL405" i="5"/>
  <c r="AK113" i="5"/>
  <c r="AL113" i="5"/>
  <c r="AK35" i="5"/>
  <c r="AL35" i="5"/>
  <c r="AK126" i="5"/>
  <c r="AL126" i="5"/>
  <c r="AL8" i="5"/>
  <c r="AK8" i="5"/>
  <c r="AL54" i="5"/>
  <c r="AK54" i="5"/>
  <c r="AK414" i="5"/>
  <c r="AL414" i="5"/>
  <c r="AK518" i="5"/>
  <c r="AL518" i="5"/>
  <c r="AK364" i="5"/>
  <c r="AL364" i="5"/>
  <c r="AK482" i="5"/>
  <c r="AL482" i="5"/>
  <c r="AK338" i="5"/>
  <c r="AL338" i="5"/>
  <c r="AK521" i="5"/>
  <c r="AL521" i="5"/>
  <c r="AK445" i="5"/>
  <c r="AL445" i="5"/>
  <c r="AK536" i="5"/>
  <c r="AL536" i="5"/>
  <c r="AK411" i="5"/>
  <c r="AL411" i="5"/>
  <c r="AK392" i="5"/>
  <c r="AL392" i="5"/>
  <c r="AL535" i="5"/>
  <c r="AK535" i="5"/>
  <c r="AL316" i="5"/>
  <c r="AK316" i="5"/>
  <c r="AL123" i="5"/>
  <c r="AK123" i="5"/>
  <c r="AL80" i="5"/>
  <c r="AK80" i="5"/>
  <c r="AK106" i="5"/>
  <c r="AL106" i="5"/>
  <c r="AL70" i="5"/>
  <c r="AK70" i="5"/>
  <c r="AK457" i="5"/>
  <c r="AL457" i="5"/>
  <c r="AK534" i="5"/>
  <c r="AL534" i="5"/>
  <c r="AK404" i="5"/>
  <c r="AL404" i="5"/>
  <c r="AL545" i="5"/>
  <c r="AK545" i="5"/>
  <c r="AL362" i="5"/>
  <c r="AK362" i="5"/>
  <c r="AK549" i="5"/>
  <c r="AL549" i="5"/>
  <c r="AL471" i="5"/>
  <c r="AK471" i="5"/>
  <c r="AK550" i="5"/>
  <c r="AL550" i="5"/>
  <c r="AL439" i="5"/>
  <c r="AK439" i="5"/>
  <c r="AL421" i="5"/>
  <c r="AK421" i="5"/>
  <c r="AK205" i="5"/>
  <c r="AL205" i="5"/>
  <c r="AK282" i="5"/>
  <c r="AL282" i="5"/>
  <c r="AK210" i="5"/>
  <c r="AL210" i="5"/>
  <c r="AL168" i="5"/>
  <c r="AK168" i="5"/>
  <c r="AK79" i="5"/>
  <c r="AL79" i="5"/>
  <c r="AK191" i="5"/>
  <c r="AL191" i="5"/>
  <c r="AL124" i="5"/>
  <c r="AK124" i="5"/>
  <c r="AK31" i="5"/>
  <c r="AL31" i="5"/>
  <c r="AK444" i="5"/>
  <c r="AL444" i="5"/>
  <c r="AL526" i="5"/>
  <c r="AK526" i="5"/>
  <c r="AL380" i="5"/>
  <c r="AK380" i="5"/>
  <c r="AK528" i="5"/>
  <c r="AL528" i="5"/>
  <c r="AL354" i="5"/>
  <c r="AK354" i="5"/>
  <c r="AL541" i="5"/>
  <c r="AK541" i="5"/>
  <c r="AL458" i="5"/>
  <c r="AK458" i="5"/>
  <c r="AK544" i="5"/>
  <c r="AL544" i="5"/>
  <c r="AK427" i="5"/>
  <c r="AL427" i="5"/>
  <c r="AL409" i="5"/>
  <c r="AK409" i="5"/>
  <c r="AK60" i="5"/>
  <c r="AL60" i="5"/>
  <c r="AK237" i="5"/>
  <c r="AL237" i="5"/>
  <c r="AK192" i="5"/>
  <c r="AL192" i="5"/>
  <c r="AL150" i="5"/>
  <c r="AK150" i="5"/>
  <c r="AL336" i="5"/>
  <c r="AK336" i="5"/>
  <c r="AK524" i="5"/>
  <c r="AL524" i="5"/>
  <c r="AL461" i="5"/>
  <c r="AK461" i="5"/>
  <c r="AL399" i="5"/>
  <c r="AK399" i="5"/>
  <c r="AK232" i="5"/>
  <c r="AL232" i="5"/>
  <c r="AK381" i="5"/>
  <c r="AL381" i="5"/>
  <c r="AL314" i="5"/>
  <c r="AK314" i="5"/>
  <c r="AL95" i="5"/>
  <c r="AK95" i="5"/>
  <c r="AL517" i="5"/>
  <c r="AK517" i="5"/>
  <c r="AL459" i="5"/>
  <c r="AK459" i="5"/>
  <c r="AL351" i="5"/>
  <c r="AK351" i="5"/>
  <c r="AK247" i="5"/>
  <c r="AL247" i="5"/>
  <c r="AL289" i="5"/>
  <c r="AK289" i="5"/>
  <c r="AK241" i="5"/>
  <c r="AL241" i="5"/>
  <c r="AK57" i="5"/>
  <c r="AL57" i="5"/>
  <c r="AL198" i="5"/>
  <c r="AK198" i="5"/>
  <c r="AL46" i="5"/>
  <c r="AK46" i="5"/>
  <c r="AL268" i="5"/>
  <c r="AK268" i="5"/>
  <c r="AL199" i="5"/>
  <c r="AK199" i="5"/>
  <c r="AL154" i="5"/>
  <c r="AK154" i="5"/>
  <c r="AK173" i="5"/>
  <c r="AL173" i="5"/>
  <c r="AK274" i="5"/>
  <c r="AL274" i="5"/>
  <c r="AK547" i="5"/>
  <c r="AL547" i="5"/>
  <c r="AK496" i="5"/>
  <c r="AL496" i="5"/>
  <c r="AK388" i="5"/>
  <c r="AL388" i="5"/>
  <c r="AK325" i="5"/>
  <c r="AL325" i="5"/>
  <c r="AK119" i="5"/>
  <c r="AL119" i="5"/>
  <c r="AL262" i="5"/>
  <c r="AK262" i="5"/>
  <c r="AK216" i="5"/>
  <c r="AL216" i="5"/>
  <c r="AK238" i="5"/>
  <c r="AL238" i="5"/>
  <c r="AL148" i="5"/>
  <c r="AK148" i="5"/>
  <c r="AL307" i="5"/>
  <c r="AK307" i="5"/>
  <c r="AK239" i="5"/>
  <c r="AL239" i="5"/>
  <c r="AK89" i="5"/>
  <c r="AL89" i="5"/>
  <c r="AK101" i="5"/>
  <c r="AL101" i="5"/>
  <c r="AK59" i="5"/>
  <c r="AL59" i="5"/>
  <c r="AK548" i="5"/>
  <c r="AL548" i="5"/>
  <c r="AK499" i="5"/>
  <c r="AL499" i="5"/>
  <c r="AL435" i="5"/>
  <c r="AK435" i="5"/>
  <c r="AK303" i="5"/>
  <c r="AL303" i="5"/>
  <c r="AL417" i="5"/>
  <c r="AK417" i="5"/>
  <c r="AK349" i="5"/>
  <c r="AL349" i="5"/>
  <c r="AL269" i="5"/>
  <c r="AK269" i="5"/>
  <c r="AK543" i="5"/>
  <c r="AL543" i="5"/>
  <c r="AK494" i="5"/>
  <c r="AL494" i="5"/>
  <c r="AL383" i="5"/>
  <c r="AK383" i="5"/>
  <c r="AK321" i="5"/>
  <c r="AL321" i="5"/>
  <c r="AK324" i="5"/>
  <c r="AL324" i="5"/>
  <c r="AK260" i="5"/>
  <c r="AL260" i="5"/>
  <c r="AL212" i="5"/>
  <c r="AK212" i="5"/>
  <c r="AK235" i="5"/>
  <c r="AL235" i="5"/>
  <c r="AL139" i="5"/>
  <c r="AK139" i="5"/>
  <c r="AK302" i="5"/>
  <c r="AL302" i="5"/>
  <c r="AL233" i="5"/>
  <c r="AK233" i="5"/>
  <c r="AL62" i="5"/>
  <c r="AK62" i="5"/>
  <c r="AK97" i="5"/>
  <c r="AL97" i="5"/>
  <c r="AK33" i="5"/>
  <c r="AL33" i="5"/>
  <c r="AL432" i="5"/>
  <c r="AK432" i="5"/>
  <c r="AK88" i="5"/>
  <c r="AL88" i="5"/>
  <c r="AK280" i="5"/>
  <c r="AL280" i="5"/>
  <c r="AK19" i="5"/>
  <c r="AL19" i="5"/>
  <c r="AK137" i="5"/>
  <c r="AL137" i="5"/>
  <c r="AK542" i="5"/>
  <c r="AL542" i="5"/>
  <c r="AK74" i="5"/>
  <c r="AL74" i="5"/>
  <c r="AK149" i="5"/>
  <c r="AL149" i="5"/>
  <c r="AK272" i="5"/>
  <c r="AL272" i="5"/>
  <c r="AK418" i="5"/>
  <c r="AL418" i="5"/>
  <c r="AK360" i="5"/>
  <c r="AL360" i="5"/>
  <c r="AK261" i="5"/>
  <c r="AL261" i="5"/>
  <c r="AK204" i="5"/>
  <c r="AL204" i="5"/>
  <c r="AK116" i="5"/>
  <c r="AL116" i="5"/>
  <c r="AK487" i="5"/>
  <c r="AL487" i="5"/>
  <c r="AL438" i="5"/>
  <c r="AK438" i="5"/>
  <c r="AL416" i="5"/>
  <c r="AK416" i="5"/>
  <c r="AK353" i="5"/>
  <c r="AL353" i="5"/>
  <c r="AK248" i="5"/>
  <c r="AL248" i="5"/>
  <c r="AK42" i="5"/>
  <c r="AL42" i="5"/>
  <c r="AK22" i="5"/>
  <c r="AL22" i="5"/>
  <c r="AL334" i="5"/>
  <c r="AK334" i="5"/>
  <c r="AL78" i="5"/>
  <c r="AK78" i="5"/>
  <c r="AL434" i="5"/>
  <c r="AK434" i="5"/>
  <c r="AL560" i="5"/>
  <c r="AK560" i="5"/>
  <c r="AL293" i="5"/>
  <c r="AK293" i="5"/>
  <c r="AL236" i="5"/>
  <c r="AK236" i="5"/>
  <c r="AK408" i="5"/>
  <c r="AL408" i="5"/>
  <c r="AL431" i="5"/>
  <c r="AK431" i="5"/>
  <c r="AK345" i="5"/>
  <c r="AL345" i="5"/>
  <c r="AK539" i="5"/>
  <c r="AL539" i="5"/>
  <c r="AK317" i="5"/>
  <c r="AL317" i="5"/>
  <c r="AL208" i="5"/>
  <c r="AK208" i="5"/>
  <c r="AL131" i="5"/>
  <c r="AK131" i="5"/>
  <c r="AL52" i="5"/>
  <c r="AK52" i="5"/>
  <c r="AK523" i="5"/>
  <c r="AL523" i="5"/>
  <c r="AK277" i="5"/>
  <c r="AL277" i="5"/>
  <c r="AL246" i="5"/>
  <c r="AK246" i="5"/>
  <c r="AL73" i="5"/>
  <c r="AK73" i="5"/>
  <c r="AL162" i="5"/>
  <c r="AK162" i="5"/>
  <c r="AL344" i="5"/>
  <c r="AK344" i="5"/>
  <c r="AL403" i="5"/>
  <c r="AK403" i="5"/>
  <c r="AL318" i="5"/>
  <c r="AK318" i="5"/>
  <c r="AK519" i="5"/>
  <c r="AL519" i="5"/>
  <c r="AL264" i="5"/>
  <c r="AK264" i="5"/>
  <c r="AL67" i="5"/>
  <c r="AK67" i="5"/>
  <c r="AL55" i="5"/>
  <c r="AK55" i="5"/>
  <c r="AK203" i="5"/>
  <c r="AL203" i="5"/>
  <c r="AL497" i="5"/>
  <c r="AK497" i="5"/>
  <c r="AK340" i="5"/>
  <c r="AL340" i="5"/>
  <c r="AL446" i="5"/>
  <c r="AK446" i="5"/>
  <c r="AK183" i="5"/>
  <c r="AL183" i="5"/>
  <c r="AK311" i="5"/>
  <c r="AL311" i="5"/>
  <c r="AL145" i="5"/>
  <c r="AK145" i="5"/>
  <c r="AK426" i="5"/>
  <c r="AL426" i="5"/>
  <c r="AL486" i="5"/>
  <c r="AK486" i="5"/>
  <c r="AK220" i="5"/>
  <c r="AL220" i="5"/>
  <c r="AK58" i="5"/>
  <c r="AL58" i="5"/>
  <c r="AK498" i="5"/>
  <c r="AL498" i="5"/>
  <c r="AK386" i="5"/>
  <c r="AL386" i="5"/>
  <c r="AL454" i="5"/>
  <c r="AK454" i="5"/>
  <c r="AK240" i="5"/>
  <c r="AL240" i="5"/>
  <c r="AL167" i="5"/>
  <c r="AK167" i="5"/>
  <c r="AL372" i="5"/>
  <c r="AK372" i="5"/>
  <c r="AK449" i="5"/>
  <c r="AL449" i="5"/>
  <c r="AL551" i="5"/>
  <c r="AK551" i="5"/>
  <c r="AK72" i="5"/>
  <c r="AL72" i="5"/>
  <c r="AK51" i="5"/>
  <c r="AL51" i="5"/>
  <c r="AK90" i="5"/>
  <c r="AL90" i="5"/>
  <c r="AK108" i="5"/>
  <c r="AL108" i="5"/>
  <c r="AL128" i="5"/>
  <c r="AK128" i="5"/>
  <c r="AK350" i="5"/>
  <c r="AL350" i="5"/>
  <c r="AL492" i="5"/>
  <c r="AK492" i="5"/>
  <c r="AK304" i="5"/>
  <c r="AL304" i="5"/>
  <c r="AK442" i="5"/>
  <c r="AL442" i="5"/>
  <c r="AK41" i="5"/>
  <c r="AL41" i="5"/>
  <c r="AK473" i="5"/>
  <c r="AL473" i="5"/>
  <c r="AL424" i="5"/>
  <c r="AK424" i="5"/>
  <c r="AL504" i="5"/>
  <c r="AK504" i="5"/>
  <c r="AL332" i="5"/>
  <c r="AK332" i="5"/>
  <c r="AL357" i="5"/>
  <c r="AK357" i="5"/>
  <c r="AK485" i="5"/>
  <c r="AL485" i="5"/>
  <c r="AL256" i="5"/>
  <c r="AK256" i="5"/>
  <c r="AL297" i="5"/>
  <c r="AK297" i="5"/>
  <c r="AK98" i="5"/>
  <c r="AL98" i="5"/>
  <c r="AL104" i="5"/>
  <c r="AK104" i="5"/>
  <c r="AL187" i="5"/>
  <c r="AK187" i="5"/>
  <c r="AK397" i="5"/>
  <c r="AL397" i="5"/>
  <c r="AL510" i="5"/>
  <c r="AK510" i="5"/>
  <c r="AK356" i="5"/>
  <c r="AL356" i="5"/>
  <c r="AL468" i="5"/>
  <c r="AK468" i="5"/>
  <c r="AL329" i="5"/>
  <c r="AK329" i="5"/>
  <c r="AK512" i="5"/>
  <c r="AL512" i="5"/>
  <c r="AK441" i="5"/>
  <c r="AL441" i="5"/>
  <c r="AL532" i="5"/>
  <c r="AK532" i="5"/>
  <c r="AK407" i="5"/>
  <c r="AL407" i="5"/>
  <c r="AK387" i="5"/>
  <c r="AL387" i="5"/>
  <c r="AK525" i="5"/>
  <c r="AL525" i="5"/>
  <c r="AL299" i="5"/>
  <c r="AK299" i="5"/>
  <c r="AK83" i="5"/>
  <c r="AL83" i="5"/>
  <c r="AK45" i="5"/>
  <c r="AL45" i="5"/>
  <c r="AL100" i="5"/>
  <c r="AK100" i="5"/>
  <c r="AL130" i="5"/>
  <c r="AK130" i="5"/>
  <c r="AK132" i="5"/>
  <c r="AL132" i="5"/>
  <c r="AK136" i="5"/>
  <c r="AL136" i="5"/>
  <c r="AK366" i="5"/>
  <c r="AL366" i="5"/>
  <c r="AK506" i="5"/>
  <c r="AL506" i="5"/>
  <c r="AK348" i="5"/>
  <c r="AL348" i="5"/>
  <c r="AK450" i="5"/>
  <c r="AL450" i="5"/>
  <c r="AK263" i="5"/>
  <c r="AL263" i="5"/>
  <c r="AL500" i="5"/>
  <c r="AK500" i="5"/>
  <c r="AK437" i="5"/>
  <c r="AL437" i="5"/>
  <c r="AL520" i="5"/>
  <c r="AK520" i="5"/>
  <c r="AL393" i="5"/>
  <c r="AK393" i="5"/>
  <c r="AL373" i="5"/>
  <c r="AK373" i="5"/>
  <c r="AK513" i="5"/>
  <c r="AL513" i="5"/>
  <c r="AL283" i="5"/>
  <c r="AK283" i="5"/>
  <c r="AK36" i="5"/>
  <c r="AL36" i="5"/>
  <c r="AK161" i="5"/>
  <c r="AL161" i="5"/>
  <c r="AL144" i="5"/>
  <c r="AK144" i="5"/>
  <c r="AL508" i="5"/>
  <c r="AK508" i="5"/>
  <c r="AK447" i="5"/>
  <c r="AL447" i="5"/>
  <c r="AK378" i="5"/>
  <c r="AL378" i="5"/>
  <c r="AK429" i="5"/>
  <c r="AL429" i="5"/>
  <c r="AL361" i="5"/>
  <c r="AK361" i="5"/>
  <c r="AK288" i="5"/>
  <c r="AL288" i="5"/>
  <c r="AL555" i="5"/>
  <c r="AK555" i="5"/>
  <c r="AK507" i="5"/>
  <c r="AL507" i="5"/>
  <c r="AK394" i="5"/>
  <c r="AL394" i="5"/>
  <c r="AK335" i="5"/>
  <c r="AL335" i="5"/>
  <c r="AK179" i="5"/>
  <c r="AL179" i="5"/>
  <c r="AK273" i="5"/>
  <c r="AL273" i="5"/>
  <c r="AK225" i="5"/>
  <c r="AL225" i="5"/>
  <c r="AK242" i="5"/>
  <c r="AL242" i="5"/>
  <c r="AK182" i="5"/>
  <c r="AL182" i="5"/>
  <c r="AL315" i="5"/>
  <c r="AK315" i="5"/>
  <c r="AK251" i="5"/>
  <c r="AL251" i="5"/>
  <c r="AK181" i="5"/>
  <c r="AL181" i="5"/>
  <c r="AK117" i="5"/>
  <c r="AL117" i="5"/>
  <c r="AK91" i="5"/>
  <c r="AL91" i="5"/>
  <c r="AK230" i="5"/>
  <c r="AL230" i="5"/>
  <c r="AK533" i="5"/>
  <c r="AL533" i="5"/>
  <c r="AL480" i="5"/>
  <c r="AK480" i="5"/>
  <c r="AL375" i="5"/>
  <c r="AK375" i="5"/>
  <c r="AL309" i="5"/>
  <c r="AK309" i="5"/>
  <c r="AL312" i="5"/>
  <c r="AK312" i="5"/>
  <c r="AL254" i="5"/>
  <c r="AK254" i="5"/>
  <c r="AK200" i="5"/>
  <c r="AL200" i="5"/>
  <c r="AK222" i="5"/>
  <c r="AL222" i="5"/>
  <c r="AK115" i="5"/>
  <c r="AL115" i="5"/>
  <c r="AK291" i="5"/>
  <c r="AL291" i="5"/>
  <c r="AL223" i="5"/>
  <c r="AK223" i="5"/>
  <c r="AK180" i="5"/>
  <c r="AL180" i="5"/>
  <c r="AK66" i="5"/>
  <c r="AL66" i="5"/>
  <c r="AL376" i="5"/>
  <c r="AK376" i="5"/>
  <c r="AL540" i="5"/>
  <c r="AK540" i="5"/>
  <c r="AL483" i="5"/>
  <c r="AK483" i="5"/>
  <c r="AK419" i="5"/>
  <c r="AL419" i="5"/>
  <c r="AL271" i="5"/>
  <c r="AK271" i="5"/>
  <c r="AK401" i="5"/>
  <c r="AL401" i="5"/>
  <c r="AL333" i="5"/>
  <c r="AK333" i="5"/>
  <c r="AK221" i="5"/>
  <c r="AL221" i="5"/>
  <c r="AK529" i="5"/>
  <c r="AL529" i="5"/>
  <c r="AL478" i="5"/>
  <c r="AK478" i="5"/>
  <c r="AK371" i="5"/>
  <c r="AL371" i="5"/>
  <c r="AK296" i="5"/>
  <c r="AL296" i="5"/>
  <c r="AL308" i="5"/>
  <c r="AK308" i="5"/>
  <c r="AL252" i="5"/>
  <c r="AK252" i="5"/>
  <c r="AK193" i="5"/>
  <c r="AL193" i="5"/>
  <c r="AK218" i="5"/>
  <c r="AL218" i="5"/>
  <c r="AK107" i="5"/>
  <c r="AL107" i="5"/>
  <c r="AL286" i="5"/>
  <c r="AK286" i="5"/>
  <c r="AL219" i="5"/>
  <c r="AK219" i="5"/>
  <c r="AL176" i="5"/>
  <c r="AK176" i="5"/>
  <c r="AL64" i="5"/>
  <c r="AK64" i="5"/>
  <c r="B47" i="2"/>
  <c r="H20" i="1"/>
  <c r="G21" i="1"/>
  <c r="I23" i="1"/>
  <c r="I22" i="1"/>
  <c r="K25" i="2"/>
  <c r="BE198" i="5" l="1"/>
  <c r="BD35" i="5"/>
  <c r="BE127" i="5"/>
  <c r="BE7" i="5"/>
  <c r="BE195" i="5"/>
  <c r="BE53" i="5"/>
  <c r="BE114" i="5"/>
  <c r="BE82" i="5"/>
  <c r="BE48" i="5"/>
  <c r="BE133" i="5"/>
  <c r="BD86" i="5"/>
  <c r="BD287" i="5"/>
  <c r="BE237" i="5"/>
  <c r="BD222" i="5"/>
  <c r="BE55" i="5"/>
  <c r="BD100" i="5"/>
  <c r="BD59" i="5"/>
  <c r="BD78" i="5"/>
  <c r="BD98" i="5"/>
  <c r="BE462" i="5"/>
  <c r="BD214" i="5"/>
  <c r="BD264" i="5"/>
  <c r="BD560" i="5"/>
  <c r="BE22" i="5"/>
  <c r="BE144" i="5"/>
  <c r="BE219" i="5"/>
  <c r="BE45" i="5"/>
  <c r="BE316" i="5"/>
  <c r="BE83" i="5"/>
  <c r="BD269" i="5"/>
  <c r="BD180" i="5"/>
  <c r="BE38" i="5"/>
  <c r="BE51" i="5"/>
  <c r="BE537" i="5"/>
  <c r="BD130" i="5"/>
  <c r="BD164" i="5"/>
  <c r="BD315" i="5"/>
  <c r="BD305" i="5"/>
  <c r="BD262" i="5"/>
  <c r="BE299" i="5"/>
  <c r="BE27" i="5"/>
  <c r="BD64" i="5"/>
  <c r="BE44" i="5"/>
  <c r="BE283" i="5"/>
  <c r="BD112" i="5"/>
  <c r="BD223" i="5"/>
  <c r="BE41" i="5"/>
  <c r="BD191" i="5"/>
  <c r="BE296" i="5"/>
  <c r="BE8" i="5"/>
  <c r="BD352" i="5"/>
  <c r="BE230" i="5"/>
  <c r="BE156" i="5"/>
  <c r="BD156" i="5"/>
  <c r="BE208" i="5"/>
  <c r="BD208" i="5"/>
  <c r="BE103" i="5"/>
  <c r="BE246" i="5"/>
  <c r="BE533" i="5"/>
  <c r="BD263" i="5"/>
  <c r="BE68" i="5"/>
  <c r="BD68" i="5"/>
  <c r="BE476" i="5"/>
  <c r="BD476" i="5"/>
  <c r="BE81" i="5"/>
  <c r="BD81" i="5"/>
  <c r="BE31" i="5"/>
  <c r="BD31" i="5"/>
  <c r="BE290" i="5"/>
  <c r="BD290" i="5"/>
  <c r="BD295" i="5"/>
  <c r="BE295" i="5"/>
  <c r="BD346" i="5"/>
  <c r="BE346" i="5"/>
  <c r="BE235" i="5"/>
  <c r="BD235" i="5"/>
  <c r="BD284" i="5"/>
  <c r="BE284" i="5"/>
  <c r="BE559" i="5"/>
  <c r="BD559" i="5"/>
  <c r="BD183" i="5"/>
  <c r="BE183" i="5"/>
  <c r="BD159" i="5"/>
  <c r="BE159" i="5"/>
  <c r="BE119" i="5"/>
  <c r="BD158" i="5"/>
  <c r="BE453" i="5"/>
  <c r="BD66" i="5"/>
  <c r="BD369" i="5"/>
  <c r="BE306" i="5"/>
  <c r="BE236" i="5"/>
  <c r="BD470" i="5"/>
  <c r="BD387" i="5"/>
  <c r="BE387" i="5"/>
  <c r="BD487" i="5"/>
  <c r="BE487" i="5"/>
  <c r="BD209" i="5"/>
  <c r="BE209" i="5"/>
  <c r="BE298" i="5"/>
  <c r="BD298" i="5"/>
  <c r="BD437" i="5"/>
  <c r="BE437" i="5"/>
  <c r="BD213" i="5"/>
  <c r="BE213" i="5"/>
  <c r="BD206" i="5"/>
  <c r="BE206" i="5"/>
  <c r="BE211" i="5"/>
  <c r="BD211" i="5"/>
  <c r="BD152" i="5"/>
  <c r="BE152" i="5"/>
  <c r="BE225" i="5"/>
  <c r="BD225" i="5"/>
  <c r="BD101" i="5"/>
  <c r="BE101" i="5"/>
  <c r="BE273" i="5"/>
  <c r="BD273" i="5"/>
  <c r="BD360" i="5"/>
  <c r="BE360" i="5"/>
  <c r="BE92" i="5"/>
  <c r="BD92" i="5"/>
  <c r="BE52" i="5"/>
  <c r="BD52" i="5"/>
  <c r="BE189" i="5"/>
  <c r="BD189" i="5"/>
  <c r="BE30" i="5"/>
  <c r="BD30" i="5"/>
  <c r="BD24" i="5"/>
  <c r="BE24" i="5"/>
  <c r="BD39" i="5"/>
  <c r="BE39" i="5"/>
  <c r="BE268" i="5"/>
  <c r="BD268" i="5"/>
  <c r="BD60" i="5"/>
  <c r="BE60" i="5"/>
  <c r="BE241" i="5"/>
  <c r="BD241" i="5"/>
  <c r="BD169" i="5"/>
  <c r="BE169" i="5"/>
  <c r="BE131" i="5"/>
  <c r="BD131" i="5"/>
  <c r="BD238" i="5"/>
  <c r="BE238" i="5"/>
  <c r="BD116" i="5"/>
  <c r="BE116" i="5"/>
  <c r="BE227" i="5"/>
  <c r="BD227" i="5"/>
  <c r="BE313" i="5"/>
  <c r="BD313" i="5"/>
  <c r="BD172" i="5"/>
  <c r="BE172" i="5"/>
  <c r="BE324" i="5"/>
  <c r="BD324" i="5"/>
  <c r="BD148" i="5"/>
  <c r="BE148" i="5"/>
  <c r="BD178" i="5"/>
  <c r="BE178" i="5"/>
  <c r="BE29" i="5"/>
  <c r="BD29" i="5"/>
  <c r="BD109" i="5"/>
  <c r="BE109" i="5"/>
  <c r="BE240" i="5"/>
  <c r="BD240" i="5"/>
  <c r="BD26" i="5"/>
  <c r="BE26" i="5"/>
  <c r="BE351" i="5"/>
  <c r="BD351" i="5"/>
  <c r="BD132" i="5"/>
  <c r="BE132" i="5"/>
  <c r="BE150" i="5"/>
  <c r="BD150" i="5"/>
  <c r="BD424" i="5"/>
  <c r="BE424" i="5"/>
  <c r="BD147" i="5"/>
  <c r="BE147" i="5"/>
  <c r="BE117" i="5"/>
  <c r="BD117" i="5"/>
  <c r="BD139" i="5"/>
  <c r="BE139" i="5"/>
  <c r="BE401" i="5"/>
  <c r="BD401" i="5"/>
  <c r="BE190" i="5"/>
  <c r="BD190" i="5"/>
  <c r="BD363" i="5"/>
  <c r="BE363" i="5"/>
  <c r="BE255" i="5"/>
  <c r="BD255" i="5"/>
  <c r="BE332" i="5"/>
  <c r="BD332" i="5"/>
  <c r="BD19" i="5"/>
  <c r="BE19" i="5"/>
  <c r="BD276" i="5"/>
  <c r="BE276" i="5"/>
  <c r="BD546" i="5"/>
  <c r="BE546" i="5"/>
  <c r="BE73" i="5"/>
  <c r="BD73" i="5"/>
  <c r="BD251" i="5"/>
  <c r="BE251" i="5"/>
  <c r="BD450" i="5"/>
  <c r="BE450" i="5"/>
  <c r="BD553" i="5"/>
  <c r="BE553" i="5"/>
  <c r="BE309" i="5"/>
  <c r="BD309" i="5"/>
  <c r="BE545" i="5"/>
  <c r="BD545" i="5"/>
  <c r="BE465" i="5"/>
  <c r="BD465" i="5"/>
  <c r="BD288" i="5"/>
  <c r="BE288" i="5"/>
  <c r="BE232" i="5"/>
  <c r="BD232" i="5"/>
  <c r="BD137" i="5"/>
  <c r="BE137" i="5"/>
  <c r="BE76" i="5"/>
  <c r="BD76" i="5"/>
  <c r="BD274" i="5"/>
  <c r="BE274" i="5"/>
  <c r="BD105" i="5"/>
  <c r="BE105" i="5"/>
  <c r="BE326" i="5"/>
  <c r="BD326" i="5"/>
  <c r="BE121" i="5"/>
  <c r="BD121" i="5"/>
  <c r="BE201" i="5"/>
  <c r="BD201" i="5"/>
  <c r="BD111" i="5"/>
  <c r="BE111" i="5"/>
  <c r="BE110" i="5"/>
  <c r="BD110" i="5"/>
  <c r="BE184" i="5"/>
  <c r="BD184" i="5"/>
  <c r="BE157" i="5"/>
  <c r="BD157" i="5"/>
  <c r="BE202" i="5"/>
  <c r="BD202" i="5"/>
  <c r="BE199" i="5"/>
  <c r="BD199" i="5"/>
  <c r="BD154" i="5"/>
  <c r="BE154" i="5"/>
  <c r="BE243" i="5"/>
  <c r="BD243" i="5"/>
  <c r="BE317" i="5"/>
  <c r="BD317" i="5"/>
  <c r="BD126" i="5"/>
  <c r="BE126" i="5"/>
  <c r="BD412" i="5"/>
  <c r="BE412" i="5"/>
  <c r="BD289" i="5"/>
  <c r="BE289" i="5"/>
  <c r="BD136" i="5"/>
  <c r="BE136" i="5"/>
  <c r="BE411" i="5"/>
  <c r="BD411" i="5"/>
  <c r="BD160" i="5"/>
  <c r="BE160" i="5"/>
  <c r="BD279" i="5"/>
  <c r="BE279" i="5"/>
  <c r="BE194" i="5"/>
  <c r="BD194" i="5"/>
  <c r="BD212" i="5"/>
  <c r="BE212" i="5"/>
  <c r="BE91" i="5"/>
  <c r="BD91" i="5"/>
  <c r="BD414" i="5"/>
  <c r="BE414" i="5"/>
  <c r="BD501" i="5"/>
  <c r="BE501" i="5"/>
  <c r="BD477" i="5"/>
  <c r="BE477" i="5"/>
  <c r="BD432" i="5"/>
  <c r="BE432" i="5"/>
  <c r="BD108" i="5"/>
  <c r="BE108" i="5"/>
  <c r="BD89" i="5"/>
  <c r="BE89" i="5"/>
  <c r="BE314" i="5"/>
  <c r="BD314" i="5"/>
  <c r="BE74" i="5"/>
  <c r="BD74" i="5"/>
  <c r="BE323" i="5"/>
  <c r="BD323" i="5"/>
  <c r="BD32" i="5"/>
  <c r="BE32" i="5"/>
  <c r="BE134" i="5"/>
  <c r="BD134" i="5"/>
  <c r="BE261" i="5"/>
  <c r="BD261" i="5"/>
  <c r="BD532" i="5"/>
  <c r="BE532" i="5"/>
  <c r="BE478" i="5"/>
  <c r="BD478" i="5"/>
  <c r="BD392" i="5"/>
  <c r="BE392" i="5"/>
  <c r="BD242" i="5"/>
  <c r="BE242" i="5"/>
  <c r="BD226" i="5"/>
  <c r="BE226" i="5"/>
  <c r="BD285" i="5"/>
  <c r="BE285" i="5"/>
  <c r="BD491" i="5"/>
  <c r="BE491" i="5"/>
  <c r="BD249" i="5"/>
  <c r="BE249" i="5"/>
  <c r="BD69" i="5"/>
  <c r="BE69" i="5"/>
  <c r="BE174" i="5"/>
  <c r="BD174" i="5"/>
  <c r="BE171" i="5"/>
  <c r="BD171" i="5"/>
  <c r="BE125" i="5"/>
  <c r="BD125" i="5"/>
  <c r="BD118" i="5"/>
  <c r="BE118" i="5"/>
  <c r="BD88" i="5"/>
  <c r="BE88" i="5"/>
  <c r="BD40" i="5"/>
  <c r="BE40" i="5"/>
  <c r="BD247" i="5"/>
  <c r="BE247" i="5"/>
  <c r="BD56" i="5"/>
  <c r="BE56" i="5"/>
  <c r="BD47" i="5"/>
  <c r="BE47" i="5"/>
  <c r="BD85" i="5"/>
  <c r="BE85" i="5"/>
  <c r="BE302" i="5"/>
  <c r="BD302" i="5"/>
  <c r="BE265" i="5"/>
  <c r="BD265" i="5"/>
  <c r="BD161" i="5"/>
  <c r="BE161" i="5"/>
  <c r="BD185" i="5"/>
  <c r="BE185" i="5"/>
  <c r="BD221" i="5"/>
  <c r="BE163" i="5"/>
  <c r="BE234" i="5"/>
  <c r="BD115" i="5"/>
  <c r="BE122" i="5"/>
  <c r="BD166" i="5"/>
  <c r="BD84" i="5"/>
  <c r="BD23" i="5"/>
  <c r="BE536" i="5"/>
  <c r="BD543" i="5"/>
  <c r="BE469" i="5"/>
  <c r="BE481" i="5"/>
  <c r="BD329" i="5"/>
  <c r="BD138" i="5"/>
  <c r="BE138" i="5"/>
  <c r="BD140" i="5"/>
  <c r="BE140" i="5"/>
  <c r="BE245" i="5"/>
  <c r="BD145" i="5"/>
  <c r="BE145" i="5"/>
  <c r="BE149" i="5"/>
  <c r="BD149" i="5"/>
  <c r="BE75" i="5"/>
  <c r="BD97" i="5"/>
  <c r="BE43" i="5"/>
  <c r="BD71" i="5"/>
  <c r="BE338" i="5"/>
  <c r="BE168" i="5"/>
  <c r="BD210" i="5"/>
  <c r="BD72" i="5"/>
  <c r="BE72" i="5"/>
  <c r="BE393" i="5"/>
  <c r="BE113" i="5"/>
  <c r="BE65" i="5"/>
  <c r="BE356" i="5"/>
  <c r="BE521" i="5"/>
  <c r="BD555" i="5"/>
  <c r="BD80" i="5"/>
  <c r="BE80" i="5"/>
  <c r="BE197" i="5"/>
  <c r="BD197" i="5"/>
  <c r="BD495" i="5"/>
  <c r="BD175" i="5"/>
  <c r="BE141" i="5"/>
  <c r="BE278" i="5"/>
  <c r="BE34" i="5"/>
  <c r="BE337" i="5"/>
  <c r="BD549" i="5"/>
  <c r="BE70" i="5"/>
  <c r="BD21" i="5"/>
  <c r="BE379" i="5"/>
  <c r="BD379" i="5"/>
  <c r="BE61" i="5"/>
  <c r="BD344" i="5"/>
  <c r="BE286" i="5"/>
  <c r="BD286" i="5"/>
  <c r="BD300" i="5"/>
  <c r="BE90" i="5"/>
  <c r="BD90" i="5"/>
  <c r="BE440" i="5"/>
  <c r="BD440" i="5"/>
  <c r="BD231" i="5"/>
  <c r="BD188" i="5"/>
  <c r="BE303" i="5"/>
  <c r="BD303" i="5"/>
  <c r="BE244" i="5"/>
  <c r="BD244" i="5"/>
  <c r="BE193" i="5"/>
  <c r="BD193" i="5"/>
  <c r="BD229" i="5"/>
  <c r="BE229" i="5"/>
  <c r="BD405" i="5"/>
  <c r="BE405" i="5"/>
  <c r="BD275" i="5"/>
  <c r="BE275" i="5"/>
  <c r="BE294" i="5"/>
  <c r="BD294" i="5"/>
  <c r="BE182" i="5"/>
  <c r="BD182" i="5"/>
  <c r="BE365" i="5"/>
  <c r="BD365" i="5"/>
  <c r="BE445" i="5"/>
  <c r="BD445" i="5"/>
  <c r="BE515" i="5"/>
  <c r="BD515" i="5"/>
  <c r="BE448" i="5"/>
  <c r="BD448" i="5"/>
  <c r="BD106" i="5"/>
  <c r="BE106" i="5"/>
  <c r="BD282" i="5"/>
  <c r="BE282" i="5"/>
  <c r="BD239" i="5"/>
  <c r="BE239" i="5"/>
  <c r="BE505" i="5"/>
  <c r="BD505" i="5"/>
  <c r="BD396" i="5"/>
  <c r="BE396" i="5"/>
  <c r="BE407" i="5"/>
  <c r="BD407" i="5"/>
  <c r="BD547" i="5"/>
  <c r="BE547" i="5"/>
  <c r="BE94" i="5"/>
  <c r="BD46" i="5"/>
  <c r="BE46" i="5"/>
  <c r="BE162" i="5"/>
  <c r="BD162" i="5"/>
  <c r="BD167" i="5"/>
  <c r="BE167" i="5"/>
  <c r="BE277" i="5"/>
  <c r="BD277" i="5"/>
  <c r="BD340" i="5"/>
  <c r="BE340" i="5"/>
  <c r="BD409" i="5"/>
  <c r="BE409" i="5"/>
  <c r="BD496" i="5"/>
  <c r="BE496" i="5"/>
  <c r="BE475" i="5"/>
  <c r="BD475" i="5"/>
  <c r="BD362" i="5"/>
  <c r="BE362" i="5"/>
  <c r="BE410" i="5"/>
  <c r="BD410" i="5"/>
  <c r="BE361" i="5"/>
  <c r="BD361" i="5"/>
  <c r="BE433" i="5"/>
  <c r="BD433" i="5"/>
  <c r="BD473" i="5"/>
  <c r="BE473" i="5"/>
  <c r="BD517" i="5"/>
  <c r="BE517" i="5"/>
  <c r="BD493" i="5"/>
  <c r="BE493" i="5"/>
  <c r="BD339" i="5"/>
  <c r="BE339" i="5"/>
  <c r="BD280" i="5"/>
  <c r="BE280" i="5"/>
  <c r="BD124" i="5"/>
  <c r="BE124" i="5"/>
  <c r="BE461" i="5"/>
  <c r="BD461" i="5"/>
  <c r="BE358" i="5"/>
  <c r="BD358" i="5"/>
  <c r="BD457" i="5"/>
  <c r="BE457" i="5"/>
  <c r="BD348" i="5"/>
  <c r="BE348" i="5"/>
  <c r="BD256" i="5"/>
  <c r="BE256" i="5"/>
  <c r="BE503" i="5"/>
  <c r="BD503" i="5"/>
  <c r="BE58" i="5"/>
  <c r="BD58" i="5"/>
  <c r="BD187" i="5"/>
  <c r="BE187" i="5"/>
  <c r="BD20" i="5"/>
  <c r="BE20" i="5"/>
  <c r="BD416" i="5"/>
  <c r="BE416" i="5"/>
  <c r="BD57" i="5"/>
  <c r="BE57" i="5"/>
  <c r="BD355" i="5"/>
  <c r="BE355" i="5"/>
  <c r="BE62" i="5"/>
  <c r="BD62" i="5"/>
  <c r="BD128" i="5"/>
  <c r="BE128" i="5"/>
  <c r="BE376" i="5"/>
  <c r="BD376" i="5"/>
  <c r="BD527" i="5"/>
  <c r="BE527" i="5"/>
  <c r="BD431" i="5"/>
  <c r="BE431" i="5"/>
  <c r="BD439" i="5"/>
  <c r="BE439" i="5"/>
  <c r="BE492" i="5"/>
  <c r="BD492" i="5"/>
  <c r="BE541" i="5"/>
  <c r="BD541" i="5"/>
  <c r="BD447" i="5"/>
  <c r="BE447" i="5"/>
  <c r="BE28" i="5"/>
  <c r="BD28" i="5"/>
  <c r="BE181" i="5"/>
  <c r="BD181" i="5"/>
  <c r="BD95" i="5"/>
  <c r="BE95" i="5"/>
  <c r="BD120" i="5"/>
  <c r="BE120" i="5"/>
  <c r="BE413" i="5"/>
  <c r="BD413" i="5"/>
  <c r="V13" i="5"/>
  <c r="U13" i="5"/>
  <c r="BE96" i="5"/>
  <c r="BD96" i="5"/>
  <c r="BE331" i="5"/>
  <c r="BD331" i="5"/>
  <c r="BE377" i="5"/>
  <c r="BD377" i="5"/>
  <c r="BD186" i="5"/>
  <c r="BE186" i="5"/>
  <c r="BE293" i="5"/>
  <c r="BD293" i="5"/>
  <c r="BE406" i="5"/>
  <c r="BD406" i="5"/>
  <c r="BD415" i="5"/>
  <c r="BE415" i="5"/>
  <c r="BE402" i="5"/>
  <c r="BD402" i="5"/>
  <c r="BD420" i="5"/>
  <c r="BE420" i="5"/>
  <c r="BE449" i="5"/>
  <c r="BD449" i="5"/>
  <c r="BD464" i="5"/>
  <c r="BE464" i="5"/>
  <c r="BD531" i="5"/>
  <c r="BE531" i="5"/>
  <c r="BE529" i="5"/>
  <c r="BD529" i="5"/>
  <c r="BD176" i="5"/>
  <c r="BE176" i="5"/>
  <c r="BE253" i="5"/>
  <c r="BD253" i="5"/>
  <c r="BE370" i="5"/>
  <c r="BD370" i="5"/>
  <c r="BE389" i="5"/>
  <c r="BD389" i="5"/>
  <c r="BE417" i="5"/>
  <c r="BD417" i="5"/>
  <c r="BE514" i="5"/>
  <c r="BD514" i="5"/>
  <c r="BD530" i="5"/>
  <c r="BE530" i="5"/>
  <c r="BE364" i="5"/>
  <c r="BD364" i="5"/>
  <c r="BE107" i="5"/>
  <c r="BD107" i="5"/>
  <c r="BD271" i="5"/>
  <c r="BE271" i="5"/>
  <c r="BE104" i="5"/>
  <c r="BD104" i="5"/>
  <c r="BE165" i="5"/>
  <c r="BD165" i="5"/>
  <c r="BE291" i="5"/>
  <c r="BD291" i="5"/>
  <c r="BD544" i="5"/>
  <c r="BE544" i="5"/>
  <c r="BE451" i="5"/>
  <c r="BD451" i="5"/>
  <c r="BE472" i="5"/>
  <c r="BD472" i="5"/>
  <c r="BD155" i="5"/>
  <c r="BE155" i="5"/>
  <c r="BE67" i="5"/>
  <c r="BD67" i="5"/>
  <c r="BE423" i="5"/>
  <c r="BD423" i="5"/>
  <c r="BD539" i="5"/>
  <c r="BE539" i="5"/>
  <c r="BD436" i="5"/>
  <c r="BE436" i="5"/>
  <c r="BE397" i="5"/>
  <c r="BD397" i="5"/>
  <c r="BE467" i="5"/>
  <c r="BD467" i="5"/>
  <c r="BE347" i="5"/>
  <c r="BD347" i="5"/>
  <c r="BE330" i="5"/>
  <c r="BD330" i="5"/>
  <c r="BD304" i="5"/>
  <c r="BE304" i="5"/>
  <c r="BE153" i="5"/>
  <c r="BD153" i="5"/>
  <c r="BD500" i="5"/>
  <c r="BE500" i="5"/>
  <c r="BE391" i="5"/>
  <c r="BD391" i="5"/>
  <c r="BD554" i="5"/>
  <c r="BE554" i="5"/>
  <c r="BD502" i="5"/>
  <c r="BE502" i="5"/>
  <c r="BD33" i="5"/>
  <c r="BE33" i="5"/>
  <c r="BE403" i="5"/>
  <c r="BD403" i="5"/>
  <c r="BD318" i="5"/>
  <c r="BE318" i="5"/>
  <c r="BE372" i="5"/>
  <c r="BD372" i="5"/>
  <c r="BD322" i="5"/>
  <c r="BE322" i="5"/>
  <c r="BE129" i="5"/>
  <c r="BD129" i="5"/>
  <c r="BE312" i="5"/>
  <c r="BD312" i="5"/>
  <c r="BD480" i="5"/>
  <c r="BE480" i="5"/>
  <c r="BD205" i="5"/>
  <c r="BE205" i="5"/>
  <c r="BE224" i="5"/>
  <c r="BD224" i="5"/>
  <c r="BD333" i="5"/>
  <c r="BE333" i="5"/>
  <c r="BD37" i="5"/>
  <c r="BE37" i="5"/>
  <c r="BD408" i="5"/>
  <c r="BE408" i="5"/>
  <c r="BD320" i="5"/>
  <c r="BE320" i="5"/>
  <c r="BE343" i="5"/>
  <c r="BD343" i="5"/>
  <c r="BD425" i="5"/>
  <c r="BE425" i="5"/>
  <c r="BD516" i="5"/>
  <c r="BE516" i="5"/>
  <c r="BD520" i="5"/>
  <c r="BE520" i="5"/>
  <c r="BD368" i="5"/>
  <c r="BE368" i="5"/>
  <c r="BD367" i="5"/>
  <c r="BE367" i="5"/>
  <c r="BE435" i="5"/>
  <c r="BD435" i="5"/>
  <c r="BD486" i="5"/>
  <c r="BE486" i="5"/>
  <c r="BE386" i="5"/>
  <c r="BD386" i="5"/>
  <c r="BE468" i="5"/>
  <c r="BD468" i="5"/>
  <c r="BD135" i="5"/>
  <c r="BE135" i="5"/>
  <c r="BD525" i="5"/>
  <c r="BE525" i="5"/>
  <c r="BE228" i="5"/>
  <c r="BD228" i="5"/>
  <c r="BE327" i="5"/>
  <c r="BD327" i="5"/>
  <c r="BD77" i="5"/>
  <c r="BE77" i="5"/>
  <c r="BE349" i="5"/>
  <c r="BD349" i="5"/>
  <c r="BD383" i="5"/>
  <c r="BE383" i="5"/>
  <c r="BD354" i="5"/>
  <c r="BE354" i="5"/>
  <c r="BE490" i="5"/>
  <c r="BD490" i="5"/>
  <c r="BE400" i="5"/>
  <c r="BD400" i="5"/>
  <c r="BD373" i="5"/>
  <c r="BE373" i="5"/>
  <c r="BE99" i="5"/>
  <c r="BD99" i="5"/>
  <c r="BE328" i="5"/>
  <c r="BD328" i="5"/>
  <c r="BE345" i="5"/>
  <c r="BD345" i="5"/>
  <c r="BD203" i="5"/>
  <c r="BE203" i="5"/>
  <c r="BD359" i="5"/>
  <c r="BE359" i="5"/>
  <c r="BD63" i="5"/>
  <c r="BE63" i="5"/>
  <c r="BE419" i="5"/>
  <c r="BD419" i="5"/>
  <c r="BD215" i="5"/>
  <c r="BE215" i="5"/>
  <c r="BD394" i="5"/>
  <c r="BE394" i="5"/>
  <c r="BD418" i="5"/>
  <c r="BE418" i="5"/>
  <c r="BD442" i="5"/>
  <c r="BE442" i="5"/>
  <c r="BE504" i="5"/>
  <c r="BD504" i="5"/>
  <c r="BD381" i="5"/>
  <c r="BE381" i="5"/>
  <c r="BD428" i="5"/>
  <c r="BE428" i="5"/>
  <c r="BE484" i="5"/>
  <c r="BD484" i="5"/>
  <c r="BD452" i="5"/>
  <c r="BE452" i="5"/>
  <c r="BE429" i="5"/>
  <c r="BD429" i="5"/>
  <c r="BE459" i="5"/>
  <c r="BD459" i="5"/>
  <c r="BE388" i="5"/>
  <c r="BD388" i="5"/>
  <c r="BD266" i="5"/>
  <c r="BE266" i="5"/>
  <c r="BD207" i="5"/>
  <c r="BE207" i="5"/>
  <c r="BE319" i="5"/>
  <c r="BD319" i="5"/>
  <c r="BE390" i="5"/>
  <c r="BD390" i="5"/>
  <c r="BD556" i="5"/>
  <c r="BE556" i="5"/>
  <c r="BD218" i="5"/>
  <c r="BE218" i="5"/>
  <c r="AX13" i="5"/>
  <c r="AY13" i="5"/>
  <c r="BE143" i="5"/>
  <c r="BD143" i="5"/>
  <c r="BE146" i="5"/>
  <c r="BD146" i="5"/>
  <c r="BE307" i="5"/>
  <c r="BD307" i="5"/>
  <c r="BD494" i="5"/>
  <c r="BE494" i="5"/>
  <c r="BD538" i="5"/>
  <c r="BE538" i="5"/>
  <c r="BE444" i="5"/>
  <c r="BD444" i="5"/>
  <c r="BE499" i="5"/>
  <c r="BD499" i="5"/>
  <c r="BE342" i="5"/>
  <c r="BD342" i="5"/>
  <c r="BD506" i="5"/>
  <c r="BE506" i="5"/>
  <c r="BD548" i="5"/>
  <c r="BE548" i="5"/>
  <c r="BE456" i="5"/>
  <c r="BD456" i="5"/>
  <c r="BD471" i="5"/>
  <c r="BE471" i="5"/>
  <c r="BD421" i="5"/>
  <c r="BE421" i="5"/>
  <c r="BE297" i="5"/>
  <c r="BD297" i="5"/>
  <c r="BD260" i="5"/>
  <c r="BE260" i="5"/>
  <c r="BE142" i="5"/>
  <c r="BD142" i="5"/>
  <c r="BD512" i="5"/>
  <c r="BE512" i="5"/>
  <c r="BD558" i="5"/>
  <c r="BE558" i="5"/>
  <c r="BE511" i="5"/>
  <c r="BD511" i="5"/>
  <c r="BD200" i="5"/>
  <c r="BE200" i="5"/>
  <c r="BD334" i="5"/>
  <c r="BE334" i="5"/>
  <c r="BD466" i="5"/>
  <c r="BE466" i="5"/>
  <c r="BD522" i="5"/>
  <c r="BE522" i="5"/>
  <c r="BE524" i="5"/>
  <c r="BD524" i="5"/>
  <c r="BD509" i="5"/>
  <c r="BE509" i="5"/>
  <c r="BE485" i="5"/>
  <c r="BD485" i="5"/>
  <c r="BE220" i="5"/>
  <c r="BD220" i="5"/>
  <c r="BD341" i="5"/>
  <c r="BE341" i="5"/>
  <c r="BD321" i="5"/>
  <c r="BE321" i="5"/>
  <c r="BD385" i="5"/>
  <c r="BE385" i="5"/>
  <c r="BD488" i="5"/>
  <c r="BE488" i="5"/>
  <c r="BD398" i="5"/>
  <c r="BE398" i="5"/>
  <c r="BD430" i="5"/>
  <c r="BE430" i="5"/>
  <c r="BD93" i="5"/>
  <c r="BE93" i="5"/>
  <c r="BD519" i="5"/>
  <c r="BE519" i="5"/>
  <c r="BE474" i="5"/>
  <c r="BD474" i="5"/>
  <c r="BE310" i="5"/>
  <c r="BD310" i="5"/>
  <c r="BE357" i="5"/>
  <c r="BD357" i="5"/>
  <c r="AU13" i="5"/>
  <c r="AV13" i="5"/>
  <c r="BC13" i="5"/>
  <c r="BE434" i="5"/>
  <c r="BD434" i="5"/>
  <c r="BE250" i="5"/>
  <c r="BD250" i="5"/>
  <c r="BD336" i="5"/>
  <c r="BE336" i="5"/>
  <c r="BD460" i="5"/>
  <c r="BE460" i="5"/>
  <c r="BE557" i="5"/>
  <c r="BD557" i="5"/>
  <c r="BD542" i="5"/>
  <c r="BE542" i="5"/>
  <c r="BD384" i="5"/>
  <c r="BE384" i="5"/>
  <c r="BE267" i="5"/>
  <c r="BD267" i="5"/>
  <c r="BD179" i="5"/>
  <c r="BE179" i="5"/>
  <c r="BE272" i="5"/>
  <c r="BD272" i="5"/>
  <c r="BE123" i="5"/>
  <c r="BD123" i="5"/>
  <c r="BD87" i="5"/>
  <c r="BE87" i="5"/>
  <c r="BD50" i="5"/>
  <c r="BE50" i="5"/>
  <c r="BE252" i="5"/>
  <c r="BD252" i="5"/>
  <c r="BE311" i="5"/>
  <c r="BD311" i="5"/>
  <c r="BE380" i="5"/>
  <c r="BD380" i="5"/>
  <c r="BD254" i="5"/>
  <c r="BE254" i="5"/>
  <c r="BE399" i="5"/>
  <c r="BD399" i="5"/>
  <c r="BD49" i="5"/>
  <c r="BE49" i="5"/>
  <c r="BE192" i="5"/>
  <c r="BD192" i="5"/>
  <c r="BE350" i="5"/>
  <c r="BD350" i="5"/>
  <c r="BE42" i="5"/>
  <c r="BD42" i="5"/>
  <c r="BE257" i="5"/>
  <c r="BD257" i="5"/>
  <c r="BE366" i="5"/>
  <c r="BD366" i="5"/>
  <c r="BD518" i="5"/>
  <c r="BE518" i="5"/>
  <c r="BE374" i="5"/>
  <c r="BD374" i="5"/>
  <c r="BE378" i="5"/>
  <c r="BD378" i="5"/>
  <c r="BD479" i="5"/>
  <c r="BE479" i="5"/>
  <c r="BE528" i="5"/>
  <c r="BD528" i="5"/>
  <c r="BE498" i="5"/>
  <c r="BD498" i="5"/>
  <c r="BD259" i="5"/>
  <c r="BE259" i="5"/>
  <c r="BE463" i="5"/>
  <c r="BD463" i="5"/>
  <c r="BE510" i="5"/>
  <c r="BD510" i="5"/>
  <c r="BD301" i="5"/>
  <c r="BE301" i="5"/>
  <c r="BE25" i="5"/>
  <c r="BD25" i="5"/>
  <c r="BD325" i="5"/>
  <c r="BE325" i="5"/>
  <c r="BE483" i="5"/>
  <c r="BD483" i="5"/>
  <c r="BE455" i="5"/>
  <c r="BD455" i="5"/>
  <c r="BD196" i="5"/>
  <c r="BE196" i="5"/>
  <c r="BE177" i="5"/>
  <c r="BD177" i="5"/>
  <c r="BE36" i="5"/>
  <c r="BD36" i="5"/>
  <c r="BE102" i="5"/>
  <c r="BD102" i="5"/>
  <c r="BD270" i="5"/>
  <c r="BE270" i="5"/>
  <c r="BD353" i="5"/>
  <c r="BE353" i="5"/>
  <c r="BD204" i="5"/>
  <c r="BE204" i="5"/>
  <c r="BE292" i="5"/>
  <c r="BD292" i="5"/>
  <c r="BD426" i="5"/>
  <c r="BE426" i="5"/>
  <c r="BE482" i="5"/>
  <c r="BD482" i="5"/>
  <c r="BD335" i="5"/>
  <c r="BE335" i="5"/>
  <c r="BD535" i="5"/>
  <c r="BE535" i="5"/>
  <c r="BD395" i="5"/>
  <c r="BE395" i="5"/>
  <c r="BE382" i="5"/>
  <c r="BD382" i="5"/>
  <c r="BE489" i="5"/>
  <c r="BD489" i="5"/>
  <c r="BD534" i="5"/>
  <c r="BE534" i="5"/>
  <c r="BD526" i="5"/>
  <c r="BE526" i="5"/>
  <c r="BD375" i="5"/>
  <c r="BE375" i="5"/>
  <c r="BE173" i="5"/>
  <c r="BD173" i="5"/>
  <c r="BD258" i="5"/>
  <c r="BE258" i="5"/>
  <c r="BE248" i="5"/>
  <c r="BD248" i="5"/>
  <c r="BE508" i="5"/>
  <c r="BD508" i="5"/>
  <c r="BD552" i="5"/>
  <c r="BE552" i="5"/>
  <c r="BD507" i="5"/>
  <c r="BE507" i="5"/>
  <c r="BD422" i="5"/>
  <c r="BE422" i="5"/>
  <c r="BD513" i="5"/>
  <c r="BE513" i="5"/>
  <c r="BE281" i="5"/>
  <c r="BD281" i="5"/>
  <c r="BE54" i="5"/>
  <c r="BD54" i="5"/>
  <c r="BD170" i="5"/>
  <c r="BE170" i="5"/>
  <c r="BD233" i="5"/>
  <c r="BE233" i="5"/>
  <c r="BA13" i="5"/>
  <c r="BB13" i="5"/>
  <c r="BD217" i="5"/>
  <c r="BE217" i="5"/>
  <c r="BD371" i="5"/>
  <c r="BE371" i="5"/>
  <c r="BD79" i="5"/>
  <c r="BE79" i="5"/>
  <c r="BE308" i="5"/>
  <c r="BD308" i="5"/>
  <c r="BE441" i="5"/>
  <c r="BD441" i="5"/>
  <c r="BE458" i="5"/>
  <c r="BD458" i="5"/>
  <c r="BD551" i="5"/>
  <c r="BE551" i="5"/>
  <c r="BD443" i="5"/>
  <c r="BE443" i="5"/>
  <c r="BE540" i="5"/>
  <c r="BD540" i="5"/>
  <c r="BD446" i="5"/>
  <c r="BE446" i="5"/>
  <c r="BD550" i="5"/>
  <c r="BE550" i="5"/>
  <c r="BD404" i="5"/>
  <c r="BE404" i="5"/>
  <c r="BD523" i="5"/>
  <c r="BE523" i="5"/>
  <c r="BE427" i="5"/>
  <c r="BD427" i="5"/>
  <c r="BD216" i="5"/>
  <c r="BE216" i="5"/>
  <c r="BE151" i="5"/>
  <c r="BD151" i="5"/>
  <c r="BD497" i="5"/>
  <c r="BE497" i="5"/>
  <c r="BD454" i="5"/>
  <c r="BE454" i="5"/>
  <c r="BD438" i="5"/>
  <c r="BE438" i="5"/>
  <c r="BE12" i="5"/>
  <c r="BD12" i="5"/>
  <c r="B49" i="5"/>
  <c r="B52" i="5" s="1"/>
  <c r="B35" i="5"/>
  <c r="B155" i="2"/>
  <c r="B174" i="2"/>
  <c r="B177" i="2" s="1"/>
  <c r="Z7" i="5" s="1"/>
  <c r="B71" i="5"/>
  <c r="B93" i="2"/>
  <c r="O15" i="4"/>
  <c r="B23" i="5"/>
  <c r="B154" i="2"/>
  <c r="B34" i="5"/>
  <c r="J50" i="5"/>
  <c r="B195" i="2"/>
  <c r="BD13" i="5" l="1"/>
  <c r="BE13" i="5"/>
  <c r="Z350" i="5"/>
  <c r="Z375" i="5"/>
  <c r="Z252" i="5"/>
  <c r="Z353" i="5"/>
  <c r="Z459" i="5"/>
  <c r="Z80" i="5"/>
  <c r="Z308" i="5"/>
  <c r="Z452" i="5"/>
  <c r="Z528" i="5"/>
  <c r="Z246" i="5"/>
  <c r="Z455" i="5"/>
  <c r="Z343" i="5"/>
  <c r="Z211" i="5"/>
  <c r="Z337" i="5"/>
  <c r="Z203" i="5"/>
  <c r="Z406" i="5"/>
  <c r="Z379" i="5"/>
  <c r="Z378" i="5"/>
  <c r="Z511" i="5"/>
  <c r="Z512" i="5"/>
  <c r="Z417" i="5"/>
  <c r="Z34" i="5"/>
  <c r="Z148" i="5"/>
  <c r="Z539" i="5"/>
  <c r="Z554" i="5"/>
  <c r="Z107" i="5"/>
  <c r="Z525" i="5"/>
  <c r="Z170" i="5"/>
  <c r="Z233" i="5"/>
  <c r="Z288" i="5"/>
  <c r="Z199" i="5"/>
  <c r="Z260" i="5"/>
  <c r="Z509" i="5"/>
  <c r="Z510" i="5"/>
  <c r="Z206" i="5"/>
  <c r="Z244" i="5"/>
  <c r="Z376" i="5"/>
  <c r="Z348" i="5"/>
  <c r="Z393" i="5"/>
  <c r="Z31" i="5"/>
  <c r="Z78" i="5"/>
  <c r="Z98" i="5"/>
  <c r="Z467" i="5"/>
  <c r="Z501" i="5"/>
  <c r="Z181" i="5"/>
  <c r="Z435" i="5"/>
  <c r="Z33" i="5"/>
  <c r="Z175" i="5"/>
  <c r="Z259" i="5"/>
  <c r="Z182" i="5"/>
  <c r="Z122" i="5"/>
  <c r="Z405" i="5"/>
  <c r="Z57" i="5"/>
  <c r="Z202" i="5"/>
  <c r="Z87" i="5"/>
  <c r="Z91" i="5"/>
  <c r="Z62" i="5"/>
  <c r="Z543" i="5"/>
  <c r="Z39" i="5"/>
  <c r="Z529" i="5"/>
  <c r="Z490" i="5"/>
  <c r="Z542" i="5"/>
  <c r="Z139" i="5"/>
  <c r="Z401" i="5"/>
  <c r="Z432" i="5"/>
  <c r="Z196" i="5"/>
  <c r="Z515" i="5"/>
  <c r="Z45" i="5"/>
  <c r="Z530" i="5"/>
  <c r="Z431" i="5"/>
  <c r="Z347" i="5"/>
  <c r="Z149" i="5"/>
  <c r="Z278" i="5"/>
  <c r="Z352" i="5"/>
  <c r="Z446" i="5"/>
  <c r="Z264" i="5"/>
  <c r="Z342" i="5"/>
  <c r="Z119" i="5"/>
  <c r="Z229" i="5"/>
  <c r="Z410" i="5"/>
  <c r="Z223" i="5"/>
  <c r="Z13" i="5"/>
  <c r="Z324" i="5"/>
  <c r="Z274" i="5"/>
  <c r="Z88" i="5"/>
  <c r="Z409" i="5"/>
  <c r="Z269" i="5"/>
  <c r="Z460" i="5"/>
  <c r="Z363" i="5"/>
  <c r="Z63" i="5"/>
  <c r="Z422" i="5"/>
  <c r="Z82" i="5"/>
  <c r="Z346" i="5"/>
  <c r="Z414" i="5"/>
  <c r="Z50" i="5"/>
  <c r="Z239" i="5"/>
  <c r="Z486" i="5"/>
  <c r="Z449" i="5"/>
  <c r="Z141" i="5"/>
  <c r="Z257" i="5"/>
  <c r="Z192" i="5"/>
  <c r="Z65" i="5"/>
  <c r="Z332" i="5"/>
  <c r="Z20" i="5"/>
  <c r="Z447" i="5"/>
  <c r="Z222" i="5"/>
  <c r="Z368" i="5"/>
  <c r="Z71" i="5"/>
  <c r="Z549" i="5"/>
  <c r="Z450" i="5"/>
  <c r="Z262" i="5"/>
  <c r="Z232" i="5"/>
  <c r="Z335" i="5"/>
  <c r="Z408" i="5"/>
  <c r="Z152" i="5"/>
  <c r="Z197" i="5"/>
  <c r="Z402" i="5"/>
  <c r="Z169" i="5"/>
  <c r="Z412" i="5"/>
  <c r="Z492" i="5"/>
  <c r="Z299" i="5"/>
  <c r="Z84" i="5"/>
  <c r="Z306" i="5"/>
  <c r="Z331" i="5"/>
  <c r="Z205" i="5"/>
  <c r="Z320" i="5"/>
  <c r="Z275" i="5"/>
  <c r="Z51" i="5"/>
  <c r="Z488" i="5"/>
  <c r="Z317" i="5"/>
  <c r="Z399" i="5"/>
  <c r="Z377" i="5"/>
  <c r="Z241" i="5"/>
  <c r="Z483" i="5"/>
  <c r="Z482" i="5"/>
  <c r="Z436" i="5"/>
  <c r="Z100" i="5"/>
  <c r="Z159" i="5"/>
  <c r="Z386" i="5"/>
  <c r="Z191" i="5"/>
  <c r="Z81" i="5"/>
  <c r="Z8" i="5"/>
  <c r="Z313" i="5"/>
  <c r="Z500" i="5"/>
  <c r="Z312" i="5"/>
  <c r="Z106" i="5"/>
  <c r="Z533" i="5"/>
  <c r="Z68" i="5"/>
  <c r="Z361" i="5"/>
  <c r="Z234" i="5"/>
  <c r="Z296" i="5"/>
  <c r="Z461" i="5"/>
  <c r="Z129" i="5"/>
  <c r="Z24" i="5"/>
  <c r="Z198" i="5"/>
  <c r="Z514" i="5"/>
  <c r="Z218" i="5"/>
  <c r="Z137" i="5"/>
  <c r="Z493" i="5"/>
  <c r="Z283" i="5"/>
  <c r="Z138" i="5"/>
  <c r="Z190" i="5"/>
  <c r="Z280" i="5"/>
  <c r="Z135" i="5"/>
  <c r="Z327" i="5"/>
  <c r="Z184" i="5"/>
  <c r="Z85" i="5"/>
  <c r="Z44" i="5"/>
  <c r="Z322" i="5"/>
  <c r="Z503" i="5"/>
  <c r="Z349" i="5"/>
  <c r="Z89" i="5"/>
  <c r="Z439" i="5"/>
  <c r="Z165" i="5"/>
  <c r="Z64" i="5"/>
  <c r="Z76" i="5"/>
  <c r="Z131" i="5"/>
  <c r="Z522" i="5"/>
  <c r="Z498" i="5"/>
  <c r="Z245" i="5"/>
  <c r="Z163" i="5"/>
  <c r="Z124" i="5"/>
  <c r="Z110" i="5"/>
  <c r="Z95" i="5"/>
  <c r="Z356" i="5"/>
  <c r="Z516" i="5"/>
  <c r="Z25" i="5"/>
  <c r="Z183" i="5"/>
  <c r="Z43" i="5"/>
  <c r="Z161" i="5"/>
  <c r="Z171" i="5"/>
  <c r="Z430" i="5"/>
  <c r="Z484" i="5"/>
  <c r="Z146" i="5"/>
  <c r="Z59" i="5"/>
  <c r="Z237" i="5"/>
  <c r="Z433" i="5"/>
  <c r="Z26" i="5"/>
  <c r="Z415" i="5"/>
  <c r="Z319" i="5"/>
  <c r="Z200" i="5"/>
  <c r="Z336" i="5"/>
  <c r="Z265" i="5"/>
  <c r="Z96" i="5"/>
  <c r="Z365" i="5"/>
  <c r="Z507" i="5"/>
  <c r="Z407" i="5"/>
  <c r="Z448" i="5"/>
  <c r="Z429" i="5"/>
  <c r="Z116" i="5"/>
  <c r="Z315" i="5"/>
  <c r="Z546" i="5"/>
  <c r="Z362" i="5"/>
  <c r="Z187" i="5"/>
  <c r="Z143" i="5"/>
  <c r="Z555" i="5"/>
  <c r="Z473" i="5"/>
  <c r="Z242" i="5"/>
  <c r="Z55" i="5"/>
  <c r="Z35" i="5"/>
  <c r="Z354" i="5"/>
  <c r="Z230" i="5"/>
  <c r="Z506" i="5"/>
  <c r="Z72" i="5"/>
  <c r="Z177" i="5"/>
  <c r="Z77" i="5"/>
  <c r="Z236" i="5"/>
  <c r="Z69" i="5"/>
  <c r="Z487" i="5"/>
  <c r="Z207" i="5"/>
  <c r="Z38" i="5"/>
  <c r="Z193" i="5"/>
  <c r="Z300" i="5"/>
  <c r="Z465" i="5"/>
  <c r="Z445" i="5"/>
  <c r="Z338" i="5"/>
  <c r="Z134" i="5"/>
  <c r="Z395" i="5"/>
  <c r="Z311" i="5"/>
  <c r="Z240" i="5"/>
  <c r="Z537" i="5"/>
  <c r="Z302" i="5"/>
  <c r="Z180" i="5"/>
  <c r="Z79" i="5"/>
  <c r="Z367" i="5"/>
  <c r="Z208" i="5"/>
  <c r="Z373" i="5"/>
  <c r="Z66" i="5"/>
  <c r="Z112" i="5"/>
  <c r="Z22" i="5"/>
  <c r="Z513" i="5"/>
  <c r="Z144" i="5"/>
  <c r="Z505" i="5"/>
  <c r="Z442" i="5"/>
  <c r="Z387" i="5"/>
  <c r="Z470" i="5"/>
  <c r="Z456" i="5"/>
  <c r="Z279" i="5"/>
  <c r="Z351" i="5"/>
  <c r="Z221" i="5"/>
  <c r="Z285" i="5"/>
  <c r="Z127" i="5"/>
  <c r="Z428" i="5"/>
  <c r="Z19" i="5"/>
  <c r="Z215" i="5"/>
  <c r="Z400" i="5"/>
  <c r="Z270" i="5"/>
  <c r="Z518" i="5"/>
  <c r="Z114" i="5"/>
  <c r="Z28" i="5"/>
  <c r="Z287" i="5"/>
  <c r="Z426" i="5"/>
  <c r="Z47" i="5"/>
  <c r="Z325" i="5"/>
  <c r="Z195" i="5"/>
  <c r="Z440" i="5"/>
  <c r="Z130" i="5"/>
  <c r="Z256" i="5"/>
  <c r="Z266" i="5"/>
  <c r="Z204" i="5"/>
  <c r="Z90" i="5"/>
  <c r="Z310" i="5"/>
  <c r="Z118" i="5"/>
  <c r="Z475" i="5"/>
  <c r="Z552" i="5"/>
  <c r="Z380" i="5"/>
  <c r="Z272" i="5"/>
  <c r="Z27" i="5"/>
  <c r="Z186" i="5"/>
  <c r="Z46" i="5"/>
  <c r="Z61" i="5"/>
  <c r="Z471" i="5"/>
  <c r="Z115" i="5"/>
  <c r="Z75" i="5"/>
  <c r="Z369" i="5"/>
  <c r="Z464" i="5"/>
  <c r="Z499" i="5"/>
  <c r="Z247" i="5"/>
  <c r="Z103" i="5"/>
  <c r="Z494" i="5"/>
  <c r="Z23" i="5"/>
  <c r="Z254" i="5"/>
  <c r="Z126" i="5"/>
  <c r="Z480" i="5"/>
  <c r="Z527" i="5"/>
  <c r="Z458" i="5"/>
  <c r="Z168" i="5"/>
  <c r="Z166" i="5"/>
  <c r="Z502" i="5"/>
  <c r="Z521" i="5"/>
  <c r="Z421" i="5"/>
  <c r="Z282" i="5"/>
  <c r="Z496" i="5"/>
  <c r="Z30" i="5"/>
  <c r="Z251" i="5"/>
  <c r="Z179" i="5"/>
  <c r="Z12" i="5"/>
  <c r="Z228" i="5"/>
  <c r="Z290" i="5"/>
  <c r="Z318" i="5"/>
  <c r="Z485" i="5"/>
  <c r="Z476" i="5"/>
  <c r="Z147" i="5"/>
  <c r="Z226" i="5"/>
  <c r="Z142" i="5"/>
  <c r="Z474" i="5"/>
  <c r="Z37" i="5"/>
  <c r="Z457" i="5"/>
  <c r="Z216" i="5"/>
  <c r="Z212" i="5"/>
  <c r="Z227" i="5"/>
  <c r="Z276" i="5"/>
  <c r="Z273" i="5"/>
  <c r="Z321" i="5"/>
  <c r="Z123" i="5"/>
  <c r="Z330" i="5"/>
  <c r="Z172" i="5"/>
  <c r="Z156" i="5"/>
  <c r="Z391" i="5"/>
  <c r="Z94" i="5"/>
  <c r="Z366" i="5"/>
  <c r="Z36" i="5"/>
  <c r="Z292" i="5"/>
  <c r="Z263" i="5"/>
  <c r="Z418" i="5"/>
  <c r="Z547" i="5"/>
  <c r="Z189" i="5"/>
  <c r="Z178" i="5"/>
  <c r="Z536" i="5"/>
  <c r="Z48" i="5"/>
  <c r="Z472" i="5"/>
  <c r="Z504" i="5"/>
  <c r="Z128" i="5"/>
  <c r="Z534" i="5"/>
  <c r="Z86" i="5"/>
  <c r="Z524" i="5"/>
  <c r="Z411" i="5"/>
  <c r="Z413" i="5"/>
  <c r="Z56" i="5"/>
  <c r="Z443" i="5"/>
  <c r="Z531" i="5"/>
  <c r="Z301" i="5"/>
  <c r="Z155" i="5"/>
  <c r="Z104" i="5"/>
  <c r="Z145" i="5"/>
  <c r="Z466" i="5"/>
  <c r="Z167" i="5"/>
  <c r="Z481" i="5"/>
  <c r="Z194" i="5"/>
  <c r="Z517" i="5"/>
  <c r="Z550" i="5"/>
  <c r="Z120" i="5"/>
  <c r="Z111" i="5"/>
  <c r="Z508" i="5"/>
  <c r="Z478" i="5"/>
  <c r="Z303" i="5"/>
  <c r="Z495" i="5"/>
  <c r="Z258" i="5"/>
  <c r="Z437" i="5"/>
  <c r="Z355" i="5"/>
  <c r="Z54" i="5"/>
  <c r="Z339" i="5"/>
  <c r="Z220" i="5"/>
  <c r="Z372" i="5"/>
  <c r="Z390" i="5"/>
  <c r="Z73" i="5"/>
  <c r="Z519" i="5"/>
  <c r="Z374" i="5"/>
  <c r="Z389" i="5"/>
  <c r="Z213" i="5"/>
  <c r="Z117" i="5"/>
  <c r="Z497" i="5"/>
  <c r="Z469" i="5"/>
  <c r="Z326" i="5"/>
  <c r="Z340" i="5"/>
  <c r="Z314" i="5"/>
  <c r="Z333" i="5"/>
  <c r="Z140" i="5"/>
  <c r="Z160" i="5"/>
  <c r="Z97" i="5"/>
  <c r="Z462" i="5"/>
  <c r="Z214" i="5"/>
  <c r="Z551" i="5"/>
  <c r="Z558" i="5"/>
  <c r="Z60" i="5"/>
  <c r="Z523" i="5"/>
  <c r="Z489" i="5"/>
  <c r="Z305" i="5"/>
  <c r="Z491" i="5"/>
  <c r="Z384" i="5"/>
  <c r="Z250" i="5"/>
  <c r="Z291" i="5"/>
  <c r="Z416" i="5"/>
  <c r="Z231" i="5"/>
  <c r="Z158" i="5"/>
  <c r="Z559" i="5"/>
  <c r="Z271" i="5"/>
  <c r="Z370" i="5"/>
  <c r="Z392" i="5"/>
  <c r="Z209" i="5"/>
  <c r="Z438" i="5"/>
  <c r="Z74" i="5"/>
  <c r="Z286" i="5"/>
  <c r="Z267" i="5"/>
  <c r="Z382" i="5"/>
  <c r="Z298" i="5"/>
  <c r="Z268" i="5"/>
  <c r="Z133" i="5"/>
  <c r="Z255" i="5"/>
  <c r="Z540" i="5"/>
  <c r="Z42" i="5"/>
  <c r="Z544" i="5"/>
  <c r="Z92" i="5"/>
  <c r="Z538" i="5"/>
  <c r="Z284" i="5"/>
  <c r="Z553" i="5"/>
  <c r="Z297" i="5"/>
  <c r="Z381" i="5"/>
  <c r="Z70" i="5"/>
  <c r="Z217" i="5"/>
  <c r="Z403" i="5"/>
  <c r="Z328" i="5"/>
  <c r="Z294" i="5"/>
  <c r="Z309" i="5"/>
  <c r="Z53" i="5"/>
  <c r="Z235" i="5"/>
  <c r="Z423" i="5"/>
  <c r="Z125" i="5"/>
  <c r="Z93" i="5"/>
  <c r="Z261" i="5"/>
  <c r="Z541" i="5"/>
  <c r="Z40" i="5"/>
  <c r="Z434" i="5"/>
  <c r="Z151" i="5"/>
  <c r="Z396" i="5"/>
  <c r="Z238" i="5"/>
  <c r="Z424" i="5"/>
  <c r="Z477" i="5"/>
  <c r="Z32" i="5"/>
  <c r="Z548" i="5"/>
  <c r="Z52" i="5"/>
  <c r="Z83" i="5"/>
  <c r="Z113" i="5"/>
  <c r="Z468" i="5"/>
  <c r="Z535" i="5"/>
  <c r="Z295" i="5"/>
  <c r="Z307" i="5"/>
  <c r="Z121" i="5"/>
  <c r="Z526" i="5"/>
  <c r="Z532" i="5"/>
  <c r="Z108" i="5"/>
  <c r="Z316" i="5"/>
  <c r="Z277" i="5"/>
  <c r="Z29" i="5"/>
  <c r="Z173" i="5"/>
  <c r="Z364" i="5"/>
  <c r="Z334" i="5"/>
  <c r="Z58" i="5"/>
  <c r="Z176" i="5"/>
  <c r="Z358" i="5"/>
  <c r="Z359" i="5"/>
  <c r="Z360" i="5"/>
  <c r="Z394" i="5"/>
  <c r="Z109" i="5"/>
  <c r="Z132" i="5"/>
  <c r="Z174" i="5"/>
  <c r="Z224" i="5"/>
  <c r="Z463" i="5"/>
  <c r="Z154" i="5"/>
  <c r="Z545" i="5"/>
  <c r="Z479" i="5"/>
  <c r="Z397" i="5"/>
  <c r="Z404" i="5"/>
  <c r="Z425" i="5"/>
  <c r="Z153" i="5"/>
  <c r="Z560" i="5"/>
  <c r="Z329" i="5"/>
  <c r="Z105" i="5"/>
  <c r="Z383" i="5"/>
  <c r="Z253" i="5"/>
  <c r="Z21" i="5"/>
  <c r="Z398" i="5"/>
  <c r="Z201" i="5"/>
  <c r="Z102" i="5"/>
  <c r="Z427" i="5"/>
  <c r="Z185" i="5"/>
  <c r="Z49" i="5"/>
  <c r="Z188" i="5"/>
  <c r="Z341" i="5"/>
  <c r="Z293" i="5"/>
  <c r="Z210" i="5"/>
  <c r="Z225" i="5"/>
  <c r="Z219" i="5"/>
  <c r="Z101" i="5"/>
  <c r="Z157" i="5"/>
  <c r="Z289" i="5"/>
  <c r="Z249" i="5"/>
  <c r="Z150" i="5"/>
  <c r="Z136" i="5"/>
  <c r="Z557" i="5"/>
  <c r="Z419" i="5"/>
  <c r="Z164" i="5"/>
  <c r="Z99" i="5"/>
  <c r="Z162" i="5"/>
  <c r="Z453" i="5"/>
  <c r="Z371" i="5"/>
  <c r="Z323" i="5"/>
  <c r="Z520" i="5"/>
  <c r="Z248" i="5"/>
  <c r="Z344" i="5"/>
  <c r="Z385" i="5"/>
  <c r="Z345" i="5"/>
  <c r="Z281" i="5"/>
  <c r="Z67" i="5"/>
  <c r="Z444" i="5"/>
  <c r="Z388" i="5"/>
  <c r="Z454" i="5"/>
  <c r="Z441" i="5"/>
  <c r="Z451" i="5"/>
  <c r="Z420" i="5"/>
  <c r="Z304" i="5"/>
  <c r="Z556" i="5"/>
  <c r="Z243" i="5"/>
  <c r="Z41" i="5"/>
  <c r="Z357" i="5"/>
  <c r="AB7" i="5"/>
  <c r="AA7" i="5"/>
  <c r="AB357" i="5" l="1"/>
  <c r="AA357" i="5"/>
  <c r="AA304" i="5"/>
  <c r="AB304" i="5"/>
  <c r="AB454" i="5"/>
  <c r="AA454" i="5"/>
  <c r="AA281" i="5"/>
  <c r="AB281" i="5"/>
  <c r="AB248" i="5"/>
  <c r="AA248" i="5"/>
  <c r="AB453" i="5"/>
  <c r="AA453" i="5"/>
  <c r="AB419" i="5"/>
  <c r="AA419" i="5"/>
  <c r="AB249" i="5"/>
  <c r="AA249" i="5"/>
  <c r="AB219" i="5"/>
  <c r="AA219" i="5"/>
  <c r="AB341" i="5"/>
  <c r="AA341" i="5"/>
  <c r="AB427" i="5"/>
  <c r="AA427" i="5"/>
  <c r="AA21" i="5"/>
  <c r="AB21" i="5"/>
  <c r="AA329" i="5"/>
  <c r="AB329" i="5"/>
  <c r="AB404" i="5"/>
  <c r="AA404" i="5"/>
  <c r="AB154" i="5"/>
  <c r="AA154" i="5"/>
  <c r="AB132" i="5"/>
  <c r="AA132" i="5"/>
  <c r="AB359" i="5"/>
  <c r="AA359" i="5"/>
  <c r="AB334" i="5"/>
  <c r="AA334" i="5"/>
  <c r="AA277" i="5"/>
  <c r="AB277" i="5"/>
  <c r="AA526" i="5"/>
  <c r="AB526" i="5"/>
  <c r="AB535" i="5"/>
  <c r="AA535" i="5"/>
  <c r="AB52" i="5"/>
  <c r="AA52" i="5"/>
  <c r="AB424" i="5"/>
  <c r="AA424" i="5"/>
  <c r="AA434" i="5"/>
  <c r="AB434" i="5"/>
  <c r="AB93" i="5"/>
  <c r="AA93" i="5"/>
  <c r="AB53" i="5"/>
  <c r="AA53" i="5"/>
  <c r="AA403" i="5"/>
  <c r="AB403" i="5"/>
  <c r="AA297" i="5"/>
  <c r="AB297" i="5"/>
  <c r="AA92" i="5"/>
  <c r="AB92" i="5"/>
  <c r="AA255" i="5"/>
  <c r="AB255" i="5"/>
  <c r="AA382" i="5"/>
  <c r="AB382" i="5"/>
  <c r="AA438" i="5"/>
  <c r="AB438" i="5"/>
  <c r="AA271" i="5"/>
  <c r="AB271" i="5"/>
  <c r="AA416" i="5"/>
  <c r="AB416" i="5"/>
  <c r="AA491" i="5"/>
  <c r="AB491" i="5"/>
  <c r="AB60" i="5"/>
  <c r="AA60" i="5"/>
  <c r="AA462" i="5"/>
  <c r="AB462" i="5"/>
  <c r="AA333" i="5"/>
  <c r="AB333" i="5"/>
  <c r="AB469" i="5"/>
  <c r="AA469" i="5"/>
  <c r="AA389" i="5"/>
  <c r="AB389" i="5"/>
  <c r="AA390" i="5"/>
  <c r="AB390" i="5"/>
  <c r="AA54" i="5"/>
  <c r="AB54" i="5"/>
  <c r="AA495" i="5"/>
  <c r="AB495" i="5"/>
  <c r="AB111" i="5"/>
  <c r="AA111" i="5"/>
  <c r="AB194" i="5"/>
  <c r="AA194" i="5"/>
  <c r="AB145" i="5"/>
  <c r="AA145" i="5"/>
  <c r="AA531" i="5"/>
  <c r="AB531" i="5"/>
  <c r="AA411" i="5"/>
  <c r="AB411" i="5"/>
  <c r="AB128" i="5"/>
  <c r="AA128" i="5"/>
  <c r="AB536" i="5"/>
  <c r="AA536" i="5"/>
  <c r="AB418" i="5"/>
  <c r="AA418" i="5"/>
  <c r="AB366" i="5"/>
  <c r="AA366" i="5"/>
  <c r="AA172" i="5"/>
  <c r="AB172" i="5"/>
  <c r="AA273" i="5"/>
  <c r="AB273" i="5"/>
  <c r="AA216" i="5"/>
  <c r="AB216" i="5"/>
  <c r="AB142" i="5"/>
  <c r="AA142" i="5"/>
  <c r="AA485" i="5"/>
  <c r="AB485" i="5"/>
  <c r="AB12" i="5"/>
  <c r="AA12" i="5"/>
  <c r="AB496" i="5"/>
  <c r="AA496" i="5"/>
  <c r="AA502" i="5"/>
  <c r="AB502" i="5"/>
  <c r="AA527" i="5"/>
  <c r="AB527" i="5"/>
  <c r="AA23" i="5"/>
  <c r="AB23" i="5"/>
  <c r="AB499" i="5"/>
  <c r="AA499" i="5"/>
  <c r="AA115" i="5"/>
  <c r="AB115" i="5"/>
  <c r="AA186" i="5"/>
  <c r="AB186" i="5"/>
  <c r="AB552" i="5"/>
  <c r="AA552" i="5"/>
  <c r="AA90" i="5"/>
  <c r="AB90" i="5"/>
  <c r="AB130" i="5"/>
  <c r="AA130" i="5"/>
  <c r="AA47" i="5"/>
  <c r="AB47" i="5"/>
  <c r="AA114" i="5"/>
  <c r="AB114" i="5"/>
  <c r="AA215" i="5"/>
  <c r="AB215" i="5"/>
  <c r="AA285" i="5"/>
  <c r="AB285" i="5"/>
  <c r="AA456" i="5"/>
  <c r="AB456" i="5"/>
  <c r="AA505" i="5"/>
  <c r="AB505" i="5"/>
  <c r="AB112" i="5"/>
  <c r="AA112" i="5"/>
  <c r="AB367" i="5"/>
  <c r="AA367" i="5"/>
  <c r="AA537" i="5"/>
  <c r="AB537" i="5"/>
  <c r="AA134" i="5"/>
  <c r="AB134" i="5"/>
  <c r="AB300" i="5"/>
  <c r="AA300" i="5"/>
  <c r="AB487" i="5"/>
  <c r="AA487" i="5"/>
  <c r="AB77" i="5"/>
  <c r="AA77" i="5"/>
  <c r="AA230" i="5"/>
  <c r="AB230" i="5"/>
  <c r="AB242" i="5"/>
  <c r="AA242" i="5"/>
  <c r="AA187" i="5"/>
  <c r="AB187" i="5"/>
  <c r="AA116" i="5"/>
  <c r="AB116" i="5"/>
  <c r="AA507" i="5"/>
  <c r="AB507" i="5"/>
  <c r="AB336" i="5"/>
  <c r="AA336" i="5"/>
  <c r="AA26" i="5"/>
  <c r="AB26" i="5"/>
  <c r="AA146" i="5"/>
  <c r="AB146" i="5"/>
  <c r="AB161" i="5"/>
  <c r="AA161" i="5"/>
  <c r="AA516" i="5"/>
  <c r="AB516" i="5"/>
  <c r="AA124" i="5"/>
  <c r="AB124" i="5"/>
  <c r="AA522" i="5"/>
  <c r="AB522" i="5"/>
  <c r="AB165" i="5"/>
  <c r="AA165" i="5"/>
  <c r="AB503" i="5"/>
  <c r="AA503" i="5"/>
  <c r="AA184" i="5"/>
  <c r="AB184" i="5"/>
  <c r="AB190" i="5"/>
  <c r="AA190" i="5"/>
  <c r="AA137" i="5"/>
  <c r="AB137" i="5"/>
  <c r="AA24" i="5"/>
  <c r="AB24" i="5"/>
  <c r="AB234" i="5"/>
  <c r="AA234" i="5"/>
  <c r="AA106" i="5"/>
  <c r="AB106" i="5"/>
  <c r="AB8" i="5"/>
  <c r="AA8" i="5"/>
  <c r="AB159" i="5"/>
  <c r="AA159" i="5"/>
  <c r="AB483" i="5"/>
  <c r="AA483" i="5"/>
  <c r="AA317" i="5"/>
  <c r="AB317" i="5"/>
  <c r="AB320" i="5"/>
  <c r="AA320" i="5"/>
  <c r="AB84" i="5"/>
  <c r="AA84" i="5"/>
  <c r="AA169" i="5"/>
  <c r="AB169" i="5"/>
  <c r="AA408" i="5"/>
  <c r="AB408" i="5"/>
  <c r="AA450" i="5"/>
  <c r="AB450" i="5"/>
  <c r="AA222" i="5"/>
  <c r="AB222" i="5"/>
  <c r="AB65" i="5"/>
  <c r="AA65" i="5"/>
  <c r="AA449" i="5"/>
  <c r="AB449" i="5"/>
  <c r="AA414" i="5"/>
  <c r="AB414" i="5"/>
  <c r="AB63" i="5"/>
  <c r="AA63" i="5"/>
  <c r="AB409" i="5"/>
  <c r="AA409" i="5"/>
  <c r="AA13" i="5"/>
  <c r="AB13" i="5"/>
  <c r="AA119" i="5"/>
  <c r="AB119" i="5"/>
  <c r="AB352" i="5"/>
  <c r="AA352" i="5"/>
  <c r="AA431" i="5"/>
  <c r="AB431" i="5"/>
  <c r="AB196" i="5"/>
  <c r="AA196" i="5"/>
  <c r="AB542" i="5"/>
  <c r="AA542" i="5"/>
  <c r="AB543" i="5"/>
  <c r="AA543" i="5"/>
  <c r="AA202" i="5"/>
  <c r="AB202" i="5"/>
  <c r="AB182" i="5"/>
  <c r="AA182" i="5"/>
  <c r="AA435" i="5"/>
  <c r="AB435" i="5"/>
  <c r="AA98" i="5"/>
  <c r="AB98" i="5"/>
  <c r="AB348" i="5"/>
  <c r="AA348" i="5"/>
  <c r="AB510" i="5"/>
  <c r="AA510" i="5"/>
  <c r="AA288" i="5"/>
  <c r="AB288" i="5"/>
  <c r="AB107" i="5"/>
  <c r="AA107" i="5"/>
  <c r="AA34" i="5"/>
  <c r="AB34" i="5"/>
  <c r="AA378" i="5"/>
  <c r="AB378" i="5"/>
  <c r="AA337" i="5"/>
  <c r="AB337" i="5"/>
  <c r="AA246" i="5"/>
  <c r="AB246" i="5"/>
  <c r="AA80" i="5"/>
  <c r="AB80" i="5"/>
  <c r="AB375" i="5"/>
  <c r="AA375" i="5"/>
  <c r="AA41" i="5"/>
  <c r="AB41" i="5"/>
  <c r="AB420" i="5"/>
  <c r="AA420" i="5"/>
  <c r="AB388" i="5"/>
  <c r="AA388" i="5"/>
  <c r="AB345" i="5"/>
  <c r="AA345" i="5"/>
  <c r="AA520" i="5"/>
  <c r="AB520" i="5"/>
  <c r="AA162" i="5"/>
  <c r="AB162" i="5"/>
  <c r="AA557" i="5"/>
  <c r="AB557" i="5"/>
  <c r="AB289" i="5"/>
  <c r="AA289" i="5"/>
  <c r="AB225" i="5"/>
  <c r="AA225" i="5"/>
  <c r="AB188" i="5"/>
  <c r="AA188" i="5"/>
  <c r="AA102" i="5"/>
  <c r="AB102" i="5"/>
  <c r="AB253" i="5"/>
  <c r="AA253" i="5"/>
  <c r="AB560" i="5"/>
  <c r="AA560" i="5"/>
  <c r="AA397" i="5"/>
  <c r="AB397" i="5"/>
  <c r="AB463" i="5"/>
  <c r="AA463" i="5"/>
  <c r="AB109" i="5"/>
  <c r="AA109" i="5"/>
  <c r="AB358" i="5"/>
  <c r="AA358" i="5"/>
  <c r="AA364" i="5"/>
  <c r="AB364" i="5"/>
  <c r="AA316" i="5"/>
  <c r="AB316" i="5"/>
  <c r="AA121" i="5"/>
  <c r="AB121" i="5"/>
  <c r="AA468" i="5"/>
  <c r="AB468" i="5"/>
  <c r="AB548" i="5"/>
  <c r="AA548" i="5"/>
  <c r="AB238" i="5"/>
  <c r="AA238" i="5"/>
  <c r="AB40" i="5"/>
  <c r="AA40" i="5"/>
  <c r="AA125" i="5"/>
  <c r="AB125" i="5"/>
  <c r="AB309" i="5"/>
  <c r="AA309" i="5"/>
  <c r="AB217" i="5"/>
  <c r="AA217" i="5"/>
  <c r="AA553" i="5"/>
  <c r="AB553" i="5"/>
  <c r="AB544" i="5"/>
  <c r="AA544" i="5"/>
  <c r="AA133" i="5"/>
  <c r="AB133" i="5"/>
  <c r="AA267" i="5"/>
  <c r="AB267" i="5"/>
  <c r="AB209" i="5"/>
  <c r="AA209" i="5"/>
  <c r="AA559" i="5"/>
  <c r="AB559" i="5"/>
  <c r="AB291" i="5"/>
  <c r="AA291" i="5"/>
  <c r="AA305" i="5"/>
  <c r="AB305" i="5"/>
  <c r="AB558" i="5"/>
  <c r="AA558" i="5"/>
  <c r="AB97" i="5"/>
  <c r="AA97" i="5"/>
  <c r="AA314" i="5"/>
  <c r="AB314" i="5"/>
  <c r="AB497" i="5"/>
  <c r="AA497" i="5"/>
  <c r="AB374" i="5"/>
  <c r="AA374" i="5"/>
  <c r="AB372" i="5"/>
  <c r="AA372" i="5"/>
  <c r="AA355" i="5"/>
  <c r="AB355" i="5"/>
  <c r="AB303" i="5"/>
  <c r="AA303" i="5"/>
  <c r="AA120" i="5"/>
  <c r="AB120" i="5"/>
  <c r="AB481" i="5"/>
  <c r="AA481" i="5"/>
  <c r="AA104" i="5"/>
  <c r="AB104" i="5"/>
  <c r="AB443" i="5"/>
  <c r="AA443" i="5"/>
  <c r="AA524" i="5"/>
  <c r="AB524" i="5"/>
  <c r="AB504" i="5"/>
  <c r="AA504" i="5"/>
  <c r="AA178" i="5"/>
  <c r="AB178" i="5"/>
  <c r="AB263" i="5"/>
  <c r="AA263" i="5"/>
  <c r="AA94" i="5"/>
  <c r="AB94" i="5"/>
  <c r="AA330" i="5"/>
  <c r="AB330" i="5"/>
  <c r="AB276" i="5"/>
  <c r="AA276" i="5"/>
  <c r="AB457" i="5"/>
  <c r="AA457" i="5"/>
  <c r="AB226" i="5"/>
  <c r="AA226" i="5"/>
  <c r="AA318" i="5"/>
  <c r="AB318" i="5"/>
  <c r="AB179" i="5"/>
  <c r="AA179" i="5"/>
  <c r="AA282" i="5"/>
  <c r="AB282" i="5"/>
  <c r="AB166" i="5"/>
  <c r="AA166" i="5"/>
  <c r="AA480" i="5"/>
  <c r="AB480" i="5"/>
  <c r="AB494" i="5"/>
  <c r="AA494" i="5"/>
  <c r="AA464" i="5"/>
  <c r="AB464" i="5"/>
  <c r="AA471" i="5"/>
  <c r="AB471" i="5"/>
  <c r="AA27" i="5"/>
  <c r="AB27" i="5"/>
  <c r="AB475" i="5"/>
  <c r="AA475" i="5"/>
  <c r="AB204" i="5"/>
  <c r="AA204" i="5"/>
  <c r="AA440" i="5"/>
  <c r="AB440" i="5"/>
  <c r="AB426" i="5"/>
  <c r="AA426" i="5"/>
  <c r="AA518" i="5"/>
  <c r="AB518" i="5"/>
  <c r="AA19" i="5"/>
  <c r="AB19" i="5"/>
  <c r="AB221" i="5"/>
  <c r="AA221" i="5"/>
  <c r="AA470" i="5"/>
  <c r="AB470" i="5"/>
  <c r="AA144" i="5"/>
  <c r="AB144" i="5"/>
  <c r="AA66" i="5"/>
  <c r="AB66" i="5"/>
  <c r="AA79" i="5"/>
  <c r="AB79" i="5"/>
  <c r="AB240" i="5"/>
  <c r="AA240" i="5"/>
  <c r="AB338" i="5"/>
  <c r="AA338" i="5"/>
  <c r="AB193" i="5"/>
  <c r="AA193" i="5"/>
  <c r="AA177" i="5"/>
  <c r="AB177" i="5"/>
  <c r="AA354" i="5"/>
  <c r="AB354" i="5"/>
  <c r="AB473" i="5"/>
  <c r="AA473" i="5"/>
  <c r="AB362" i="5"/>
  <c r="AA362" i="5"/>
  <c r="AA429" i="5"/>
  <c r="AB429" i="5"/>
  <c r="AB365" i="5"/>
  <c r="AA365" i="5"/>
  <c r="AB200" i="5"/>
  <c r="AA200" i="5"/>
  <c r="AB433" i="5"/>
  <c r="AA433" i="5"/>
  <c r="AB484" i="5"/>
  <c r="AA484" i="5"/>
  <c r="AB43" i="5"/>
  <c r="AA43" i="5"/>
  <c r="AA356" i="5"/>
  <c r="AB356" i="5"/>
  <c r="AA163" i="5"/>
  <c r="AB163" i="5"/>
  <c r="AA131" i="5"/>
  <c r="AB131" i="5"/>
  <c r="AA439" i="5"/>
  <c r="AB439" i="5"/>
  <c r="AA322" i="5"/>
  <c r="AB322" i="5"/>
  <c r="AA327" i="5"/>
  <c r="AB327" i="5"/>
  <c r="AA138" i="5"/>
  <c r="AB138" i="5"/>
  <c r="AB218" i="5"/>
  <c r="AA218" i="5"/>
  <c r="AB129" i="5"/>
  <c r="AA129" i="5"/>
  <c r="AA361" i="5"/>
  <c r="AB361" i="5"/>
  <c r="AA312" i="5"/>
  <c r="AB312" i="5"/>
  <c r="AA81" i="5"/>
  <c r="AB81" i="5"/>
  <c r="AA100" i="5"/>
  <c r="AB100" i="5"/>
  <c r="AA241" i="5"/>
  <c r="AB241" i="5"/>
  <c r="AB488" i="5"/>
  <c r="AA488" i="5"/>
  <c r="AB205" i="5"/>
  <c r="AA205" i="5"/>
  <c r="AB299" i="5"/>
  <c r="AA299" i="5"/>
  <c r="AB402" i="5"/>
  <c r="AA402" i="5"/>
  <c r="AA335" i="5"/>
  <c r="AB335" i="5"/>
  <c r="AB549" i="5"/>
  <c r="AA549" i="5"/>
  <c r="AB447" i="5"/>
  <c r="AA447" i="5"/>
  <c r="AA192" i="5"/>
  <c r="AB192" i="5"/>
  <c r="AB486" i="5"/>
  <c r="AA486" i="5"/>
  <c r="AA346" i="5"/>
  <c r="AB346" i="5"/>
  <c r="AA363" i="5"/>
  <c r="AB363" i="5"/>
  <c r="AB88" i="5"/>
  <c r="AA88" i="5"/>
  <c r="AB223" i="5"/>
  <c r="AA223" i="5"/>
  <c r="AA342" i="5"/>
  <c r="AB342" i="5"/>
  <c r="AB278" i="5"/>
  <c r="AA278" i="5"/>
  <c r="AA530" i="5"/>
  <c r="AB530" i="5"/>
  <c r="AB432" i="5"/>
  <c r="AA432" i="5"/>
  <c r="AA490" i="5"/>
  <c r="AB490" i="5"/>
  <c r="AB62" i="5"/>
  <c r="AA62" i="5"/>
  <c r="AA57" i="5"/>
  <c r="AB57" i="5"/>
  <c r="AB259" i="5"/>
  <c r="AA259" i="5"/>
  <c r="AA181" i="5"/>
  <c r="AB181" i="5"/>
  <c r="AA78" i="5"/>
  <c r="AB78" i="5"/>
  <c r="AA376" i="5"/>
  <c r="AB376" i="5"/>
  <c r="AA509" i="5"/>
  <c r="AB509" i="5"/>
  <c r="AA233" i="5"/>
  <c r="AB233" i="5"/>
  <c r="AA554" i="5"/>
  <c r="AB554" i="5"/>
  <c r="AA417" i="5"/>
  <c r="AB417" i="5"/>
  <c r="AB379" i="5"/>
  <c r="AA379" i="5"/>
  <c r="AB211" i="5"/>
  <c r="AA211" i="5"/>
  <c r="AB528" i="5"/>
  <c r="AA528" i="5"/>
  <c r="AA459" i="5"/>
  <c r="AB459" i="5"/>
  <c r="AB350" i="5"/>
  <c r="AA350" i="5"/>
  <c r="AA243" i="5"/>
  <c r="AB243" i="5"/>
  <c r="AB451" i="5"/>
  <c r="AA451" i="5"/>
  <c r="AA444" i="5"/>
  <c r="AB444" i="5"/>
  <c r="AB385" i="5"/>
  <c r="AA385" i="5"/>
  <c r="AA323" i="5"/>
  <c r="AB323" i="5"/>
  <c r="AA99" i="5"/>
  <c r="AB99" i="5"/>
  <c r="AB136" i="5"/>
  <c r="AA136" i="5"/>
  <c r="AA157" i="5"/>
  <c r="AB157" i="5"/>
  <c r="AB210" i="5"/>
  <c r="AA210" i="5"/>
  <c r="AB49" i="5"/>
  <c r="AA49" i="5"/>
  <c r="AB201" i="5"/>
  <c r="AA201" i="5"/>
  <c r="AB383" i="5"/>
  <c r="AA383" i="5"/>
  <c r="AA153" i="5"/>
  <c r="AB153" i="5"/>
  <c r="AB479" i="5"/>
  <c r="AA479" i="5"/>
  <c r="AB224" i="5"/>
  <c r="AA224" i="5"/>
  <c r="AB394" i="5"/>
  <c r="AA394" i="5"/>
  <c r="AB176" i="5"/>
  <c r="AA176" i="5"/>
  <c r="AB173" i="5"/>
  <c r="AA173" i="5"/>
  <c r="AB108" i="5"/>
  <c r="AA108" i="5"/>
  <c r="AA307" i="5"/>
  <c r="AB307" i="5"/>
  <c r="AA113" i="5"/>
  <c r="AB113" i="5"/>
  <c r="AB32" i="5"/>
  <c r="AA32" i="5"/>
  <c r="AB396" i="5"/>
  <c r="AA396" i="5"/>
  <c r="AA541" i="5"/>
  <c r="AB541" i="5"/>
  <c r="AA423" i="5"/>
  <c r="AB423" i="5"/>
  <c r="AB294" i="5"/>
  <c r="AA294" i="5"/>
  <c r="AB70" i="5"/>
  <c r="AA70" i="5"/>
  <c r="AB284" i="5"/>
  <c r="AA284" i="5"/>
  <c r="AB42" i="5"/>
  <c r="AA42" i="5"/>
  <c r="AA268" i="5"/>
  <c r="AB268" i="5"/>
  <c r="AB286" i="5"/>
  <c r="AA286" i="5"/>
  <c r="AB392" i="5"/>
  <c r="AA392" i="5"/>
  <c r="AA158" i="5"/>
  <c r="AB158" i="5"/>
  <c r="AB250" i="5"/>
  <c r="AA250" i="5"/>
  <c r="AA489" i="5"/>
  <c r="AB489" i="5"/>
  <c r="AA551" i="5"/>
  <c r="AB551" i="5"/>
  <c r="AA160" i="5"/>
  <c r="AB160" i="5"/>
  <c r="AB340" i="5"/>
  <c r="AA340" i="5"/>
  <c r="AB117" i="5"/>
  <c r="AA117" i="5"/>
  <c r="AB519" i="5"/>
  <c r="AA519" i="5"/>
  <c r="AA220" i="5"/>
  <c r="AB220" i="5"/>
  <c r="AB437" i="5"/>
  <c r="AA437" i="5"/>
  <c r="AA478" i="5"/>
  <c r="AB478" i="5"/>
  <c r="AA550" i="5"/>
  <c r="AB550" i="5"/>
  <c r="AB167" i="5"/>
  <c r="AA167" i="5"/>
  <c r="AB155" i="5"/>
  <c r="AA155" i="5"/>
  <c r="AA56" i="5"/>
  <c r="AB56" i="5"/>
  <c r="AA86" i="5"/>
  <c r="AB86" i="5"/>
  <c r="AA472" i="5"/>
  <c r="AB472" i="5"/>
  <c r="AB189" i="5"/>
  <c r="AA189" i="5"/>
  <c r="AA292" i="5"/>
  <c r="AB292" i="5"/>
  <c r="AB391" i="5"/>
  <c r="AA391" i="5"/>
  <c r="AB123" i="5"/>
  <c r="AA123" i="5"/>
  <c r="AA227" i="5"/>
  <c r="AB227" i="5"/>
  <c r="AB37" i="5"/>
  <c r="AA37" i="5"/>
  <c r="AB147" i="5"/>
  <c r="AA147" i="5"/>
  <c r="AB290" i="5"/>
  <c r="AA290" i="5"/>
  <c r="AB251" i="5"/>
  <c r="AA251" i="5"/>
  <c r="AB421" i="5"/>
  <c r="AA421" i="5"/>
  <c r="AA168" i="5"/>
  <c r="AB168" i="5"/>
  <c r="AA126" i="5"/>
  <c r="AB126" i="5"/>
  <c r="AA103" i="5"/>
  <c r="AB103" i="5"/>
  <c r="AB369" i="5"/>
  <c r="AA369" i="5"/>
  <c r="AA61" i="5"/>
  <c r="AB61" i="5"/>
  <c r="AB272" i="5"/>
  <c r="AA272" i="5"/>
  <c r="AA118" i="5"/>
  <c r="AB118" i="5"/>
  <c r="AA266" i="5"/>
  <c r="AB266" i="5"/>
  <c r="AB195" i="5"/>
  <c r="AA195" i="5"/>
  <c r="AA287" i="5"/>
  <c r="AB287" i="5"/>
  <c r="AB270" i="5"/>
  <c r="AA270" i="5"/>
  <c r="AA428" i="5"/>
  <c r="AB428" i="5"/>
  <c r="AB351" i="5"/>
  <c r="AA351" i="5"/>
  <c r="AA387" i="5"/>
  <c r="AB387" i="5"/>
  <c r="AB513" i="5"/>
  <c r="AA513" i="5"/>
  <c r="AA373" i="5"/>
  <c r="AB373" i="5"/>
  <c r="AA180" i="5"/>
  <c r="AB180" i="5"/>
  <c r="AB311" i="5"/>
  <c r="AA311" i="5"/>
  <c r="AA445" i="5"/>
  <c r="AB445" i="5"/>
  <c r="AA38" i="5"/>
  <c r="AB38" i="5"/>
  <c r="AB69" i="5"/>
  <c r="AA69" i="5"/>
  <c r="AA72" i="5"/>
  <c r="AB72" i="5"/>
  <c r="AA35" i="5"/>
  <c r="AB35" i="5"/>
  <c r="AB555" i="5"/>
  <c r="AA555" i="5"/>
  <c r="AA546" i="5"/>
  <c r="AB546" i="5"/>
  <c r="AA448" i="5"/>
  <c r="AB448" i="5"/>
  <c r="AB96" i="5"/>
  <c r="AA96" i="5"/>
  <c r="AB319" i="5"/>
  <c r="AA319" i="5"/>
  <c r="AA237" i="5"/>
  <c r="AB237" i="5"/>
  <c r="AA430" i="5"/>
  <c r="AB430" i="5"/>
  <c r="AB183" i="5"/>
  <c r="AA183" i="5"/>
  <c r="AA95" i="5"/>
  <c r="AB95" i="5"/>
  <c r="AA245" i="5"/>
  <c r="AB245" i="5"/>
  <c r="AA76" i="5"/>
  <c r="AB76" i="5"/>
  <c r="AB89" i="5"/>
  <c r="AA89" i="5"/>
  <c r="AB44" i="5"/>
  <c r="AA44" i="5"/>
  <c r="AB135" i="5"/>
  <c r="AA135" i="5"/>
  <c r="AB283" i="5"/>
  <c r="AA283" i="5"/>
  <c r="AB514" i="5"/>
  <c r="AA514" i="5"/>
  <c r="AA461" i="5"/>
  <c r="AB461" i="5"/>
  <c r="AB68" i="5"/>
  <c r="AA68" i="5"/>
  <c r="AA500" i="5"/>
  <c r="AB500" i="5"/>
  <c r="AA191" i="5"/>
  <c r="AB191" i="5"/>
  <c r="AA436" i="5"/>
  <c r="AB436" i="5"/>
  <c r="AA377" i="5"/>
  <c r="AB377" i="5"/>
  <c r="AB51" i="5"/>
  <c r="AA51" i="5"/>
  <c r="AA331" i="5"/>
  <c r="AB331" i="5"/>
  <c r="AA492" i="5"/>
  <c r="AB492" i="5"/>
  <c r="AB197" i="5"/>
  <c r="AA197" i="5"/>
  <c r="AA232" i="5"/>
  <c r="AB232" i="5"/>
  <c r="AB71" i="5"/>
  <c r="AA71" i="5"/>
  <c r="AB20" i="5"/>
  <c r="AA20" i="5"/>
  <c r="AA257" i="5"/>
  <c r="AB257" i="5"/>
  <c r="AA239" i="5"/>
  <c r="AB239" i="5"/>
  <c r="AA82" i="5"/>
  <c r="AB82" i="5"/>
  <c r="AB460" i="5"/>
  <c r="AA460" i="5"/>
  <c r="AB274" i="5"/>
  <c r="AA274" i="5"/>
  <c r="AB410" i="5"/>
  <c r="AA410" i="5"/>
  <c r="AB264" i="5"/>
  <c r="AA264" i="5"/>
  <c r="AA149" i="5"/>
  <c r="AB149" i="5"/>
  <c r="AB45" i="5"/>
  <c r="AA45" i="5"/>
  <c r="AA401" i="5"/>
  <c r="AB401" i="5"/>
  <c r="AA529" i="5"/>
  <c r="AB529" i="5"/>
  <c r="AA91" i="5"/>
  <c r="AB91" i="5"/>
  <c r="AB405" i="5"/>
  <c r="AA405" i="5"/>
  <c r="AB175" i="5"/>
  <c r="AA175" i="5"/>
  <c r="AA501" i="5"/>
  <c r="AB501" i="5"/>
  <c r="AA31" i="5"/>
  <c r="AB31" i="5"/>
  <c r="AA244" i="5"/>
  <c r="AB244" i="5"/>
  <c r="AB260" i="5"/>
  <c r="AA260" i="5"/>
  <c r="AB170" i="5"/>
  <c r="AA170" i="5"/>
  <c r="AA539" i="5"/>
  <c r="AB539" i="5"/>
  <c r="AB512" i="5"/>
  <c r="AA512" i="5"/>
  <c r="AA406" i="5"/>
  <c r="AB406" i="5"/>
  <c r="AB343" i="5"/>
  <c r="AA343" i="5"/>
  <c r="AB452" i="5"/>
  <c r="AA452" i="5"/>
  <c r="AA353" i="5"/>
  <c r="AB353" i="5"/>
  <c r="AA556" i="5"/>
  <c r="AB556" i="5"/>
  <c r="AB441" i="5"/>
  <c r="AA441" i="5"/>
  <c r="AB67" i="5"/>
  <c r="AA67" i="5"/>
  <c r="AA344" i="5"/>
  <c r="AB344" i="5"/>
  <c r="AA371" i="5"/>
  <c r="AB371" i="5"/>
  <c r="AA164" i="5"/>
  <c r="AB164" i="5"/>
  <c r="AB150" i="5"/>
  <c r="AA150" i="5"/>
  <c r="AA101" i="5"/>
  <c r="AB101" i="5"/>
  <c r="AA293" i="5"/>
  <c r="AB293" i="5"/>
  <c r="AB185" i="5"/>
  <c r="AA185" i="5"/>
  <c r="AB398" i="5"/>
  <c r="AA398" i="5"/>
  <c r="AA105" i="5"/>
  <c r="AB105" i="5"/>
  <c r="AB425" i="5"/>
  <c r="AA425" i="5"/>
  <c r="AA545" i="5"/>
  <c r="AB545" i="5"/>
  <c r="AA174" i="5"/>
  <c r="AB174" i="5"/>
  <c r="AA360" i="5"/>
  <c r="AB360" i="5"/>
  <c r="AB58" i="5"/>
  <c r="AA58" i="5"/>
  <c r="AA29" i="5"/>
  <c r="AB29" i="5"/>
  <c r="AA532" i="5"/>
  <c r="AB532" i="5"/>
  <c r="AB295" i="5"/>
  <c r="AA295" i="5"/>
  <c r="AB83" i="5"/>
  <c r="AA83" i="5"/>
  <c r="AB477" i="5"/>
  <c r="AA477" i="5"/>
  <c r="AA151" i="5"/>
  <c r="AB151" i="5"/>
  <c r="AB261" i="5"/>
  <c r="AA261" i="5"/>
  <c r="AA235" i="5"/>
  <c r="AB235" i="5"/>
  <c r="AB328" i="5"/>
  <c r="AA328" i="5"/>
  <c r="AB381" i="5"/>
  <c r="AA381" i="5"/>
  <c r="AA538" i="5"/>
  <c r="AB538" i="5"/>
  <c r="AB540" i="5"/>
  <c r="AA540" i="5"/>
  <c r="AA298" i="5"/>
  <c r="AB298" i="5"/>
  <c r="AA74" i="5"/>
  <c r="AB74" i="5"/>
  <c r="AB370" i="5"/>
  <c r="AA370" i="5"/>
  <c r="AA231" i="5"/>
  <c r="AB231" i="5"/>
  <c r="AA384" i="5"/>
  <c r="AB384" i="5"/>
  <c r="AA523" i="5"/>
  <c r="AB523" i="5"/>
  <c r="AA214" i="5"/>
  <c r="AB214" i="5"/>
  <c r="AA140" i="5"/>
  <c r="AB140" i="5"/>
  <c r="AA326" i="5"/>
  <c r="AB326" i="5"/>
  <c r="AA213" i="5"/>
  <c r="AB213" i="5"/>
  <c r="AA73" i="5"/>
  <c r="AB73" i="5"/>
  <c r="AA339" i="5"/>
  <c r="AB339" i="5"/>
  <c r="AA258" i="5"/>
  <c r="AB258" i="5"/>
  <c r="AA508" i="5"/>
  <c r="AB508" i="5"/>
  <c r="AA517" i="5"/>
  <c r="AB517" i="5"/>
  <c r="AB466" i="5"/>
  <c r="AA466" i="5"/>
  <c r="AA301" i="5"/>
  <c r="AB301" i="5"/>
  <c r="AA413" i="5"/>
  <c r="AB413" i="5"/>
  <c r="AA534" i="5"/>
  <c r="AB534" i="5"/>
  <c r="AA48" i="5"/>
  <c r="AB48" i="5"/>
  <c r="AA547" i="5"/>
  <c r="AB547" i="5"/>
  <c r="AB36" i="5"/>
  <c r="AA36" i="5"/>
  <c r="AB156" i="5"/>
  <c r="AA156" i="5"/>
  <c r="AB321" i="5"/>
  <c r="AA321" i="5"/>
  <c r="AA212" i="5"/>
  <c r="AB212" i="5"/>
  <c r="AB474" i="5"/>
  <c r="AA474" i="5"/>
  <c r="AB476" i="5"/>
  <c r="AA476" i="5"/>
  <c r="AA228" i="5"/>
  <c r="AB228" i="5"/>
  <c r="AB30" i="5"/>
  <c r="AA30" i="5"/>
  <c r="AA521" i="5"/>
  <c r="AB521" i="5"/>
  <c r="AA458" i="5"/>
  <c r="AB458" i="5"/>
  <c r="AA254" i="5"/>
  <c r="AB254" i="5"/>
  <c r="AB247" i="5"/>
  <c r="AA247" i="5"/>
  <c r="AA75" i="5"/>
  <c r="AB75" i="5"/>
  <c r="AB46" i="5"/>
  <c r="AA46" i="5"/>
  <c r="AB380" i="5"/>
  <c r="AA380" i="5"/>
  <c r="AB310" i="5"/>
  <c r="AA310" i="5"/>
  <c r="AB256" i="5"/>
  <c r="AA256" i="5"/>
  <c r="AA325" i="5"/>
  <c r="AB325" i="5"/>
  <c r="AB28" i="5"/>
  <c r="AA28" i="5"/>
  <c r="AB400" i="5"/>
  <c r="AA400" i="5"/>
  <c r="AA127" i="5"/>
  <c r="AB127" i="5"/>
  <c r="AB279" i="5"/>
  <c r="AA279" i="5"/>
  <c r="AB442" i="5"/>
  <c r="AA442" i="5"/>
  <c r="AA22" i="5"/>
  <c r="AB22" i="5"/>
  <c r="AA208" i="5"/>
  <c r="AB208" i="5"/>
  <c r="AB302" i="5"/>
  <c r="AA302" i="5"/>
  <c r="AB395" i="5"/>
  <c r="AA395" i="5"/>
  <c r="AA465" i="5"/>
  <c r="AB465" i="5"/>
  <c r="AB207" i="5"/>
  <c r="AA207" i="5"/>
  <c r="AB236" i="5"/>
  <c r="AA236" i="5"/>
  <c r="AA506" i="5"/>
  <c r="AB506" i="5"/>
  <c r="AA55" i="5"/>
  <c r="AB55" i="5"/>
  <c r="AA143" i="5"/>
  <c r="AB143" i="5"/>
  <c r="AA315" i="5"/>
  <c r="AB315" i="5"/>
  <c r="AA407" i="5"/>
  <c r="AB407" i="5"/>
  <c r="AB265" i="5"/>
  <c r="AA265" i="5"/>
  <c r="AA415" i="5"/>
  <c r="AB415" i="5"/>
  <c r="AA59" i="5"/>
  <c r="AB59" i="5"/>
  <c r="AB171" i="5"/>
  <c r="AA171" i="5"/>
  <c r="AB25" i="5"/>
  <c r="AA25" i="5"/>
  <c r="AA110" i="5"/>
  <c r="AB110" i="5"/>
  <c r="AA498" i="5"/>
  <c r="AB498" i="5"/>
  <c r="AA64" i="5"/>
  <c r="AB64" i="5"/>
  <c r="AB349" i="5"/>
  <c r="AA349" i="5"/>
  <c r="AA85" i="5"/>
  <c r="AB85" i="5"/>
  <c r="AA280" i="5"/>
  <c r="AB280" i="5"/>
  <c r="AA493" i="5"/>
  <c r="AB493" i="5"/>
  <c r="AA198" i="5"/>
  <c r="AB198" i="5"/>
  <c r="AB296" i="5"/>
  <c r="AA296" i="5"/>
  <c r="AA533" i="5"/>
  <c r="AB533" i="5"/>
  <c r="AB313" i="5"/>
  <c r="AA313" i="5"/>
  <c r="AB386" i="5"/>
  <c r="AA386" i="5"/>
  <c r="AB482" i="5"/>
  <c r="AA482" i="5"/>
  <c r="AA399" i="5"/>
  <c r="AB399" i="5"/>
  <c r="AA275" i="5"/>
  <c r="AB275" i="5"/>
  <c r="AB306" i="5"/>
  <c r="AA306" i="5"/>
  <c r="AB412" i="5"/>
  <c r="AA412" i="5"/>
  <c r="AA152" i="5"/>
  <c r="AB152" i="5"/>
  <c r="AB262" i="5"/>
  <c r="AA262" i="5"/>
  <c r="AB368" i="5"/>
  <c r="AA368" i="5"/>
  <c r="AA332" i="5"/>
  <c r="AB332" i="5"/>
  <c r="AB141" i="5"/>
  <c r="AA141" i="5"/>
  <c r="AA50" i="5"/>
  <c r="AB50" i="5"/>
  <c r="AA422" i="5"/>
  <c r="AB422" i="5"/>
  <c r="AB269" i="5"/>
  <c r="AA269" i="5"/>
  <c r="AB324" i="5"/>
  <c r="AA324" i="5"/>
  <c r="AB229" i="5"/>
  <c r="AA229" i="5"/>
  <c r="AA446" i="5"/>
  <c r="AB446" i="5"/>
  <c r="AB347" i="5"/>
  <c r="AA347" i="5"/>
  <c r="AB515" i="5"/>
  <c r="AA515" i="5"/>
  <c r="AA139" i="5"/>
  <c r="AB139" i="5"/>
  <c r="AA39" i="5"/>
  <c r="AB39" i="5"/>
  <c r="AB87" i="5"/>
  <c r="AA87" i="5"/>
  <c r="AB122" i="5"/>
  <c r="AA122" i="5"/>
  <c r="AB33" i="5"/>
  <c r="AA33" i="5"/>
  <c r="AB467" i="5"/>
  <c r="AA467" i="5"/>
  <c r="AB393" i="5"/>
  <c r="AA393" i="5"/>
  <c r="AB206" i="5"/>
  <c r="AA206" i="5"/>
  <c r="AB199" i="5"/>
  <c r="AA199" i="5"/>
  <c r="AA525" i="5"/>
  <c r="AB525" i="5"/>
  <c r="AB148" i="5"/>
  <c r="AA148" i="5"/>
  <c r="AA511" i="5"/>
  <c r="AB511" i="5"/>
  <c r="AB203" i="5"/>
  <c r="AA203" i="5"/>
  <c r="AA455" i="5"/>
  <c r="AB455" i="5"/>
  <c r="AA308" i="5"/>
  <c r="AB308" i="5"/>
  <c r="AA252" i="5"/>
  <c r="AB252" i="5"/>
  <c r="B13" i="2" l="1"/>
  <c r="B31" i="5" l="1"/>
  <c r="O10" i="5" s="1"/>
  <c r="B70" i="2"/>
  <c r="B71" i="2" s="1"/>
  <c r="B54" i="2"/>
  <c r="B55" i="2" s="1"/>
  <c r="B62" i="2"/>
  <c r="B20" i="5"/>
  <c r="B14" i="2"/>
  <c r="B156" i="2"/>
  <c r="B162" i="2" s="1"/>
  <c r="B42" i="2"/>
  <c r="B168" i="2"/>
  <c r="B57" i="2"/>
  <c r="B70" i="5"/>
  <c r="O12" i="4"/>
  <c r="B248" i="2"/>
  <c r="B17" i="5"/>
  <c r="B197" i="2"/>
  <c r="B198" i="2" s="1"/>
  <c r="B206" i="2" s="1"/>
  <c r="B117" i="2"/>
  <c r="H41" i="1" s="1"/>
  <c r="B15" i="2"/>
  <c r="B42" i="5"/>
  <c r="B65" i="2"/>
  <c r="B73" i="2"/>
  <c r="B35" i="2"/>
  <c r="B36" i="2" s="1"/>
  <c r="B40" i="2"/>
  <c r="B107" i="2"/>
  <c r="B266" i="2"/>
  <c r="B43" i="2" l="1"/>
  <c r="B45" i="2" s="1"/>
  <c r="H22" i="1" s="1"/>
  <c r="B104" i="2"/>
  <c r="B105" i="2" s="1"/>
  <c r="B63" i="2"/>
  <c r="K93" i="2"/>
  <c r="B204" i="2"/>
  <c r="B201" i="2"/>
  <c r="B202" i="2" s="1"/>
  <c r="B56" i="2"/>
  <c r="B94" i="2"/>
  <c r="B83" i="2"/>
  <c r="B58" i="2"/>
  <c r="B109" i="2" s="1"/>
  <c r="B196" i="2"/>
  <c r="B72" i="2"/>
  <c r="B95" i="2"/>
  <c r="B74" i="2"/>
  <c r="B75" i="2" s="1"/>
  <c r="AW10" i="5"/>
  <c r="AZ10" i="5"/>
  <c r="AT10" i="5"/>
  <c r="T10" i="5"/>
  <c r="AJ10" i="5"/>
  <c r="Z10" i="5"/>
  <c r="B43" i="5"/>
  <c r="W231" i="5"/>
  <c r="W249" i="5"/>
  <c r="W400" i="5"/>
  <c r="W436" i="5"/>
  <c r="W148" i="5"/>
  <c r="W20" i="5"/>
  <c r="W376" i="5"/>
  <c r="W410" i="5"/>
  <c r="W499" i="5"/>
  <c r="W109" i="5"/>
  <c r="W501" i="5"/>
  <c r="W262" i="5"/>
  <c r="W416" i="5"/>
  <c r="W83" i="5"/>
  <c r="W23" i="5"/>
  <c r="W511" i="5"/>
  <c r="W168" i="5"/>
  <c r="W317" i="5"/>
  <c r="W151" i="5"/>
  <c r="W212" i="5"/>
  <c r="W229" i="5"/>
  <c r="W541" i="5"/>
  <c r="W388" i="5"/>
  <c r="W305" i="5"/>
  <c r="W466" i="5"/>
  <c r="W381" i="5"/>
  <c r="W343" i="5"/>
  <c r="W239" i="5"/>
  <c r="W89" i="5"/>
  <c r="W115" i="5"/>
  <c r="W187" i="5"/>
  <c r="W497" i="5"/>
  <c r="W140" i="5"/>
  <c r="W253" i="5"/>
  <c r="W179" i="5"/>
  <c r="W207" i="5"/>
  <c r="W379" i="5"/>
  <c r="W217" i="5"/>
  <c r="W10" i="5"/>
  <c r="W293" i="5"/>
  <c r="W413" i="5"/>
  <c r="W415" i="5"/>
  <c r="W418" i="5"/>
  <c r="W297" i="5"/>
  <c r="W160" i="5"/>
  <c r="W110" i="5"/>
  <c r="W180" i="5"/>
  <c r="W144" i="5"/>
  <c r="W339" i="5"/>
  <c r="W36" i="5"/>
  <c r="W480" i="5"/>
  <c r="W42" i="5"/>
  <c r="W311" i="5"/>
  <c r="W198" i="5"/>
  <c r="W101" i="5"/>
  <c r="W422" i="5"/>
  <c r="W485" i="5"/>
  <c r="W30" i="5"/>
  <c r="W19" i="5"/>
  <c r="W552" i="5"/>
  <c r="W348" i="5"/>
  <c r="W166" i="5"/>
  <c r="W215" i="5"/>
  <c r="W414" i="5"/>
  <c r="W246" i="5"/>
  <c r="W121" i="5"/>
  <c r="W368" i="5"/>
  <c r="W84" i="5"/>
  <c r="W200" i="5"/>
  <c r="W393" i="5"/>
  <c r="W173" i="5"/>
  <c r="W443" i="5"/>
  <c r="W74" i="5"/>
  <c r="W296" i="5"/>
  <c r="W267" i="5"/>
  <c r="W133" i="5"/>
  <c r="W334" i="5"/>
  <c r="W25" i="5"/>
  <c r="W165" i="5"/>
  <c r="W142" i="5"/>
  <c r="W437" i="5"/>
  <c r="W295" i="5"/>
  <c r="W369" i="5"/>
  <c r="W278" i="5"/>
  <c r="W92" i="5"/>
  <c r="W482" i="5"/>
  <c r="W105" i="5"/>
  <c r="W351" i="5"/>
  <c r="W208" i="5"/>
  <c r="W507" i="5"/>
  <c r="W233" i="5"/>
  <c r="W438" i="5"/>
  <c r="W221" i="5"/>
  <c r="W395" i="5"/>
  <c r="W98" i="5"/>
  <c r="W52" i="5"/>
  <c r="W269" i="5"/>
  <c r="W209" i="5"/>
  <c r="W122" i="5"/>
  <c r="W540" i="5"/>
  <c r="W145" i="5"/>
  <c r="W440" i="5"/>
  <c r="W237" i="5"/>
  <c r="W314" i="5"/>
  <c r="W301" i="5"/>
  <c r="W352" i="5"/>
  <c r="W548" i="5"/>
  <c r="W412" i="5"/>
  <c r="W177" i="5"/>
  <c r="W248" i="5"/>
  <c r="W93" i="5"/>
  <c r="W327" i="5"/>
  <c r="W34" i="5"/>
  <c r="W555" i="5"/>
  <c r="W522" i="5"/>
  <c r="W409" i="5"/>
  <c r="W199" i="5"/>
  <c r="W335" i="5"/>
  <c r="W329" i="5"/>
  <c r="W473" i="5"/>
  <c r="W312" i="5"/>
  <c r="W238" i="5"/>
  <c r="W150" i="5"/>
  <c r="W380" i="5"/>
  <c r="W322" i="5"/>
  <c r="W331" i="5"/>
  <c r="W255" i="5"/>
  <c r="W474" i="5"/>
  <c r="W29" i="5"/>
  <c r="W556" i="5"/>
  <c r="W386" i="5"/>
  <c r="W375" i="5"/>
  <c r="W471" i="5"/>
  <c r="W80" i="5"/>
  <c r="W515" i="5"/>
  <c r="W87" i="5"/>
  <c r="W472" i="5"/>
  <c r="W496" i="5"/>
  <c r="W226" i="5"/>
  <c r="W508" i="5"/>
  <c r="W408" i="5"/>
  <c r="W65" i="5"/>
  <c r="W519" i="5"/>
  <c r="W182" i="5"/>
  <c r="W542" i="5"/>
  <c r="W433" i="5"/>
  <c r="W28" i="5"/>
  <c r="W154" i="5"/>
  <c r="W38" i="5"/>
  <c r="W242" i="5"/>
  <c r="W169" i="5"/>
  <c r="W90" i="5"/>
  <c r="W68" i="5"/>
  <c r="W271" i="5"/>
  <c r="W40" i="5"/>
  <c r="W423" i="5"/>
  <c r="W385" i="5"/>
  <c r="W315" i="5"/>
  <c r="W323" i="5"/>
  <c r="W453" i="5"/>
  <c r="W359" i="5"/>
  <c r="W69" i="5"/>
  <c r="W94" i="5"/>
  <c r="W537" i="5"/>
  <c r="W491" i="5"/>
  <c r="W70" i="5"/>
  <c r="W425" i="5"/>
  <c r="W158" i="5"/>
  <c r="W178" i="5"/>
  <c r="W476" i="5"/>
  <c r="W203" i="5"/>
  <c r="W44" i="5"/>
  <c r="W294" i="5"/>
  <c r="W60" i="5"/>
  <c r="W131" i="5"/>
  <c r="W454" i="5"/>
  <c r="W75" i="5"/>
  <c r="W426" i="5"/>
  <c r="W172" i="5"/>
  <c r="W256" i="5"/>
  <c r="W326" i="5"/>
  <c r="W553" i="5"/>
  <c r="W447" i="5"/>
  <c r="W434" i="5"/>
  <c r="W467" i="5"/>
  <c r="W37" i="5"/>
  <c r="W464" i="5"/>
  <c r="W358" i="5"/>
  <c r="W228" i="5"/>
  <c r="W300" i="5"/>
  <c r="W407" i="5"/>
  <c r="W486" i="5"/>
  <c r="W350" i="5"/>
  <c r="W549" i="5"/>
  <c r="W536" i="5"/>
  <c r="W117" i="5"/>
  <c r="W390" i="5"/>
  <c r="W214" i="5"/>
  <c r="W399" i="5"/>
  <c r="W371" i="5"/>
  <c r="W273" i="5"/>
  <c r="W492" i="5"/>
  <c r="W532" i="5"/>
  <c r="W204" i="5"/>
  <c r="W136" i="5"/>
  <c r="W243" i="5"/>
  <c r="W95" i="5"/>
  <c r="W216" i="5"/>
  <c r="W282" i="5"/>
  <c r="W302" i="5"/>
  <c r="W279" i="5"/>
  <c r="W31" i="5"/>
  <c r="W543" i="5"/>
  <c r="W106" i="5"/>
  <c r="W251" i="5"/>
  <c r="W245" i="5"/>
  <c r="W506" i="5"/>
  <c r="W505" i="5"/>
  <c r="W502" i="5"/>
  <c r="W235" i="5"/>
  <c r="W62" i="5"/>
  <c r="W224" i="5"/>
  <c r="W487" i="5"/>
  <c r="W47" i="5"/>
  <c r="W382" i="5"/>
  <c r="W220" i="5"/>
  <c r="W35" i="5"/>
  <c r="W420" i="5"/>
  <c r="W266" i="5"/>
  <c r="W394" i="5"/>
  <c r="W364" i="5"/>
  <c r="W435" i="5"/>
  <c r="W164" i="5"/>
  <c r="W114" i="5"/>
  <c r="W392" i="5"/>
  <c r="W465" i="5"/>
  <c r="W59" i="5"/>
  <c r="W349" i="5"/>
  <c r="W211" i="5"/>
  <c r="W167" i="5"/>
  <c r="W138" i="5"/>
  <c r="W504" i="5"/>
  <c r="W257" i="5"/>
  <c r="W247" i="5"/>
  <c r="W517" i="5"/>
  <c r="W461" i="5"/>
  <c r="W360" i="5"/>
  <c r="W64" i="5"/>
  <c r="W123" i="5"/>
  <c r="W298" i="5"/>
  <c r="W141" i="5"/>
  <c r="W307" i="5"/>
  <c r="W325" i="5"/>
  <c r="W452" i="5"/>
  <c r="W32" i="5"/>
  <c r="W442" i="5"/>
  <c r="W469" i="5"/>
  <c r="W196" i="5"/>
  <c r="W367" i="5"/>
  <c r="W459" i="5"/>
  <c r="W421" i="5"/>
  <c r="W281" i="5"/>
  <c r="W355" i="5"/>
  <c r="W85" i="5"/>
  <c r="W139" i="5"/>
  <c r="W76" i="5"/>
  <c r="W526" i="5"/>
  <c r="W309" i="5"/>
  <c r="W468" i="5"/>
  <c r="W191" i="5"/>
  <c r="W176" i="5"/>
  <c r="W265" i="5"/>
  <c r="W374" i="5"/>
  <c r="W332" i="5"/>
  <c r="W272" i="5"/>
  <c r="W346" i="5"/>
  <c r="W67" i="5"/>
  <c r="W481" i="5"/>
  <c r="W450" i="5"/>
  <c r="W488" i="5"/>
  <c r="W189" i="5"/>
  <c r="W119" i="5"/>
  <c r="W197" i="5"/>
  <c r="W304" i="5"/>
  <c r="W299" i="5"/>
  <c r="W558" i="5"/>
  <c r="W268" i="5"/>
  <c r="W88" i="5"/>
  <c r="W523" i="5"/>
  <c r="W503" i="5"/>
  <c r="W303" i="5"/>
  <c r="W403" i="5"/>
  <c r="W475" i="5"/>
  <c r="W157" i="5"/>
  <c r="W50" i="5"/>
  <c r="W71" i="5"/>
  <c r="W56" i="5"/>
  <c r="W338" i="5"/>
  <c r="W186" i="5"/>
  <c r="W125" i="5"/>
  <c r="W354" i="5"/>
  <c r="W545" i="5"/>
  <c r="W111" i="5"/>
  <c r="W306" i="5"/>
  <c r="W33" i="5"/>
  <c r="W223" i="5"/>
  <c r="W534" i="5"/>
  <c r="W328" i="5"/>
  <c r="W82" i="5"/>
  <c r="W455" i="5"/>
  <c r="W49" i="5"/>
  <c r="W366" i="5"/>
  <c r="W183" i="5"/>
  <c r="W318" i="5"/>
  <c r="W533" i="5"/>
  <c r="W39" i="5"/>
  <c r="W495" i="5"/>
  <c r="W361" i="5"/>
  <c r="W402" i="5"/>
  <c r="W73" i="5"/>
  <c r="W405" i="5"/>
  <c r="W554" i="5"/>
  <c r="W58" i="5"/>
  <c r="W21" i="5"/>
  <c r="W97" i="5"/>
  <c r="W149" i="5"/>
  <c r="W347" i="5"/>
  <c r="W383" i="5"/>
  <c r="W451" i="5"/>
  <c r="W518" i="5"/>
  <c r="W406" i="5"/>
  <c r="W557" i="5"/>
  <c r="W462" i="5"/>
  <c r="W330" i="5"/>
  <c r="W100" i="5"/>
  <c r="W477" i="5"/>
  <c r="W108" i="5"/>
  <c r="W241" i="5"/>
  <c r="W77" i="5"/>
  <c r="W286" i="5"/>
  <c r="W490" i="5"/>
  <c r="W547" i="5"/>
  <c r="W458" i="5"/>
  <c r="W377" i="5"/>
  <c r="W72" i="5"/>
  <c r="W550" i="5"/>
  <c r="W512" i="5"/>
  <c r="W146" i="5"/>
  <c r="W270" i="5"/>
  <c r="W290" i="5"/>
  <c r="W531" i="5"/>
  <c r="W86" i="5"/>
  <c r="W161" i="5"/>
  <c r="W484" i="5"/>
  <c r="W356" i="5"/>
  <c r="W45" i="5"/>
  <c r="W539" i="5"/>
  <c r="W538" i="5"/>
  <c r="W316" i="5"/>
  <c r="W171" i="5"/>
  <c r="W24" i="5"/>
  <c r="W521" i="5"/>
  <c r="W446" i="5"/>
  <c r="W320" i="5"/>
  <c r="W510" i="5"/>
  <c r="W276" i="5"/>
  <c r="W46" i="5"/>
  <c r="W353" i="5"/>
  <c r="W188" i="5"/>
  <c r="W373" i="5"/>
  <c r="W513" i="5"/>
  <c r="W130" i="5"/>
  <c r="W127" i="5"/>
  <c r="W254" i="5"/>
  <c r="W288" i="5"/>
  <c r="W365" i="5"/>
  <c r="W193" i="5"/>
  <c r="W8" i="5"/>
  <c r="W258" i="5"/>
  <c r="W184" i="5"/>
  <c r="W509" i="5"/>
  <c r="W192" i="5"/>
  <c r="W124" i="5"/>
  <c r="W259" i="5"/>
  <c r="W551" i="5"/>
  <c r="W524" i="5"/>
  <c r="W389" i="5"/>
  <c r="W274" i="5"/>
  <c r="W120" i="5"/>
  <c r="W126" i="5"/>
  <c r="W12" i="5"/>
  <c r="W319" i="5"/>
  <c r="W457" i="5"/>
  <c r="W396" i="5"/>
  <c r="W53" i="5"/>
  <c r="W205" i="5"/>
  <c r="W445" i="5"/>
  <c r="W357" i="5"/>
  <c r="W287" i="5"/>
  <c r="W341" i="5"/>
  <c r="W308" i="5"/>
  <c r="W285" i="5"/>
  <c r="W345" i="5"/>
  <c r="W283" i="5"/>
  <c r="W61" i="5"/>
  <c r="W559" i="5"/>
  <c r="W132" i="5"/>
  <c r="W498" i="5"/>
  <c r="W63" i="5"/>
  <c r="W54" i="5"/>
  <c r="W181" i="5"/>
  <c r="W419" i="5"/>
  <c r="W48" i="5"/>
  <c r="W560" i="5"/>
  <c r="W91" i="5"/>
  <c r="W155" i="5"/>
  <c r="W222" i="5"/>
  <c r="W234" i="5"/>
  <c r="W170" i="5"/>
  <c r="W516" i="5"/>
  <c r="W236" i="5"/>
  <c r="W147" i="5"/>
  <c r="W444" i="5"/>
  <c r="W493" i="5"/>
  <c r="W252" i="5"/>
  <c r="W227" i="5"/>
  <c r="W225" i="5"/>
  <c r="W143" i="5"/>
  <c r="W194" i="5"/>
  <c r="W479" i="5"/>
  <c r="W404" i="5"/>
  <c r="W372" i="5"/>
  <c r="W441" i="5"/>
  <c r="W41" i="5"/>
  <c r="W213" i="5"/>
  <c r="W280" i="5"/>
  <c r="W162" i="5"/>
  <c r="W128" i="5"/>
  <c r="W107" i="5"/>
  <c r="W275" i="5"/>
  <c r="W134" i="5"/>
  <c r="W201" i="5"/>
  <c r="W514" i="5"/>
  <c r="W546" i="5"/>
  <c r="W470" i="5"/>
  <c r="W277" i="5"/>
  <c r="W289" i="5"/>
  <c r="W378" i="5"/>
  <c r="W432" i="5"/>
  <c r="W99" i="5"/>
  <c r="W51" i="5"/>
  <c r="W118" i="5"/>
  <c r="W78" i="5"/>
  <c r="W324" i="5"/>
  <c r="W460" i="5"/>
  <c r="W219" i="5"/>
  <c r="W313" i="5"/>
  <c r="W113" i="5"/>
  <c r="W363" i="5"/>
  <c r="W195" i="5"/>
  <c r="W528" i="5"/>
  <c r="W57" i="5"/>
  <c r="W103" i="5"/>
  <c r="W337" i="5"/>
  <c r="W244" i="5"/>
  <c r="W163" i="5"/>
  <c r="W439" i="5"/>
  <c r="W384" i="5"/>
  <c r="W342" i="5"/>
  <c r="W529" i="5"/>
  <c r="W431" i="5"/>
  <c r="W417" i="5"/>
  <c r="W478" i="5"/>
  <c r="W260" i="5"/>
  <c r="W261" i="5"/>
  <c r="W210" i="5"/>
  <c r="W153" i="5"/>
  <c r="W291" i="5"/>
  <c r="W500" i="5"/>
  <c r="W55" i="5"/>
  <c r="W530" i="5"/>
  <c r="W430" i="5"/>
  <c r="W232" i="5"/>
  <c r="W520" i="5"/>
  <c r="W240" i="5"/>
  <c r="W174" i="5"/>
  <c r="W340" i="5"/>
  <c r="W190" i="5"/>
  <c r="W387" i="5"/>
  <c r="W43" i="5"/>
  <c r="W250" i="5"/>
  <c r="W27" i="5"/>
  <c r="W401" i="5"/>
  <c r="W333" i="5"/>
  <c r="W81" i="5"/>
  <c r="W427" i="5"/>
  <c r="W292" i="5"/>
  <c r="W456" i="5"/>
  <c r="W397" i="5"/>
  <c r="W129" i="5"/>
  <c r="W230" i="5"/>
  <c r="W489" i="5"/>
  <c r="W66" i="5"/>
  <c r="W362" i="5"/>
  <c r="W535" i="5"/>
  <c r="W424" i="5"/>
  <c r="W483" i="5"/>
  <c r="W391" i="5"/>
  <c r="W104" i="5"/>
  <c r="W22" i="5"/>
  <c r="W398" i="5"/>
  <c r="W159" i="5"/>
  <c r="W218" i="5"/>
  <c r="W202" i="5"/>
  <c r="W544" i="5"/>
  <c r="W429" i="5"/>
  <c r="W137" i="5"/>
  <c r="W449" i="5"/>
  <c r="W116" i="5"/>
  <c r="W96" i="5"/>
  <c r="W206" i="5"/>
  <c r="W264" i="5"/>
  <c r="W411" i="5"/>
  <c r="W102" i="5"/>
  <c r="W152" i="5"/>
  <c r="W525" i="5"/>
  <c r="W527" i="5"/>
  <c r="W284" i="5"/>
  <c r="W13" i="5"/>
  <c r="W336" i="5"/>
  <c r="W112" i="5"/>
  <c r="W321" i="5"/>
  <c r="W370" i="5"/>
  <c r="W310" i="5"/>
  <c r="W156" i="5"/>
  <c r="W263" i="5"/>
  <c r="W463" i="5"/>
  <c r="W428" i="5"/>
  <c r="W175" i="5"/>
  <c r="W79" i="5"/>
  <c r="W494" i="5"/>
  <c r="W448" i="5"/>
  <c r="W135" i="5"/>
  <c r="W26" i="5"/>
  <c r="W344" i="5"/>
  <c r="W185" i="5"/>
  <c r="B211" i="2"/>
  <c r="B216" i="2" s="1"/>
  <c r="B77" i="5"/>
  <c r="B72" i="5"/>
  <c r="B160" i="2"/>
  <c r="P7" i="5" s="1"/>
  <c r="B36" i="5"/>
  <c r="B73" i="5"/>
  <c r="B112" i="2"/>
  <c r="S21" i="4"/>
  <c r="V21" i="4" s="1"/>
  <c r="S61" i="4"/>
  <c r="V61" i="4" s="1"/>
  <c r="S142" i="4"/>
  <c r="V142" i="4" s="1"/>
  <c r="S9" i="4"/>
  <c r="V9" i="4" s="1"/>
  <c r="S12" i="4"/>
  <c r="V12" i="4" s="1"/>
  <c r="S154" i="4"/>
  <c r="V154" i="4" s="1"/>
  <c r="S80" i="4"/>
  <c r="V80" i="4" s="1"/>
  <c r="S25" i="4"/>
  <c r="V25" i="4" s="1"/>
  <c r="S103" i="4"/>
  <c r="V103" i="4" s="1"/>
  <c r="S67" i="4"/>
  <c r="V67" i="4" s="1"/>
  <c r="S150" i="4"/>
  <c r="V150" i="4" s="1"/>
  <c r="S39" i="4"/>
  <c r="V39" i="4" s="1"/>
  <c r="S71" i="4"/>
  <c r="V71" i="4" s="1"/>
  <c r="S36" i="4"/>
  <c r="V36" i="4" s="1"/>
  <c r="S54" i="4"/>
  <c r="V54" i="4" s="1"/>
  <c r="S95" i="4"/>
  <c r="V95" i="4" s="1"/>
  <c r="S19" i="4"/>
  <c r="V19" i="4" s="1"/>
  <c r="S141" i="4"/>
  <c r="V141" i="4" s="1"/>
  <c r="S57" i="4"/>
  <c r="V57" i="4" s="1"/>
  <c r="S108" i="4"/>
  <c r="V108" i="4" s="1"/>
  <c r="S49" i="4"/>
  <c r="V49" i="4" s="1"/>
  <c r="S143" i="4"/>
  <c r="V143" i="4" s="1"/>
  <c r="S138" i="4"/>
  <c r="V138" i="4" s="1"/>
  <c r="S62" i="4"/>
  <c r="V62" i="4" s="1"/>
  <c r="S111" i="4"/>
  <c r="V111" i="4" s="1"/>
  <c r="S31" i="4"/>
  <c r="V31" i="4" s="1"/>
  <c r="S70" i="4"/>
  <c r="V70" i="4" s="1"/>
  <c r="S102" i="4"/>
  <c r="V102" i="4" s="1"/>
  <c r="S157" i="4"/>
  <c r="V157" i="4" s="1"/>
  <c r="S14" i="4"/>
  <c r="V14" i="4" s="1"/>
  <c r="S51" i="4"/>
  <c r="V51" i="4" s="1"/>
  <c r="S28" i="4"/>
  <c r="V28" i="4" s="1"/>
  <c r="S13" i="4"/>
  <c r="V13" i="4" s="1"/>
  <c r="S33" i="4"/>
  <c r="V33" i="4" s="1"/>
  <c r="S148" i="4"/>
  <c r="V148" i="4" s="1"/>
  <c r="S46" i="4"/>
  <c r="V46" i="4" s="1"/>
  <c r="S155" i="4"/>
  <c r="V155" i="4" s="1"/>
  <c r="S52" i="4"/>
  <c r="V52" i="4" s="1"/>
  <c r="S10" i="4"/>
  <c r="V10" i="4" s="1"/>
  <c r="S56" i="4"/>
  <c r="V56" i="4" s="1"/>
  <c r="S92" i="4"/>
  <c r="V92" i="4" s="1"/>
  <c r="S145" i="4"/>
  <c r="V145" i="4" s="1"/>
  <c r="S84" i="4"/>
  <c r="V84" i="4" s="1"/>
  <c r="S50" i="4"/>
  <c r="V50" i="4" s="1"/>
  <c r="S73" i="4"/>
  <c r="V73" i="4" s="1"/>
  <c r="S101" i="4"/>
  <c r="V101" i="4" s="1"/>
  <c r="S24" i="4"/>
  <c r="V24" i="4" s="1"/>
  <c r="S68" i="4"/>
  <c r="V68" i="4" s="1"/>
  <c r="S133" i="4"/>
  <c r="V133" i="4" s="1"/>
  <c r="S117" i="4"/>
  <c r="V117" i="4" s="1"/>
  <c r="S144" i="4"/>
  <c r="V144" i="4" s="1"/>
  <c r="S96" i="4"/>
  <c r="V96" i="4" s="1"/>
  <c r="S152" i="4"/>
  <c r="V152" i="4" s="1"/>
  <c r="S44" i="4"/>
  <c r="V44" i="4" s="1"/>
  <c r="S35" i="4"/>
  <c r="V35" i="4" s="1"/>
  <c r="S37" i="4"/>
  <c r="V37" i="4" s="1"/>
  <c r="S38" i="4"/>
  <c r="V38" i="4" s="1"/>
  <c r="S17" i="4"/>
  <c r="V17" i="4" s="1"/>
  <c r="S128" i="4"/>
  <c r="V128" i="4" s="1"/>
  <c r="S48" i="4"/>
  <c r="V48" i="4" s="1"/>
  <c r="S124" i="4"/>
  <c r="V124" i="4" s="1"/>
  <c r="S93" i="4"/>
  <c r="V93" i="4" s="1"/>
  <c r="S118" i="4"/>
  <c r="V118" i="4" s="1"/>
  <c r="S41" i="4"/>
  <c r="V41" i="4" s="1"/>
  <c r="S75" i="4"/>
  <c r="V75" i="4" s="1"/>
  <c r="S7" i="4"/>
  <c r="V7" i="4" s="1"/>
  <c r="S106" i="4"/>
  <c r="V106" i="4" s="1"/>
  <c r="S83" i="4"/>
  <c r="V83" i="4" s="1"/>
  <c r="S26" i="4"/>
  <c r="V26" i="4" s="1"/>
  <c r="S30" i="4"/>
  <c r="V30" i="4" s="1"/>
  <c r="S97" i="4"/>
  <c r="V97" i="4" s="1"/>
  <c r="S76" i="4"/>
  <c r="V76" i="4" s="1"/>
  <c r="S127" i="4"/>
  <c r="V127" i="4" s="1"/>
  <c r="S132" i="4"/>
  <c r="V132" i="4" s="1"/>
  <c r="S88" i="4"/>
  <c r="V88" i="4" s="1"/>
  <c r="S34" i="4"/>
  <c r="V34" i="4" s="1"/>
  <c r="S110" i="4"/>
  <c r="V110" i="4" s="1"/>
  <c r="S59" i="4"/>
  <c r="V59" i="4" s="1"/>
  <c r="S114" i="4"/>
  <c r="V114" i="4" s="1"/>
  <c r="S53" i="4"/>
  <c r="V53" i="4" s="1"/>
  <c r="S18" i="4"/>
  <c r="V18" i="4" s="1"/>
  <c r="S42" i="4"/>
  <c r="V42" i="4" s="1"/>
  <c r="S140" i="4"/>
  <c r="V140" i="4" s="1"/>
  <c r="S113" i="4"/>
  <c r="V113" i="4" s="1"/>
  <c r="S123" i="4"/>
  <c r="V123" i="4" s="1"/>
  <c r="S15" i="4"/>
  <c r="V15" i="4" s="1"/>
  <c r="S69" i="4"/>
  <c r="V69" i="4" s="1"/>
  <c r="S87" i="4"/>
  <c r="V87" i="4" s="1"/>
  <c r="S156" i="4"/>
  <c r="V156" i="4" s="1"/>
  <c r="S94" i="4"/>
  <c r="V94" i="4" s="1"/>
  <c r="S20" i="4"/>
  <c r="V20" i="4" s="1"/>
  <c r="S109" i="4"/>
  <c r="V109" i="4" s="1"/>
  <c r="S60" i="4"/>
  <c r="V60" i="4" s="1"/>
  <c r="S86" i="4"/>
  <c r="V86" i="4" s="1"/>
  <c r="S27" i="4"/>
  <c r="V27" i="4" s="1"/>
  <c r="S91" i="4"/>
  <c r="V91" i="4" s="1"/>
  <c r="S77" i="4"/>
  <c r="V77" i="4" s="1"/>
  <c r="S8" i="4"/>
  <c r="V8" i="4" s="1"/>
  <c r="S135" i="4"/>
  <c r="V135" i="4" s="1"/>
  <c r="S136" i="4"/>
  <c r="V136" i="4" s="1"/>
  <c r="S58" i="4"/>
  <c r="V58" i="4" s="1"/>
  <c r="S120" i="4"/>
  <c r="V120" i="4" s="1"/>
  <c r="S47" i="4"/>
  <c r="V47" i="4" s="1"/>
  <c r="S151" i="4"/>
  <c r="V151" i="4" s="1"/>
  <c r="S40" i="4"/>
  <c r="V40" i="4" s="1"/>
  <c r="S32" i="4"/>
  <c r="V32" i="4" s="1"/>
  <c r="S55" i="4"/>
  <c r="V55" i="4" s="1"/>
  <c r="S89" i="4"/>
  <c r="V89" i="4" s="1"/>
  <c r="S153" i="4"/>
  <c r="V153" i="4" s="1"/>
  <c r="S121" i="4"/>
  <c r="V121" i="4" s="1"/>
  <c r="S104" i="4"/>
  <c r="V104" i="4" s="1"/>
  <c r="S129" i="4"/>
  <c r="V129" i="4" s="1"/>
  <c r="S22" i="4"/>
  <c r="V22" i="4" s="1"/>
  <c r="S90" i="4"/>
  <c r="V90" i="4" s="1"/>
  <c r="S105" i="4"/>
  <c r="V105" i="4" s="1"/>
  <c r="S122" i="4"/>
  <c r="V122" i="4" s="1"/>
  <c r="S149" i="4"/>
  <c r="V149" i="4" s="1"/>
  <c r="S147" i="4"/>
  <c r="V147" i="4" s="1"/>
  <c r="S78" i="4"/>
  <c r="V78" i="4" s="1"/>
  <c r="S98" i="4"/>
  <c r="V98" i="4" s="1"/>
  <c r="S125" i="4"/>
  <c r="V125" i="4" s="1"/>
  <c r="S72" i="4"/>
  <c r="V72" i="4" s="1"/>
  <c r="S16" i="4"/>
  <c r="V16" i="4" s="1"/>
  <c r="S29" i="4"/>
  <c r="V29" i="4" s="1"/>
  <c r="S66" i="4"/>
  <c r="V66" i="4" s="1"/>
  <c r="S126" i="4"/>
  <c r="V126" i="4" s="1"/>
  <c r="S82" i="4"/>
  <c r="V82" i="4" s="1"/>
  <c r="S64" i="4"/>
  <c r="V64" i="4" s="1"/>
  <c r="S115" i="4"/>
  <c r="V115" i="4" s="1"/>
  <c r="S45" i="4"/>
  <c r="V45" i="4" s="1"/>
  <c r="S130" i="4"/>
  <c r="V130" i="4" s="1"/>
  <c r="S99" i="4"/>
  <c r="V99" i="4" s="1"/>
  <c r="S23" i="4"/>
  <c r="V23" i="4" s="1"/>
  <c r="S116" i="4"/>
  <c r="V116" i="4" s="1"/>
  <c r="S139" i="4"/>
  <c r="V139" i="4" s="1"/>
  <c r="S146" i="4"/>
  <c r="V146" i="4" s="1"/>
  <c r="S134" i="4"/>
  <c r="V134" i="4" s="1"/>
  <c r="S81" i="4"/>
  <c r="V81" i="4" s="1"/>
  <c r="S43" i="4"/>
  <c r="V43" i="4" s="1"/>
  <c r="S79" i="4"/>
  <c r="V79" i="4" s="1"/>
  <c r="S112" i="4"/>
  <c r="V112" i="4" s="1"/>
  <c r="S137" i="4"/>
  <c r="V137" i="4" s="1"/>
  <c r="S100" i="4"/>
  <c r="V100" i="4" s="1"/>
  <c r="S65" i="4"/>
  <c r="V65" i="4" s="1"/>
  <c r="S11" i="4"/>
  <c r="V11" i="4" s="1"/>
  <c r="S107" i="4"/>
  <c r="V107" i="4" s="1"/>
  <c r="S119" i="4"/>
  <c r="V119" i="4" s="1"/>
  <c r="S85" i="4"/>
  <c r="V85" i="4" s="1"/>
  <c r="S131" i="4"/>
  <c r="V131" i="4" s="1"/>
  <c r="S74" i="4"/>
  <c r="V74" i="4" s="1"/>
  <c r="S63" i="4"/>
  <c r="V63" i="4" s="1"/>
  <c r="B268" i="2"/>
  <c r="B267" i="2"/>
  <c r="B249" i="2"/>
  <c r="B250" i="2"/>
  <c r="B169" i="2"/>
  <c r="W7" i="5"/>
  <c r="Q7" i="5"/>
  <c r="B163" i="2"/>
  <c r="B181" i="2" s="1"/>
  <c r="B108" i="2" l="1"/>
  <c r="H36" i="1" s="1"/>
  <c r="B59" i="2"/>
  <c r="H25" i="1" s="1"/>
  <c r="W79" i="4"/>
  <c r="AM79" i="4"/>
  <c r="W64" i="4"/>
  <c r="Y64" i="4" s="1"/>
  <c r="AR64" i="4" s="1"/>
  <c r="AM64" i="4"/>
  <c r="AM122" i="4"/>
  <c r="W122" i="4"/>
  <c r="AM151" i="4"/>
  <c r="W151" i="4"/>
  <c r="W109" i="4"/>
  <c r="AM109" i="4"/>
  <c r="W53" i="4"/>
  <c r="Y53" i="4" s="1"/>
  <c r="AR53" i="4" s="1"/>
  <c r="AM53" i="4"/>
  <c r="AM83" i="4"/>
  <c r="W83" i="4"/>
  <c r="Y83" i="4" s="1"/>
  <c r="AR83" i="4" s="1"/>
  <c r="W37" i="4"/>
  <c r="Y37" i="4" s="1"/>
  <c r="AR37" i="4" s="1"/>
  <c r="AM37" i="4"/>
  <c r="W50" i="4"/>
  <c r="Y50" i="4" s="1"/>
  <c r="AR50" i="4" s="1"/>
  <c r="AM50" i="4"/>
  <c r="AM28" i="4"/>
  <c r="W28" i="4"/>
  <c r="Y28" i="4" s="1"/>
  <c r="AR28" i="4" s="1"/>
  <c r="W108" i="4"/>
  <c r="AM108" i="4"/>
  <c r="W25" i="4"/>
  <c r="Y25" i="4" s="1"/>
  <c r="AR25" i="4" s="1"/>
  <c r="AM25" i="4"/>
  <c r="W63" i="4"/>
  <c r="AM63" i="4"/>
  <c r="AM119" i="4"/>
  <c r="W119" i="4"/>
  <c r="Y119" i="4" s="1"/>
  <c r="AR119" i="4" s="1"/>
  <c r="AM139" i="4"/>
  <c r="W139" i="4"/>
  <c r="Y139" i="4" s="1"/>
  <c r="AR139" i="4" s="1"/>
  <c r="W16" i="4"/>
  <c r="Y16" i="4" s="1"/>
  <c r="AR16" i="4" s="1"/>
  <c r="AM16" i="4"/>
  <c r="W104" i="4"/>
  <c r="Y104" i="4" s="1"/>
  <c r="AR104" i="4" s="1"/>
  <c r="AM104" i="4"/>
  <c r="AM135" i="4"/>
  <c r="W135" i="4"/>
  <c r="AM69" i="4"/>
  <c r="W69" i="4"/>
  <c r="W88" i="4"/>
  <c r="Y88" i="4" s="1"/>
  <c r="AR88" i="4" s="1"/>
  <c r="AM88" i="4"/>
  <c r="AM97" i="4"/>
  <c r="W97" i="4"/>
  <c r="AM128" i="4"/>
  <c r="W128" i="4"/>
  <c r="W24" i="4"/>
  <c r="Y24" i="4" s="1"/>
  <c r="AR24" i="4" s="1"/>
  <c r="AM24" i="4"/>
  <c r="AM148" i="4"/>
  <c r="W148" i="4"/>
  <c r="W138" i="4"/>
  <c r="Y138" i="4" s="1"/>
  <c r="AR138" i="4" s="1"/>
  <c r="AM138" i="4"/>
  <c r="W150" i="4"/>
  <c r="Y150" i="4" s="1"/>
  <c r="AR150" i="4" s="1"/>
  <c r="AM150" i="4"/>
  <c r="AM80" i="4"/>
  <c r="W80" i="4"/>
  <c r="Y80" i="4" s="1"/>
  <c r="AR80" i="4" s="1"/>
  <c r="AM74" i="4"/>
  <c r="W74" i="4"/>
  <c r="W107" i="4"/>
  <c r="Y107" i="4" s="1"/>
  <c r="AR107" i="4" s="1"/>
  <c r="AM107" i="4"/>
  <c r="W137" i="4"/>
  <c r="AM137" i="4"/>
  <c r="W81" i="4"/>
  <c r="AM81" i="4"/>
  <c r="AM116" i="4"/>
  <c r="W116" i="4"/>
  <c r="AM45" i="4"/>
  <c r="W45" i="4"/>
  <c r="Y45" i="4" s="1"/>
  <c r="AR45" i="4" s="1"/>
  <c r="W126" i="4"/>
  <c r="AM126" i="4"/>
  <c r="AM72" i="4"/>
  <c r="W72" i="4"/>
  <c r="Y72" i="4" s="1"/>
  <c r="AR72" i="4" s="1"/>
  <c r="AM147" i="4"/>
  <c r="W147" i="4"/>
  <c r="Y147" i="4" s="1"/>
  <c r="AR147" i="4" s="1"/>
  <c r="AM90" i="4"/>
  <c r="W90" i="4"/>
  <c r="W121" i="4"/>
  <c r="AM121" i="4"/>
  <c r="AM32" i="4"/>
  <c r="W32" i="4"/>
  <c r="Y32" i="4" s="1"/>
  <c r="AR32" i="4" s="1"/>
  <c r="W120" i="4"/>
  <c r="Y120" i="4" s="1"/>
  <c r="AR120" i="4" s="1"/>
  <c r="AM120" i="4"/>
  <c r="W8" i="4"/>
  <c r="Y8" i="4" s="1"/>
  <c r="AR8" i="4" s="1"/>
  <c r="AM8" i="4"/>
  <c r="AM86" i="4"/>
  <c r="W86" i="4"/>
  <c r="W94" i="4"/>
  <c r="AM94" i="4"/>
  <c r="W15" i="4"/>
  <c r="Y15" i="4" s="1"/>
  <c r="AR15" i="4" s="1"/>
  <c r="AM15" i="4"/>
  <c r="AM42" i="4"/>
  <c r="W42" i="4"/>
  <c r="Y42" i="4" s="1"/>
  <c r="AR42" i="4" s="1"/>
  <c r="W59" i="4"/>
  <c r="AM59" i="4"/>
  <c r="W132" i="4"/>
  <c r="Y132" i="4" s="1"/>
  <c r="AR132" i="4" s="1"/>
  <c r="AM132" i="4"/>
  <c r="W30" i="4"/>
  <c r="Y30" i="4" s="1"/>
  <c r="AR30" i="4" s="1"/>
  <c r="AM30" i="4"/>
  <c r="AM7" i="4"/>
  <c r="W7" i="4"/>
  <c r="Y7" i="4" s="1"/>
  <c r="AR7" i="4" s="1"/>
  <c r="AM93" i="4"/>
  <c r="W93" i="4"/>
  <c r="W17" i="4"/>
  <c r="Y17" i="4" s="1"/>
  <c r="AR17" i="4" s="1"/>
  <c r="AM17" i="4"/>
  <c r="W44" i="4"/>
  <c r="Y44" i="4" s="1"/>
  <c r="AR44" i="4" s="1"/>
  <c r="AM44" i="4"/>
  <c r="AM117" i="4"/>
  <c r="W117" i="4"/>
  <c r="AM101" i="4"/>
  <c r="W101" i="4"/>
  <c r="W145" i="4"/>
  <c r="AM145" i="4"/>
  <c r="AM52" i="4"/>
  <c r="W52" i="4"/>
  <c r="Y52" i="4" s="1"/>
  <c r="AR52" i="4" s="1"/>
  <c r="AM33" i="4"/>
  <c r="W33" i="4"/>
  <c r="Y33" i="4" s="1"/>
  <c r="AR33" i="4" s="1"/>
  <c r="AM14" i="4"/>
  <c r="W14" i="4"/>
  <c r="Y14" i="4" s="1"/>
  <c r="AR14" i="4" s="1"/>
  <c r="AM31" i="4"/>
  <c r="W31" i="4"/>
  <c r="Y31" i="4" s="1"/>
  <c r="AR31" i="4" s="1"/>
  <c r="W143" i="4"/>
  <c r="AM143" i="4"/>
  <c r="W141" i="4"/>
  <c r="AM141" i="4"/>
  <c r="AM36" i="4"/>
  <c r="W36" i="4"/>
  <c r="Y36" i="4" s="1"/>
  <c r="AR36" i="4" s="1"/>
  <c r="AM67" i="4"/>
  <c r="W67" i="4"/>
  <c r="W154" i="4"/>
  <c r="AM154" i="4"/>
  <c r="W61" i="4"/>
  <c r="AM61" i="4"/>
  <c r="AA10" i="5"/>
  <c r="AB10" i="5"/>
  <c r="BA10" i="5"/>
  <c r="BB10" i="5"/>
  <c r="H32" i="1"/>
  <c r="B97" i="2"/>
  <c r="AM85" i="4"/>
  <c r="W85" i="4"/>
  <c r="AM99" i="4"/>
  <c r="W99" i="4"/>
  <c r="Y99" i="4" s="1"/>
  <c r="AR99" i="4" s="1"/>
  <c r="W29" i="4"/>
  <c r="Y29" i="4" s="1"/>
  <c r="AR29" i="4" s="1"/>
  <c r="AM29" i="4"/>
  <c r="W89" i="4"/>
  <c r="AM89" i="4"/>
  <c r="AM91" i="4"/>
  <c r="W91" i="4"/>
  <c r="Y91" i="4" s="1"/>
  <c r="AR91" i="4" s="1"/>
  <c r="W113" i="4"/>
  <c r="AM113" i="4"/>
  <c r="AM76" i="4"/>
  <c r="W76" i="4"/>
  <c r="W41" i="4"/>
  <c r="Y41" i="4" s="1"/>
  <c r="AR41" i="4" s="1"/>
  <c r="AM41" i="4"/>
  <c r="AM96" i="4"/>
  <c r="W96" i="4"/>
  <c r="AM56" i="4"/>
  <c r="W56" i="4"/>
  <c r="AM102" i="4"/>
  <c r="W102" i="4"/>
  <c r="AM95" i="4"/>
  <c r="W95" i="4"/>
  <c r="W43" i="4"/>
  <c r="Y43" i="4" s="1"/>
  <c r="AR43" i="4" s="1"/>
  <c r="AM43" i="4"/>
  <c r="W82" i="4"/>
  <c r="AM82" i="4"/>
  <c r="AM105" i="4"/>
  <c r="W105" i="4"/>
  <c r="W47" i="4"/>
  <c r="Y47" i="4" s="1"/>
  <c r="AR47" i="4" s="1"/>
  <c r="AM47" i="4"/>
  <c r="W20" i="4"/>
  <c r="Y20" i="4" s="1"/>
  <c r="AR20" i="4" s="1"/>
  <c r="AM20" i="4"/>
  <c r="W114" i="4"/>
  <c r="AM114" i="4"/>
  <c r="AM118" i="4"/>
  <c r="W118" i="4"/>
  <c r="AM144" i="4"/>
  <c r="W144" i="4"/>
  <c r="W84" i="4"/>
  <c r="Y84" i="4" s="1"/>
  <c r="AR84" i="4" s="1"/>
  <c r="AM84" i="4"/>
  <c r="W70" i="4"/>
  <c r="Y70" i="4" s="1"/>
  <c r="AR70" i="4" s="1"/>
  <c r="AM70" i="4"/>
  <c r="AM54" i="4"/>
  <c r="W54" i="4"/>
  <c r="AM131" i="4"/>
  <c r="W131" i="4"/>
  <c r="W11" i="4"/>
  <c r="Y11" i="4" s="1"/>
  <c r="AR11" i="4" s="1"/>
  <c r="AM11" i="4"/>
  <c r="AM112" i="4"/>
  <c r="W112" i="4"/>
  <c r="W134" i="4"/>
  <c r="AM134" i="4"/>
  <c r="W23" i="4"/>
  <c r="Y23" i="4" s="1"/>
  <c r="AR23" i="4" s="1"/>
  <c r="AM23" i="4"/>
  <c r="AM115" i="4"/>
  <c r="W115" i="4"/>
  <c r="Y115" i="4" s="1"/>
  <c r="AR115" i="4" s="1"/>
  <c r="W66" i="4"/>
  <c r="AM66" i="4"/>
  <c r="AM125" i="4"/>
  <c r="W125" i="4"/>
  <c r="AM149" i="4"/>
  <c r="W149" i="4"/>
  <c r="W22" i="4"/>
  <c r="Y22" i="4" s="1"/>
  <c r="AR22" i="4" s="1"/>
  <c r="AM22" i="4"/>
  <c r="AM153" i="4"/>
  <c r="W153" i="4"/>
  <c r="Y153" i="4" s="1"/>
  <c r="AR153" i="4" s="1"/>
  <c r="W40" i="4"/>
  <c r="Y40" i="4" s="1"/>
  <c r="AR40" i="4" s="1"/>
  <c r="AM40" i="4"/>
  <c r="AM58" i="4"/>
  <c r="W58" i="4"/>
  <c r="AM77" i="4"/>
  <c r="W77" i="4"/>
  <c r="W60" i="4"/>
  <c r="AM60" i="4"/>
  <c r="W156" i="4"/>
  <c r="AM156" i="4"/>
  <c r="W123" i="4"/>
  <c r="AM123" i="4"/>
  <c r="AM18" i="4"/>
  <c r="W18" i="4"/>
  <c r="Y18" i="4" s="1"/>
  <c r="AR18" i="4" s="1"/>
  <c r="W110" i="4"/>
  <c r="AM110" i="4"/>
  <c r="AM127" i="4"/>
  <c r="W127" i="4"/>
  <c r="W26" i="4"/>
  <c r="Y26" i="4" s="1"/>
  <c r="AR26" i="4" s="1"/>
  <c r="AM26" i="4"/>
  <c r="AM75" i="4"/>
  <c r="W75" i="4"/>
  <c r="W124" i="4"/>
  <c r="AM124" i="4"/>
  <c r="AM38" i="4"/>
  <c r="W38" i="4"/>
  <c r="Y38" i="4" s="1"/>
  <c r="AR38" i="4" s="1"/>
  <c r="AM152" i="4"/>
  <c r="W152" i="4"/>
  <c r="AM133" i="4"/>
  <c r="W133" i="4"/>
  <c r="W73" i="4"/>
  <c r="AM73" i="4"/>
  <c r="AM92" i="4"/>
  <c r="W92" i="4"/>
  <c r="AM155" i="4"/>
  <c r="W155" i="4"/>
  <c r="W13" i="4"/>
  <c r="Y13" i="4" s="1"/>
  <c r="AR13" i="4" s="1"/>
  <c r="AM13" i="4"/>
  <c r="W157" i="4"/>
  <c r="Y157" i="4" s="1"/>
  <c r="AR157" i="4" s="1"/>
  <c r="AM157" i="4"/>
  <c r="AM111" i="4"/>
  <c r="W111" i="4"/>
  <c r="W49" i="4"/>
  <c r="Y49" i="4" s="1"/>
  <c r="AR49" i="4" s="1"/>
  <c r="AM49" i="4"/>
  <c r="AM19" i="4"/>
  <c r="W19" i="4"/>
  <c r="Y19" i="4" s="1"/>
  <c r="AR19" i="4" s="1"/>
  <c r="W71" i="4"/>
  <c r="Y71" i="4" s="1"/>
  <c r="AR71" i="4" s="1"/>
  <c r="AM71" i="4"/>
  <c r="AM103" i="4"/>
  <c r="W103" i="4"/>
  <c r="Y103" i="4" s="1"/>
  <c r="AR103" i="4" s="1"/>
  <c r="W12" i="4"/>
  <c r="Y12" i="4" s="1"/>
  <c r="AR12" i="4" s="1"/>
  <c r="AM12" i="4"/>
  <c r="W21" i="4"/>
  <c r="Y21" i="4" s="1"/>
  <c r="AR21" i="4" s="1"/>
  <c r="AM21" i="4"/>
  <c r="AL10" i="5"/>
  <c r="AK10" i="5"/>
  <c r="AX10" i="5"/>
  <c r="AY10" i="5"/>
  <c r="U10" i="5"/>
  <c r="V10" i="5"/>
  <c r="AM65" i="4"/>
  <c r="W65" i="4"/>
  <c r="AM146" i="4"/>
  <c r="W146" i="4"/>
  <c r="Y146" i="4" s="1"/>
  <c r="AR146" i="4" s="1"/>
  <c r="W98" i="4"/>
  <c r="AM98" i="4"/>
  <c r="AM129" i="4"/>
  <c r="W129" i="4"/>
  <c r="AM136" i="4"/>
  <c r="W136" i="4"/>
  <c r="W87" i="4"/>
  <c r="Y87" i="4" s="1"/>
  <c r="AR87" i="4" s="1"/>
  <c r="AM87" i="4"/>
  <c r="W34" i="4"/>
  <c r="Y34" i="4" s="1"/>
  <c r="AR34" i="4" s="1"/>
  <c r="AM34" i="4"/>
  <c r="W48" i="4"/>
  <c r="Y48" i="4" s="1"/>
  <c r="AR48" i="4" s="1"/>
  <c r="AM48" i="4"/>
  <c r="W68" i="4"/>
  <c r="Y68" i="4" s="1"/>
  <c r="AR68" i="4" s="1"/>
  <c r="AM68" i="4"/>
  <c r="AM46" i="4"/>
  <c r="W46" i="4"/>
  <c r="Y46" i="4" s="1"/>
  <c r="AR46" i="4" s="1"/>
  <c r="AM62" i="4"/>
  <c r="W62" i="4"/>
  <c r="W39" i="4"/>
  <c r="Y39" i="4" s="1"/>
  <c r="AR39" i="4" s="1"/>
  <c r="AM39" i="4"/>
  <c r="W9" i="4"/>
  <c r="Y9" i="4" s="1"/>
  <c r="AR9" i="4" s="1"/>
  <c r="AM9" i="4"/>
  <c r="AM100" i="4"/>
  <c r="W100" i="4"/>
  <c r="Y100" i="4" s="1"/>
  <c r="AR100" i="4" s="1"/>
  <c r="AM130" i="4"/>
  <c r="W130" i="4"/>
  <c r="AM78" i="4"/>
  <c r="W78" i="4"/>
  <c r="W55" i="4"/>
  <c r="AM55" i="4"/>
  <c r="W27" i="4"/>
  <c r="Y27" i="4" s="1"/>
  <c r="AR27" i="4" s="1"/>
  <c r="AM27" i="4"/>
  <c r="AM140" i="4"/>
  <c r="W140" i="4"/>
  <c r="W106" i="4"/>
  <c r="AM106" i="4"/>
  <c r="W35" i="4"/>
  <c r="Y35" i="4" s="1"/>
  <c r="AR35" i="4" s="1"/>
  <c r="AM35" i="4"/>
  <c r="W10" i="4"/>
  <c r="Y10" i="4" s="1"/>
  <c r="AR10" i="4" s="1"/>
  <c r="AM10" i="4"/>
  <c r="W51" i="4"/>
  <c r="Y51" i="4" s="1"/>
  <c r="AR51" i="4" s="1"/>
  <c r="AM51" i="4"/>
  <c r="W57" i="4"/>
  <c r="AM57" i="4"/>
  <c r="AM142" i="4"/>
  <c r="W142" i="4"/>
  <c r="AV10" i="5"/>
  <c r="AU10" i="5"/>
  <c r="BC10" i="5"/>
  <c r="B64" i="2"/>
  <c r="B66" i="2"/>
  <c r="B67" i="2" s="1"/>
  <c r="AV107" i="4"/>
  <c r="U107" i="4"/>
  <c r="AV116" i="4"/>
  <c r="U116" i="4"/>
  <c r="AV45" i="4"/>
  <c r="U45" i="4"/>
  <c r="AV72" i="4"/>
  <c r="U72" i="4"/>
  <c r="AV90" i="4"/>
  <c r="U90" i="4"/>
  <c r="AV32" i="4"/>
  <c r="U32" i="4"/>
  <c r="AV86" i="4"/>
  <c r="U86" i="4"/>
  <c r="AV42" i="4"/>
  <c r="U42" i="4"/>
  <c r="AV132" i="4"/>
  <c r="U132" i="4"/>
  <c r="U7" i="4"/>
  <c r="AV7" i="4"/>
  <c r="AV17" i="4"/>
  <c r="U17" i="4"/>
  <c r="U101" i="4"/>
  <c r="AV101" i="4"/>
  <c r="AV52" i="4"/>
  <c r="U52" i="4"/>
  <c r="AV14" i="4"/>
  <c r="U14" i="4"/>
  <c r="AV143" i="4"/>
  <c r="U143" i="4"/>
  <c r="AV36" i="4"/>
  <c r="U36" i="4"/>
  <c r="AV154" i="4"/>
  <c r="U154" i="4"/>
  <c r="X185" i="5"/>
  <c r="Y185" i="5"/>
  <c r="X310" i="5"/>
  <c r="Y310" i="5"/>
  <c r="X264" i="5"/>
  <c r="Y264" i="5"/>
  <c r="Y202" i="5"/>
  <c r="X202" i="5"/>
  <c r="X489" i="5"/>
  <c r="Y489" i="5"/>
  <c r="Y250" i="5"/>
  <c r="X250" i="5"/>
  <c r="X232" i="5"/>
  <c r="Y232" i="5"/>
  <c r="X431" i="5"/>
  <c r="Y431" i="5"/>
  <c r="Y363" i="5"/>
  <c r="X363" i="5"/>
  <c r="Y51" i="5"/>
  <c r="X51" i="5"/>
  <c r="X107" i="5"/>
  <c r="Y107" i="5"/>
  <c r="X225" i="5"/>
  <c r="Y225" i="5"/>
  <c r="X91" i="5"/>
  <c r="Y91" i="5"/>
  <c r="X132" i="5"/>
  <c r="Y132" i="5"/>
  <c r="X12" i="5"/>
  <c r="Y12" i="5"/>
  <c r="X258" i="5"/>
  <c r="Y258" i="5"/>
  <c r="Y513" i="5"/>
  <c r="X513" i="5"/>
  <c r="Y316" i="5"/>
  <c r="X316" i="5"/>
  <c r="X512" i="5"/>
  <c r="Y512" i="5"/>
  <c r="X100" i="5"/>
  <c r="Y100" i="5"/>
  <c r="X347" i="5"/>
  <c r="Y347" i="5"/>
  <c r="Y533" i="5"/>
  <c r="X533" i="5"/>
  <c r="X111" i="5"/>
  <c r="Y111" i="5"/>
  <c r="X303" i="5"/>
  <c r="Y303" i="5"/>
  <c r="X197" i="5"/>
  <c r="Y197" i="5"/>
  <c r="Y176" i="5"/>
  <c r="X176" i="5"/>
  <c r="Y367" i="5"/>
  <c r="X367" i="5"/>
  <c r="X141" i="5"/>
  <c r="Y141" i="5"/>
  <c r="X211" i="5"/>
  <c r="Y211" i="5"/>
  <c r="Y35" i="5"/>
  <c r="X35" i="5"/>
  <c r="X502" i="5"/>
  <c r="Y502" i="5"/>
  <c r="X95" i="5"/>
  <c r="Y95" i="5"/>
  <c r="Y407" i="5"/>
  <c r="X407" i="5"/>
  <c r="X172" i="5"/>
  <c r="Y172" i="5"/>
  <c r="X203" i="5"/>
  <c r="Y203" i="5"/>
  <c r="Y323" i="5"/>
  <c r="X323" i="5"/>
  <c r="Y28" i="5"/>
  <c r="X28" i="5"/>
  <c r="Y515" i="5"/>
  <c r="X515" i="5"/>
  <c r="Y255" i="5"/>
  <c r="X255" i="5"/>
  <c r="Y522" i="5"/>
  <c r="X522" i="5"/>
  <c r="X237" i="5"/>
  <c r="Y237" i="5"/>
  <c r="Y98" i="5"/>
  <c r="X98" i="5"/>
  <c r="Y233" i="5"/>
  <c r="X233" i="5"/>
  <c r="Y165" i="5"/>
  <c r="X165" i="5"/>
  <c r="X267" i="5"/>
  <c r="Y267" i="5"/>
  <c r="X173" i="5"/>
  <c r="Y173" i="5"/>
  <c r="X368" i="5"/>
  <c r="Y368" i="5"/>
  <c r="X215" i="5"/>
  <c r="Y215" i="5"/>
  <c r="X19" i="5"/>
  <c r="Y19" i="5"/>
  <c r="Y101" i="5"/>
  <c r="X101" i="5"/>
  <c r="Y480" i="5"/>
  <c r="X480" i="5"/>
  <c r="Y180" i="5"/>
  <c r="X180" i="5"/>
  <c r="Y418" i="5"/>
  <c r="X418" i="5"/>
  <c r="Y10" i="5"/>
  <c r="X10" i="5"/>
  <c r="X179" i="5"/>
  <c r="Y179" i="5"/>
  <c r="Y187" i="5"/>
  <c r="X187" i="5"/>
  <c r="Y343" i="5"/>
  <c r="X343" i="5"/>
  <c r="X388" i="5"/>
  <c r="Y388" i="5"/>
  <c r="X151" i="5"/>
  <c r="Y151" i="5"/>
  <c r="X23" i="5"/>
  <c r="Y23" i="5"/>
  <c r="X501" i="5"/>
  <c r="Y501" i="5"/>
  <c r="Y376" i="5"/>
  <c r="X376" i="5"/>
  <c r="X400" i="5"/>
  <c r="Y400" i="5"/>
  <c r="Y7" i="5"/>
  <c r="X7" i="5"/>
  <c r="AV131" i="4"/>
  <c r="U131" i="4"/>
  <c r="AV11" i="4"/>
  <c r="U11" i="4"/>
  <c r="AV112" i="4"/>
  <c r="U112" i="4"/>
  <c r="AV134" i="4"/>
  <c r="U134" i="4"/>
  <c r="AV23" i="4"/>
  <c r="U23" i="4"/>
  <c r="AV115" i="4"/>
  <c r="U115" i="4"/>
  <c r="AV66" i="4"/>
  <c r="U66" i="4"/>
  <c r="AV125" i="4"/>
  <c r="U125" i="4"/>
  <c r="AV149" i="4"/>
  <c r="U149" i="4"/>
  <c r="AV22" i="4"/>
  <c r="U22" i="4"/>
  <c r="AV153" i="4"/>
  <c r="U153" i="4"/>
  <c r="AV40" i="4"/>
  <c r="U40" i="4"/>
  <c r="AV58" i="4"/>
  <c r="U58" i="4"/>
  <c r="AV77" i="4"/>
  <c r="U77" i="4"/>
  <c r="AV60" i="4"/>
  <c r="U60" i="4"/>
  <c r="AV156" i="4"/>
  <c r="U156" i="4"/>
  <c r="AV123" i="4"/>
  <c r="U123" i="4"/>
  <c r="AV18" i="4"/>
  <c r="U18" i="4"/>
  <c r="AV110" i="4"/>
  <c r="U110" i="4"/>
  <c r="AV127" i="4"/>
  <c r="U127" i="4"/>
  <c r="AV26" i="4"/>
  <c r="U26" i="4"/>
  <c r="U75" i="4"/>
  <c r="AV75" i="4"/>
  <c r="AV124" i="4"/>
  <c r="U124" i="4"/>
  <c r="AV38" i="4"/>
  <c r="U38" i="4"/>
  <c r="AV152" i="4"/>
  <c r="U152" i="4"/>
  <c r="AV133" i="4"/>
  <c r="U133" i="4"/>
  <c r="AV73" i="4"/>
  <c r="U73" i="4"/>
  <c r="AV92" i="4"/>
  <c r="U92" i="4"/>
  <c r="AV155" i="4"/>
  <c r="U155" i="4"/>
  <c r="AV13" i="4"/>
  <c r="U13" i="4"/>
  <c r="AV157" i="4"/>
  <c r="U157" i="4"/>
  <c r="AV111" i="4"/>
  <c r="U111" i="4"/>
  <c r="AV49" i="4"/>
  <c r="U49" i="4"/>
  <c r="AV19" i="4"/>
  <c r="U19" i="4"/>
  <c r="AV71" i="4"/>
  <c r="U71" i="4"/>
  <c r="U103" i="4"/>
  <c r="AV103" i="4"/>
  <c r="AV12" i="4"/>
  <c r="U12" i="4"/>
  <c r="AV21" i="4"/>
  <c r="U21" i="4"/>
  <c r="AG393" i="5"/>
  <c r="AG181" i="5"/>
  <c r="AG352" i="5"/>
  <c r="AG96" i="5"/>
  <c r="AG367" i="5"/>
  <c r="AG324" i="5"/>
  <c r="AG72" i="5"/>
  <c r="AG220" i="5"/>
  <c r="AG158" i="5"/>
  <c r="AG463" i="5"/>
  <c r="AG184" i="5"/>
  <c r="AG247" i="5"/>
  <c r="AG164" i="5"/>
  <c r="B74" i="5"/>
  <c r="AG88" i="5"/>
  <c r="AG134" i="5"/>
  <c r="AG192" i="5"/>
  <c r="AG165" i="5"/>
  <c r="AG13" i="5"/>
  <c r="AG411" i="5"/>
  <c r="AG298" i="5"/>
  <c r="AG29" i="5"/>
  <c r="AG155" i="5"/>
  <c r="AG112" i="5"/>
  <c r="AG213" i="5"/>
  <c r="AG84" i="5"/>
  <c r="AG374" i="5"/>
  <c r="AG186" i="5"/>
  <c r="AG274" i="5"/>
  <c r="AG89" i="5"/>
  <c r="AG450" i="5"/>
  <c r="AG448" i="5"/>
  <c r="AG483" i="5"/>
  <c r="AG94" i="5"/>
  <c r="AG30" i="5"/>
  <c r="AG236" i="5"/>
  <c r="AG321" i="5"/>
  <c r="AG170" i="5"/>
  <c r="AG98" i="5"/>
  <c r="AG416" i="5"/>
  <c r="AG378" i="5"/>
  <c r="AG22" i="5"/>
  <c r="AG243" i="5"/>
  <c r="AG116" i="5"/>
  <c r="AG66" i="5"/>
  <c r="AG377" i="5"/>
  <c r="AG110" i="5"/>
  <c r="AG195" i="5"/>
  <c r="AG355" i="5"/>
  <c r="AG219" i="5"/>
  <c r="AG149" i="5"/>
  <c r="AG35" i="5"/>
  <c r="AG143" i="5"/>
  <c r="AG360" i="5"/>
  <c r="AG252" i="5"/>
  <c r="AG468" i="5"/>
  <c r="AG269" i="5"/>
  <c r="AG266" i="5"/>
  <c r="AG150" i="5"/>
  <c r="AG451" i="5"/>
  <c r="AG364" i="5"/>
  <c r="AG383" i="5"/>
  <c r="AG182" i="5"/>
  <c r="AG496" i="5"/>
  <c r="AG510" i="5"/>
  <c r="AG46" i="5"/>
  <c r="AG418" i="5"/>
  <c r="AG199" i="5"/>
  <c r="AG81" i="5"/>
  <c r="AG71" i="5"/>
  <c r="AG249" i="5"/>
  <c r="AG459" i="5"/>
  <c r="AG331" i="5"/>
  <c r="AG441" i="5"/>
  <c r="AG508" i="5"/>
  <c r="AG458" i="5"/>
  <c r="AG506" i="5"/>
  <c r="AG144" i="5"/>
  <c r="AG351" i="5"/>
  <c r="AG261" i="5"/>
  <c r="AG407" i="5"/>
  <c r="AG348" i="5"/>
  <c r="AG500" i="5"/>
  <c r="AG415" i="5"/>
  <c r="AG344" i="5"/>
  <c r="AG555" i="5"/>
  <c r="AG193" i="5"/>
  <c r="AG54" i="5"/>
  <c r="AG521" i="5"/>
  <c r="AG73" i="5"/>
  <c r="AG311" i="5"/>
  <c r="AG163" i="5"/>
  <c r="AG504" i="5"/>
  <c r="AG542" i="5"/>
  <c r="AG475" i="5"/>
  <c r="AG502" i="5"/>
  <c r="AG467" i="5"/>
  <c r="AG205" i="5"/>
  <c r="AG400" i="5"/>
  <c r="AG420" i="5"/>
  <c r="AG290" i="5"/>
  <c r="AG47" i="5"/>
  <c r="AG145" i="5"/>
  <c r="AG267" i="5"/>
  <c r="AG361" i="5"/>
  <c r="AG142" i="5"/>
  <c r="AG183" i="5"/>
  <c r="AG226" i="5"/>
  <c r="AG187" i="5"/>
  <c r="AG75" i="5"/>
  <c r="AG68" i="5"/>
  <c r="AG52" i="5"/>
  <c r="AG224" i="5"/>
  <c r="AG547" i="5"/>
  <c r="AG190" i="5"/>
  <c r="AG173" i="5"/>
  <c r="AG437" i="5"/>
  <c r="AG436" i="5"/>
  <c r="AG172" i="5"/>
  <c r="AG40" i="5"/>
  <c r="AG336" i="5"/>
  <c r="AG390" i="5"/>
  <c r="AG202" i="5"/>
  <c r="AG534" i="5"/>
  <c r="AG365" i="5"/>
  <c r="AG325" i="5"/>
  <c r="AG117" i="5"/>
  <c r="AG526" i="5"/>
  <c r="AG453" i="5"/>
  <c r="AG97" i="5"/>
  <c r="AG101" i="5"/>
  <c r="AG515" i="5"/>
  <c r="AG303" i="5"/>
  <c r="AG211" i="5"/>
  <c r="AG301" i="5"/>
  <c r="AG215" i="5"/>
  <c r="AG412" i="5"/>
  <c r="AG295" i="5"/>
  <c r="AG346" i="5"/>
  <c r="AG402" i="5"/>
  <c r="AG42" i="5"/>
  <c r="AG503" i="5"/>
  <c r="AG449" i="5"/>
  <c r="AG85" i="5"/>
  <c r="AG131" i="5"/>
  <c r="AG111" i="5"/>
  <c r="AG532" i="5"/>
  <c r="AG341" i="5"/>
  <c r="AG241" i="5"/>
  <c r="AG345" i="5"/>
  <c r="AG263" i="5"/>
  <c r="AG444" i="5"/>
  <c r="AG105" i="5"/>
  <c r="AG552" i="5"/>
  <c r="AG357" i="5"/>
  <c r="AG371" i="5"/>
  <c r="AG498" i="5"/>
  <c r="AG93" i="5"/>
  <c r="AG197" i="5"/>
  <c r="AG27" i="5"/>
  <c r="AG80" i="5"/>
  <c r="AG115" i="5"/>
  <c r="AG489" i="5"/>
  <c r="AG442" i="5"/>
  <c r="AG476" i="5"/>
  <c r="AG531" i="5"/>
  <c r="AG545" i="5"/>
  <c r="AG512" i="5"/>
  <c r="AG445" i="5"/>
  <c r="AG353" i="5"/>
  <c r="AG179" i="5"/>
  <c r="AG39" i="5"/>
  <c r="AG235" i="5"/>
  <c r="AG491" i="5"/>
  <c r="AG537" i="5"/>
  <c r="AG517" i="5"/>
  <c r="AG394" i="5"/>
  <c r="AG25" i="5"/>
  <c r="AG139" i="5"/>
  <c r="AG315" i="5"/>
  <c r="AG556" i="5"/>
  <c r="AG369" i="5"/>
  <c r="AG559" i="5"/>
  <c r="AG388" i="5"/>
  <c r="AG434" i="5"/>
  <c r="AG514" i="5"/>
  <c r="AG44" i="5"/>
  <c r="AG160" i="5"/>
  <c r="AG466" i="5"/>
  <c r="AG395" i="5"/>
  <c r="AG191" i="5"/>
  <c r="AG140" i="5"/>
  <c r="AG478" i="5"/>
  <c r="AG76" i="5"/>
  <c r="AG95" i="5"/>
  <c r="AG350" i="5"/>
  <c r="AG106" i="5"/>
  <c r="AG340" i="5"/>
  <c r="AG232" i="5"/>
  <c r="AG404" i="5"/>
  <c r="AG318" i="5"/>
  <c r="AG276" i="5"/>
  <c r="AG544" i="5"/>
  <c r="AG379" i="5"/>
  <c r="AG399" i="5"/>
  <c r="AG154" i="5"/>
  <c r="AG471" i="5"/>
  <c r="AG138" i="5"/>
  <c r="AG372" i="5"/>
  <c r="AG530" i="5"/>
  <c r="AG157" i="5"/>
  <c r="AG20" i="5"/>
  <c r="AG306" i="5"/>
  <c r="AG322" i="5"/>
  <c r="AG148" i="5"/>
  <c r="AG310" i="5"/>
  <c r="AG465" i="5"/>
  <c r="AG258" i="5"/>
  <c r="AG501" i="5"/>
  <c r="AG147" i="5"/>
  <c r="AG285" i="5"/>
  <c r="AG505" i="5"/>
  <c r="AG49" i="5"/>
  <c r="AG535" i="5"/>
  <c r="AG177" i="5"/>
  <c r="AG329" i="5"/>
  <c r="AG487" i="5"/>
  <c r="AG440" i="5"/>
  <c r="AG278" i="5"/>
  <c r="AG171" i="5"/>
  <c r="AG474" i="5"/>
  <c r="AG438" i="5"/>
  <c r="AG273" i="5"/>
  <c r="AG349" i="5"/>
  <c r="AG516" i="5"/>
  <c r="AG507" i="5"/>
  <c r="AG433" i="5"/>
  <c r="AG107" i="5"/>
  <c r="AG86" i="5"/>
  <c r="AG53" i="5"/>
  <c r="AG221" i="5"/>
  <c r="AG79" i="5"/>
  <c r="AG533" i="5"/>
  <c r="AG370" i="5"/>
  <c r="AG100" i="5"/>
  <c r="AG12" i="5"/>
  <c r="AG338" i="5"/>
  <c r="AG228" i="5"/>
  <c r="AG282" i="5"/>
  <c r="AG188" i="5"/>
  <c r="AG122" i="5"/>
  <c r="AG426" i="5"/>
  <c r="AG166" i="5"/>
  <c r="AG334" i="5"/>
  <c r="AG246" i="5"/>
  <c r="AG203" i="5"/>
  <c r="AG244" i="5"/>
  <c r="AG366" i="5"/>
  <c r="AG135" i="5"/>
  <c r="AG114" i="5"/>
  <c r="AG391" i="5"/>
  <c r="AG271" i="5"/>
  <c r="AG169" i="5"/>
  <c r="AG196" i="5"/>
  <c r="AG41" i="5"/>
  <c r="AG527" i="5"/>
  <c r="AG528" i="5"/>
  <c r="AG132" i="5"/>
  <c r="AG330" i="5"/>
  <c r="AG55" i="5"/>
  <c r="AG245" i="5"/>
  <c r="AG206" i="5"/>
  <c r="AG408" i="5"/>
  <c r="AG262" i="5"/>
  <c r="AG461" i="5"/>
  <c r="AG470" i="5"/>
  <c r="AG541" i="5"/>
  <c r="AG396" i="5"/>
  <c r="AG477" i="5"/>
  <c r="AG554" i="5"/>
  <c r="AG121" i="5"/>
  <c r="AG33" i="5"/>
  <c r="AG485" i="5"/>
  <c r="AG64" i="5"/>
  <c r="AG230" i="5"/>
  <c r="AG120" i="5"/>
  <c r="AG137" i="5"/>
  <c r="AG289" i="5"/>
  <c r="AG560" i="5"/>
  <c r="AG540" i="5"/>
  <c r="AG223" i="5"/>
  <c r="AG287" i="5"/>
  <c r="AG189" i="5"/>
  <c r="AG61" i="5"/>
  <c r="AG387" i="5"/>
  <c r="AG293" i="5"/>
  <c r="AG439" i="5"/>
  <c r="AG422" i="5"/>
  <c r="AG525" i="5"/>
  <c r="AG380" i="5"/>
  <c r="AG292" i="5"/>
  <c r="AG494" i="5"/>
  <c r="AG104" i="5"/>
  <c r="AG119" i="5"/>
  <c r="AG34" i="5"/>
  <c r="AG495" i="5"/>
  <c r="AG279" i="5"/>
  <c r="AG397" i="5"/>
  <c r="AG259" i="5"/>
  <c r="AG410" i="5"/>
  <c r="AG109" i="5"/>
  <c r="AG339" i="5"/>
  <c r="AG354" i="5"/>
  <c r="AG45" i="5"/>
  <c r="AG256" i="5"/>
  <c r="AG26" i="5"/>
  <c r="AG82" i="5"/>
  <c r="AG430" i="5"/>
  <c r="AG65" i="5"/>
  <c r="AG307" i="5"/>
  <c r="AG208" i="5"/>
  <c r="AG314" i="5"/>
  <c r="AG214" i="5"/>
  <c r="AG456" i="5"/>
  <c r="AG136" i="5"/>
  <c r="AG543" i="5"/>
  <c r="AG304" i="5"/>
  <c r="AG272" i="5"/>
  <c r="AG48" i="5"/>
  <c r="AG457" i="5"/>
  <c r="AG180" i="5"/>
  <c r="AG62" i="5"/>
  <c r="AG405" i="5"/>
  <c r="AG553" i="5"/>
  <c r="AG275" i="5"/>
  <c r="AG257" i="5"/>
  <c r="AG233" i="5"/>
  <c r="AG37" i="5"/>
  <c r="AG99" i="5"/>
  <c r="AG58" i="5"/>
  <c r="AG239" i="5"/>
  <c r="AG429" i="5"/>
  <c r="AG201" i="5"/>
  <c r="AG67" i="5"/>
  <c r="AG36" i="5"/>
  <c r="AG60" i="5"/>
  <c r="AG227" i="5"/>
  <c r="AG92" i="5"/>
  <c r="AG43" i="5"/>
  <c r="AG337" i="5"/>
  <c r="AG251" i="5"/>
  <c r="AG432" i="5"/>
  <c r="AG519" i="5"/>
  <c r="AG392" i="5"/>
  <c r="AG305" i="5"/>
  <c r="AG469" i="5"/>
  <c r="AG493" i="5"/>
  <c r="AG320" i="5"/>
  <c r="AG481" i="5"/>
  <c r="AG490" i="5"/>
  <c r="AG21" i="5"/>
  <c r="AG300" i="5"/>
  <c r="AG124" i="5"/>
  <c r="AG435" i="5"/>
  <c r="AG447" i="5"/>
  <c r="AG123" i="5"/>
  <c r="AG332" i="5"/>
  <c r="AG240" i="5"/>
  <c r="AG87" i="5"/>
  <c r="AG102" i="5"/>
  <c r="AG452" i="5"/>
  <c r="AG520" i="5"/>
  <c r="AG425" i="5"/>
  <c r="AG381" i="5"/>
  <c r="AG492" i="5"/>
  <c r="AG359" i="5"/>
  <c r="AG462" i="5"/>
  <c r="AG294" i="5"/>
  <c r="AG277" i="5"/>
  <c r="AG557" i="5"/>
  <c r="AG317" i="5"/>
  <c r="AG523" i="5"/>
  <c r="AG130" i="5"/>
  <c r="AG128" i="5"/>
  <c r="AG253" i="5"/>
  <c r="AG57" i="5"/>
  <c r="AG362" i="5"/>
  <c r="AG486" i="5"/>
  <c r="AG10" i="5"/>
  <c r="AG242" i="5"/>
  <c r="AG428" i="5"/>
  <c r="AG141" i="5"/>
  <c r="AG59" i="5"/>
  <c r="AG327" i="5"/>
  <c r="AG185" i="5"/>
  <c r="AG209" i="5"/>
  <c r="AG319" i="5"/>
  <c r="AG255" i="5"/>
  <c r="AG129" i="5"/>
  <c r="AG175" i="5"/>
  <c r="AG63" i="5"/>
  <c r="AG347" i="5"/>
  <c r="AG238" i="5"/>
  <c r="AG419" i="5"/>
  <c r="AG382" i="5"/>
  <c r="AG316" i="5"/>
  <c r="AG363" i="5"/>
  <c r="AG151" i="5"/>
  <c r="AG499" i="5"/>
  <c r="AG356" i="5"/>
  <c r="AG159" i="5"/>
  <c r="AG312" i="5"/>
  <c r="AG146" i="5"/>
  <c r="AG413" i="5"/>
  <c r="AG133" i="5"/>
  <c r="AG313" i="5"/>
  <c r="AG174" i="5"/>
  <c r="AG7" i="5"/>
  <c r="AG403" i="5"/>
  <c r="AG443" i="5"/>
  <c r="AG50" i="5"/>
  <c r="AG125" i="5"/>
  <c r="AG302" i="5"/>
  <c r="AG473" i="5"/>
  <c r="AG283" i="5"/>
  <c r="AG161" i="5"/>
  <c r="AG24" i="5"/>
  <c r="AG231" i="5"/>
  <c r="AG69" i="5"/>
  <c r="AG91" i="5"/>
  <c r="AG70" i="5"/>
  <c r="AG156" i="5"/>
  <c r="AG389" i="5"/>
  <c r="AG250" i="5"/>
  <c r="AG168" i="5"/>
  <c r="AG333" i="5"/>
  <c r="AG291" i="5"/>
  <c r="AG77" i="5"/>
  <c r="AG207" i="5"/>
  <c r="AG222" i="5"/>
  <c r="AG78" i="5"/>
  <c r="AG56" i="5"/>
  <c r="AG19" i="5"/>
  <c r="AG167" i="5"/>
  <c r="AG178" i="5"/>
  <c r="AG225" i="5"/>
  <c r="AG472" i="5"/>
  <c r="AG200" i="5"/>
  <c r="AG518" i="5"/>
  <c r="AG342" i="5"/>
  <c r="AG260" i="5"/>
  <c r="AG539" i="5"/>
  <c r="AG152" i="5"/>
  <c r="AG28" i="5"/>
  <c r="AG511" i="5"/>
  <c r="AG153" i="5"/>
  <c r="AG268" i="5"/>
  <c r="AG308" i="5"/>
  <c r="AG509" i="5"/>
  <c r="AG118" i="5"/>
  <c r="AG103" i="5"/>
  <c r="AG558" i="5"/>
  <c r="AG270" i="5"/>
  <c r="AG323" i="5"/>
  <c r="AG212" i="5"/>
  <c r="AG113" i="5"/>
  <c r="AG284" i="5"/>
  <c r="AG488" i="5"/>
  <c r="AG358" i="5"/>
  <c r="AG204" i="5"/>
  <c r="AG538" i="5"/>
  <c r="AG234" i="5"/>
  <c r="AG548" i="5"/>
  <c r="AG409" i="5"/>
  <c r="AG237" i="5"/>
  <c r="AG522" i="5"/>
  <c r="AG296" i="5"/>
  <c r="AG427" i="5"/>
  <c r="AG176" i="5"/>
  <c r="AG127" i="5"/>
  <c r="AG265" i="5"/>
  <c r="AG368" i="5"/>
  <c r="AG281" i="5"/>
  <c r="AG38" i="5"/>
  <c r="AG23" i="5"/>
  <c r="AG248" i="5"/>
  <c r="AG108" i="5"/>
  <c r="AG217" i="5"/>
  <c r="AG385" i="5"/>
  <c r="AG254" i="5"/>
  <c r="AG373" i="5"/>
  <c r="AG297" i="5"/>
  <c r="AG549" i="5"/>
  <c r="AG328" i="5"/>
  <c r="AG32" i="5"/>
  <c r="AG210" i="5"/>
  <c r="AG74" i="5"/>
  <c r="AG384" i="5"/>
  <c r="AG126" i="5"/>
  <c r="AG83" i="5"/>
  <c r="AG31" i="5"/>
  <c r="AG280" i="5"/>
  <c r="AG431" i="5"/>
  <c r="AG479" i="5"/>
  <c r="AG198" i="5"/>
  <c r="AG536" i="5"/>
  <c r="AG90" i="5"/>
  <c r="AG454" i="5"/>
  <c r="AG406" i="5"/>
  <c r="AG229" i="5"/>
  <c r="AG309" i="5"/>
  <c r="AG551" i="5"/>
  <c r="AG464" i="5"/>
  <c r="AG401" i="5"/>
  <c r="AG529" i="5"/>
  <c r="AG376" i="5"/>
  <c r="AG550" i="5"/>
  <c r="AG484" i="5"/>
  <c r="AG455" i="5"/>
  <c r="AG326" i="5"/>
  <c r="AG414" i="5"/>
  <c r="AG375" i="5"/>
  <c r="AG497" i="5"/>
  <c r="AG288" i="5"/>
  <c r="AG421" i="5"/>
  <c r="AG460" i="5"/>
  <c r="AG8" i="5"/>
  <c r="AG480" i="5"/>
  <c r="AG417" i="5"/>
  <c r="AG546" i="5"/>
  <c r="AG162" i="5"/>
  <c r="AG423" i="5"/>
  <c r="AG286" i="5"/>
  <c r="AG194" i="5"/>
  <c r="AG386" i="5"/>
  <c r="AG398" i="5"/>
  <c r="AG51" i="5"/>
  <c r="AG524" i="5"/>
  <c r="AG446" i="5"/>
  <c r="AG299" i="5"/>
  <c r="AG424" i="5"/>
  <c r="AG513" i="5"/>
  <c r="AG482" i="5"/>
  <c r="AG343" i="5"/>
  <c r="AG216" i="5"/>
  <c r="AG264" i="5"/>
  <c r="AG335" i="5"/>
  <c r="AG218" i="5"/>
  <c r="AM430" i="5"/>
  <c r="AM417" i="5"/>
  <c r="AM516" i="5"/>
  <c r="AM232" i="5"/>
  <c r="AM467" i="5"/>
  <c r="AM175" i="5"/>
  <c r="AM245" i="5"/>
  <c r="AM280" i="5"/>
  <c r="AM373" i="5"/>
  <c r="AM257" i="5"/>
  <c r="AM261" i="5"/>
  <c r="AM235" i="5"/>
  <c r="AM139" i="5"/>
  <c r="AM157" i="5"/>
  <c r="AM114" i="5"/>
  <c r="AM40" i="5"/>
  <c r="AM429" i="5"/>
  <c r="AM424" i="5"/>
  <c r="AM80" i="5"/>
  <c r="AM212" i="5"/>
  <c r="AM322" i="5"/>
  <c r="AM489" i="5"/>
  <c r="AM60" i="5"/>
  <c r="AM221" i="5"/>
  <c r="AM546" i="5"/>
  <c r="AM21" i="5"/>
  <c r="AM92" i="5"/>
  <c r="AM298" i="5"/>
  <c r="AM288" i="5"/>
  <c r="AM514" i="5"/>
  <c r="AM486" i="5"/>
  <c r="AM321" i="5"/>
  <c r="AM376" i="5"/>
  <c r="AM525" i="5"/>
  <c r="AM441" i="5"/>
  <c r="AM307" i="5"/>
  <c r="AM226" i="5"/>
  <c r="AM87" i="5"/>
  <c r="AM188" i="5"/>
  <c r="AM364" i="5"/>
  <c r="AM418" i="5"/>
  <c r="AM272" i="5"/>
  <c r="AM330" i="5"/>
  <c r="AM51" i="5"/>
  <c r="AM182" i="5"/>
  <c r="AM345" i="5"/>
  <c r="AM395" i="5"/>
  <c r="AM278" i="5"/>
  <c r="AM380" i="5"/>
  <c r="AM391" i="5"/>
  <c r="AM121" i="5"/>
  <c r="AM405" i="5"/>
  <c r="AM374" i="5"/>
  <c r="AM390" i="5"/>
  <c r="AM89" i="5"/>
  <c r="AM350" i="5"/>
  <c r="AM124" i="5"/>
  <c r="AM409" i="5"/>
  <c r="AM253" i="5"/>
  <c r="AM487" i="5"/>
  <c r="AM224" i="5"/>
  <c r="AM246" i="5"/>
  <c r="AM534" i="5"/>
  <c r="AM269" i="5"/>
  <c r="AM539" i="5"/>
  <c r="AM351" i="5"/>
  <c r="AM289" i="5"/>
  <c r="AM142" i="5"/>
  <c r="AM48" i="5"/>
  <c r="AM63" i="5"/>
  <c r="AM130" i="5"/>
  <c r="AM204" i="5"/>
  <c r="AM171" i="5"/>
  <c r="AM478" i="5"/>
  <c r="AM8" i="5"/>
  <c r="AM147" i="5"/>
  <c r="AM31" i="5"/>
  <c r="AM211" i="5"/>
  <c r="AM484" i="5"/>
  <c r="AM96" i="5"/>
  <c r="AM133" i="5"/>
  <c r="AM132" i="5"/>
  <c r="AM346" i="5"/>
  <c r="AM191" i="5"/>
  <c r="AM277" i="5"/>
  <c r="AM483" i="5"/>
  <c r="AM7" i="5"/>
  <c r="AM315" i="5"/>
  <c r="AM445" i="5"/>
  <c r="AM531" i="5"/>
  <c r="AM493" i="5"/>
  <c r="AM381" i="5"/>
  <c r="AM201" i="5"/>
  <c r="AM521" i="5"/>
  <c r="AM123" i="5"/>
  <c r="AM296" i="5"/>
  <c r="AM282" i="5"/>
  <c r="AM118" i="5"/>
  <c r="AM91" i="5"/>
  <c r="AM126" i="5"/>
  <c r="AM71" i="5"/>
  <c r="AM406" i="5"/>
  <c r="AM75" i="5"/>
  <c r="AM70" i="5"/>
  <c r="AM507" i="5"/>
  <c r="AM385" i="5"/>
  <c r="AM223" i="5"/>
  <c r="AM501" i="5"/>
  <c r="AM242" i="5"/>
  <c r="AM490" i="5"/>
  <c r="AM423" i="5"/>
  <c r="AM205" i="5"/>
  <c r="AM443" i="5"/>
  <c r="AM378" i="5"/>
  <c r="AM522" i="5"/>
  <c r="AM466" i="5"/>
  <c r="AM74" i="5"/>
  <c r="AM79" i="5"/>
  <c r="AM339" i="5"/>
  <c r="AM549" i="5"/>
  <c r="AM518" i="5"/>
  <c r="AM314" i="5"/>
  <c r="AM379" i="5"/>
  <c r="AM168" i="5"/>
  <c r="AM414" i="5"/>
  <c r="AM550" i="5"/>
  <c r="AM58" i="5"/>
  <c r="AM392" i="5"/>
  <c r="AM285" i="5"/>
  <c r="AM141" i="5"/>
  <c r="AM47" i="5"/>
  <c r="AM388" i="5"/>
  <c r="AM156" i="5"/>
  <c r="AM128" i="5"/>
  <c r="AM538" i="5"/>
  <c r="AM323" i="5"/>
  <c r="AM117" i="5"/>
  <c r="AM214" i="5"/>
  <c r="AM449" i="5"/>
  <c r="AM218" i="5"/>
  <c r="AM268" i="5"/>
  <c r="AM172" i="5"/>
  <c r="AM271" i="5"/>
  <c r="AM520" i="5"/>
  <c r="AM83" i="5"/>
  <c r="AM371" i="5"/>
  <c r="AM119" i="5"/>
  <c r="AM24" i="5"/>
  <c r="AM57" i="5"/>
  <c r="AM231" i="5"/>
  <c r="AM35" i="5"/>
  <c r="AM435" i="5"/>
  <c r="AM305" i="5"/>
  <c r="AM25" i="5"/>
  <c r="AM99" i="5"/>
  <c r="AM407" i="5"/>
  <c r="AM210" i="5"/>
  <c r="AM553" i="5"/>
  <c r="AM161" i="5"/>
  <c r="AM199" i="5"/>
  <c r="AM86" i="5"/>
  <c r="AM254" i="5"/>
  <c r="AM111" i="5"/>
  <c r="AM93" i="5"/>
  <c r="AM341" i="5"/>
  <c r="AM207" i="5"/>
  <c r="AM23" i="5"/>
  <c r="B78" i="5"/>
  <c r="O9" i="5" s="1"/>
  <c r="AZ9" i="5" s="1"/>
  <c r="AM76" i="5"/>
  <c r="AM250" i="5"/>
  <c r="AM508" i="5"/>
  <c r="AM331" i="5"/>
  <c r="AM167" i="5"/>
  <c r="AM270" i="5"/>
  <c r="AM238" i="5"/>
  <c r="AM103" i="5"/>
  <c r="AM436" i="5"/>
  <c r="AM361" i="5"/>
  <c r="AM20" i="5"/>
  <c r="AM422" i="5"/>
  <c r="AM122" i="5"/>
  <c r="AM476" i="5"/>
  <c r="AM488" i="5"/>
  <c r="AM180" i="5"/>
  <c r="AM197" i="5"/>
  <c r="AM428" i="5"/>
  <c r="AM471" i="5"/>
  <c r="AM185" i="5"/>
  <c r="AM256" i="5"/>
  <c r="AM480" i="5"/>
  <c r="AM29" i="5"/>
  <c r="AM360" i="5"/>
  <c r="AM511" i="5"/>
  <c r="AM458" i="5"/>
  <c r="AM174" i="5"/>
  <c r="AM527" i="5"/>
  <c r="AM465" i="5"/>
  <c r="AM227" i="5"/>
  <c r="AM540" i="5"/>
  <c r="AM498" i="5"/>
  <c r="AM208" i="5"/>
  <c r="AM347" i="5"/>
  <c r="AM349" i="5"/>
  <c r="AM532" i="5"/>
  <c r="AM506" i="5"/>
  <c r="AM59" i="5"/>
  <c r="AM303" i="5"/>
  <c r="AM300" i="5"/>
  <c r="AM367" i="5"/>
  <c r="AM150" i="5"/>
  <c r="AM528" i="5"/>
  <c r="AM470" i="5"/>
  <c r="AM44" i="5"/>
  <c r="AM49" i="5"/>
  <c r="AM100" i="5"/>
  <c r="AM492" i="5"/>
  <c r="AM472" i="5"/>
  <c r="AM401" i="5"/>
  <c r="AM131" i="5"/>
  <c r="AM468" i="5"/>
  <c r="AM234" i="5"/>
  <c r="AM173" i="5"/>
  <c r="AM359" i="5"/>
  <c r="AM384" i="5"/>
  <c r="AM399" i="5"/>
  <c r="AM137" i="5"/>
  <c r="AM523" i="5"/>
  <c r="AM460" i="5"/>
  <c r="AM496" i="5"/>
  <c r="AM477" i="5"/>
  <c r="AM317" i="5"/>
  <c r="AM203" i="5"/>
  <c r="AM403" i="5"/>
  <c r="AM310" i="5"/>
  <c r="AM43" i="5"/>
  <c r="AM505" i="5"/>
  <c r="AM113" i="5"/>
  <c r="AM294" i="5"/>
  <c r="AM52" i="5"/>
  <c r="AM247" i="5"/>
  <c r="AM45" i="5"/>
  <c r="AM495" i="5"/>
  <c r="AM415" i="5"/>
  <c r="AM475" i="5"/>
  <c r="AM461" i="5"/>
  <c r="AM500" i="5"/>
  <c r="AM67" i="5"/>
  <c r="AM338" i="5"/>
  <c r="AM229" i="5"/>
  <c r="AM138" i="5"/>
  <c r="AM165" i="5"/>
  <c r="AM554" i="5"/>
  <c r="AM559" i="5"/>
  <c r="AM442" i="5"/>
  <c r="AM279" i="5"/>
  <c r="AM352" i="5"/>
  <c r="AM115" i="5"/>
  <c r="AM453" i="5"/>
  <c r="AM97" i="5"/>
  <c r="AM158" i="5"/>
  <c r="AM356" i="5"/>
  <c r="AM220" i="5"/>
  <c r="AM19" i="5"/>
  <c r="AM510" i="5"/>
  <c r="AM389" i="5"/>
  <c r="AM293" i="5"/>
  <c r="AM102" i="5"/>
  <c r="AM90" i="5"/>
  <c r="AM163" i="5"/>
  <c r="AM127" i="5"/>
  <c r="AM94" i="5"/>
  <c r="AM335" i="5"/>
  <c r="AM27" i="5"/>
  <c r="AM291" i="5"/>
  <c r="AM357" i="5"/>
  <c r="AM343" i="5"/>
  <c r="AM382" i="5"/>
  <c r="AM526" i="5"/>
  <c r="AM464" i="5"/>
  <c r="AM320" i="5"/>
  <c r="AM292" i="5"/>
  <c r="AM273" i="5"/>
  <c r="AM519" i="5"/>
  <c r="AM283" i="5"/>
  <c r="AM309" i="5"/>
  <c r="AM408" i="5"/>
  <c r="AM217" i="5"/>
  <c r="AM455" i="5"/>
  <c r="AM469" i="5"/>
  <c r="AM463" i="5"/>
  <c r="AM396" i="5"/>
  <c r="AM66" i="5"/>
  <c r="AM230" i="5"/>
  <c r="AM61" i="5"/>
  <c r="AM513" i="5"/>
  <c r="AM340" i="5"/>
  <c r="AM120" i="5"/>
  <c r="AM497" i="5"/>
  <c r="AM88" i="5"/>
  <c r="AM179" i="5"/>
  <c r="AM42" i="5"/>
  <c r="AM365" i="5"/>
  <c r="AM53" i="5"/>
  <c r="AM136" i="5"/>
  <c r="AM82" i="5"/>
  <c r="AM333" i="5"/>
  <c r="AM543" i="5"/>
  <c r="AM146" i="5"/>
  <c r="AM426" i="5"/>
  <c r="AM129" i="5"/>
  <c r="AM332" i="5"/>
  <c r="AM56" i="5"/>
  <c r="AM354" i="5"/>
  <c r="AM149" i="5"/>
  <c r="AM112" i="5"/>
  <c r="AM125" i="5"/>
  <c r="AM366" i="5"/>
  <c r="AM482" i="5"/>
  <c r="AM255" i="5"/>
  <c r="AM116" i="5"/>
  <c r="AM337" i="5"/>
  <c r="AM393" i="5"/>
  <c r="AM55" i="5"/>
  <c r="AM155" i="5"/>
  <c r="AM459" i="5"/>
  <c r="AM135" i="5"/>
  <c r="AM258" i="5"/>
  <c r="AM32" i="5"/>
  <c r="AM194" i="5"/>
  <c r="AM95" i="5"/>
  <c r="AM263" i="5"/>
  <c r="AM324" i="5"/>
  <c r="AM348" i="5"/>
  <c r="AM259" i="5"/>
  <c r="AM239" i="5"/>
  <c r="AM228" i="5"/>
  <c r="AM287" i="5"/>
  <c r="AM213" i="5"/>
  <c r="AM481" i="5"/>
  <c r="AM299" i="5"/>
  <c r="AM243" i="5"/>
  <c r="AM509" i="5"/>
  <c r="AM10" i="5"/>
  <c r="AM369" i="5"/>
  <c r="AM39" i="5"/>
  <c r="AM537" i="5"/>
  <c r="AM499" i="5"/>
  <c r="AM110" i="5"/>
  <c r="AM81" i="5"/>
  <c r="AM248" i="5"/>
  <c r="AM370" i="5"/>
  <c r="AM437" i="5"/>
  <c r="AM548" i="5"/>
  <c r="AM73" i="5"/>
  <c r="AM206" i="5"/>
  <c r="AM342" i="5"/>
  <c r="AM236" i="5"/>
  <c r="AM485" i="5"/>
  <c r="AM542" i="5"/>
  <c r="AM434" i="5"/>
  <c r="AM517" i="5"/>
  <c r="AM184" i="5"/>
  <c r="AM431" i="5"/>
  <c r="AM456" i="5"/>
  <c r="AM26" i="5"/>
  <c r="AM336" i="5"/>
  <c r="AM50" i="5"/>
  <c r="AM85" i="5"/>
  <c r="AM105" i="5"/>
  <c r="AM302" i="5"/>
  <c r="AM64" i="5"/>
  <c r="AM297" i="5"/>
  <c r="AM327" i="5"/>
  <c r="AM316" i="5"/>
  <c r="AM34" i="5"/>
  <c r="AM264" i="5"/>
  <c r="AM387" i="5"/>
  <c r="AM65" i="5"/>
  <c r="AM198" i="5"/>
  <c r="AM556" i="5"/>
  <c r="AM383" i="5"/>
  <c r="AM363" i="5"/>
  <c r="AM440" i="5"/>
  <c r="AM145" i="5"/>
  <c r="AM107" i="5"/>
  <c r="AM186" i="5"/>
  <c r="AM398" i="5"/>
  <c r="AM169" i="5"/>
  <c r="AM536" i="5"/>
  <c r="AM368" i="5"/>
  <c r="AM400" i="5"/>
  <c r="AM36" i="5"/>
  <c r="AM325" i="5"/>
  <c r="AM386" i="5"/>
  <c r="AM46" i="5"/>
  <c r="AM439" i="5"/>
  <c r="AM144" i="5"/>
  <c r="AM101" i="5"/>
  <c r="AM304" i="5"/>
  <c r="AM362" i="5"/>
  <c r="AM108" i="5"/>
  <c r="AM12" i="5"/>
  <c r="AM457" i="5"/>
  <c r="AM530" i="5"/>
  <c r="AM170" i="5"/>
  <c r="AM419" i="5"/>
  <c r="AM319" i="5"/>
  <c r="AM249" i="5"/>
  <c r="AM196" i="5"/>
  <c r="AM267" i="5"/>
  <c r="AM233" i="5"/>
  <c r="AM552" i="5"/>
  <c r="AM244" i="5"/>
  <c r="AM176" i="5"/>
  <c r="AM502" i="5"/>
  <c r="AM290" i="5"/>
  <c r="AM413" i="5"/>
  <c r="AM462" i="5"/>
  <c r="AM410" i="5"/>
  <c r="AM318" i="5"/>
  <c r="AM515" i="5"/>
  <c r="AM219" i="5"/>
  <c r="AM262" i="5"/>
  <c r="AM334" i="5"/>
  <c r="AM358" i="5"/>
  <c r="AM533" i="5"/>
  <c r="AM555" i="5"/>
  <c r="AM402" i="5"/>
  <c r="AM438" i="5"/>
  <c r="AM284" i="5"/>
  <c r="AM181" i="5"/>
  <c r="AM547" i="5"/>
  <c r="AM535" i="5"/>
  <c r="AM529" i="5"/>
  <c r="AM22" i="5"/>
  <c r="AM311" i="5"/>
  <c r="AM189" i="5"/>
  <c r="AM372" i="5"/>
  <c r="AM433" i="5"/>
  <c r="AM98" i="5"/>
  <c r="AM225" i="5"/>
  <c r="AM444" i="5"/>
  <c r="AM134" i="5"/>
  <c r="AM301" i="5"/>
  <c r="AM153" i="5"/>
  <c r="AM260" i="5"/>
  <c r="AM544" i="5"/>
  <c r="AM326" i="5"/>
  <c r="AM432" i="5"/>
  <c r="AM524" i="5"/>
  <c r="AM512" i="5"/>
  <c r="AM281" i="5"/>
  <c r="AM454" i="5"/>
  <c r="AM154" i="5"/>
  <c r="AM491" i="5"/>
  <c r="AM69" i="5"/>
  <c r="AM178" i="5"/>
  <c r="AM159" i="5"/>
  <c r="AM344" i="5"/>
  <c r="AM195" i="5"/>
  <c r="AM353" i="5"/>
  <c r="AM54" i="5"/>
  <c r="AM545" i="5"/>
  <c r="AM313" i="5"/>
  <c r="AM160" i="5"/>
  <c r="AM416" i="5"/>
  <c r="AM109" i="5"/>
  <c r="AM425" i="5"/>
  <c r="AM275" i="5"/>
  <c r="AM13" i="5"/>
  <c r="AM421" i="5"/>
  <c r="AM276" i="5"/>
  <c r="AM193" i="5"/>
  <c r="AM504" i="5"/>
  <c r="AM306" i="5"/>
  <c r="AM479" i="5"/>
  <c r="AM450" i="5"/>
  <c r="AM541" i="5"/>
  <c r="AM328" i="5"/>
  <c r="AM448" i="5"/>
  <c r="AM295" i="5"/>
  <c r="AM394" i="5"/>
  <c r="AM177" i="5"/>
  <c r="AM312" i="5"/>
  <c r="AM28" i="5"/>
  <c r="AM209" i="5"/>
  <c r="AM215" i="5"/>
  <c r="AM152" i="5"/>
  <c r="AM38" i="5"/>
  <c r="AM192" i="5"/>
  <c r="AM202" i="5"/>
  <c r="AM164" i="5"/>
  <c r="AM474" i="5"/>
  <c r="AM183" i="5"/>
  <c r="AM503" i="5"/>
  <c r="AM72" i="5"/>
  <c r="AM241" i="5"/>
  <c r="AM446" i="5"/>
  <c r="AM473" i="5"/>
  <c r="AM143" i="5"/>
  <c r="AM329" i="5"/>
  <c r="AM240" i="5"/>
  <c r="AM286" i="5"/>
  <c r="AM265" i="5"/>
  <c r="AM140" i="5"/>
  <c r="AM557" i="5"/>
  <c r="AM447" i="5"/>
  <c r="AM452" i="5"/>
  <c r="AM494" i="5"/>
  <c r="AM106" i="5"/>
  <c r="AM427" i="5"/>
  <c r="AM41" i="5"/>
  <c r="AM375" i="5"/>
  <c r="AM84" i="5"/>
  <c r="AM420" i="5"/>
  <c r="AM62" i="5"/>
  <c r="AM412" i="5"/>
  <c r="AM148" i="5"/>
  <c r="AM216" i="5"/>
  <c r="AM30" i="5"/>
  <c r="AM222" i="5"/>
  <c r="AM33" i="5"/>
  <c r="AM187" i="5"/>
  <c r="AM200" i="5"/>
  <c r="AM308" i="5"/>
  <c r="AM266" i="5"/>
  <c r="AM404" i="5"/>
  <c r="AM162" i="5"/>
  <c r="AM377" i="5"/>
  <c r="AM77" i="5"/>
  <c r="AM166" i="5"/>
  <c r="AM355" i="5"/>
  <c r="AM190" i="5"/>
  <c r="AM252" i="5"/>
  <c r="AM558" i="5"/>
  <c r="AM104" i="5"/>
  <c r="AM274" i="5"/>
  <c r="AM68" i="5"/>
  <c r="AM37" i="5"/>
  <c r="AM251" i="5"/>
  <c r="AM451" i="5"/>
  <c r="AM151" i="5"/>
  <c r="AM237" i="5"/>
  <c r="AM551" i="5"/>
  <c r="AM560" i="5"/>
  <c r="AM411" i="5"/>
  <c r="AM397" i="5"/>
  <c r="AM78" i="5"/>
  <c r="Y344" i="5"/>
  <c r="X344" i="5"/>
  <c r="Y494" i="5"/>
  <c r="X494" i="5"/>
  <c r="Y463" i="5"/>
  <c r="X463" i="5"/>
  <c r="Y370" i="5"/>
  <c r="X370" i="5"/>
  <c r="Y13" i="5"/>
  <c r="X13" i="5"/>
  <c r="Y152" i="5"/>
  <c r="X152" i="5"/>
  <c r="X206" i="5"/>
  <c r="Y206" i="5"/>
  <c r="X137" i="5"/>
  <c r="Y137" i="5"/>
  <c r="Y218" i="5"/>
  <c r="X218" i="5"/>
  <c r="Y104" i="5"/>
  <c r="X104" i="5"/>
  <c r="X535" i="5"/>
  <c r="Y535" i="5"/>
  <c r="X230" i="5"/>
  <c r="Y230" i="5"/>
  <c r="Y292" i="5"/>
  <c r="X292" i="5"/>
  <c r="X43" i="5"/>
  <c r="Y43" i="5"/>
  <c r="X174" i="5"/>
  <c r="Y174" i="5"/>
  <c r="X430" i="5"/>
  <c r="Y430" i="5"/>
  <c r="X291" i="5"/>
  <c r="Y291" i="5"/>
  <c r="X260" i="5"/>
  <c r="Y260" i="5"/>
  <c r="Y529" i="5"/>
  <c r="X529" i="5"/>
  <c r="X163" i="5"/>
  <c r="Y163" i="5"/>
  <c r="Y57" i="5"/>
  <c r="X57" i="5"/>
  <c r="X113" i="5"/>
  <c r="Y113" i="5"/>
  <c r="X324" i="5"/>
  <c r="Y324" i="5"/>
  <c r="Y99" i="5"/>
  <c r="X99" i="5"/>
  <c r="Y277" i="5"/>
  <c r="X277" i="5"/>
  <c r="X201" i="5"/>
  <c r="Y201" i="5"/>
  <c r="X128" i="5"/>
  <c r="Y128" i="5"/>
  <c r="X41" i="5"/>
  <c r="Y41" i="5"/>
  <c r="Y479" i="5"/>
  <c r="X479" i="5"/>
  <c r="Y227" i="5"/>
  <c r="X227" i="5"/>
  <c r="X147" i="5"/>
  <c r="Y147" i="5"/>
  <c r="Y234" i="5"/>
  <c r="X234" i="5"/>
  <c r="Y560" i="5"/>
  <c r="X560" i="5"/>
  <c r="X54" i="5"/>
  <c r="Y54" i="5"/>
  <c r="Y559" i="5"/>
  <c r="X559" i="5"/>
  <c r="X285" i="5"/>
  <c r="Y285" i="5"/>
  <c r="X357" i="5"/>
  <c r="Y357" i="5"/>
  <c r="Y396" i="5"/>
  <c r="X396" i="5"/>
  <c r="X126" i="5"/>
  <c r="Y126" i="5"/>
  <c r="Y524" i="5"/>
  <c r="X524" i="5"/>
  <c r="X192" i="5"/>
  <c r="Y192" i="5"/>
  <c r="X8" i="5"/>
  <c r="Y8" i="5"/>
  <c r="Y254" i="5"/>
  <c r="X254" i="5"/>
  <c r="X373" i="5"/>
  <c r="Y373" i="5"/>
  <c r="Y276" i="5"/>
  <c r="X276" i="5"/>
  <c r="Y521" i="5"/>
  <c r="X521" i="5"/>
  <c r="X538" i="5"/>
  <c r="Y538" i="5"/>
  <c r="X484" i="5"/>
  <c r="Y484" i="5"/>
  <c r="Y290" i="5"/>
  <c r="X290" i="5"/>
  <c r="X550" i="5"/>
  <c r="Y550" i="5"/>
  <c r="Y547" i="5"/>
  <c r="X547" i="5"/>
  <c r="X241" i="5"/>
  <c r="Y241" i="5"/>
  <c r="X330" i="5"/>
  <c r="Y330" i="5"/>
  <c r="Y518" i="5"/>
  <c r="X518" i="5"/>
  <c r="X149" i="5"/>
  <c r="Y149" i="5"/>
  <c r="X554" i="5"/>
  <c r="Y554" i="5"/>
  <c r="Y361" i="5"/>
  <c r="X361" i="5"/>
  <c r="Y318" i="5"/>
  <c r="X318" i="5"/>
  <c r="Y455" i="5"/>
  <c r="X455" i="5"/>
  <c r="Y223" i="5"/>
  <c r="X223" i="5"/>
  <c r="X545" i="5"/>
  <c r="Y545" i="5"/>
  <c r="X338" i="5"/>
  <c r="Y338" i="5"/>
  <c r="X157" i="5"/>
  <c r="Y157" i="5"/>
  <c r="X503" i="5"/>
  <c r="Y503" i="5"/>
  <c r="Y558" i="5"/>
  <c r="X558" i="5"/>
  <c r="X119" i="5"/>
  <c r="Y119" i="5"/>
  <c r="Y481" i="5"/>
  <c r="X481" i="5"/>
  <c r="X332" i="5"/>
  <c r="Y332" i="5"/>
  <c r="Y191" i="5"/>
  <c r="X191" i="5"/>
  <c r="X76" i="5"/>
  <c r="Y76" i="5"/>
  <c r="Y281" i="5"/>
  <c r="X281" i="5"/>
  <c r="Y196" i="5"/>
  <c r="X196" i="5"/>
  <c r="Y452" i="5"/>
  <c r="X452" i="5"/>
  <c r="Y298" i="5"/>
  <c r="X298" i="5"/>
  <c r="Y461" i="5"/>
  <c r="X461" i="5"/>
  <c r="Y504" i="5"/>
  <c r="X504" i="5"/>
  <c r="X349" i="5"/>
  <c r="Y349" i="5"/>
  <c r="Y114" i="5"/>
  <c r="X114" i="5"/>
  <c r="Y394" i="5"/>
  <c r="X394" i="5"/>
  <c r="Y220" i="5"/>
  <c r="X220" i="5"/>
  <c r="X224" i="5"/>
  <c r="Y224" i="5"/>
  <c r="Y505" i="5"/>
  <c r="X505" i="5"/>
  <c r="X106" i="5"/>
  <c r="Y106" i="5"/>
  <c r="X302" i="5"/>
  <c r="Y302" i="5"/>
  <c r="X243" i="5"/>
  <c r="Y243" i="5"/>
  <c r="Y492" i="5"/>
  <c r="X492" i="5"/>
  <c r="X214" i="5"/>
  <c r="Y214" i="5"/>
  <c r="X549" i="5"/>
  <c r="Y549" i="5"/>
  <c r="X300" i="5"/>
  <c r="Y300" i="5"/>
  <c r="X37" i="5"/>
  <c r="Y37" i="5"/>
  <c r="Y553" i="5"/>
  <c r="X553" i="5"/>
  <c r="X426" i="5"/>
  <c r="Y426" i="5"/>
  <c r="Y60" i="5"/>
  <c r="X60" i="5"/>
  <c r="X476" i="5"/>
  <c r="Y476" i="5"/>
  <c r="Y70" i="5"/>
  <c r="X70" i="5"/>
  <c r="X69" i="5"/>
  <c r="Y69" i="5"/>
  <c r="X315" i="5"/>
  <c r="Y315" i="5"/>
  <c r="X271" i="5"/>
  <c r="Y271" i="5"/>
  <c r="X242" i="5"/>
  <c r="Y242" i="5"/>
  <c r="X433" i="5"/>
  <c r="Y433" i="5"/>
  <c r="X65" i="5"/>
  <c r="Y65" i="5"/>
  <c r="Y496" i="5"/>
  <c r="X496" i="5"/>
  <c r="Y80" i="5"/>
  <c r="X80" i="5"/>
  <c r="X556" i="5"/>
  <c r="Y556" i="5"/>
  <c r="X331" i="5"/>
  <c r="Y331" i="5"/>
  <c r="X238" i="5"/>
  <c r="Y238" i="5"/>
  <c r="X335" i="5"/>
  <c r="Y335" i="5"/>
  <c r="Y555" i="5"/>
  <c r="X555" i="5"/>
  <c r="X248" i="5"/>
  <c r="Y248" i="5"/>
  <c r="X352" i="5"/>
  <c r="Y352" i="5"/>
  <c r="Y440" i="5"/>
  <c r="X440" i="5"/>
  <c r="Y209" i="5"/>
  <c r="X209" i="5"/>
  <c r="X395" i="5"/>
  <c r="Y395" i="5"/>
  <c r="X507" i="5"/>
  <c r="Y507" i="5"/>
  <c r="X482" i="5"/>
  <c r="Y482" i="5"/>
  <c r="Y295" i="5"/>
  <c r="X295" i="5"/>
  <c r="X25" i="5"/>
  <c r="Y25" i="5"/>
  <c r="X296" i="5"/>
  <c r="Y296" i="5"/>
  <c r="X393" i="5"/>
  <c r="Y393" i="5"/>
  <c r="X121" i="5"/>
  <c r="Y121" i="5"/>
  <c r="Y166" i="5"/>
  <c r="X166" i="5"/>
  <c r="X30" i="5"/>
  <c r="Y30" i="5"/>
  <c r="Y198" i="5"/>
  <c r="X198" i="5"/>
  <c r="X36" i="5"/>
  <c r="Y36" i="5"/>
  <c r="Y110" i="5"/>
  <c r="X110" i="5"/>
  <c r="X415" i="5"/>
  <c r="Y415" i="5"/>
  <c r="Y217" i="5"/>
  <c r="X217" i="5"/>
  <c r="X253" i="5"/>
  <c r="Y253" i="5"/>
  <c r="Y115" i="5"/>
  <c r="X115" i="5"/>
  <c r="X381" i="5"/>
  <c r="Y381" i="5"/>
  <c r="X541" i="5"/>
  <c r="Y541" i="5"/>
  <c r="Y317" i="5"/>
  <c r="X317" i="5"/>
  <c r="X83" i="5"/>
  <c r="Y83" i="5"/>
  <c r="Y109" i="5"/>
  <c r="X109" i="5"/>
  <c r="X20" i="5"/>
  <c r="Y20" i="5"/>
  <c r="X249" i="5"/>
  <c r="Y249" i="5"/>
  <c r="AV81" i="4"/>
  <c r="U81" i="4"/>
  <c r="AV120" i="4"/>
  <c r="U120" i="4"/>
  <c r="AV117" i="4"/>
  <c r="U117" i="4"/>
  <c r="Y448" i="5"/>
  <c r="X448" i="5"/>
  <c r="X525" i="5"/>
  <c r="Y525" i="5"/>
  <c r="X22" i="5"/>
  <c r="Y22" i="5"/>
  <c r="Y333" i="5"/>
  <c r="X333" i="5"/>
  <c r="X500" i="5"/>
  <c r="Y500" i="5"/>
  <c r="Y103" i="5"/>
  <c r="X103" i="5"/>
  <c r="Y289" i="5"/>
  <c r="X289" i="5"/>
  <c r="Y404" i="5"/>
  <c r="X404" i="5"/>
  <c r="Y170" i="5"/>
  <c r="X170" i="5"/>
  <c r="Y287" i="5"/>
  <c r="X287" i="5"/>
  <c r="X389" i="5"/>
  <c r="Y389" i="5"/>
  <c r="X46" i="5"/>
  <c r="Y46" i="5"/>
  <c r="Y356" i="5"/>
  <c r="X356" i="5"/>
  <c r="X77" i="5"/>
  <c r="Y77" i="5"/>
  <c r="X58" i="5"/>
  <c r="Y58" i="5"/>
  <c r="X534" i="5"/>
  <c r="Y534" i="5"/>
  <c r="X50" i="5"/>
  <c r="Y50" i="5"/>
  <c r="X272" i="5"/>
  <c r="Y272" i="5"/>
  <c r="X355" i="5"/>
  <c r="Y355" i="5"/>
  <c r="X257" i="5"/>
  <c r="Y257" i="5"/>
  <c r="X364" i="5"/>
  <c r="Y364" i="5"/>
  <c r="X251" i="5"/>
  <c r="Y251" i="5"/>
  <c r="Y399" i="5"/>
  <c r="X399" i="5"/>
  <c r="Y464" i="5"/>
  <c r="X464" i="5"/>
  <c r="Y425" i="5"/>
  <c r="X425" i="5"/>
  <c r="Y40" i="5"/>
  <c r="X40" i="5"/>
  <c r="Y226" i="5"/>
  <c r="X226" i="5"/>
  <c r="Y150" i="5"/>
  <c r="X150" i="5"/>
  <c r="Y548" i="5"/>
  <c r="X548" i="5"/>
  <c r="Y105" i="5"/>
  <c r="X105" i="5"/>
  <c r="AV79" i="4"/>
  <c r="U79" i="4"/>
  <c r="AV151" i="4"/>
  <c r="U151" i="4"/>
  <c r="AV83" i="4"/>
  <c r="U83" i="4"/>
  <c r="AV28" i="4"/>
  <c r="U28" i="4"/>
  <c r="Y79" i="5"/>
  <c r="X79" i="5"/>
  <c r="X284" i="5"/>
  <c r="Y284" i="5"/>
  <c r="X96" i="5"/>
  <c r="Y96" i="5"/>
  <c r="X391" i="5"/>
  <c r="Y391" i="5"/>
  <c r="X129" i="5"/>
  <c r="Y129" i="5"/>
  <c r="Y387" i="5"/>
  <c r="X387" i="5"/>
  <c r="X530" i="5"/>
  <c r="Y530" i="5"/>
  <c r="X342" i="5"/>
  <c r="Y342" i="5"/>
  <c r="X528" i="5"/>
  <c r="Y528" i="5"/>
  <c r="X432" i="5"/>
  <c r="Y432" i="5"/>
  <c r="X134" i="5"/>
  <c r="Y134" i="5"/>
  <c r="X162" i="5"/>
  <c r="Y162" i="5"/>
  <c r="Y441" i="5"/>
  <c r="X441" i="5"/>
  <c r="Y194" i="5"/>
  <c r="X194" i="5"/>
  <c r="X252" i="5"/>
  <c r="Y252" i="5"/>
  <c r="X236" i="5"/>
  <c r="Y236" i="5"/>
  <c r="X222" i="5"/>
  <c r="Y222" i="5"/>
  <c r="X48" i="5"/>
  <c r="Y48" i="5"/>
  <c r="X63" i="5"/>
  <c r="Y63" i="5"/>
  <c r="X61" i="5"/>
  <c r="Y61" i="5"/>
  <c r="Y308" i="5"/>
  <c r="X308" i="5"/>
  <c r="X445" i="5"/>
  <c r="Y445" i="5"/>
  <c r="X457" i="5"/>
  <c r="Y457" i="5"/>
  <c r="Y120" i="5"/>
  <c r="X120" i="5"/>
  <c r="Y551" i="5"/>
  <c r="X551" i="5"/>
  <c r="Y509" i="5"/>
  <c r="X509" i="5"/>
  <c r="Y193" i="5"/>
  <c r="X193" i="5"/>
  <c r="X127" i="5"/>
  <c r="Y127" i="5"/>
  <c r="X188" i="5"/>
  <c r="Y188" i="5"/>
  <c r="Y510" i="5"/>
  <c r="X510" i="5"/>
  <c r="Y24" i="5"/>
  <c r="X24" i="5"/>
  <c r="Y539" i="5"/>
  <c r="X539" i="5"/>
  <c r="X161" i="5"/>
  <c r="Y161" i="5"/>
  <c r="Y270" i="5"/>
  <c r="X270" i="5"/>
  <c r="X72" i="5"/>
  <c r="Y72" i="5"/>
  <c r="X490" i="5"/>
  <c r="Y490" i="5"/>
  <c r="X108" i="5"/>
  <c r="Y108" i="5"/>
  <c r="X462" i="5"/>
  <c r="Y462" i="5"/>
  <c r="Y451" i="5"/>
  <c r="X451" i="5"/>
  <c r="Y97" i="5"/>
  <c r="X97" i="5"/>
  <c r="X405" i="5"/>
  <c r="Y405" i="5"/>
  <c r="Y495" i="5"/>
  <c r="X495" i="5"/>
  <c r="X183" i="5"/>
  <c r="Y183" i="5"/>
  <c r="Y82" i="5"/>
  <c r="X82" i="5"/>
  <c r="X33" i="5"/>
  <c r="Y33" i="5"/>
  <c r="X354" i="5"/>
  <c r="Y354" i="5"/>
  <c r="X56" i="5"/>
  <c r="Y56" i="5"/>
  <c r="X475" i="5"/>
  <c r="Y475" i="5"/>
  <c r="X523" i="5"/>
  <c r="Y523" i="5"/>
  <c r="Y299" i="5"/>
  <c r="X299" i="5"/>
  <c r="Y189" i="5"/>
  <c r="X189" i="5"/>
  <c r="Y67" i="5"/>
  <c r="X67" i="5"/>
  <c r="X374" i="5"/>
  <c r="Y374" i="5"/>
  <c r="Y468" i="5"/>
  <c r="X468" i="5"/>
  <c r="Y139" i="5"/>
  <c r="X139" i="5"/>
  <c r="Y421" i="5"/>
  <c r="X421" i="5"/>
  <c r="X469" i="5"/>
  <c r="Y469" i="5"/>
  <c r="X325" i="5"/>
  <c r="Y325" i="5"/>
  <c r="X123" i="5"/>
  <c r="Y123" i="5"/>
  <c r="Y517" i="5"/>
  <c r="X517" i="5"/>
  <c r="X138" i="5"/>
  <c r="Y138" i="5"/>
  <c r="Y59" i="5"/>
  <c r="X59" i="5"/>
  <c r="Y164" i="5"/>
  <c r="X164" i="5"/>
  <c r="X266" i="5"/>
  <c r="Y266" i="5"/>
  <c r="Y382" i="5"/>
  <c r="X382" i="5"/>
  <c r="Y62" i="5"/>
  <c r="X62" i="5"/>
  <c r="X506" i="5"/>
  <c r="Y506" i="5"/>
  <c r="X543" i="5"/>
  <c r="Y543" i="5"/>
  <c r="X282" i="5"/>
  <c r="Y282" i="5"/>
  <c r="X136" i="5"/>
  <c r="Y136" i="5"/>
  <c r="X273" i="5"/>
  <c r="Y273" i="5"/>
  <c r="X390" i="5"/>
  <c r="Y390" i="5"/>
  <c r="X350" i="5"/>
  <c r="Y350" i="5"/>
  <c r="Y228" i="5"/>
  <c r="X228" i="5"/>
  <c r="X467" i="5"/>
  <c r="Y467" i="5"/>
  <c r="X326" i="5"/>
  <c r="Y326" i="5"/>
  <c r="Y75" i="5"/>
  <c r="X75" i="5"/>
  <c r="Y294" i="5"/>
  <c r="X294" i="5"/>
  <c r="X178" i="5"/>
  <c r="Y178" i="5"/>
  <c r="Y491" i="5"/>
  <c r="X491" i="5"/>
  <c r="Y359" i="5"/>
  <c r="X359" i="5"/>
  <c r="Y385" i="5"/>
  <c r="X385" i="5"/>
  <c r="Y68" i="5"/>
  <c r="X68" i="5"/>
  <c r="X38" i="5"/>
  <c r="Y38" i="5"/>
  <c r="X542" i="5"/>
  <c r="Y542" i="5"/>
  <c r="X408" i="5"/>
  <c r="Y408" i="5"/>
  <c r="Y472" i="5"/>
  <c r="X472" i="5"/>
  <c r="X471" i="5"/>
  <c r="Y471" i="5"/>
  <c r="X29" i="5"/>
  <c r="Y29" i="5"/>
  <c r="X322" i="5"/>
  <c r="Y322" i="5"/>
  <c r="Y312" i="5"/>
  <c r="X312" i="5"/>
  <c r="X199" i="5"/>
  <c r="Y199" i="5"/>
  <c r="X34" i="5"/>
  <c r="Y34" i="5"/>
  <c r="X177" i="5"/>
  <c r="Y177" i="5"/>
  <c r="Y301" i="5"/>
  <c r="X301" i="5"/>
  <c r="X145" i="5"/>
  <c r="Y145" i="5"/>
  <c r="X269" i="5"/>
  <c r="Y269" i="5"/>
  <c r="X221" i="5"/>
  <c r="Y221" i="5"/>
  <c r="Y208" i="5"/>
  <c r="X208" i="5"/>
  <c r="X92" i="5"/>
  <c r="Y92" i="5"/>
  <c r="Y437" i="5"/>
  <c r="X437" i="5"/>
  <c r="X334" i="5"/>
  <c r="Y334" i="5"/>
  <c r="X74" i="5"/>
  <c r="Y74" i="5"/>
  <c r="X200" i="5"/>
  <c r="Y200" i="5"/>
  <c r="X246" i="5"/>
  <c r="Y246" i="5"/>
  <c r="Y348" i="5"/>
  <c r="X348" i="5"/>
  <c r="Y485" i="5"/>
  <c r="X485" i="5"/>
  <c r="X311" i="5"/>
  <c r="Y311" i="5"/>
  <c r="Y339" i="5"/>
  <c r="X339" i="5"/>
  <c r="Y160" i="5"/>
  <c r="X160" i="5"/>
  <c r="Y413" i="5"/>
  <c r="X413" i="5"/>
  <c r="Y379" i="5"/>
  <c r="X379" i="5"/>
  <c r="Y140" i="5"/>
  <c r="X140" i="5"/>
  <c r="X89" i="5"/>
  <c r="Y89" i="5"/>
  <c r="X466" i="5"/>
  <c r="Y466" i="5"/>
  <c r="Y229" i="5"/>
  <c r="X229" i="5"/>
  <c r="X168" i="5"/>
  <c r="Y168" i="5"/>
  <c r="Y416" i="5"/>
  <c r="X416" i="5"/>
  <c r="X499" i="5"/>
  <c r="Y499" i="5"/>
  <c r="X148" i="5"/>
  <c r="Y148" i="5"/>
  <c r="Y231" i="5"/>
  <c r="X231" i="5"/>
  <c r="R7" i="5"/>
  <c r="S7" i="5"/>
  <c r="AV74" i="4"/>
  <c r="U74" i="4"/>
  <c r="AV137" i="4"/>
  <c r="U137" i="4"/>
  <c r="AV126" i="4"/>
  <c r="U126" i="4"/>
  <c r="AV147" i="4"/>
  <c r="U147" i="4"/>
  <c r="AV121" i="4"/>
  <c r="U121" i="4"/>
  <c r="AV8" i="4"/>
  <c r="U8" i="4"/>
  <c r="AV94" i="4"/>
  <c r="U94" i="4"/>
  <c r="AV15" i="4"/>
  <c r="U15" i="4"/>
  <c r="AV59" i="4"/>
  <c r="U59" i="4"/>
  <c r="AV30" i="4"/>
  <c r="U30" i="4"/>
  <c r="AV93" i="4"/>
  <c r="U93" i="4"/>
  <c r="AV44" i="4"/>
  <c r="U44" i="4"/>
  <c r="AV145" i="4"/>
  <c r="U145" i="4"/>
  <c r="AV33" i="4"/>
  <c r="U33" i="4"/>
  <c r="AV31" i="4"/>
  <c r="U31" i="4"/>
  <c r="AV141" i="4"/>
  <c r="U141" i="4"/>
  <c r="AV67" i="4"/>
  <c r="U67" i="4"/>
  <c r="AV61" i="4"/>
  <c r="U61" i="4"/>
  <c r="AF11" i="5"/>
  <c r="AF9" i="5"/>
  <c r="AF94" i="5"/>
  <c r="AF395" i="5"/>
  <c r="AF391" i="5"/>
  <c r="AF497" i="5"/>
  <c r="AF523" i="5"/>
  <c r="AF342" i="5"/>
  <c r="AF499" i="5"/>
  <c r="AF56" i="5"/>
  <c r="AF258" i="5"/>
  <c r="AF524" i="5"/>
  <c r="AF414" i="5"/>
  <c r="AF33" i="5"/>
  <c r="AF245" i="5"/>
  <c r="AF277" i="5"/>
  <c r="AF517" i="5"/>
  <c r="AF452" i="5"/>
  <c r="AF496" i="5"/>
  <c r="AF136" i="5"/>
  <c r="AF513" i="5"/>
  <c r="AF461" i="5"/>
  <c r="AF232" i="5"/>
  <c r="AF250" i="5"/>
  <c r="AF511" i="5"/>
  <c r="AF321" i="5"/>
  <c r="AF167" i="5"/>
  <c r="AF29" i="5"/>
  <c r="AF77" i="5"/>
  <c r="AF440" i="5"/>
  <c r="AF164" i="5"/>
  <c r="AF371" i="5"/>
  <c r="AF281" i="5"/>
  <c r="AF292" i="5"/>
  <c r="AF330" i="5"/>
  <c r="AF43" i="5"/>
  <c r="AF364" i="5"/>
  <c r="AF148" i="5"/>
  <c r="AF454" i="5"/>
  <c r="AF460" i="5"/>
  <c r="AF495" i="5"/>
  <c r="AF98" i="5"/>
  <c r="AF539" i="5"/>
  <c r="AF445" i="5"/>
  <c r="AF55" i="5"/>
  <c r="AF360" i="5"/>
  <c r="AF412" i="5"/>
  <c r="AF427" i="5"/>
  <c r="AF305" i="5"/>
  <c r="AF146" i="5"/>
  <c r="AF288" i="5"/>
  <c r="AF131" i="5"/>
  <c r="AF112" i="5"/>
  <c r="AF189" i="5"/>
  <c r="AF551" i="5"/>
  <c r="AF139" i="5"/>
  <c r="AF104" i="5"/>
  <c r="AF177" i="5"/>
  <c r="AF210" i="5"/>
  <c r="AF500" i="5"/>
  <c r="AF243" i="5"/>
  <c r="AF205" i="5"/>
  <c r="AF278" i="5"/>
  <c r="AF172" i="5"/>
  <c r="AF393" i="5"/>
  <c r="AF366" i="5"/>
  <c r="AF347" i="5"/>
  <c r="AF127" i="5"/>
  <c r="AF89" i="5"/>
  <c r="AF153" i="5"/>
  <c r="AF208" i="5"/>
  <c r="AF256" i="5"/>
  <c r="AF255" i="5"/>
  <c r="AF234" i="5"/>
  <c r="AF116" i="5"/>
  <c r="AF532" i="5"/>
  <c r="AF415" i="5"/>
  <c r="AF100" i="5"/>
  <c r="AF537" i="5"/>
  <c r="AF544" i="5"/>
  <c r="AF310" i="5"/>
  <c r="AF430" i="5"/>
  <c r="AF142" i="5"/>
  <c r="AF357" i="5"/>
  <c r="AF138" i="5"/>
  <c r="AF548" i="5"/>
  <c r="AF318" i="5"/>
  <c r="AF85" i="5"/>
  <c r="AF542" i="5"/>
  <c r="AF370" i="5"/>
  <c r="AF308" i="5"/>
  <c r="AF465" i="5"/>
  <c r="AF467" i="5"/>
  <c r="AF451" i="5"/>
  <c r="AF408" i="5"/>
  <c r="AF163" i="5"/>
  <c r="AF122" i="5"/>
  <c r="AF203" i="5"/>
  <c r="AF76" i="5"/>
  <c r="AF118" i="5"/>
  <c r="AF443" i="5"/>
  <c r="AF257" i="5"/>
  <c r="AF268" i="5"/>
  <c r="AF30" i="5"/>
  <c r="AF401" i="5"/>
  <c r="AF295" i="5"/>
  <c r="AF252" i="5"/>
  <c r="AF550" i="5"/>
  <c r="AF506" i="5"/>
  <c r="AF486" i="5"/>
  <c r="AF394" i="5"/>
  <c r="AF425" i="5"/>
  <c r="AF19" i="5"/>
  <c r="AF212" i="5"/>
  <c r="AF135" i="5"/>
  <c r="AF488" i="5"/>
  <c r="AF510" i="5"/>
  <c r="AF231" i="5"/>
  <c r="AF490" i="5"/>
  <c r="AF93" i="5"/>
  <c r="AF435" i="5"/>
  <c r="AF267" i="5"/>
  <c r="AF346" i="5"/>
  <c r="AF265" i="5"/>
  <c r="AF241" i="5"/>
  <c r="AF140" i="5"/>
  <c r="AF507" i="5"/>
  <c r="AF62" i="5"/>
  <c r="AF319" i="5"/>
  <c r="AF128" i="5"/>
  <c r="AF291" i="5"/>
  <c r="AF32" i="5"/>
  <c r="AF555" i="5"/>
  <c r="AF389" i="5"/>
  <c r="AF156" i="5"/>
  <c r="AF133" i="5"/>
  <c r="AF424" i="5"/>
  <c r="AF477" i="5"/>
  <c r="AF260" i="5"/>
  <c r="AF194" i="5"/>
  <c r="AF325" i="5"/>
  <c r="AF242" i="5"/>
  <c r="AF399" i="5"/>
  <c r="AF527" i="5"/>
  <c r="AF63" i="5"/>
  <c r="AF480" i="5"/>
  <c r="AF505" i="5"/>
  <c r="AF458" i="5"/>
  <c r="AF478" i="5"/>
  <c r="AF36" i="5"/>
  <c r="AF201" i="5"/>
  <c r="AF181" i="5"/>
  <c r="AF361" i="5"/>
  <c r="AF372" i="5"/>
  <c r="AF52" i="5"/>
  <c r="AF459" i="5"/>
  <c r="AF132" i="5"/>
  <c r="AF190" i="5"/>
  <c r="AF45" i="5"/>
  <c r="AF247" i="5"/>
  <c r="AF279" i="5"/>
  <c r="AF46" i="5"/>
  <c r="AF134" i="5"/>
  <c r="AF368" i="5"/>
  <c r="AF123" i="5"/>
  <c r="AF73" i="5"/>
  <c r="AF403" i="5"/>
  <c r="AF538" i="5"/>
  <c r="AF48" i="5"/>
  <c r="AF166" i="5"/>
  <c r="AF26" i="5"/>
  <c r="AF8" i="5"/>
  <c r="AF540" i="5"/>
  <c r="AF374" i="5"/>
  <c r="AF326" i="5"/>
  <c r="AF99" i="5"/>
  <c r="AF526" i="5"/>
  <c r="AF207" i="5"/>
  <c r="AF290" i="5"/>
  <c r="AF546" i="5"/>
  <c r="AF334" i="5"/>
  <c r="AF547" i="5"/>
  <c r="AF441" i="5"/>
  <c r="AF58" i="5"/>
  <c r="AF110" i="5"/>
  <c r="AF187" i="5"/>
  <c r="AF312" i="5"/>
  <c r="AF313" i="5"/>
  <c r="AF314" i="5"/>
  <c r="AF417" i="5"/>
  <c r="AF66" i="5"/>
  <c r="AF554" i="5"/>
  <c r="AF385" i="5"/>
  <c r="AF447" i="5"/>
  <c r="AF516" i="5"/>
  <c r="AF240" i="5"/>
  <c r="AF323" i="5"/>
  <c r="AF283" i="5"/>
  <c r="AF87" i="5"/>
  <c r="AF178" i="5"/>
  <c r="AF558" i="5"/>
  <c r="AF453" i="5"/>
  <c r="AF31" i="5"/>
  <c r="AF333" i="5"/>
  <c r="AF216" i="5"/>
  <c r="AF404" i="5"/>
  <c r="AF350" i="5"/>
  <c r="AF282" i="5"/>
  <c r="AF429" i="5"/>
  <c r="AF175" i="5"/>
  <c r="AF154" i="5"/>
  <c r="AF533" i="5"/>
  <c r="AF434" i="5"/>
  <c r="AF126" i="5"/>
  <c r="AF125" i="5"/>
  <c r="AF525" i="5"/>
  <c r="AF504" i="5"/>
  <c r="AF348" i="5"/>
  <c r="AF23" i="5"/>
  <c r="AF387" i="5"/>
  <c r="AF161" i="5"/>
  <c r="AF42" i="5"/>
  <c r="AF469" i="5"/>
  <c r="AF124" i="5"/>
  <c r="AF419" i="5"/>
  <c r="AF158" i="5"/>
  <c r="AF339" i="5"/>
  <c r="AF185" i="5"/>
  <c r="AF222" i="5"/>
  <c r="AF428" i="5"/>
  <c r="AF392" i="5"/>
  <c r="AF448" i="5"/>
  <c r="AF474" i="5"/>
  <c r="AF439" i="5"/>
  <c r="AF108" i="5"/>
  <c r="AF302" i="5"/>
  <c r="AF20" i="5"/>
  <c r="AF151" i="5"/>
  <c r="AF522" i="5"/>
  <c r="AF472" i="5"/>
  <c r="AF549" i="5"/>
  <c r="AF70" i="5"/>
  <c r="AF237" i="5"/>
  <c r="AF317" i="5"/>
  <c r="AF160" i="5"/>
  <c r="AF214" i="5"/>
  <c r="AF444" i="5"/>
  <c r="AF179" i="5"/>
  <c r="AF503" i="5"/>
  <c r="AF236" i="5"/>
  <c r="AF307" i="5"/>
  <c r="AF437" i="5"/>
  <c r="AF479" i="5"/>
  <c r="AF191" i="5"/>
  <c r="AF41" i="5"/>
  <c r="AF229" i="5"/>
  <c r="AF320" i="5"/>
  <c r="AF143" i="5"/>
  <c r="AF249" i="5"/>
  <c r="AF359" i="5"/>
  <c r="AF388" i="5"/>
  <c r="AF211" i="5"/>
  <c r="AF107" i="5"/>
  <c r="AF315" i="5"/>
  <c r="AF462" i="5"/>
  <c r="AF384" i="5"/>
  <c r="AF455" i="5"/>
  <c r="AF200" i="5"/>
  <c r="AF246" i="5"/>
  <c r="AF114" i="5"/>
  <c r="AF433" i="5"/>
  <c r="AF489" i="5"/>
  <c r="AF520" i="5"/>
  <c r="AF91" i="5"/>
  <c r="AF529" i="5"/>
  <c r="AF299" i="5"/>
  <c r="AF117" i="5"/>
  <c r="AF294" i="5"/>
  <c r="AF109" i="5"/>
  <c r="AF543" i="5"/>
  <c r="AF426" i="5"/>
  <c r="AF121" i="5"/>
  <c r="AF235" i="5"/>
  <c r="AF206" i="5"/>
  <c r="AF416" i="5"/>
  <c r="AF369" i="5"/>
  <c r="AF176" i="5"/>
  <c r="AF335" i="5"/>
  <c r="AF223" i="5"/>
  <c r="AF204" i="5"/>
  <c r="AF141" i="5"/>
  <c r="AF218" i="5"/>
  <c r="AF51" i="5"/>
  <c r="AF367" i="5"/>
  <c r="AF173" i="5"/>
  <c r="AF336" i="5"/>
  <c r="AF88" i="5"/>
  <c r="AF103" i="5"/>
  <c r="AF483" i="5"/>
  <c r="AF39" i="5"/>
  <c r="AF180" i="5"/>
  <c r="AF423" i="5"/>
  <c r="AF261" i="5"/>
  <c r="AF402" i="5"/>
  <c r="AF209" i="5"/>
  <c r="AF457" i="5"/>
  <c r="AF251" i="5"/>
  <c r="AF274" i="5"/>
  <c r="AF239" i="5"/>
  <c r="AF409" i="5"/>
  <c r="AF199" i="5"/>
  <c r="AF196" i="5"/>
  <c r="AF13" i="5"/>
  <c r="AF220" i="5"/>
  <c r="AF411" i="5"/>
  <c r="AF309" i="5"/>
  <c r="AF28" i="5"/>
  <c r="AF470" i="5"/>
  <c r="AF188" i="5"/>
  <c r="AF170" i="5"/>
  <c r="AF553" i="5"/>
  <c r="AF338" i="5"/>
  <c r="AF446" i="5"/>
  <c r="AF145" i="5"/>
  <c r="AF390" i="5"/>
  <c r="AF502" i="5"/>
  <c r="AF501" i="5"/>
  <c r="AF244" i="5"/>
  <c r="AF60" i="5"/>
  <c r="AF287" i="5"/>
  <c r="AF79" i="5"/>
  <c r="AF150" i="5"/>
  <c r="AF54" i="5"/>
  <c r="AF464" i="5"/>
  <c r="AF159" i="5"/>
  <c r="AF80" i="5"/>
  <c r="AF284" i="5"/>
  <c r="AF442" i="5"/>
  <c r="AF400" i="5"/>
  <c r="AF183" i="5"/>
  <c r="AF491" i="5"/>
  <c r="AF47" i="5"/>
  <c r="AF397" i="5"/>
  <c r="AF171" i="5"/>
  <c r="AF262" i="5"/>
  <c r="AF410" i="5"/>
  <c r="AF61" i="5"/>
  <c r="AF345" i="5"/>
  <c r="AF82" i="5"/>
  <c r="AF67" i="5"/>
  <c r="AF221" i="5"/>
  <c r="AF168" i="5"/>
  <c r="AF269" i="5"/>
  <c r="AF485" i="5"/>
  <c r="AF119" i="5"/>
  <c r="AF463" i="5"/>
  <c r="AF53" i="5"/>
  <c r="AF137" i="5"/>
  <c r="AF494" i="5"/>
  <c r="AF536" i="5"/>
  <c r="AF50" i="5"/>
  <c r="AF322" i="5"/>
  <c r="AF72" i="5"/>
  <c r="AF431" i="5"/>
  <c r="AF92" i="5"/>
  <c r="AF406" i="5"/>
  <c r="AF195" i="5"/>
  <c r="AF213" i="5"/>
  <c r="AF353" i="5"/>
  <c r="AF259" i="5"/>
  <c r="AF86" i="5"/>
  <c r="AF197" i="5"/>
  <c r="AF271" i="5"/>
  <c r="AF528" i="5"/>
  <c r="AF280" i="5"/>
  <c r="AF436" i="5"/>
  <c r="AF186" i="5"/>
  <c r="AF130" i="5"/>
  <c r="AF481" i="5"/>
  <c r="AF296" i="5"/>
  <c r="AF398" i="5"/>
  <c r="AF456" i="5"/>
  <c r="AF101" i="5"/>
  <c r="AF381" i="5"/>
  <c r="AF450" i="5"/>
  <c r="AF383" i="5"/>
  <c r="AF65" i="5"/>
  <c r="AF303" i="5"/>
  <c r="AF147" i="5"/>
  <c r="AF157" i="5"/>
  <c r="AF351" i="5"/>
  <c r="AF421" i="5"/>
  <c r="AF75" i="5"/>
  <c r="AF306" i="5"/>
  <c r="AF68" i="5"/>
  <c r="AF169" i="5"/>
  <c r="AF521" i="5"/>
  <c r="AF219" i="5"/>
  <c r="AF377" i="5"/>
  <c r="AF515" i="5"/>
  <c r="AF354" i="5"/>
  <c r="AF418" i="5"/>
  <c r="AF396" i="5"/>
  <c r="AF129" i="5"/>
  <c r="AF152" i="5"/>
  <c r="AF7" i="5"/>
  <c r="AF59" i="5"/>
  <c r="AF438" i="5"/>
  <c r="AF174" i="5"/>
  <c r="AF289" i="5"/>
  <c r="AF328" i="5"/>
  <c r="AF182" i="5"/>
  <c r="AF484" i="5"/>
  <c r="AF466" i="5"/>
  <c r="AF40" i="5"/>
  <c r="AF362" i="5"/>
  <c r="AF230" i="5"/>
  <c r="AF329" i="5"/>
  <c r="AF519" i="5"/>
  <c r="AF78" i="5"/>
  <c r="AF363" i="5"/>
  <c r="AF44" i="5"/>
  <c r="AF90" i="5"/>
  <c r="AF253" i="5"/>
  <c r="AF380" i="5"/>
  <c r="AF468" i="5"/>
  <c r="AF365" i="5"/>
  <c r="AF341" i="5"/>
  <c r="AF297" i="5"/>
  <c r="AF373" i="5"/>
  <c r="AF22" i="5"/>
  <c r="AF304" i="5"/>
  <c r="AF165" i="5"/>
  <c r="AF449" i="5"/>
  <c r="AF331" i="5"/>
  <c r="AF106" i="5"/>
  <c r="AF69" i="5"/>
  <c r="AF96" i="5"/>
  <c r="AF115" i="5"/>
  <c r="AF263" i="5"/>
  <c r="AF413" i="5"/>
  <c r="AF508" i="5"/>
  <c r="AF275" i="5"/>
  <c r="AF24" i="5"/>
  <c r="AF552" i="5"/>
  <c r="AF530" i="5"/>
  <c r="AF316" i="5"/>
  <c r="AF254" i="5"/>
  <c r="AF270" i="5"/>
  <c r="AF81" i="5"/>
  <c r="AF83" i="5"/>
  <c r="AF405" i="5"/>
  <c r="AF215" i="5"/>
  <c r="AF272" i="5"/>
  <c r="AF337" i="5"/>
  <c r="AF162" i="5"/>
  <c r="AF298" i="5"/>
  <c r="AF25" i="5"/>
  <c r="AF102" i="5"/>
  <c r="AF266" i="5"/>
  <c r="AF224" i="5"/>
  <c r="AF386" i="5"/>
  <c r="AF476" i="5"/>
  <c r="AF286" i="5"/>
  <c r="AF541" i="5"/>
  <c r="AF293" i="5"/>
  <c r="AF120" i="5"/>
  <c r="AF560" i="5"/>
  <c r="AF74" i="5"/>
  <c r="AF352" i="5"/>
  <c r="AF10" i="5"/>
  <c r="AF38" i="5"/>
  <c r="AF557" i="5"/>
  <c r="AF407" i="5"/>
  <c r="AF349" i="5"/>
  <c r="AF311" i="5"/>
  <c r="AF192" i="5"/>
  <c r="AF514" i="5"/>
  <c r="AF226" i="5"/>
  <c r="AF498" i="5"/>
  <c r="AF238" i="5"/>
  <c r="AF84" i="5"/>
  <c r="AF471" i="5"/>
  <c r="AF57" i="5"/>
  <c r="AF518" i="5"/>
  <c r="AF531" i="5"/>
  <c r="AF422" i="5"/>
  <c r="AF356" i="5"/>
  <c r="AF35" i="5"/>
  <c r="AF378" i="5"/>
  <c r="AF276" i="5"/>
  <c r="AF64" i="5"/>
  <c r="AF355" i="5"/>
  <c r="AF358" i="5"/>
  <c r="AF332" i="5"/>
  <c r="AF193" i="5"/>
  <c r="AF509" i="5"/>
  <c r="AF225" i="5"/>
  <c r="AF327" i="5"/>
  <c r="AF198" i="5"/>
  <c r="AF482" i="5"/>
  <c r="AF264" i="5"/>
  <c r="AF37" i="5"/>
  <c r="AF473" i="5"/>
  <c r="AF144" i="5"/>
  <c r="AF228" i="5"/>
  <c r="AF97" i="5"/>
  <c r="AF27" i="5"/>
  <c r="AF379" i="5"/>
  <c r="AF49" i="5"/>
  <c r="AF556" i="5"/>
  <c r="AF375" i="5"/>
  <c r="AF248" i="5"/>
  <c r="AF71" i="5"/>
  <c r="AF534" i="5"/>
  <c r="AF492" i="5"/>
  <c r="AF559" i="5"/>
  <c r="AF545" i="5"/>
  <c r="AF344" i="5"/>
  <c r="AF111" i="5"/>
  <c r="AF340" i="5"/>
  <c r="AF113" i="5"/>
  <c r="AF512" i="5"/>
  <c r="AF155" i="5"/>
  <c r="AF285" i="5"/>
  <c r="AF149" i="5"/>
  <c r="AF12" i="5"/>
  <c r="AF227" i="5"/>
  <c r="AF493" i="5"/>
  <c r="AF432" i="5"/>
  <c r="AF105" i="5"/>
  <c r="AF34" i="5"/>
  <c r="AF21" i="5"/>
  <c r="AF233" i="5"/>
  <c r="AF273" i="5"/>
  <c r="AF535" i="5"/>
  <c r="AF324" i="5"/>
  <c r="AF382" i="5"/>
  <c r="AF343" i="5"/>
  <c r="AF475" i="5"/>
  <c r="AF202" i="5"/>
  <c r="AF300" i="5"/>
  <c r="AF217" i="5"/>
  <c r="AF184" i="5"/>
  <c r="AF420" i="5"/>
  <c r="AF376" i="5"/>
  <c r="AF301" i="5"/>
  <c r="AF95" i="5"/>
  <c r="AF487" i="5"/>
  <c r="Y428" i="5"/>
  <c r="X428" i="5"/>
  <c r="Y336" i="5"/>
  <c r="X336" i="5"/>
  <c r="X449" i="5"/>
  <c r="Y449" i="5"/>
  <c r="X424" i="5"/>
  <c r="Y424" i="5"/>
  <c r="Y456" i="5"/>
  <c r="X456" i="5"/>
  <c r="X340" i="5"/>
  <c r="Y340" i="5"/>
  <c r="X261" i="5"/>
  <c r="Y261" i="5"/>
  <c r="X439" i="5"/>
  <c r="Y439" i="5"/>
  <c r="X460" i="5"/>
  <c r="Y460" i="5"/>
  <c r="X514" i="5"/>
  <c r="Y514" i="5"/>
  <c r="Y213" i="5"/>
  <c r="X213" i="5"/>
  <c r="X444" i="5"/>
  <c r="Y444" i="5"/>
  <c r="Y181" i="5"/>
  <c r="X181" i="5"/>
  <c r="Y345" i="5"/>
  <c r="X345" i="5"/>
  <c r="Y53" i="5"/>
  <c r="X53" i="5"/>
  <c r="X124" i="5"/>
  <c r="Y124" i="5"/>
  <c r="X288" i="5"/>
  <c r="Y288" i="5"/>
  <c r="Y446" i="5"/>
  <c r="X446" i="5"/>
  <c r="X531" i="5"/>
  <c r="Y531" i="5"/>
  <c r="Y458" i="5"/>
  <c r="X458" i="5"/>
  <c r="X406" i="5"/>
  <c r="Y406" i="5"/>
  <c r="Y402" i="5"/>
  <c r="X402" i="5"/>
  <c r="X49" i="5"/>
  <c r="Y49" i="5"/>
  <c r="Y186" i="5"/>
  <c r="X186" i="5"/>
  <c r="X268" i="5"/>
  <c r="Y268" i="5"/>
  <c r="Y450" i="5"/>
  <c r="X450" i="5"/>
  <c r="X526" i="5"/>
  <c r="Y526" i="5"/>
  <c r="X32" i="5"/>
  <c r="Y32" i="5"/>
  <c r="X360" i="5"/>
  <c r="Y360" i="5"/>
  <c r="X392" i="5"/>
  <c r="Y392" i="5"/>
  <c r="Y487" i="5"/>
  <c r="X487" i="5"/>
  <c r="X279" i="5"/>
  <c r="Y279" i="5"/>
  <c r="X532" i="5"/>
  <c r="Y532" i="5"/>
  <c r="X536" i="5"/>
  <c r="Y536" i="5"/>
  <c r="Y447" i="5"/>
  <c r="X447" i="5"/>
  <c r="Y131" i="5"/>
  <c r="X131" i="5"/>
  <c r="X94" i="5"/>
  <c r="Y94" i="5"/>
  <c r="X169" i="5"/>
  <c r="Y169" i="5"/>
  <c r="Y519" i="5"/>
  <c r="X519" i="5"/>
  <c r="Y386" i="5"/>
  <c r="X386" i="5"/>
  <c r="X329" i="5"/>
  <c r="Y329" i="5"/>
  <c r="X93" i="5"/>
  <c r="Y93" i="5"/>
  <c r="Y122" i="5"/>
  <c r="X122" i="5"/>
  <c r="X369" i="5"/>
  <c r="Y369" i="5"/>
  <c r="B182" i="2"/>
  <c r="B171" i="2"/>
  <c r="B179" i="2" s="1"/>
  <c r="B186" i="2" s="1"/>
  <c r="AV85" i="4"/>
  <c r="U85" i="4"/>
  <c r="AV65" i="4"/>
  <c r="U65" i="4"/>
  <c r="AV146" i="4"/>
  <c r="U146" i="4"/>
  <c r="AV99" i="4"/>
  <c r="U99" i="4"/>
  <c r="AV64" i="4"/>
  <c r="U64" i="4"/>
  <c r="AV29" i="4"/>
  <c r="U29" i="4"/>
  <c r="AV98" i="4"/>
  <c r="U98" i="4"/>
  <c r="AV122" i="4"/>
  <c r="U122" i="4"/>
  <c r="AV129" i="4"/>
  <c r="U129" i="4"/>
  <c r="AV89" i="4"/>
  <c r="U89" i="4"/>
  <c r="AV136" i="4"/>
  <c r="U136" i="4"/>
  <c r="AV91" i="4"/>
  <c r="U91" i="4"/>
  <c r="AV109" i="4"/>
  <c r="U109" i="4"/>
  <c r="AV87" i="4"/>
  <c r="U87" i="4"/>
  <c r="AV113" i="4"/>
  <c r="U113" i="4"/>
  <c r="AV53" i="4"/>
  <c r="U53" i="4"/>
  <c r="AV34" i="4"/>
  <c r="U34" i="4"/>
  <c r="AV76" i="4"/>
  <c r="U76" i="4"/>
  <c r="AV41" i="4"/>
  <c r="U41" i="4"/>
  <c r="AV48" i="4"/>
  <c r="U48" i="4"/>
  <c r="AV37" i="4"/>
  <c r="U37" i="4"/>
  <c r="AV96" i="4"/>
  <c r="U96" i="4"/>
  <c r="AV68" i="4"/>
  <c r="U68" i="4"/>
  <c r="AV50" i="4"/>
  <c r="U50" i="4"/>
  <c r="AV56" i="4"/>
  <c r="U56" i="4"/>
  <c r="AV46" i="4"/>
  <c r="U46" i="4"/>
  <c r="AV102" i="4"/>
  <c r="U102" i="4"/>
  <c r="AV62" i="4"/>
  <c r="U62" i="4"/>
  <c r="U108" i="4"/>
  <c r="AV108" i="4"/>
  <c r="AV95" i="4"/>
  <c r="U95" i="4"/>
  <c r="AV39" i="4"/>
  <c r="U39" i="4"/>
  <c r="AV25" i="4"/>
  <c r="U25" i="4"/>
  <c r="U9" i="4"/>
  <c r="AV9" i="4"/>
  <c r="B39" i="5"/>
  <c r="B38" i="5"/>
  <c r="X26" i="5"/>
  <c r="Y26" i="5"/>
  <c r="X263" i="5"/>
  <c r="Y263" i="5"/>
  <c r="X321" i="5"/>
  <c r="Y321" i="5"/>
  <c r="Y102" i="5"/>
  <c r="X102" i="5"/>
  <c r="Y429" i="5"/>
  <c r="X429" i="5"/>
  <c r="X159" i="5"/>
  <c r="Y159" i="5"/>
  <c r="X362" i="5"/>
  <c r="Y362" i="5"/>
  <c r="X427" i="5"/>
  <c r="Y427" i="5"/>
  <c r="X401" i="5"/>
  <c r="Y401" i="5"/>
  <c r="X240" i="5"/>
  <c r="Y240" i="5"/>
  <c r="X153" i="5"/>
  <c r="Y153" i="5"/>
  <c r="Y478" i="5"/>
  <c r="X478" i="5"/>
  <c r="X244" i="5"/>
  <c r="Y244" i="5"/>
  <c r="Y313" i="5"/>
  <c r="X313" i="5"/>
  <c r="Y78" i="5"/>
  <c r="X78" i="5"/>
  <c r="X470" i="5"/>
  <c r="Y470" i="5"/>
  <c r="AV63" i="4"/>
  <c r="U63" i="4"/>
  <c r="AV119" i="4"/>
  <c r="U119" i="4"/>
  <c r="AV100" i="4"/>
  <c r="U100" i="4"/>
  <c r="AV43" i="4"/>
  <c r="U43" i="4"/>
  <c r="AV139" i="4"/>
  <c r="U139" i="4"/>
  <c r="AV130" i="4"/>
  <c r="U130" i="4"/>
  <c r="AV82" i="4"/>
  <c r="U82" i="4"/>
  <c r="U16" i="4"/>
  <c r="AV16" i="4"/>
  <c r="AV78" i="4"/>
  <c r="U78" i="4"/>
  <c r="AV105" i="4"/>
  <c r="U105" i="4"/>
  <c r="AV104" i="4"/>
  <c r="U104" i="4"/>
  <c r="AV55" i="4"/>
  <c r="U55" i="4"/>
  <c r="AV47" i="4"/>
  <c r="U47" i="4"/>
  <c r="AV135" i="4"/>
  <c r="U135" i="4"/>
  <c r="AV27" i="4"/>
  <c r="U27" i="4"/>
  <c r="AV20" i="4"/>
  <c r="U20" i="4"/>
  <c r="AV69" i="4"/>
  <c r="U69" i="4"/>
  <c r="AV140" i="4"/>
  <c r="U140" i="4"/>
  <c r="AV114" i="4"/>
  <c r="U114" i="4"/>
  <c r="AV88" i="4"/>
  <c r="U88" i="4"/>
  <c r="AV97" i="4"/>
  <c r="U97" i="4"/>
  <c r="AV106" i="4"/>
  <c r="U106" i="4"/>
  <c r="AV118" i="4"/>
  <c r="U118" i="4"/>
  <c r="AV128" i="4"/>
  <c r="U128" i="4"/>
  <c r="AV35" i="4"/>
  <c r="U35" i="4"/>
  <c r="AV144" i="4"/>
  <c r="U144" i="4"/>
  <c r="U24" i="4"/>
  <c r="AV24" i="4"/>
  <c r="AV84" i="4"/>
  <c r="U84" i="4"/>
  <c r="AV10" i="4"/>
  <c r="U10" i="4"/>
  <c r="AV148" i="4"/>
  <c r="U148" i="4"/>
  <c r="AV51" i="4"/>
  <c r="U51" i="4"/>
  <c r="AV70" i="4"/>
  <c r="U70" i="4"/>
  <c r="AV138" i="4"/>
  <c r="U138" i="4"/>
  <c r="AV57" i="4"/>
  <c r="U57" i="4"/>
  <c r="U54" i="4"/>
  <c r="AV54" i="4"/>
  <c r="AV150" i="4"/>
  <c r="U150" i="4"/>
  <c r="AV80" i="4"/>
  <c r="U80" i="4"/>
  <c r="U142" i="4"/>
  <c r="AV142" i="4"/>
  <c r="AC7" i="5"/>
  <c r="Y135" i="5"/>
  <c r="X135" i="5"/>
  <c r="X175" i="5"/>
  <c r="Y175" i="5"/>
  <c r="Y156" i="5"/>
  <c r="X156" i="5"/>
  <c r="X112" i="5"/>
  <c r="Y112" i="5"/>
  <c r="Y527" i="5"/>
  <c r="X527" i="5"/>
  <c r="Y411" i="5"/>
  <c r="X411" i="5"/>
  <c r="X116" i="5"/>
  <c r="Y116" i="5"/>
  <c r="X544" i="5"/>
  <c r="Y544" i="5"/>
  <c r="X398" i="5"/>
  <c r="Y398" i="5"/>
  <c r="X483" i="5"/>
  <c r="Y483" i="5"/>
  <c r="Y66" i="5"/>
  <c r="X66" i="5"/>
  <c r="Y397" i="5"/>
  <c r="X397" i="5"/>
  <c r="X81" i="5"/>
  <c r="Y81" i="5"/>
  <c r="Y27" i="5"/>
  <c r="X27" i="5"/>
  <c r="X190" i="5"/>
  <c r="Y190" i="5"/>
  <c r="X520" i="5"/>
  <c r="Y520" i="5"/>
  <c r="X55" i="5"/>
  <c r="Y55" i="5"/>
  <c r="Y210" i="5"/>
  <c r="X210" i="5"/>
  <c r="Y417" i="5"/>
  <c r="X417" i="5"/>
  <c r="X384" i="5"/>
  <c r="Y384" i="5"/>
  <c r="X337" i="5"/>
  <c r="Y337" i="5"/>
  <c r="X195" i="5"/>
  <c r="Y195" i="5"/>
  <c r="X219" i="5"/>
  <c r="Y219" i="5"/>
  <c r="Y118" i="5"/>
  <c r="X118" i="5"/>
  <c r="X378" i="5"/>
  <c r="Y378" i="5"/>
  <c r="X546" i="5"/>
  <c r="Y546" i="5"/>
  <c r="X275" i="5"/>
  <c r="Y275" i="5"/>
  <c r="X280" i="5"/>
  <c r="Y280" i="5"/>
  <c r="X372" i="5"/>
  <c r="Y372" i="5"/>
  <c r="X143" i="5"/>
  <c r="Y143" i="5"/>
  <c r="X493" i="5"/>
  <c r="Y493" i="5"/>
  <c r="X516" i="5"/>
  <c r="Y516" i="5"/>
  <c r="X155" i="5"/>
  <c r="Y155" i="5"/>
  <c r="X419" i="5"/>
  <c r="Y419" i="5"/>
  <c r="Y498" i="5"/>
  <c r="X498" i="5"/>
  <c r="Y283" i="5"/>
  <c r="X283" i="5"/>
  <c r="Y341" i="5"/>
  <c r="X341" i="5"/>
  <c r="Y205" i="5"/>
  <c r="X205" i="5"/>
  <c r="X319" i="5"/>
  <c r="Y319" i="5"/>
  <c r="X274" i="5"/>
  <c r="Y274" i="5"/>
  <c r="X259" i="5"/>
  <c r="Y259" i="5"/>
  <c r="Y184" i="5"/>
  <c r="X184" i="5"/>
  <c r="Y365" i="5"/>
  <c r="X365" i="5"/>
  <c r="X130" i="5"/>
  <c r="Y130" i="5"/>
  <c r="Y353" i="5"/>
  <c r="X353" i="5"/>
  <c r="Y320" i="5"/>
  <c r="X320" i="5"/>
  <c r="X171" i="5"/>
  <c r="Y171" i="5"/>
  <c r="X45" i="5"/>
  <c r="Y45" i="5"/>
  <c r="Y86" i="5"/>
  <c r="X86" i="5"/>
  <c r="Y146" i="5"/>
  <c r="X146" i="5"/>
  <c r="X377" i="5"/>
  <c r="Y377" i="5"/>
  <c r="X286" i="5"/>
  <c r="Y286" i="5"/>
  <c r="X477" i="5"/>
  <c r="Y477" i="5"/>
  <c r="Y557" i="5"/>
  <c r="X557" i="5"/>
  <c r="Y383" i="5"/>
  <c r="X383" i="5"/>
  <c r="X21" i="5"/>
  <c r="Y21" i="5"/>
  <c r="Y73" i="5"/>
  <c r="X73" i="5"/>
  <c r="X39" i="5"/>
  <c r="Y39" i="5"/>
  <c r="X366" i="5"/>
  <c r="Y366" i="5"/>
  <c r="X328" i="5"/>
  <c r="Y328" i="5"/>
  <c r="Y306" i="5"/>
  <c r="X306" i="5"/>
  <c r="X125" i="5"/>
  <c r="Y125" i="5"/>
  <c r="Y71" i="5"/>
  <c r="X71" i="5"/>
  <c r="Y403" i="5"/>
  <c r="X403" i="5"/>
  <c r="X88" i="5"/>
  <c r="Y88" i="5"/>
  <c r="X304" i="5"/>
  <c r="Y304" i="5"/>
  <c r="X488" i="5"/>
  <c r="Y488" i="5"/>
  <c r="Y346" i="5"/>
  <c r="X346" i="5"/>
  <c r="X265" i="5"/>
  <c r="Y265" i="5"/>
  <c r="Y309" i="5"/>
  <c r="X309" i="5"/>
  <c r="Y85" i="5"/>
  <c r="X85" i="5"/>
  <c r="X459" i="5"/>
  <c r="Y459" i="5"/>
  <c r="Y442" i="5"/>
  <c r="X442" i="5"/>
  <c r="Y307" i="5"/>
  <c r="X307" i="5"/>
  <c r="X64" i="5"/>
  <c r="Y64" i="5"/>
  <c r="Y247" i="5"/>
  <c r="X247" i="5"/>
  <c r="X167" i="5"/>
  <c r="Y167" i="5"/>
  <c r="X465" i="5"/>
  <c r="Y465" i="5"/>
  <c r="Y435" i="5"/>
  <c r="X435" i="5"/>
  <c r="X420" i="5"/>
  <c r="Y420" i="5"/>
  <c r="Y47" i="5"/>
  <c r="X47" i="5"/>
  <c r="X235" i="5"/>
  <c r="Y235" i="5"/>
  <c r="X245" i="5"/>
  <c r="Y245" i="5"/>
  <c r="Y31" i="5"/>
  <c r="X31" i="5"/>
  <c r="X216" i="5"/>
  <c r="Y216" i="5"/>
  <c r="X204" i="5"/>
  <c r="Y204" i="5"/>
  <c r="X371" i="5"/>
  <c r="Y371" i="5"/>
  <c r="X117" i="5"/>
  <c r="Y117" i="5"/>
  <c r="Y486" i="5"/>
  <c r="X486" i="5"/>
  <c r="X358" i="5"/>
  <c r="Y358" i="5"/>
  <c r="X434" i="5"/>
  <c r="Y434" i="5"/>
  <c r="Y256" i="5"/>
  <c r="X256" i="5"/>
  <c r="Y454" i="5"/>
  <c r="X454" i="5"/>
  <c r="X44" i="5"/>
  <c r="Y44" i="5"/>
  <c r="X158" i="5"/>
  <c r="Y158" i="5"/>
  <c r="X537" i="5"/>
  <c r="Y537" i="5"/>
  <c r="Y453" i="5"/>
  <c r="X453" i="5"/>
  <c r="X423" i="5"/>
  <c r="Y423" i="5"/>
  <c r="X90" i="5"/>
  <c r="Y90" i="5"/>
  <c r="X154" i="5"/>
  <c r="Y154" i="5"/>
  <c r="X182" i="5"/>
  <c r="Y182" i="5"/>
  <c r="X508" i="5"/>
  <c r="Y508" i="5"/>
  <c r="Y87" i="5"/>
  <c r="X87" i="5"/>
  <c r="X375" i="5"/>
  <c r="Y375" i="5"/>
  <c r="Y474" i="5"/>
  <c r="X474" i="5"/>
  <c r="X380" i="5"/>
  <c r="Y380" i="5"/>
  <c r="Y473" i="5"/>
  <c r="X473" i="5"/>
  <c r="X409" i="5"/>
  <c r="Y409" i="5"/>
  <c r="Y327" i="5"/>
  <c r="X327" i="5"/>
  <c r="Y412" i="5"/>
  <c r="X412" i="5"/>
  <c r="Y314" i="5"/>
  <c r="X314" i="5"/>
  <c r="X540" i="5"/>
  <c r="Y540" i="5"/>
  <c r="Y52" i="5"/>
  <c r="X52" i="5"/>
  <c r="X438" i="5"/>
  <c r="Y438" i="5"/>
  <c r="X351" i="5"/>
  <c r="Y351" i="5"/>
  <c r="X278" i="5"/>
  <c r="Y278" i="5"/>
  <c r="Y142" i="5"/>
  <c r="X142" i="5"/>
  <c r="Y133" i="5"/>
  <c r="X133" i="5"/>
  <c r="X443" i="5"/>
  <c r="Y443" i="5"/>
  <c r="X84" i="5"/>
  <c r="Y84" i="5"/>
  <c r="X414" i="5"/>
  <c r="Y414" i="5"/>
  <c r="Y552" i="5"/>
  <c r="X552" i="5"/>
  <c r="Y422" i="5"/>
  <c r="X422" i="5"/>
  <c r="Y42" i="5"/>
  <c r="X42" i="5"/>
  <c r="X144" i="5"/>
  <c r="Y144" i="5"/>
  <c r="Y297" i="5"/>
  <c r="X297" i="5"/>
  <c r="X293" i="5"/>
  <c r="Y293" i="5"/>
  <c r="X207" i="5"/>
  <c r="Y207" i="5"/>
  <c r="Y497" i="5"/>
  <c r="X497" i="5"/>
  <c r="X239" i="5"/>
  <c r="Y239" i="5"/>
  <c r="X305" i="5"/>
  <c r="Y305" i="5"/>
  <c r="Y212" i="5"/>
  <c r="X212" i="5"/>
  <c r="X511" i="5"/>
  <c r="Y511" i="5"/>
  <c r="Y262" i="5"/>
  <c r="X262" i="5"/>
  <c r="X410" i="5"/>
  <c r="Y410" i="5"/>
  <c r="X436" i="5"/>
  <c r="Y436" i="5"/>
  <c r="AP483" i="5" l="1"/>
  <c r="AP203" i="5"/>
  <c r="AP508" i="5"/>
  <c r="AQ508" i="5" s="1"/>
  <c r="AP171" i="5"/>
  <c r="BI171" i="5" s="1"/>
  <c r="AP228" i="5"/>
  <c r="AR228" i="5" s="1"/>
  <c r="Z9" i="5"/>
  <c r="AA9" i="5" s="1"/>
  <c r="AP304" i="5"/>
  <c r="AR304" i="5" s="1"/>
  <c r="AP80" i="5"/>
  <c r="AQ80" i="5" s="1"/>
  <c r="AP432" i="5"/>
  <c r="AR432" i="5" s="1"/>
  <c r="AP266" i="5"/>
  <c r="AQ266" i="5" s="1"/>
  <c r="AP129" i="5"/>
  <c r="AQ129" i="5" s="1"/>
  <c r="AP298" i="5"/>
  <c r="AQ298" i="5" s="1"/>
  <c r="AP74" i="5"/>
  <c r="AQ74" i="5" s="1"/>
  <c r="AP330" i="5"/>
  <c r="AQ330" i="5" s="1"/>
  <c r="AP456" i="5"/>
  <c r="BI456" i="5" s="1"/>
  <c r="AP26" i="5"/>
  <c r="BI26" i="5" s="1"/>
  <c r="AP493" i="5"/>
  <c r="BI493" i="5" s="1"/>
  <c r="AP244" i="5"/>
  <c r="AR244" i="5" s="1"/>
  <c r="AP380" i="5"/>
  <c r="BI380" i="5" s="1"/>
  <c r="AP339" i="5"/>
  <c r="BI339" i="5" s="1"/>
  <c r="AP399" i="5"/>
  <c r="AR399" i="5" s="1"/>
  <c r="AP191" i="5"/>
  <c r="BI191" i="5" s="1"/>
  <c r="AP40" i="5"/>
  <c r="AQ40" i="5" s="1"/>
  <c r="AP515" i="5"/>
  <c r="BI515" i="5" s="1"/>
  <c r="AP197" i="5"/>
  <c r="AQ197" i="5" s="1"/>
  <c r="AP99" i="5"/>
  <c r="BI99" i="5" s="1"/>
  <c r="AP172" i="5"/>
  <c r="AQ172" i="5" s="1"/>
  <c r="AP146" i="5"/>
  <c r="AQ146" i="5" s="1"/>
  <c r="AP442" i="5"/>
  <c r="AR442" i="5" s="1"/>
  <c r="AP525" i="5"/>
  <c r="BI525" i="5" s="1"/>
  <c r="AP101" i="5"/>
  <c r="BI101" i="5" s="1"/>
  <c r="AP476" i="5"/>
  <c r="AQ476" i="5" s="1"/>
  <c r="AG9" i="5"/>
  <c r="AI9" i="5" s="1"/>
  <c r="T9" i="5"/>
  <c r="U9" i="5" s="1"/>
  <c r="W9" i="5"/>
  <c r="X9" i="5" s="1"/>
  <c r="AP292" i="5"/>
  <c r="BI292" i="5" s="1"/>
  <c r="AP140" i="5"/>
  <c r="AR140" i="5" s="1"/>
  <c r="AP406" i="5"/>
  <c r="BI406" i="5" s="1"/>
  <c r="AW9" i="5"/>
  <c r="AY9" i="5" s="1"/>
  <c r="AP496" i="5"/>
  <c r="AR496" i="5" s="1"/>
  <c r="AP253" i="5"/>
  <c r="AR253" i="5" s="1"/>
  <c r="AP8" i="5"/>
  <c r="AQ8" i="5" s="1"/>
  <c r="AP487" i="5"/>
  <c r="AR487" i="5" s="1"/>
  <c r="AP135" i="5"/>
  <c r="BI135" i="5" s="1"/>
  <c r="AP516" i="5"/>
  <c r="AR516" i="5" s="1"/>
  <c r="AP560" i="5"/>
  <c r="AQ560" i="5" s="1"/>
  <c r="AP222" i="5"/>
  <c r="AR222" i="5" s="1"/>
  <c r="AP109" i="5"/>
  <c r="AR109" i="5" s="1"/>
  <c r="AM9" i="5"/>
  <c r="AO9" i="5" s="1"/>
  <c r="AP192" i="5"/>
  <c r="AR192" i="5" s="1"/>
  <c r="AT9" i="5"/>
  <c r="AU9" i="5" s="1"/>
  <c r="AJ9" i="5"/>
  <c r="AP243" i="5"/>
  <c r="AQ243" i="5" s="1"/>
  <c r="AP27" i="5"/>
  <c r="AQ27" i="5" s="1"/>
  <c r="AP358" i="5"/>
  <c r="AQ358" i="5" s="1"/>
  <c r="AP64" i="5"/>
  <c r="AQ64" i="5" s="1"/>
  <c r="AP336" i="5"/>
  <c r="AR336" i="5" s="1"/>
  <c r="AP256" i="5"/>
  <c r="BI256" i="5" s="1"/>
  <c r="AP277" i="5"/>
  <c r="AQ277" i="5" s="1"/>
  <c r="AP88" i="5"/>
  <c r="BI88" i="5" s="1"/>
  <c r="AP274" i="5"/>
  <c r="BI274" i="5" s="1"/>
  <c r="AP559" i="5"/>
  <c r="BI559" i="5" s="1"/>
  <c r="AP224" i="5"/>
  <c r="AR224" i="5" s="1"/>
  <c r="AP241" i="5"/>
  <c r="BI241" i="5" s="1"/>
  <c r="AP157" i="5"/>
  <c r="AQ157" i="5" s="1"/>
  <c r="AP528" i="5"/>
  <c r="AQ528" i="5" s="1"/>
  <c r="AP86" i="5"/>
  <c r="BI86" i="5" s="1"/>
  <c r="AP183" i="5"/>
  <c r="BI183" i="5" s="1"/>
  <c r="AP400" i="5"/>
  <c r="AQ400" i="5" s="1"/>
  <c r="AP246" i="5"/>
  <c r="AQ246" i="5" s="1"/>
  <c r="AP106" i="5"/>
  <c r="AQ106" i="5" s="1"/>
  <c r="AP306" i="5"/>
  <c r="AQ306" i="5" s="1"/>
  <c r="AP270" i="5"/>
  <c r="AR270" i="5" s="1"/>
  <c r="AP286" i="5"/>
  <c r="AR286" i="5" s="1"/>
  <c r="AP449" i="5"/>
  <c r="AQ449" i="5" s="1"/>
  <c r="AP367" i="5"/>
  <c r="AQ367" i="5" s="1"/>
  <c r="AP175" i="5"/>
  <c r="BI175" i="5" s="1"/>
  <c r="AP139" i="5"/>
  <c r="AQ139" i="5" s="1"/>
  <c r="AP98" i="5"/>
  <c r="BI98" i="5" s="1"/>
  <c r="AP23" i="5"/>
  <c r="AQ23" i="5" s="1"/>
  <c r="AP331" i="5"/>
  <c r="AR331" i="5" s="1"/>
  <c r="AP363" i="5"/>
  <c r="AR363" i="5" s="1"/>
  <c r="AP481" i="5"/>
  <c r="BI481" i="5" s="1"/>
  <c r="AP473" i="5"/>
  <c r="BI473" i="5" s="1"/>
  <c r="AP421" i="5"/>
  <c r="AQ421" i="5" s="1"/>
  <c r="AP538" i="5"/>
  <c r="BI538" i="5" s="1"/>
  <c r="AP357" i="5"/>
  <c r="AR357" i="5" s="1"/>
  <c r="AP519" i="5"/>
  <c r="AR519" i="5" s="1"/>
  <c r="AP469" i="5"/>
  <c r="BI469" i="5" s="1"/>
  <c r="AP345" i="5"/>
  <c r="AR345" i="5" s="1"/>
  <c r="AP321" i="5"/>
  <c r="AQ321" i="5" s="1"/>
  <c r="AP352" i="5"/>
  <c r="BI352" i="5" s="1"/>
  <c r="AP466" i="5"/>
  <c r="AQ466" i="5" s="1"/>
  <c r="AP160" i="5"/>
  <c r="AR160" i="5" s="1"/>
  <c r="AP344" i="5"/>
  <c r="AR344" i="5" s="1"/>
  <c r="AP92" i="5"/>
  <c r="AR92" i="5" s="1"/>
  <c r="AP239" i="5"/>
  <c r="AQ239" i="5" s="1"/>
  <c r="AP507" i="5"/>
  <c r="AR507" i="5" s="1"/>
  <c r="AP376" i="5"/>
  <c r="BI376" i="5" s="1"/>
  <c r="AP338" i="5"/>
  <c r="AR338" i="5" s="1"/>
  <c r="AP543" i="5"/>
  <c r="AQ543" i="5" s="1"/>
  <c r="AP414" i="5"/>
  <c r="AR414" i="5" s="1"/>
  <c r="AP170" i="5"/>
  <c r="AQ170" i="5" s="1"/>
  <c r="AP387" i="5"/>
  <c r="AR387" i="5" s="1"/>
  <c r="AP138" i="5"/>
  <c r="BI138" i="5" s="1"/>
  <c r="AP147" i="5"/>
  <c r="AR147" i="5" s="1"/>
  <c r="AP141" i="5"/>
  <c r="AR141" i="5" s="1"/>
  <c r="AP112" i="5"/>
  <c r="BI112" i="5" s="1"/>
  <c r="AP173" i="5"/>
  <c r="BI173" i="5" s="1"/>
  <c r="AP470" i="5"/>
  <c r="AQ470" i="5" s="1"/>
  <c r="AP207" i="5"/>
  <c r="BI207" i="5" s="1"/>
  <c r="AP368" i="5"/>
  <c r="BI368" i="5" s="1"/>
  <c r="AP250" i="5"/>
  <c r="BI250" i="5" s="1"/>
  <c r="AP52" i="5"/>
  <c r="AQ52" i="5" s="1"/>
  <c r="AP526" i="5"/>
  <c r="AR526" i="5" s="1"/>
  <c r="AP21" i="5"/>
  <c r="AR21" i="5" s="1"/>
  <c r="AP397" i="5"/>
  <c r="AR397" i="5" s="1"/>
  <c r="AP490" i="5"/>
  <c r="BI490" i="5" s="1"/>
  <c r="AP415" i="5"/>
  <c r="AQ415" i="5" s="1"/>
  <c r="AP259" i="5"/>
  <c r="AQ259" i="5" s="1"/>
  <c r="AP489" i="5"/>
  <c r="AR489" i="5" s="1"/>
  <c r="AP480" i="5"/>
  <c r="AQ480" i="5" s="1"/>
  <c r="AP512" i="5"/>
  <c r="AQ512" i="5" s="1"/>
  <c r="AP119" i="5"/>
  <c r="BI119" i="5" s="1"/>
  <c r="AP291" i="5"/>
  <c r="AQ291" i="5" s="1"/>
  <c r="AP391" i="5"/>
  <c r="AR391" i="5" s="1"/>
  <c r="AP522" i="5"/>
  <c r="BI522" i="5" s="1"/>
  <c r="AP128" i="5"/>
  <c r="AQ128" i="5" s="1"/>
  <c r="AP254" i="5"/>
  <c r="AR254" i="5" s="1"/>
  <c r="AP535" i="5"/>
  <c r="AQ535" i="5" s="1"/>
  <c r="AP83" i="5"/>
  <c r="AR83" i="5" s="1"/>
  <c r="AP235" i="5"/>
  <c r="BI235" i="5" s="1"/>
  <c r="AP132" i="5"/>
  <c r="BI132" i="5" s="1"/>
  <c r="B80" i="2"/>
  <c r="AP111" i="5"/>
  <c r="AQ111" i="5" s="1"/>
  <c r="AP438" i="5"/>
  <c r="AR438" i="5" s="1"/>
  <c r="AP472" i="5"/>
  <c r="AR472" i="5" s="1"/>
  <c r="AP420" i="5"/>
  <c r="AR420" i="5" s="1"/>
  <c r="AP82" i="5"/>
  <c r="AQ82" i="5" s="1"/>
  <c r="AP407" i="5"/>
  <c r="AQ407" i="5" s="1"/>
  <c r="AP105" i="5"/>
  <c r="AR105" i="5" s="1"/>
  <c r="AP184" i="5"/>
  <c r="BI184" i="5" s="1"/>
  <c r="AP356" i="5"/>
  <c r="AR356" i="5" s="1"/>
  <c r="AP282" i="5"/>
  <c r="AR282" i="5" s="1"/>
  <c r="AP181" i="5"/>
  <c r="AR181" i="5" s="1"/>
  <c r="AP534" i="5"/>
  <c r="BI534" i="5" s="1"/>
  <c r="AP482" i="5"/>
  <c r="BI482" i="5" s="1"/>
  <c r="AP117" i="5"/>
  <c r="AQ117" i="5" s="1"/>
  <c r="AP108" i="5"/>
  <c r="AQ108" i="5" s="1"/>
  <c r="AP346" i="5"/>
  <c r="BI346" i="5" s="1"/>
  <c r="AP506" i="5"/>
  <c r="BI506" i="5" s="1"/>
  <c r="AP511" i="5"/>
  <c r="AR511" i="5" s="1"/>
  <c r="AP436" i="5"/>
  <c r="BI436" i="5" s="1"/>
  <c r="AP546" i="5"/>
  <c r="AQ546" i="5" s="1"/>
  <c r="AP477" i="5"/>
  <c r="AQ477" i="5" s="1"/>
  <c r="AP227" i="5"/>
  <c r="AQ227" i="5" s="1"/>
  <c r="AP418" i="5"/>
  <c r="AR418" i="5" s="1"/>
  <c r="AP536" i="5"/>
  <c r="AR536" i="5" s="1"/>
  <c r="AP133" i="5"/>
  <c r="AR133" i="5" s="1"/>
  <c r="AP550" i="5"/>
  <c r="AQ550" i="5" s="1"/>
  <c r="AP202" i="5"/>
  <c r="AQ202" i="5" s="1"/>
  <c r="AP518" i="5"/>
  <c r="AQ518" i="5" s="1"/>
  <c r="AP275" i="5"/>
  <c r="AQ275" i="5" s="1"/>
  <c r="AP65" i="5"/>
  <c r="BI65" i="5" s="1"/>
  <c r="AP261" i="5"/>
  <c r="AQ261" i="5" s="1"/>
  <c r="AP223" i="5"/>
  <c r="BI223" i="5" s="1"/>
  <c r="AP216" i="5"/>
  <c r="AQ216" i="5" s="1"/>
  <c r="AP134" i="5"/>
  <c r="AQ134" i="5" s="1"/>
  <c r="AP478" i="5"/>
  <c r="AR478" i="5" s="1"/>
  <c r="AP467" i="5"/>
  <c r="BI467" i="5" s="1"/>
  <c r="AP20" i="5"/>
  <c r="AR20" i="5" s="1"/>
  <c r="AP375" i="5"/>
  <c r="BI375" i="5" s="1"/>
  <c r="AP287" i="5"/>
  <c r="AQ287" i="5" s="1"/>
  <c r="AP43" i="5"/>
  <c r="AR43" i="5" s="1"/>
  <c r="AP53" i="5"/>
  <c r="AR53" i="5" s="1"/>
  <c r="AP31" i="5"/>
  <c r="BI31" i="5" s="1"/>
  <c r="AP365" i="5"/>
  <c r="AQ365" i="5" s="1"/>
  <c r="AP49" i="5"/>
  <c r="AQ49" i="5" s="1"/>
  <c r="AP193" i="5"/>
  <c r="AQ193" i="5" s="1"/>
  <c r="AP263" i="5"/>
  <c r="AQ263" i="5" s="1"/>
  <c r="AP468" i="5"/>
  <c r="BI468" i="5" s="1"/>
  <c r="AP220" i="5"/>
  <c r="BI220" i="5" s="1"/>
  <c r="AP143" i="5"/>
  <c r="BI143" i="5" s="1"/>
  <c r="AP231" i="5"/>
  <c r="AQ231" i="5" s="1"/>
  <c r="AP471" i="5"/>
  <c r="AR471" i="5" s="1"/>
  <c r="AP379" i="5"/>
  <c r="AR379" i="5" s="1"/>
  <c r="AP215" i="5"/>
  <c r="BI215" i="5" s="1"/>
  <c r="AP521" i="5"/>
  <c r="AR521" i="5" s="1"/>
  <c r="AP237" i="5"/>
  <c r="AR237" i="5" s="1"/>
  <c r="AP431" i="5"/>
  <c r="AR431" i="5" s="1"/>
  <c r="AP285" i="5"/>
  <c r="AR285" i="5" s="1"/>
  <c r="AP289" i="5"/>
  <c r="AQ289" i="5" s="1"/>
  <c r="AP213" i="5"/>
  <c r="AQ213" i="5" s="1"/>
  <c r="AP103" i="5"/>
  <c r="AR103" i="5" s="1"/>
  <c r="AP229" i="5"/>
  <c r="AQ229" i="5" s="1"/>
  <c r="AP70" i="5"/>
  <c r="AQ70" i="5" s="1"/>
  <c r="AP178" i="5"/>
  <c r="AR178" i="5" s="1"/>
  <c r="AP124" i="5"/>
  <c r="AR124" i="5" s="1"/>
  <c r="AP343" i="5"/>
  <c r="AR343" i="5" s="1"/>
  <c r="AP96" i="5"/>
  <c r="AQ96" i="5" s="1"/>
  <c r="AP541" i="5"/>
  <c r="BI541" i="5" s="1"/>
  <c r="AP398" i="5"/>
  <c r="AQ398" i="5" s="1"/>
  <c r="AP517" i="5"/>
  <c r="BI517" i="5" s="1"/>
  <c r="AP95" i="5"/>
  <c r="AR95" i="5" s="1"/>
  <c r="AP34" i="5"/>
  <c r="AQ34" i="5" s="1"/>
  <c r="AP198" i="5"/>
  <c r="AR198" i="5" s="1"/>
  <c r="AP57" i="5"/>
  <c r="BI57" i="5" s="1"/>
  <c r="AP341" i="5"/>
  <c r="AQ341" i="5" s="1"/>
  <c r="AP182" i="5"/>
  <c r="AR182" i="5" s="1"/>
  <c r="AP303" i="5"/>
  <c r="AR303" i="5" s="1"/>
  <c r="AP463" i="5"/>
  <c r="BI463" i="5" s="1"/>
  <c r="AP150" i="5"/>
  <c r="AR150" i="5" s="1"/>
  <c r="AP309" i="5"/>
  <c r="BI309" i="5" s="1"/>
  <c r="AP317" i="5"/>
  <c r="AQ317" i="5" s="1"/>
  <c r="AP302" i="5"/>
  <c r="AR302" i="5" s="1"/>
  <c r="AP533" i="5"/>
  <c r="AQ533" i="5" s="1"/>
  <c r="AP194" i="5"/>
  <c r="AR194" i="5" s="1"/>
  <c r="AP465" i="5"/>
  <c r="BI465" i="5" s="1"/>
  <c r="AP131" i="5"/>
  <c r="BI131" i="5" s="1"/>
  <c r="AP445" i="5"/>
  <c r="BI445" i="5" s="1"/>
  <c r="AP29" i="5"/>
  <c r="BI29" i="5" s="1"/>
  <c r="AP395" i="5"/>
  <c r="AQ395" i="5" s="1"/>
  <c r="AP378" i="5"/>
  <c r="AR378" i="5" s="1"/>
  <c r="AP293" i="5"/>
  <c r="AQ293" i="5" s="1"/>
  <c r="AP81" i="5"/>
  <c r="BI81" i="5" s="1"/>
  <c r="AP130" i="5"/>
  <c r="AQ130" i="5" s="1"/>
  <c r="AP121" i="5"/>
  <c r="BI121" i="5" s="1"/>
  <c r="AP236" i="5"/>
  <c r="AQ236" i="5" s="1"/>
  <c r="AP439" i="5"/>
  <c r="BI439" i="5" s="1"/>
  <c r="AP158" i="5"/>
  <c r="AR158" i="5" s="1"/>
  <c r="AP453" i="5"/>
  <c r="BI453" i="5" s="1"/>
  <c r="AP212" i="5"/>
  <c r="AQ212" i="5" s="1"/>
  <c r="AP370" i="5"/>
  <c r="BI370" i="5" s="1"/>
  <c r="AP234" i="5"/>
  <c r="AR234" i="5" s="1"/>
  <c r="AP382" i="5"/>
  <c r="AQ382" i="5" s="1"/>
  <c r="AP509" i="5"/>
  <c r="BI509" i="5" s="1"/>
  <c r="AP35" i="5"/>
  <c r="AQ35" i="5" s="1"/>
  <c r="AP238" i="5"/>
  <c r="AR238" i="5" s="1"/>
  <c r="AP557" i="5"/>
  <c r="AQ557" i="5" s="1"/>
  <c r="AP230" i="5"/>
  <c r="AQ230" i="5" s="1"/>
  <c r="AP174" i="5"/>
  <c r="AR174" i="5" s="1"/>
  <c r="AP354" i="5"/>
  <c r="AR354" i="5" s="1"/>
  <c r="AP450" i="5"/>
  <c r="BI450" i="5" s="1"/>
  <c r="AP50" i="5"/>
  <c r="AQ50" i="5" s="1"/>
  <c r="AP269" i="5"/>
  <c r="BI269" i="5" s="1"/>
  <c r="AP426" i="5"/>
  <c r="AQ426" i="5" s="1"/>
  <c r="AP474" i="5"/>
  <c r="BI474" i="5" s="1"/>
  <c r="AP385" i="5"/>
  <c r="AR385" i="5" s="1"/>
  <c r="AP48" i="5"/>
  <c r="AQ48" i="5" s="1"/>
  <c r="AP279" i="5"/>
  <c r="AR279" i="5" s="1"/>
  <c r="AP361" i="5"/>
  <c r="AR361" i="5" s="1"/>
  <c r="AP63" i="5"/>
  <c r="AR63" i="5" s="1"/>
  <c r="AP424" i="5"/>
  <c r="AR424" i="5" s="1"/>
  <c r="AP319" i="5"/>
  <c r="AQ319" i="5" s="1"/>
  <c r="AP19" i="5"/>
  <c r="BI19" i="5" s="1"/>
  <c r="AP122" i="5"/>
  <c r="BI122" i="5" s="1"/>
  <c r="AP310" i="5"/>
  <c r="AQ310" i="5" s="1"/>
  <c r="AP393" i="5"/>
  <c r="AR393" i="5" s="1"/>
  <c r="AP305" i="5"/>
  <c r="AR305" i="5" s="1"/>
  <c r="AP499" i="5"/>
  <c r="BI499" i="5" s="1"/>
  <c r="AP217" i="5"/>
  <c r="AQ217" i="5" s="1"/>
  <c r="AP273" i="5"/>
  <c r="BI273" i="5" s="1"/>
  <c r="AP332" i="5"/>
  <c r="BI332" i="5" s="1"/>
  <c r="AP226" i="5"/>
  <c r="AQ226" i="5" s="1"/>
  <c r="AP59" i="5"/>
  <c r="BI59" i="5" s="1"/>
  <c r="AP351" i="5"/>
  <c r="AR351" i="5" s="1"/>
  <c r="AP221" i="5"/>
  <c r="AR221" i="5" s="1"/>
  <c r="AP433" i="5"/>
  <c r="AR433" i="5" s="1"/>
  <c r="AP87" i="5"/>
  <c r="BI87" i="5" s="1"/>
  <c r="AP403" i="5"/>
  <c r="BI403" i="5" s="1"/>
  <c r="AP201" i="5"/>
  <c r="BI201" i="5" s="1"/>
  <c r="AP268" i="5"/>
  <c r="AQ268" i="5" s="1"/>
  <c r="AP408" i="5"/>
  <c r="AQ408" i="5" s="1"/>
  <c r="AP537" i="5"/>
  <c r="AQ537" i="5" s="1"/>
  <c r="AP208" i="5"/>
  <c r="AR208" i="5" s="1"/>
  <c r="AP412" i="5"/>
  <c r="BI412" i="5" s="1"/>
  <c r="AP245" i="5"/>
  <c r="AQ245" i="5" s="1"/>
  <c r="AP233" i="5"/>
  <c r="BI233" i="5" s="1"/>
  <c r="AP149" i="5"/>
  <c r="BI149" i="5" s="1"/>
  <c r="AP545" i="5"/>
  <c r="BI545" i="5" s="1"/>
  <c r="AP272" i="5"/>
  <c r="AR272" i="5" s="1"/>
  <c r="AP373" i="5"/>
  <c r="BI373" i="5" s="1"/>
  <c r="AP44" i="5"/>
  <c r="AR44" i="5" s="1"/>
  <c r="AP137" i="5"/>
  <c r="BI137" i="5" s="1"/>
  <c r="AP67" i="5"/>
  <c r="AQ67" i="5" s="1"/>
  <c r="AP464" i="5"/>
  <c r="AR464" i="5" s="1"/>
  <c r="AP502" i="5"/>
  <c r="AR502" i="5" s="1"/>
  <c r="AP423" i="5"/>
  <c r="BI423" i="5" s="1"/>
  <c r="AP114" i="5"/>
  <c r="BI114" i="5" s="1"/>
  <c r="AP214" i="5"/>
  <c r="AQ214" i="5" s="1"/>
  <c r="AP428" i="5"/>
  <c r="AQ428" i="5" s="1"/>
  <c r="AP42" i="5"/>
  <c r="AR42" i="5" s="1"/>
  <c r="AP126" i="5"/>
  <c r="BI126" i="5" s="1"/>
  <c r="AP283" i="5"/>
  <c r="AQ283" i="5" s="1"/>
  <c r="AP417" i="5"/>
  <c r="BI417" i="5" s="1"/>
  <c r="AP374" i="5"/>
  <c r="AQ374" i="5" s="1"/>
  <c r="AP190" i="5"/>
  <c r="AQ190" i="5" s="1"/>
  <c r="AP36" i="5"/>
  <c r="AR36" i="5" s="1"/>
  <c r="AP389" i="5"/>
  <c r="AQ389" i="5" s="1"/>
  <c r="AP486" i="5"/>
  <c r="AR486" i="5" s="1"/>
  <c r="AP257" i="5"/>
  <c r="AR257" i="5" s="1"/>
  <c r="AP451" i="5"/>
  <c r="AR451" i="5" s="1"/>
  <c r="AP548" i="5"/>
  <c r="AQ548" i="5" s="1"/>
  <c r="AP100" i="5"/>
  <c r="AR100" i="5" s="1"/>
  <c r="AP153" i="5"/>
  <c r="AR153" i="5" s="1"/>
  <c r="AP189" i="5"/>
  <c r="AQ189" i="5" s="1"/>
  <c r="AP440" i="5"/>
  <c r="AQ440" i="5" s="1"/>
  <c r="AP461" i="5"/>
  <c r="AQ461" i="5" s="1"/>
  <c r="AP10" i="5"/>
  <c r="BI10" i="5" s="1"/>
  <c r="BE10" i="5"/>
  <c r="BD10" i="5"/>
  <c r="Y106" i="4"/>
  <c r="AR106" i="4" s="1"/>
  <c r="Y78" i="4"/>
  <c r="AR78" i="4" s="1"/>
  <c r="Y62" i="4"/>
  <c r="AR62" i="4" s="1"/>
  <c r="Y155" i="4"/>
  <c r="AR155" i="4" s="1"/>
  <c r="Y152" i="4"/>
  <c r="AR152" i="4" s="1"/>
  <c r="Y127" i="4"/>
  <c r="AR127" i="4" s="1"/>
  <c r="Y77" i="4"/>
  <c r="AR77" i="4" s="1"/>
  <c r="Y149" i="4"/>
  <c r="AR149" i="4" s="1"/>
  <c r="Y134" i="4"/>
  <c r="AR134" i="4" s="1"/>
  <c r="Y114" i="4"/>
  <c r="AR114" i="4" s="1"/>
  <c r="Y76" i="4"/>
  <c r="AR76" i="4" s="1"/>
  <c r="Y89" i="4"/>
  <c r="AR89" i="4" s="1"/>
  <c r="Y61" i="4"/>
  <c r="AR61" i="4" s="1"/>
  <c r="Y145" i="4"/>
  <c r="AR145" i="4" s="1"/>
  <c r="Y94" i="4"/>
  <c r="AR94" i="4" s="1"/>
  <c r="Y121" i="4"/>
  <c r="AR121" i="4" s="1"/>
  <c r="Y97" i="4"/>
  <c r="AR97" i="4" s="1"/>
  <c r="AP69" i="5"/>
  <c r="AQ69" i="5" s="1"/>
  <c r="AP297" i="5"/>
  <c r="AR297" i="5" s="1"/>
  <c r="AP152" i="5"/>
  <c r="AQ152" i="5" s="1"/>
  <c r="AP180" i="5"/>
  <c r="AQ180" i="5" s="1"/>
  <c r="AP51" i="5"/>
  <c r="AQ51" i="5" s="1"/>
  <c r="AP520" i="5"/>
  <c r="AR520" i="5" s="1"/>
  <c r="AP388" i="5"/>
  <c r="AQ388" i="5" s="1"/>
  <c r="AP479" i="5"/>
  <c r="AR479" i="5" s="1"/>
  <c r="AP549" i="5"/>
  <c r="AR549" i="5" s="1"/>
  <c r="AP434" i="5"/>
  <c r="AQ434" i="5" s="1"/>
  <c r="AP323" i="5"/>
  <c r="AQ323" i="5" s="1"/>
  <c r="AP110" i="5"/>
  <c r="AQ110" i="5" s="1"/>
  <c r="AP435" i="5"/>
  <c r="BI435" i="5" s="1"/>
  <c r="AP510" i="5"/>
  <c r="AR510" i="5" s="1"/>
  <c r="AP443" i="5"/>
  <c r="AR443" i="5" s="1"/>
  <c r="AP104" i="5"/>
  <c r="AR104" i="5" s="1"/>
  <c r="AP364" i="5"/>
  <c r="AQ364" i="5" s="1"/>
  <c r="AP281" i="5"/>
  <c r="AR281" i="5" s="1"/>
  <c r="Y140" i="4"/>
  <c r="AR140" i="4" s="1"/>
  <c r="Y136" i="4"/>
  <c r="AR136" i="4" s="1"/>
  <c r="Y111" i="4"/>
  <c r="AR111" i="4" s="1"/>
  <c r="Y73" i="4"/>
  <c r="AR73" i="4" s="1"/>
  <c r="Y156" i="4"/>
  <c r="AR156" i="4" s="1"/>
  <c r="Y66" i="4"/>
  <c r="AR66" i="4" s="1"/>
  <c r="Y112" i="4"/>
  <c r="AR112" i="4" s="1"/>
  <c r="Y131" i="4"/>
  <c r="AR131" i="4" s="1"/>
  <c r="Y118" i="4"/>
  <c r="AR118" i="4" s="1"/>
  <c r="Y82" i="4"/>
  <c r="AR82" i="4" s="1"/>
  <c r="Y95" i="4"/>
  <c r="AR95" i="4" s="1"/>
  <c r="Y56" i="4"/>
  <c r="AR56" i="4" s="1"/>
  <c r="Y141" i="4"/>
  <c r="AR141" i="4" s="1"/>
  <c r="Y101" i="4"/>
  <c r="AR101" i="4" s="1"/>
  <c r="Y59" i="4"/>
  <c r="AR59" i="4" s="1"/>
  <c r="Y86" i="4"/>
  <c r="AR86" i="4" s="1"/>
  <c r="Y90" i="4"/>
  <c r="AR90" i="4" s="1"/>
  <c r="Y81" i="4"/>
  <c r="AR81" i="4" s="1"/>
  <c r="Y69" i="4"/>
  <c r="AR69" i="4" s="1"/>
  <c r="Y63" i="4"/>
  <c r="AR63" i="4" s="1"/>
  <c r="Y108" i="4"/>
  <c r="AR108" i="4" s="1"/>
  <c r="Y122" i="4"/>
  <c r="AR122" i="4" s="1"/>
  <c r="AP355" i="5"/>
  <c r="BI355" i="5" s="1"/>
  <c r="AP475" i="5"/>
  <c r="BI475" i="5" s="1"/>
  <c r="AP155" i="5"/>
  <c r="AR155" i="5" s="1"/>
  <c r="AP492" i="5"/>
  <c r="AR492" i="5" s="1"/>
  <c r="AP498" i="5"/>
  <c r="BI498" i="5" s="1"/>
  <c r="AP311" i="5"/>
  <c r="AQ311" i="5" s="1"/>
  <c r="AP38" i="5"/>
  <c r="BI38" i="5" s="1"/>
  <c r="AP162" i="5"/>
  <c r="AQ162" i="5" s="1"/>
  <c r="AP405" i="5"/>
  <c r="AQ405" i="5" s="1"/>
  <c r="AP24" i="5"/>
  <c r="BI24" i="5" s="1"/>
  <c r="AP78" i="5"/>
  <c r="AQ78" i="5" s="1"/>
  <c r="AP362" i="5"/>
  <c r="AQ362" i="5" s="1"/>
  <c r="AP169" i="5"/>
  <c r="BI169" i="5" s="1"/>
  <c r="AP381" i="5"/>
  <c r="BI381" i="5" s="1"/>
  <c r="AP296" i="5"/>
  <c r="AQ296" i="5" s="1"/>
  <c r="AP168" i="5"/>
  <c r="AQ168" i="5" s="1"/>
  <c r="AP145" i="5"/>
  <c r="BI145" i="5" s="1"/>
  <c r="AP196" i="5"/>
  <c r="AR196" i="5" s="1"/>
  <c r="AP402" i="5"/>
  <c r="AQ402" i="5" s="1"/>
  <c r="AP39" i="5"/>
  <c r="AR39" i="5" s="1"/>
  <c r="AP218" i="5"/>
  <c r="BI218" i="5" s="1"/>
  <c r="AP335" i="5"/>
  <c r="BI335" i="5" s="1"/>
  <c r="AP206" i="5"/>
  <c r="BI206" i="5" s="1"/>
  <c r="AP299" i="5"/>
  <c r="AQ299" i="5" s="1"/>
  <c r="AP200" i="5"/>
  <c r="BI200" i="5" s="1"/>
  <c r="AP315" i="5"/>
  <c r="AR315" i="5" s="1"/>
  <c r="AP359" i="5"/>
  <c r="AR359" i="5" s="1"/>
  <c r="AP437" i="5"/>
  <c r="AQ437" i="5" s="1"/>
  <c r="AP179" i="5"/>
  <c r="AR179" i="5" s="1"/>
  <c r="AP448" i="5"/>
  <c r="BI448" i="5" s="1"/>
  <c r="AP185" i="5"/>
  <c r="AQ185" i="5" s="1"/>
  <c r="AP333" i="5"/>
  <c r="BI333" i="5" s="1"/>
  <c r="AP240" i="5"/>
  <c r="BI240" i="5" s="1"/>
  <c r="AP554" i="5"/>
  <c r="AR554" i="5" s="1"/>
  <c r="AP313" i="5"/>
  <c r="AQ313" i="5" s="1"/>
  <c r="AP58" i="5"/>
  <c r="AQ58" i="5" s="1"/>
  <c r="AP247" i="5"/>
  <c r="AR247" i="5" s="1"/>
  <c r="AP459" i="5"/>
  <c r="AQ459" i="5" s="1"/>
  <c r="AP458" i="5"/>
  <c r="AR458" i="5" s="1"/>
  <c r="AP527" i="5"/>
  <c r="AR527" i="5" s="1"/>
  <c r="AP32" i="5"/>
  <c r="BI32" i="5" s="1"/>
  <c r="AP62" i="5"/>
  <c r="AQ62" i="5" s="1"/>
  <c r="AP265" i="5"/>
  <c r="AQ265" i="5" s="1"/>
  <c r="AP93" i="5"/>
  <c r="AR93" i="5" s="1"/>
  <c r="AP488" i="5"/>
  <c r="AR488" i="5" s="1"/>
  <c r="AP425" i="5"/>
  <c r="AQ425" i="5" s="1"/>
  <c r="AP30" i="5"/>
  <c r="BI30" i="5" s="1"/>
  <c r="AP118" i="5"/>
  <c r="BI118" i="5" s="1"/>
  <c r="AP163" i="5"/>
  <c r="AR163" i="5" s="1"/>
  <c r="AP85" i="5"/>
  <c r="AQ85" i="5" s="1"/>
  <c r="AP544" i="5"/>
  <c r="AR544" i="5" s="1"/>
  <c r="AP532" i="5"/>
  <c r="BI532" i="5" s="1"/>
  <c r="AP460" i="5"/>
  <c r="BI460" i="5" s="1"/>
  <c r="AP371" i="5"/>
  <c r="AQ371" i="5" s="1"/>
  <c r="AP136" i="5"/>
  <c r="BI136" i="5" s="1"/>
  <c r="AP342" i="5"/>
  <c r="AR342" i="5" s="1"/>
  <c r="Y57" i="4"/>
  <c r="AR57" i="4" s="1"/>
  <c r="Y130" i="4"/>
  <c r="AR130" i="4" s="1"/>
  <c r="Y98" i="4"/>
  <c r="AR98" i="4" s="1"/>
  <c r="Y65" i="4"/>
  <c r="AR65" i="4" s="1"/>
  <c r="Y92" i="4"/>
  <c r="AR92" i="4" s="1"/>
  <c r="Y133" i="4"/>
  <c r="AR133" i="4" s="1"/>
  <c r="Y124" i="4"/>
  <c r="AR124" i="4" s="1"/>
  <c r="Y58" i="4"/>
  <c r="AR58" i="4" s="1"/>
  <c r="Y125" i="4"/>
  <c r="AR125" i="4" s="1"/>
  <c r="Y105" i="4"/>
  <c r="AR105" i="4" s="1"/>
  <c r="Y154" i="4"/>
  <c r="AR154" i="4" s="1"/>
  <c r="Y93" i="4"/>
  <c r="AR93" i="4" s="1"/>
  <c r="Y126" i="4"/>
  <c r="AR126" i="4" s="1"/>
  <c r="Y116" i="4"/>
  <c r="AR116" i="4" s="1"/>
  <c r="Y148" i="4"/>
  <c r="AR148" i="4" s="1"/>
  <c r="Y128" i="4"/>
  <c r="AR128" i="4" s="1"/>
  <c r="Y109" i="4"/>
  <c r="AR109" i="4" s="1"/>
  <c r="AP301" i="5"/>
  <c r="AR301" i="5" s="1"/>
  <c r="AP556" i="5"/>
  <c r="AR556" i="5" s="1"/>
  <c r="AP90" i="5"/>
  <c r="AQ90" i="5" s="1"/>
  <c r="AP195" i="5"/>
  <c r="BI195" i="5" s="1"/>
  <c r="AP72" i="5"/>
  <c r="AQ72" i="5" s="1"/>
  <c r="AP501" i="5"/>
  <c r="AQ501" i="5" s="1"/>
  <c r="AP199" i="5"/>
  <c r="BI199" i="5" s="1"/>
  <c r="AP251" i="5"/>
  <c r="AR251" i="5" s="1"/>
  <c r="AP455" i="5"/>
  <c r="BI455" i="5" s="1"/>
  <c r="AP249" i="5"/>
  <c r="AQ249" i="5" s="1"/>
  <c r="AP41" i="5"/>
  <c r="AQ41" i="5" s="1"/>
  <c r="AP307" i="5"/>
  <c r="BI307" i="5" s="1"/>
  <c r="AP350" i="5"/>
  <c r="AQ350" i="5" s="1"/>
  <c r="AP66" i="5"/>
  <c r="BI66" i="5" s="1"/>
  <c r="AP312" i="5"/>
  <c r="AQ312" i="5" s="1"/>
  <c r="AP290" i="5"/>
  <c r="BI290" i="5" s="1"/>
  <c r="AP326" i="5"/>
  <c r="AR326" i="5" s="1"/>
  <c r="AP156" i="5"/>
  <c r="BI156" i="5" s="1"/>
  <c r="AP318" i="5"/>
  <c r="AQ318" i="5" s="1"/>
  <c r="AP116" i="5"/>
  <c r="AQ116" i="5" s="1"/>
  <c r="AP278" i="5"/>
  <c r="AQ278" i="5" s="1"/>
  <c r="AP210" i="5"/>
  <c r="BI210" i="5" s="1"/>
  <c r="AP551" i="5"/>
  <c r="AQ551" i="5" s="1"/>
  <c r="AP288" i="5"/>
  <c r="AQ288" i="5" s="1"/>
  <c r="AP539" i="5"/>
  <c r="AR539" i="5" s="1"/>
  <c r="AP454" i="5"/>
  <c r="BI454" i="5" s="1"/>
  <c r="AP164" i="5"/>
  <c r="AR164" i="5" s="1"/>
  <c r="AP167" i="5"/>
  <c r="BI167" i="5" s="1"/>
  <c r="AP232" i="5"/>
  <c r="AR232" i="5" s="1"/>
  <c r="Y142" i="4"/>
  <c r="AR142" i="4" s="1"/>
  <c r="Y55" i="4"/>
  <c r="AR55" i="4" s="1"/>
  <c r="Y129" i="4"/>
  <c r="AR129" i="4" s="1"/>
  <c r="Y75" i="4"/>
  <c r="AR75" i="4" s="1"/>
  <c r="Y110" i="4"/>
  <c r="AR110" i="4" s="1"/>
  <c r="Y123" i="4"/>
  <c r="AR123" i="4" s="1"/>
  <c r="Y60" i="4"/>
  <c r="AR60" i="4" s="1"/>
  <c r="Y54" i="4"/>
  <c r="AR54" i="4" s="1"/>
  <c r="Y144" i="4"/>
  <c r="AR144" i="4" s="1"/>
  <c r="Y102" i="4"/>
  <c r="AR102" i="4" s="1"/>
  <c r="Y96" i="4"/>
  <c r="AR96" i="4" s="1"/>
  <c r="Y113" i="4"/>
  <c r="AR113" i="4" s="1"/>
  <c r="Y85" i="4"/>
  <c r="AR85" i="4" s="1"/>
  <c r="Y67" i="4"/>
  <c r="AR67" i="4" s="1"/>
  <c r="Y143" i="4"/>
  <c r="AR143" i="4" s="1"/>
  <c r="Y117" i="4"/>
  <c r="AR117" i="4" s="1"/>
  <c r="Y137" i="4"/>
  <c r="AR137" i="4" s="1"/>
  <c r="Y74" i="4"/>
  <c r="AR74" i="4" s="1"/>
  <c r="Y135" i="4"/>
  <c r="AR135" i="4" s="1"/>
  <c r="Y151" i="4"/>
  <c r="AR151" i="4" s="1"/>
  <c r="Y79" i="4"/>
  <c r="AR79" i="4" s="1"/>
  <c r="AP427" i="5"/>
  <c r="AQ427" i="5" s="1"/>
  <c r="AP404" i="5"/>
  <c r="BI404" i="5" s="1"/>
  <c r="AP447" i="5"/>
  <c r="AQ447" i="5" s="1"/>
  <c r="AP187" i="5"/>
  <c r="AR187" i="5" s="1"/>
  <c r="AP166" i="5"/>
  <c r="BI166" i="5" s="1"/>
  <c r="AP177" i="5"/>
  <c r="BI177" i="5" s="1"/>
  <c r="AP12" i="5"/>
  <c r="AQ12" i="5" s="1"/>
  <c r="AP97" i="5"/>
  <c r="AR97" i="5" s="1"/>
  <c r="AP37" i="5"/>
  <c r="AR37" i="5" s="1"/>
  <c r="AP327" i="5"/>
  <c r="AQ327" i="5" s="1"/>
  <c r="AP276" i="5"/>
  <c r="BI276" i="5" s="1"/>
  <c r="AP422" i="5"/>
  <c r="AR422" i="5" s="1"/>
  <c r="AP349" i="5"/>
  <c r="BI349" i="5" s="1"/>
  <c r="AP120" i="5"/>
  <c r="AR120" i="5" s="1"/>
  <c r="AP102" i="5"/>
  <c r="AR102" i="5" s="1"/>
  <c r="AP337" i="5"/>
  <c r="AQ337" i="5" s="1"/>
  <c r="AP316" i="5"/>
  <c r="BI316" i="5" s="1"/>
  <c r="AP115" i="5"/>
  <c r="AR115" i="5" s="1"/>
  <c r="AP22" i="5"/>
  <c r="BI22" i="5" s="1"/>
  <c r="AP328" i="5"/>
  <c r="AR328" i="5" s="1"/>
  <c r="AP396" i="5"/>
  <c r="AR396" i="5" s="1"/>
  <c r="AP377" i="5"/>
  <c r="AQ377" i="5" s="1"/>
  <c r="AP280" i="5"/>
  <c r="BI280" i="5" s="1"/>
  <c r="AP494" i="5"/>
  <c r="BI494" i="5" s="1"/>
  <c r="AP61" i="5"/>
  <c r="BI61" i="5" s="1"/>
  <c r="AP79" i="5"/>
  <c r="BI79" i="5" s="1"/>
  <c r="AP188" i="5"/>
  <c r="AQ188" i="5" s="1"/>
  <c r="AP107" i="5"/>
  <c r="AQ107" i="5" s="1"/>
  <c r="AP392" i="5"/>
  <c r="BI392" i="5" s="1"/>
  <c r="AP125" i="5"/>
  <c r="AR125" i="5" s="1"/>
  <c r="AP441" i="5"/>
  <c r="AR441" i="5" s="1"/>
  <c r="AP45" i="5"/>
  <c r="AQ45" i="5" s="1"/>
  <c r="AP505" i="5"/>
  <c r="AQ505" i="5" s="1"/>
  <c r="AP76" i="5"/>
  <c r="AR76" i="5" s="1"/>
  <c r="AP308" i="5"/>
  <c r="AR308" i="5" s="1"/>
  <c r="AP142" i="5"/>
  <c r="AR142" i="5" s="1"/>
  <c r="AP347" i="5"/>
  <c r="AQ347" i="5" s="1"/>
  <c r="AP258" i="5"/>
  <c r="AR258" i="5" s="1"/>
  <c r="AP523" i="5"/>
  <c r="AQ523" i="5" s="1"/>
  <c r="AP94" i="5"/>
  <c r="AQ94" i="5" s="1"/>
  <c r="AP300" i="5"/>
  <c r="BI300" i="5" s="1"/>
  <c r="AP113" i="5"/>
  <c r="BI113" i="5" s="1"/>
  <c r="AP264" i="5"/>
  <c r="AR264" i="5" s="1"/>
  <c r="AP225" i="5"/>
  <c r="BI225" i="5" s="1"/>
  <c r="AP531" i="5"/>
  <c r="AQ531" i="5" s="1"/>
  <c r="AP514" i="5"/>
  <c r="AQ514" i="5" s="1"/>
  <c r="AP25" i="5"/>
  <c r="AQ25" i="5" s="1"/>
  <c r="AP530" i="5"/>
  <c r="AQ530" i="5" s="1"/>
  <c r="AP329" i="5"/>
  <c r="BI329" i="5" s="1"/>
  <c r="AP7" i="5"/>
  <c r="AR7" i="5" s="1"/>
  <c r="AP383" i="5"/>
  <c r="AQ383" i="5" s="1"/>
  <c r="AP322" i="5"/>
  <c r="AQ322" i="5" s="1"/>
  <c r="AP410" i="5"/>
  <c r="AR410" i="5" s="1"/>
  <c r="AP47" i="5"/>
  <c r="BI47" i="5" s="1"/>
  <c r="AP409" i="5"/>
  <c r="AR409" i="5" s="1"/>
  <c r="AP457" i="5"/>
  <c r="BI457" i="5" s="1"/>
  <c r="AP204" i="5"/>
  <c r="BI204" i="5" s="1"/>
  <c r="AP369" i="5"/>
  <c r="AQ369" i="5" s="1"/>
  <c r="AP294" i="5"/>
  <c r="AQ294" i="5" s="1"/>
  <c r="AP91" i="5"/>
  <c r="AQ91" i="5" s="1"/>
  <c r="AP384" i="5"/>
  <c r="BI384" i="5" s="1"/>
  <c r="AP211" i="5"/>
  <c r="AQ211" i="5" s="1"/>
  <c r="AP348" i="5"/>
  <c r="BI348" i="5" s="1"/>
  <c r="AP547" i="5"/>
  <c r="BI547" i="5" s="1"/>
  <c r="AP46" i="5"/>
  <c r="AR46" i="5" s="1"/>
  <c r="AP242" i="5"/>
  <c r="AQ242" i="5" s="1"/>
  <c r="AP295" i="5"/>
  <c r="AR295" i="5" s="1"/>
  <c r="AP430" i="5"/>
  <c r="BI430" i="5" s="1"/>
  <c r="AP366" i="5"/>
  <c r="AQ366" i="5" s="1"/>
  <c r="AP205" i="5"/>
  <c r="BI205" i="5" s="1"/>
  <c r="AP360" i="5"/>
  <c r="BI360" i="5" s="1"/>
  <c r="AP56" i="5"/>
  <c r="BI56" i="5" s="1"/>
  <c r="AP71" i="5"/>
  <c r="AR71" i="5" s="1"/>
  <c r="AP324" i="5"/>
  <c r="AR324" i="5" s="1"/>
  <c r="AP340" i="5"/>
  <c r="AQ340" i="5" s="1"/>
  <c r="AP248" i="5"/>
  <c r="AR248" i="5" s="1"/>
  <c r="AP144" i="5"/>
  <c r="AR144" i="5" s="1"/>
  <c r="AP552" i="5"/>
  <c r="AR552" i="5" s="1"/>
  <c r="AP413" i="5"/>
  <c r="AR413" i="5" s="1"/>
  <c r="AP165" i="5"/>
  <c r="BI165" i="5" s="1"/>
  <c r="AP484" i="5"/>
  <c r="AR484" i="5" s="1"/>
  <c r="AP75" i="5"/>
  <c r="AQ75" i="5" s="1"/>
  <c r="AP271" i="5"/>
  <c r="BI271" i="5" s="1"/>
  <c r="AP353" i="5"/>
  <c r="AQ353" i="5" s="1"/>
  <c r="AP262" i="5"/>
  <c r="AR262" i="5" s="1"/>
  <c r="AP491" i="5"/>
  <c r="AR491" i="5" s="1"/>
  <c r="AP60" i="5"/>
  <c r="AR60" i="5" s="1"/>
  <c r="AP390" i="5"/>
  <c r="AQ390" i="5" s="1"/>
  <c r="AP553" i="5"/>
  <c r="AQ553" i="5" s="1"/>
  <c r="AP28" i="5"/>
  <c r="AQ28" i="5" s="1"/>
  <c r="AP320" i="5"/>
  <c r="BI320" i="5" s="1"/>
  <c r="AP503" i="5"/>
  <c r="AR503" i="5" s="1"/>
  <c r="AP161" i="5"/>
  <c r="BI161" i="5" s="1"/>
  <c r="AP429" i="5"/>
  <c r="BI429" i="5" s="1"/>
  <c r="AP558" i="5"/>
  <c r="BI558" i="5" s="1"/>
  <c r="AP314" i="5"/>
  <c r="AQ314" i="5" s="1"/>
  <c r="AP334" i="5"/>
  <c r="BI334" i="5" s="1"/>
  <c r="AP540" i="5"/>
  <c r="AR540" i="5" s="1"/>
  <c r="AP123" i="5"/>
  <c r="AR123" i="5" s="1"/>
  <c r="AP325" i="5"/>
  <c r="AR325" i="5" s="1"/>
  <c r="AP555" i="5"/>
  <c r="BI555" i="5" s="1"/>
  <c r="AP401" i="5"/>
  <c r="AQ401" i="5" s="1"/>
  <c r="AP542" i="5"/>
  <c r="AR542" i="5" s="1"/>
  <c r="AP255" i="5"/>
  <c r="AQ255" i="5" s="1"/>
  <c r="AP89" i="5"/>
  <c r="AR89" i="5" s="1"/>
  <c r="AP55" i="5"/>
  <c r="BI55" i="5" s="1"/>
  <c r="AP495" i="5"/>
  <c r="AR495" i="5" s="1"/>
  <c r="AP513" i="5"/>
  <c r="AR513" i="5" s="1"/>
  <c r="AQ183" i="5"/>
  <c r="AN411" i="5"/>
  <c r="AO411" i="5"/>
  <c r="AO151" i="5"/>
  <c r="AN151" i="5"/>
  <c r="AO68" i="5"/>
  <c r="AN68" i="5"/>
  <c r="AO252" i="5"/>
  <c r="AN252" i="5"/>
  <c r="AO77" i="5"/>
  <c r="AN77" i="5"/>
  <c r="AO266" i="5"/>
  <c r="AN266" i="5"/>
  <c r="AO33" i="5"/>
  <c r="AN33" i="5"/>
  <c r="AN148" i="5"/>
  <c r="AO148" i="5"/>
  <c r="AO84" i="5"/>
  <c r="AN84" i="5"/>
  <c r="AO106" i="5"/>
  <c r="AN106" i="5"/>
  <c r="AN557" i="5"/>
  <c r="AO557" i="5"/>
  <c r="AN240" i="5"/>
  <c r="AO240" i="5"/>
  <c r="AN446" i="5"/>
  <c r="AO446" i="5"/>
  <c r="AN183" i="5"/>
  <c r="AO183" i="5"/>
  <c r="AO192" i="5"/>
  <c r="AN192" i="5"/>
  <c r="AO209" i="5"/>
  <c r="AN209" i="5"/>
  <c r="AN394" i="5"/>
  <c r="AO394" i="5"/>
  <c r="AO541" i="5"/>
  <c r="AN541" i="5"/>
  <c r="AN504" i="5"/>
  <c r="AO504" i="5"/>
  <c r="AN13" i="5"/>
  <c r="AO13" i="5"/>
  <c r="AO416" i="5"/>
  <c r="AN416" i="5"/>
  <c r="AN54" i="5"/>
  <c r="AO54" i="5"/>
  <c r="AN159" i="5"/>
  <c r="AO159" i="5"/>
  <c r="AO154" i="5"/>
  <c r="AN154" i="5"/>
  <c r="AO524" i="5"/>
  <c r="AN524" i="5"/>
  <c r="AN260" i="5"/>
  <c r="AO260" i="5"/>
  <c r="AO444" i="5"/>
  <c r="AN444" i="5"/>
  <c r="AN372" i="5"/>
  <c r="AO372" i="5"/>
  <c r="AN529" i="5"/>
  <c r="AO529" i="5"/>
  <c r="AN284" i="5"/>
  <c r="AO284" i="5"/>
  <c r="AO533" i="5"/>
  <c r="AN533" i="5"/>
  <c r="AO219" i="5"/>
  <c r="AN219" i="5"/>
  <c r="AO462" i="5"/>
  <c r="AN462" i="5"/>
  <c r="AN176" i="5"/>
  <c r="AO176" i="5"/>
  <c r="AO267" i="5"/>
  <c r="AN267" i="5"/>
  <c r="AN419" i="5"/>
  <c r="AO419" i="5"/>
  <c r="AO12" i="5"/>
  <c r="AN12" i="5"/>
  <c r="AO101" i="5"/>
  <c r="AN101" i="5"/>
  <c r="AO386" i="5"/>
  <c r="AN386" i="5"/>
  <c r="AO368" i="5"/>
  <c r="AN368" i="5"/>
  <c r="AO186" i="5"/>
  <c r="AN186" i="5"/>
  <c r="AO363" i="5"/>
  <c r="AN363" i="5"/>
  <c r="AO65" i="5"/>
  <c r="AN65" i="5"/>
  <c r="AO316" i="5"/>
  <c r="AN316" i="5"/>
  <c r="AO302" i="5"/>
  <c r="AN302" i="5"/>
  <c r="AO336" i="5"/>
  <c r="AN336" i="5"/>
  <c r="AN184" i="5"/>
  <c r="AO184" i="5"/>
  <c r="AN485" i="5"/>
  <c r="AO485" i="5"/>
  <c r="AO73" i="5"/>
  <c r="AN73" i="5"/>
  <c r="AO248" i="5"/>
  <c r="AN248" i="5"/>
  <c r="AH16" i="4"/>
  <c r="AE16" i="4"/>
  <c r="Z16" i="4"/>
  <c r="X16" i="4" s="1"/>
  <c r="AJ16" i="4" s="1"/>
  <c r="AH9" i="4"/>
  <c r="Z9" i="4"/>
  <c r="X9" i="4" s="1"/>
  <c r="AJ9" i="4" s="1"/>
  <c r="AE9" i="4"/>
  <c r="BI304" i="5"/>
  <c r="AH80" i="4"/>
  <c r="AE80" i="4"/>
  <c r="Z80" i="4"/>
  <c r="X80" i="4" s="1"/>
  <c r="AH138" i="4"/>
  <c r="AE138" i="4"/>
  <c r="Z138" i="4"/>
  <c r="X138" i="4" s="1"/>
  <c r="AH10" i="4"/>
  <c r="AE10" i="4"/>
  <c r="Z10" i="4"/>
  <c r="X10" i="4" s="1"/>
  <c r="AJ10" i="4" s="1"/>
  <c r="AH35" i="4"/>
  <c r="AE35" i="4"/>
  <c r="Z35" i="4"/>
  <c r="X35" i="4" s="1"/>
  <c r="AJ35" i="4" s="1"/>
  <c r="AH97" i="4"/>
  <c r="AE97" i="4"/>
  <c r="AE27" i="4"/>
  <c r="AH27" i="4"/>
  <c r="Z27" i="4"/>
  <c r="X27" i="4" s="1"/>
  <c r="AH47" i="4"/>
  <c r="AE47" i="4"/>
  <c r="Z47" i="4"/>
  <c r="X47" i="4" s="1"/>
  <c r="AE78" i="4"/>
  <c r="AH78" i="4"/>
  <c r="AH82" i="4"/>
  <c r="AE82" i="4"/>
  <c r="AE63" i="4"/>
  <c r="AH63" i="4"/>
  <c r="AH25" i="4"/>
  <c r="AE25" i="4"/>
  <c r="Z25" i="4"/>
  <c r="X25" i="4" s="1"/>
  <c r="AJ25" i="4" s="1"/>
  <c r="AE62" i="4"/>
  <c r="AH62" i="4"/>
  <c r="AE96" i="4"/>
  <c r="AH96" i="4"/>
  <c r="AH76" i="4"/>
  <c r="AE76" i="4"/>
  <c r="AH87" i="4"/>
  <c r="AE87" i="4"/>
  <c r="Z87" i="4"/>
  <c r="X87" i="4" s="1"/>
  <c r="AJ87" i="4" s="1"/>
  <c r="AE89" i="4"/>
  <c r="AH89" i="4"/>
  <c r="AE29" i="4"/>
  <c r="AH29" i="4"/>
  <c r="Z29" i="4"/>
  <c r="X29" i="4" s="1"/>
  <c r="AH65" i="4"/>
  <c r="AE65" i="4"/>
  <c r="AP68" i="5"/>
  <c r="AP159" i="5"/>
  <c r="AP446" i="5"/>
  <c r="AP411" i="5"/>
  <c r="AR483" i="5"/>
  <c r="BI483" i="5"/>
  <c r="AQ483" i="5"/>
  <c r="AP176" i="5"/>
  <c r="AP529" i="5"/>
  <c r="AP444" i="5"/>
  <c r="AP154" i="5"/>
  <c r="AP260" i="5"/>
  <c r="AP394" i="5"/>
  <c r="AP252" i="5"/>
  <c r="AE120" i="4"/>
  <c r="Z120" i="4"/>
  <c r="X120" i="4" s="1"/>
  <c r="AJ120" i="4" s="1"/>
  <c r="AH120" i="4"/>
  <c r="AE142" i="4"/>
  <c r="AH142" i="4"/>
  <c r="AE51" i="4"/>
  <c r="AH51" i="4"/>
  <c r="Z51" i="4"/>
  <c r="AE118" i="4"/>
  <c r="AH118" i="4"/>
  <c r="AE114" i="4"/>
  <c r="AH114" i="4"/>
  <c r="AE69" i="4"/>
  <c r="AH69" i="4"/>
  <c r="AH104" i="4"/>
  <c r="Z104" i="4"/>
  <c r="X104" i="4" s="1"/>
  <c r="AE104" i="4"/>
  <c r="AH139" i="4"/>
  <c r="Z139" i="4"/>
  <c r="AE139" i="4"/>
  <c r="AH100" i="4"/>
  <c r="AE100" i="4"/>
  <c r="Z100" i="4"/>
  <c r="X100" i="4" s="1"/>
  <c r="P44" i="5"/>
  <c r="P46" i="5"/>
  <c r="P297" i="5"/>
  <c r="P541" i="5"/>
  <c r="P28" i="5"/>
  <c r="P348" i="5"/>
  <c r="P524" i="5"/>
  <c r="P29" i="5"/>
  <c r="P19" i="5"/>
  <c r="P256" i="5"/>
  <c r="P85" i="5"/>
  <c r="P282" i="5"/>
  <c r="P137" i="5"/>
  <c r="P468" i="5"/>
  <c r="P281" i="5"/>
  <c r="P76" i="5"/>
  <c r="P431" i="5"/>
  <c r="P405" i="5"/>
  <c r="P97" i="5"/>
  <c r="P21" i="5"/>
  <c r="P542" i="5"/>
  <c r="P37" i="5"/>
  <c r="P410" i="5"/>
  <c r="P70" i="5"/>
  <c r="P341" i="5"/>
  <c r="P77" i="5"/>
  <c r="P326" i="5"/>
  <c r="P258" i="5"/>
  <c r="P328" i="5"/>
  <c r="P560" i="5"/>
  <c r="P49" i="5"/>
  <c r="P166" i="5"/>
  <c r="P144" i="5"/>
  <c r="P62" i="5"/>
  <c r="P358" i="5"/>
  <c r="P210" i="5"/>
  <c r="P415" i="5"/>
  <c r="P559" i="5"/>
  <c r="P81" i="5"/>
  <c r="P522" i="5"/>
  <c r="P181" i="5"/>
  <c r="P514" i="5"/>
  <c r="P419" i="5"/>
  <c r="P558" i="5"/>
  <c r="P110" i="5"/>
  <c r="P272" i="5"/>
  <c r="P225" i="5"/>
  <c r="P507" i="5"/>
  <c r="P88" i="5"/>
  <c r="P466" i="5"/>
  <c r="P260" i="5"/>
  <c r="P437" i="5"/>
  <c r="P421" i="5"/>
  <c r="P299" i="5"/>
  <c r="P430" i="5"/>
  <c r="P309" i="5"/>
  <c r="P209" i="5"/>
  <c r="P242" i="5"/>
  <c r="P377" i="5"/>
  <c r="P187" i="5"/>
  <c r="P500" i="5"/>
  <c r="P119" i="5"/>
  <c r="P213" i="5"/>
  <c r="P51" i="5"/>
  <c r="P8" i="5"/>
  <c r="P34" i="5"/>
  <c r="P38" i="5"/>
  <c r="P372" i="5"/>
  <c r="P473" i="5"/>
  <c r="P180" i="5"/>
  <c r="P448" i="5"/>
  <c r="P316" i="5"/>
  <c r="P353" i="5"/>
  <c r="P504" i="5"/>
  <c r="P445" i="5"/>
  <c r="P234" i="5"/>
  <c r="P164" i="5"/>
  <c r="P373" i="5"/>
  <c r="P90" i="5"/>
  <c r="P83" i="5"/>
  <c r="P254" i="5"/>
  <c r="P149" i="5"/>
  <c r="P141" i="5"/>
  <c r="P549" i="5"/>
  <c r="P277" i="5"/>
  <c r="P27" i="5"/>
  <c r="P286" i="5"/>
  <c r="P551" i="5"/>
  <c r="P87" i="5"/>
  <c r="P115" i="5"/>
  <c r="P362" i="5"/>
  <c r="P352" i="5"/>
  <c r="P554" i="5"/>
  <c r="P369" i="5"/>
  <c r="P475" i="5"/>
  <c r="P236" i="5"/>
  <c r="P370" i="5"/>
  <c r="P350" i="5"/>
  <c r="P45" i="5"/>
  <c r="P150" i="5"/>
  <c r="P324" i="5"/>
  <c r="P447" i="5"/>
  <c r="P485" i="5"/>
  <c r="P331" i="5"/>
  <c r="P458" i="5"/>
  <c r="P521" i="5"/>
  <c r="P125" i="5"/>
  <c r="P393" i="5"/>
  <c r="P329" i="5"/>
  <c r="P537" i="5"/>
  <c r="P443" i="5"/>
  <c r="P93" i="5"/>
  <c r="P245" i="5"/>
  <c r="P123" i="5"/>
  <c r="P265" i="5"/>
  <c r="P279" i="5"/>
  <c r="P402" i="5"/>
  <c r="P64" i="5"/>
  <c r="P160" i="5"/>
  <c r="P41" i="5"/>
  <c r="P301" i="5"/>
  <c r="P42" i="5"/>
  <c r="P292" i="5"/>
  <c r="P424" i="5"/>
  <c r="P195" i="5"/>
  <c r="P462" i="5"/>
  <c r="P98" i="5"/>
  <c r="P474" i="5"/>
  <c r="P243" i="5"/>
  <c r="P442" i="5"/>
  <c r="P531" i="5"/>
  <c r="P207" i="5"/>
  <c r="P162" i="5"/>
  <c r="P69" i="5"/>
  <c r="P406" i="5"/>
  <c r="P381" i="5"/>
  <c r="P153" i="5"/>
  <c r="P300" i="5"/>
  <c r="P36" i="5"/>
  <c r="P322" i="5"/>
  <c r="P349" i="5"/>
  <c r="P319" i="5"/>
  <c r="P31" i="5"/>
  <c r="P191" i="5"/>
  <c r="P429" i="5"/>
  <c r="P13" i="5"/>
  <c r="P513" i="5"/>
  <c r="P11" i="5"/>
  <c r="P124" i="5"/>
  <c r="P364" i="5"/>
  <c r="P332" i="5"/>
  <c r="P220" i="5"/>
  <c r="P74" i="5"/>
  <c r="P109" i="5"/>
  <c r="P214" i="5"/>
  <c r="P453" i="5"/>
  <c r="P339" i="5"/>
  <c r="P416" i="5"/>
  <c r="P440" i="5"/>
  <c r="P203" i="5"/>
  <c r="P482" i="5"/>
  <c r="P438" i="5"/>
  <c r="P134" i="5"/>
  <c r="P128" i="5"/>
  <c r="P171" i="5"/>
  <c r="P91" i="5"/>
  <c r="P515" i="5"/>
  <c r="P487" i="5"/>
  <c r="P399" i="5"/>
  <c r="P56" i="5"/>
  <c r="P132" i="5"/>
  <c r="P488" i="5"/>
  <c r="P417" i="5"/>
  <c r="P441" i="5"/>
  <c r="P401" i="5"/>
  <c r="P486" i="5"/>
  <c r="P185" i="5"/>
  <c r="P451" i="5"/>
  <c r="P104" i="5"/>
  <c r="P544" i="5"/>
  <c r="P457" i="5"/>
  <c r="P384" i="5"/>
  <c r="P217" i="5"/>
  <c r="P289" i="5"/>
  <c r="P346" i="5"/>
  <c r="P528" i="5"/>
  <c r="P320" i="5"/>
  <c r="P120" i="5"/>
  <c r="P262" i="5"/>
  <c r="P175" i="5"/>
  <c r="P403" i="5"/>
  <c r="P95" i="5"/>
  <c r="P112" i="5"/>
  <c r="P276" i="5"/>
  <c r="P479" i="5"/>
  <c r="P287" i="5"/>
  <c r="P435" i="5"/>
  <c r="P518" i="5"/>
  <c r="P72" i="5"/>
  <c r="P271" i="5"/>
  <c r="P82" i="5"/>
  <c r="P116" i="5"/>
  <c r="P509" i="5"/>
  <c r="P450" i="5"/>
  <c r="P412" i="5"/>
  <c r="P408" i="5"/>
  <c r="P465" i="5"/>
  <c r="P333" i="5"/>
  <c r="P538" i="5"/>
  <c r="P379" i="5"/>
  <c r="P122" i="5"/>
  <c r="P432" i="5"/>
  <c r="P535" i="5"/>
  <c r="P172" i="5"/>
  <c r="P543" i="5"/>
  <c r="P425" i="5"/>
  <c r="P33" i="5"/>
  <c r="P40" i="5"/>
  <c r="P79" i="5"/>
  <c r="P47" i="5"/>
  <c r="P495" i="5"/>
  <c r="P337" i="5"/>
  <c r="P492" i="5"/>
  <c r="P545" i="5"/>
  <c r="P231" i="5"/>
  <c r="P30" i="5"/>
  <c r="P383" i="5"/>
  <c r="P253" i="5"/>
  <c r="P449" i="5"/>
  <c r="P101" i="5"/>
  <c r="P194" i="5"/>
  <c r="P65" i="5"/>
  <c r="P323" i="5"/>
  <c r="P360" i="5"/>
  <c r="P269" i="5"/>
  <c r="P539" i="5"/>
  <c r="P394" i="5"/>
  <c r="P43" i="5"/>
  <c r="P61" i="5"/>
  <c r="P378" i="5"/>
  <c r="P477" i="5"/>
  <c r="P489" i="5"/>
  <c r="P519" i="5"/>
  <c r="P295" i="5"/>
  <c r="P121" i="5"/>
  <c r="P391" i="5"/>
  <c r="P268" i="5"/>
  <c r="P68" i="5"/>
  <c r="P155" i="5"/>
  <c r="P107" i="5"/>
  <c r="P22" i="5"/>
  <c r="P314" i="5"/>
  <c r="P229" i="5"/>
  <c r="P148" i="5"/>
  <c r="P411" i="5"/>
  <c r="P67" i="5"/>
  <c r="P526" i="5"/>
  <c r="P113" i="5"/>
  <c r="P470" i="5"/>
  <c r="P452" i="5"/>
  <c r="P307" i="5"/>
  <c r="P409" i="5"/>
  <c r="P55" i="5"/>
  <c r="P343" i="5"/>
  <c r="P223" i="5"/>
  <c r="P298" i="5"/>
  <c r="P230" i="5"/>
  <c r="P303" i="5"/>
  <c r="P99" i="5"/>
  <c r="P499" i="5"/>
  <c r="P555" i="5"/>
  <c r="P275" i="5"/>
  <c r="P290" i="5"/>
  <c r="P380" i="5"/>
  <c r="P139" i="5"/>
  <c r="P512" i="5"/>
  <c r="P266" i="5"/>
  <c r="P385" i="5"/>
  <c r="P325" i="5"/>
  <c r="P156" i="5"/>
  <c r="P335" i="5"/>
  <c r="P498" i="5"/>
  <c r="P178" i="5"/>
  <c r="P264" i="5"/>
  <c r="P159" i="5"/>
  <c r="P294" i="5"/>
  <c r="P240" i="5"/>
  <c r="P151" i="5"/>
  <c r="P168" i="5"/>
  <c r="P84" i="5"/>
  <c r="P208" i="5"/>
  <c r="P53" i="5"/>
  <c r="P476" i="5"/>
  <c r="P197" i="5"/>
  <c r="P327" i="5"/>
  <c r="P100" i="5"/>
  <c r="P389" i="5"/>
  <c r="P184" i="5"/>
  <c r="P414" i="5"/>
  <c r="P505" i="5"/>
  <c r="P523" i="5"/>
  <c r="P422" i="5"/>
  <c r="P204" i="5"/>
  <c r="P483" i="5"/>
  <c r="P252" i="5"/>
  <c r="P108" i="5"/>
  <c r="P308" i="5"/>
  <c r="P388" i="5"/>
  <c r="P267" i="5"/>
  <c r="P183" i="5"/>
  <c r="P73" i="5"/>
  <c r="P130" i="5"/>
  <c r="P530" i="5"/>
  <c r="P387" i="5"/>
  <c r="P397" i="5"/>
  <c r="P427" i="5"/>
  <c r="P532" i="5"/>
  <c r="P376" i="5"/>
  <c r="P222" i="5"/>
  <c r="P25" i="5"/>
  <c r="P426" i="5"/>
  <c r="P463" i="5"/>
  <c r="P510" i="5"/>
  <c r="P288" i="5"/>
  <c r="P285" i="5"/>
  <c r="P478" i="5"/>
  <c r="P296" i="5"/>
  <c r="P497" i="5"/>
  <c r="P154" i="5"/>
  <c r="P464" i="5"/>
  <c r="P201" i="5"/>
  <c r="P105" i="5"/>
  <c r="P237" i="5"/>
  <c r="P278" i="5"/>
  <c r="P506" i="5"/>
  <c r="P433" i="5"/>
  <c r="P491" i="5"/>
  <c r="P80" i="5"/>
  <c r="P552" i="5"/>
  <c r="P351" i="5"/>
  <c r="P263" i="5"/>
  <c r="P368" i="5"/>
  <c r="P66" i="5"/>
  <c r="P480" i="5"/>
  <c r="P347" i="5"/>
  <c r="P202" i="5"/>
  <c r="P118" i="5"/>
  <c r="P374" i="5"/>
  <c r="P274" i="5"/>
  <c r="P165" i="5"/>
  <c r="P434" i="5"/>
  <c r="P199" i="5"/>
  <c r="P342" i="5"/>
  <c r="P550" i="5"/>
  <c r="P182" i="5"/>
  <c r="P547" i="5"/>
  <c r="P255" i="5"/>
  <c r="P436" i="5"/>
  <c r="P366" i="5"/>
  <c r="P291" i="5"/>
  <c r="P306" i="5"/>
  <c r="P158" i="5"/>
  <c r="P190" i="5"/>
  <c r="P177" i="5"/>
  <c r="P359" i="5"/>
  <c r="P446" i="5"/>
  <c r="P246" i="5"/>
  <c r="P472" i="5"/>
  <c r="P321" i="5"/>
  <c r="P226" i="5"/>
  <c r="P20" i="5"/>
  <c r="P493" i="5"/>
  <c r="P23" i="5"/>
  <c r="P26" i="5"/>
  <c r="P186" i="5"/>
  <c r="P490" i="5"/>
  <c r="P305" i="5"/>
  <c r="P467" i="5"/>
  <c r="P508" i="5"/>
  <c r="P57" i="5"/>
  <c r="P136" i="5"/>
  <c r="P221" i="5"/>
  <c r="P533" i="5"/>
  <c r="P211" i="5"/>
  <c r="P481" i="5"/>
  <c r="P338" i="5"/>
  <c r="P516" i="5"/>
  <c r="P428" i="5"/>
  <c r="P138" i="5"/>
  <c r="P52" i="5"/>
  <c r="P63" i="5"/>
  <c r="P143" i="5"/>
  <c r="P536" i="5"/>
  <c r="P102" i="5"/>
  <c r="P247" i="5"/>
  <c r="P89" i="5"/>
  <c r="P548" i="5"/>
  <c r="P553" i="5"/>
  <c r="P511" i="5"/>
  <c r="P471" i="5"/>
  <c r="P54" i="5"/>
  <c r="P390" i="5"/>
  <c r="P205" i="5"/>
  <c r="P48" i="5"/>
  <c r="P365" i="5"/>
  <c r="P361" i="5"/>
  <c r="P396" i="5"/>
  <c r="P420" i="5"/>
  <c r="P196" i="5"/>
  <c r="P502" i="5"/>
  <c r="P501" i="5"/>
  <c r="P407" i="5"/>
  <c r="P189" i="5"/>
  <c r="P357" i="5"/>
  <c r="P86" i="5"/>
  <c r="P241" i="5"/>
  <c r="P219" i="5"/>
  <c r="P375" i="5"/>
  <c r="P106" i="5"/>
  <c r="P117" i="5"/>
  <c r="P340" i="5"/>
  <c r="P103" i="5"/>
  <c r="P284" i="5"/>
  <c r="P251" i="5"/>
  <c r="P215" i="5"/>
  <c r="P400" i="5"/>
  <c r="P176" i="5"/>
  <c r="P395" i="5"/>
  <c r="P146" i="5"/>
  <c r="P540" i="5"/>
  <c r="P114" i="5"/>
  <c r="P469" i="5"/>
  <c r="P317" i="5"/>
  <c r="P131" i="5"/>
  <c r="P318" i="5"/>
  <c r="P173" i="5"/>
  <c r="P216" i="5"/>
  <c r="P140" i="5"/>
  <c r="P293" i="5"/>
  <c r="P152" i="5"/>
  <c r="P78" i="5"/>
  <c r="P147" i="5"/>
  <c r="P461" i="5"/>
  <c r="P198" i="5"/>
  <c r="P169" i="5"/>
  <c r="P273" i="5"/>
  <c r="P161" i="5"/>
  <c r="P174" i="5"/>
  <c r="P163" i="5"/>
  <c r="P257" i="5"/>
  <c r="P334" i="5"/>
  <c r="P228" i="5"/>
  <c r="P179" i="5"/>
  <c r="P206" i="5"/>
  <c r="P12" i="5"/>
  <c r="P336" i="5"/>
  <c r="P192" i="5"/>
  <c r="P312" i="5"/>
  <c r="P126" i="5"/>
  <c r="P460" i="5"/>
  <c r="P520" i="5"/>
  <c r="P71" i="5"/>
  <c r="P227" i="5"/>
  <c r="P484" i="5"/>
  <c r="P200" i="5"/>
  <c r="P24" i="5"/>
  <c r="P157" i="5"/>
  <c r="P94" i="5"/>
  <c r="P398" i="5"/>
  <c r="P261" i="5"/>
  <c r="P259" i="5"/>
  <c r="P557" i="5"/>
  <c r="P404" i="5"/>
  <c r="P439" i="5"/>
  <c r="P145" i="5"/>
  <c r="P371" i="5"/>
  <c r="P310" i="5"/>
  <c r="P111" i="5"/>
  <c r="P212" i="5"/>
  <c r="P546" i="5"/>
  <c r="P250" i="5"/>
  <c r="P224" i="5"/>
  <c r="P503" i="5"/>
  <c r="P456" i="5"/>
  <c r="P354" i="5"/>
  <c r="P142" i="5"/>
  <c r="P10" i="5"/>
  <c r="P283" i="5"/>
  <c r="P355" i="5"/>
  <c r="P135" i="5"/>
  <c r="P270" i="5"/>
  <c r="P356" i="5"/>
  <c r="P59" i="5"/>
  <c r="P423" i="5"/>
  <c r="P127" i="5"/>
  <c r="P244" i="5"/>
  <c r="P392" i="5"/>
  <c r="P313" i="5"/>
  <c r="P232" i="5"/>
  <c r="P413" i="5"/>
  <c r="P529" i="5"/>
  <c r="P50" i="5"/>
  <c r="P32" i="5"/>
  <c r="P280" i="5"/>
  <c r="P386" i="5"/>
  <c r="P330" i="5"/>
  <c r="P238" i="5"/>
  <c r="P193" i="5"/>
  <c r="P39" i="5"/>
  <c r="P58" i="5"/>
  <c r="P233" i="5"/>
  <c r="P75" i="5"/>
  <c r="P188" i="5"/>
  <c r="P363" i="5"/>
  <c r="P345" i="5"/>
  <c r="P92" i="5"/>
  <c r="P239" i="5"/>
  <c r="P459" i="5"/>
  <c r="P556" i="5"/>
  <c r="P454" i="5"/>
  <c r="P302" i="5"/>
  <c r="P534" i="5"/>
  <c r="P494" i="5"/>
  <c r="P133" i="5"/>
  <c r="P496" i="5"/>
  <c r="P311" i="5"/>
  <c r="P304" i="5"/>
  <c r="P315" i="5"/>
  <c r="P60" i="5"/>
  <c r="P382" i="5"/>
  <c r="P525" i="5"/>
  <c r="P527" i="5"/>
  <c r="P367" i="5"/>
  <c r="P96" i="5"/>
  <c r="P218" i="5"/>
  <c r="P170" i="5"/>
  <c r="P444" i="5"/>
  <c r="P344" i="5"/>
  <c r="P418" i="5"/>
  <c r="P167" i="5"/>
  <c r="P517" i="5"/>
  <c r="P455" i="5"/>
  <c r="P235" i="5"/>
  <c r="P249" i="5"/>
  <c r="P35" i="5"/>
  <c r="P9" i="5"/>
  <c r="P248" i="5"/>
  <c r="P129" i="5"/>
  <c r="AE95" i="4"/>
  <c r="AH95" i="4"/>
  <c r="AE46" i="4"/>
  <c r="AH46" i="4"/>
  <c r="Z46" i="4"/>
  <c r="AE50" i="4"/>
  <c r="AH50" i="4"/>
  <c r="Z50" i="4"/>
  <c r="AH48" i="4"/>
  <c r="AE48" i="4"/>
  <c r="Z48" i="4"/>
  <c r="X48" i="4" s="1"/>
  <c r="AJ48" i="4" s="1"/>
  <c r="AH53" i="4"/>
  <c r="AE53" i="4"/>
  <c r="Z53" i="4"/>
  <c r="X53" i="4" s="1"/>
  <c r="AJ53" i="4" s="1"/>
  <c r="AE91" i="4"/>
  <c r="AH91" i="4"/>
  <c r="Z91" i="4"/>
  <c r="AH122" i="4"/>
  <c r="AE122" i="4"/>
  <c r="AH99" i="4"/>
  <c r="AE99" i="4"/>
  <c r="Z99" i="4"/>
  <c r="X99" i="4" s="1"/>
  <c r="AJ99" i="4" s="1"/>
  <c r="B185" i="2"/>
  <c r="B219" i="2"/>
  <c r="H64" i="1" s="1"/>
  <c r="AE7" i="5"/>
  <c r="BF7" i="5"/>
  <c r="AD7" i="5"/>
  <c r="B184" i="2" s="1"/>
  <c r="AE54" i="4"/>
  <c r="AH54" i="4"/>
  <c r="AH24" i="4"/>
  <c r="AE24" i="4"/>
  <c r="Z24" i="4"/>
  <c r="X24" i="4" s="1"/>
  <c r="AJ24" i="4" s="1"/>
  <c r="O11" i="5"/>
  <c r="Q408" i="5"/>
  <c r="Q53" i="5"/>
  <c r="Q154" i="5"/>
  <c r="Q150" i="5"/>
  <c r="Q287" i="5"/>
  <c r="Q385" i="5"/>
  <c r="Q464" i="5"/>
  <c r="Q459" i="5"/>
  <c r="Q418" i="5"/>
  <c r="Q424" i="5"/>
  <c r="Q402" i="5"/>
  <c r="Q495" i="5"/>
  <c r="Q177" i="5"/>
  <c r="Q404" i="5"/>
  <c r="Q45" i="5"/>
  <c r="Q504" i="5"/>
  <c r="Q392" i="5"/>
  <c r="Q325" i="5"/>
  <c r="Q292" i="5"/>
  <c r="Q416" i="5"/>
  <c r="Q471" i="5"/>
  <c r="Q339" i="5"/>
  <c r="Q131" i="5"/>
  <c r="Q400" i="5"/>
  <c r="Q48" i="5"/>
  <c r="Q79" i="5"/>
  <c r="Q488" i="5"/>
  <c r="Q69" i="5"/>
  <c r="Q421" i="5"/>
  <c r="Q455" i="5"/>
  <c r="Q233" i="5"/>
  <c r="Q137" i="5"/>
  <c r="Q366" i="5"/>
  <c r="Q214" i="5"/>
  <c r="Q281" i="5"/>
  <c r="Q168" i="5"/>
  <c r="Q143" i="5"/>
  <c r="Q285" i="5"/>
  <c r="Q442" i="5"/>
  <c r="B40" i="5"/>
  <c r="Q133" i="5"/>
  <c r="Q194" i="5"/>
  <c r="Q386" i="5"/>
  <c r="Q123" i="5"/>
  <c r="Q158" i="5"/>
  <c r="Q534" i="5"/>
  <c r="Q134" i="5"/>
  <c r="Q460" i="5"/>
  <c r="Q103" i="5"/>
  <c r="Q33" i="5"/>
  <c r="Q244" i="5"/>
  <c r="Q269" i="5"/>
  <c r="Q531" i="5"/>
  <c r="Q117" i="5"/>
  <c r="Q451" i="5"/>
  <c r="Q542" i="5"/>
  <c r="Q362" i="5"/>
  <c r="Q517" i="5"/>
  <c r="Q452" i="5"/>
  <c r="Q111" i="5"/>
  <c r="Q540" i="5"/>
  <c r="Q173" i="5"/>
  <c r="Q363" i="5"/>
  <c r="Q350" i="5"/>
  <c r="Q55" i="5"/>
  <c r="Q286" i="5"/>
  <c r="Q81" i="5"/>
  <c r="Q529" i="5"/>
  <c r="Q119" i="5"/>
  <c r="Q317" i="5"/>
  <c r="Q156" i="5"/>
  <c r="Q389" i="5"/>
  <c r="Q274" i="5"/>
  <c r="Q458" i="5"/>
  <c r="Q466" i="5"/>
  <c r="Q72" i="5"/>
  <c r="Q465" i="5"/>
  <c r="Q89" i="5"/>
  <c r="Q12" i="5"/>
  <c r="Q461" i="5"/>
  <c r="Q144" i="5"/>
  <c r="Q70" i="5"/>
  <c r="Q113" i="5"/>
  <c r="Q434" i="5"/>
  <c r="Q503" i="5"/>
  <c r="Q322" i="5"/>
  <c r="Q390" i="5"/>
  <c r="Q66" i="5"/>
  <c r="Q124" i="5"/>
  <c r="Q547" i="5"/>
  <c r="Q24" i="5"/>
  <c r="Q412" i="5"/>
  <c r="Q361" i="5"/>
  <c r="Q161" i="5"/>
  <c r="Q283" i="5"/>
  <c r="Q506" i="5"/>
  <c r="Q146" i="5"/>
  <c r="Q217" i="5"/>
  <c r="Q246" i="5"/>
  <c r="Q187" i="5"/>
  <c r="Q108" i="5"/>
  <c r="Q513" i="5"/>
  <c r="Q238" i="5"/>
  <c r="Q204" i="5"/>
  <c r="Q97" i="5"/>
  <c r="Q96" i="5"/>
  <c r="Q273" i="5"/>
  <c r="Q149" i="5"/>
  <c r="Q104" i="5"/>
  <c r="Q272" i="5"/>
  <c r="Q212" i="5"/>
  <c r="Q393" i="5"/>
  <c r="Q52" i="5"/>
  <c r="Q215" i="5"/>
  <c r="Q301" i="5"/>
  <c r="Q346" i="5"/>
  <c r="Q224" i="5"/>
  <c r="Q327" i="5"/>
  <c r="Q99" i="5"/>
  <c r="Q296" i="5"/>
  <c r="Q388" i="5"/>
  <c r="Q321" i="5"/>
  <c r="Q356" i="5"/>
  <c r="Q535" i="5"/>
  <c r="Q23" i="5"/>
  <c r="Q62" i="5"/>
  <c r="Q110" i="5"/>
  <c r="Q315" i="5"/>
  <c r="Q448" i="5"/>
  <c r="Q132" i="5"/>
  <c r="Q39" i="5"/>
  <c r="Q82" i="5"/>
  <c r="Q328" i="5"/>
  <c r="Q336" i="5"/>
  <c r="Q359" i="5"/>
  <c r="Q19" i="5"/>
  <c r="Q348" i="5"/>
  <c r="Q207" i="5"/>
  <c r="Q538" i="5"/>
  <c r="Q197" i="5"/>
  <c r="Q184" i="5"/>
  <c r="Q463" i="5"/>
  <c r="Q333" i="5"/>
  <c r="Q349" i="5"/>
  <c r="Q58" i="5"/>
  <c r="Q326" i="5"/>
  <c r="Q530" i="5"/>
  <c r="Q172" i="5"/>
  <c r="Q26" i="5"/>
  <c r="Q293" i="5"/>
  <c r="Q266" i="5"/>
  <c r="Q320" i="5"/>
  <c r="Q304" i="5"/>
  <c r="Q518" i="5"/>
  <c r="Q29" i="5"/>
  <c r="Q163" i="5"/>
  <c r="Q211" i="5"/>
  <c r="Q438" i="5"/>
  <c r="Q515" i="5"/>
  <c r="Q261" i="5"/>
  <c r="Q27" i="5"/>
  <c r="Q382" i="5"/>
  <c r="Q505" i="5"/>
  <c r="Q248" i="5"/>
  <c r="Q409" i="5"/>
  <c r="Q114" i="5"/>
  <c r="Q64" i="5"/>
  <c r="Q74" i="5"/>
  <c r="Q484" i="5"/>
  <c r="Q543" i="5"/>
  <c r="Q351" i="5"/>
  <c r="Q473" i="5"/>
  <c r="Q199" i="5"/>
  <c r="Q428" i="5"/>
  <c r="Q279" i="5"/>
  <c r="Q427" i="5"/>
  <c r="Q73" i="5"/>
  <c r="Q387" i="5"/>
  <c r="Q480" i="5"/>
  <c r="Q414" i="5"/>
  <c r="Q501" i="5"/>
  <c r="Q541" i="5"/>
  <c r="Q157" i="5"/>
  <c r="Q467" i="5"/>
  <c r="Q213" i="5"/>
  <c r="Q8" i="5"/>
  <c r="Q396" i="5"/>
  <c r="Q140" i="5"/>
  <c r="Q411" i="5"/>
  <c r="Q78" i="5"/>
  <c r="Q46" i="5"/>
  <c r="Q552" i="5"/>
  <c r="Q477" i="5"/>
  <c r="Q344" i="5"/>
  <c r="Q61" i="5"/>
  <c r="Q370" i="5"/>
  <c r="Q528" i="5"/>
  <c r="Q288" i="5"/>
  <c r="Q202" i="5"/>
  <c r="Q164" i="5"/>
  <c r="Q250" i="5"/>
  <c r="Q300" i="5"/>
  <c r="Q334" i="5"/>
  <c r="Q228" i="5"/>
  <c r="Q364" i="5"/>
  <c r="Q219" i="5"/>
  <c r="Q309" i="5"/>
  <c r="Q200" i="5"/>
  <c r="Q38" i="5"/>
  <c r="Q28" i="5"/>
  <c r="Q44" i="5"/>
  <c r="Q379" i="5"/>
  <c r="Q377" i="5"/>
  <c r="Q499" i="5"/>
  <c r="Q453" i="5"/>
  <c r="Q446" i="5"/>
  <c r="Q329" i="5"/>
  <c r="Q88" i="5"/>
  <c r="Q40" i="5"/>
  <c r="Q553" i="5"/>
  <c r="Q399" i="5"/>
  <c r="Q263" i="5"/>
  <c r="Q368" i="5"/>
  <c r="Q429" i="5"/>
  <c r="Q456" i="5"/>
  <c r="Q185" i="5"/>
  <c r="Q278" i="5"/>
  <c r="Q431" i="5"/>
  <c r="Q130" i="5"/>
  <c r="Q159" i="5"/>
  <c r="Q496" i="5"/>
  <c r="Q494" i="5"/>
  <c r="Q338" i="5"/>
  <c r="Q291" i="5"/>
  <c r="Q155" i="5"/>
  <c r="Q106" i="5"/>
  <c r="Q492" i="5"/>
  <c r="Q176" i="5"/>
  <c r="Q384" i="5"/>
  <c r="Q433" i="5"/>
  <c r="Q472" i="5"/>
  <c r="Q347" i="5"/>
  <c r="Q255" i="5"/>
  <c r="Q230" i="5"/>
  <c r="Q243" i="5"/>
  <c r="Q332" i="5"/>
  <c r="Q95" i="5"/>
  <c r="Q31" i="5"/>
  <c r="Q251" i="5"/>
  <c r="Q167" i="5"/>
  <c r="Q372" i="5"/>
  <c r="Q171" i="5"/>
  <c r="Q175" i="5"/>
  <c r="Q277" i="5"/>
  <c r="Q479" i="5"/>
  <c r="Q239" i="5"/>
  <c r="Q440" i="5"/>
  <c r="Q397" i="5"/>
  <c r="Q549" i="5"/>
  <c r="Q258" i="5"/>
  <c r="Q422" i="5"/>
  <c r="Q236" i="5"/>
  <c r="Q229" i="5"/>
  <c r="Q189" i="5"/>
  <c r="Q548" i="5"/>
  <c r="Q136" i="5"/>
  <c r="Q474" i="5"/>
  <c r="Q312" i="5"/>
  <c r="Q10" i="5"/>
  <c r="Q554" i="5"/>
  <c r="Q523" i="5"/>
  <c r="Q525" i="5"/>
  <c r="Q51" i="5"/>
  <c r="Q470" i="5"/>
  <c r="Q483" i="5"/>
  <c r="Q437" i="5"/>
  <c r="Q352" i="5"/>
  <c r="Q245" i="5"/>
  <c r="Q75" i="5"/>
  <c r="Q100" i="5"/>
  <c r="Q498" i="5"/>
  <c r="Q275" i="5"/>
  <c r="Q371" i="5"/>
  <c r="Q307" i="5"/>
  <c r="Q305" i="5"/>
  <c r="Q524" i="5"/>
  <c r="Q330" i="5"/>
  <c r="Q160" i="5"/>
  <c r="Q545" i="5"/>
  <c r="Q139" i="5"/>
  <c r="Q345" i="5"/>
  <c r="Q262" i="5"/>
  <c r="Q101" i="5"/>
  <c r="Q43" i="5"/>
  <c r="Q558" i="5"/>
  <c r="Q198" i="5"/>
  <c r="Q166" i="5"/>
  <c r="Q208" i="5"/>
  <c r="Q247" i="5"/>
  <c r="Q358" i="5"/>
  <c r="Q254" i="5"/>
  <c r="Q365" i="5"/>
  <c r="Q487" i="5"/>
  <c r="Q77" i="5"/>
  <c r="Q314" i="5"/>
  <c r="Q92" i="5"/>
  <c r="Q290" i="5"/>
  <c r="Q403" i="5"/>
  <c r="Q308" i="5"/>
  <c r="Q54" i="5"/>
  <c r="Q374" i="5"/>
  <c r="Q511" i="5"/>
  <c r="Q417" i="5"/>
  <c r="Q485" i="5"/>
  <c r="Q341" i="5"/>
  <c r="Q84" i="5"/>
  <c r="Q32" i="5"/>
  <c r="Q449" i="5"/>
  <c r="Q115" i="5"/>
  <c r="Q216" i="5"/>
  <c r="Q220" i="5"/>
  <c r="Q551" i="5"/>
  <c r="Q445" i="5"/>
  <c r="Q153" i="5"/>
  <c r="Q192" i="5"/>
  <c r="Q30" i="5"/>
  <c r="Q76" i="5"/>
  <c r="Q297" i="5"/>
  <c r="Q122" i="5"/>
  <c r="Q284" i="5"/>
  <c r="Q482" i="5"/>
  <c r="Q469" i="5"/>
  <c r="Q354" i="5"/>
  <c r="Q170" i="5"/>
  <c r="Q174" i="5"/>
  <c r="Q380" i="5"/>
  <c r="Q430" i="5"/>
  <c r="Q294" i="5"/>
  <c r="Q475" i="5"/>
  <c r="Q340" i="5"/>
  <c r="Q410" i="5"/>
  <c r="Q165" i="5"/>
  <c r="Q426" i="5"/>
  <c r="Q491" i="5"/>
  <c r="Q241" i="5"/>
  <c r="Q186" i="5"/>
  <c r="Q468" i="5"/>
  <c r="Q205" i="5"/>
  <c r="Q502" i="5"/>
  <c r="Q436" i="5"/>
  <c r="Q337" i="5"/>
  <c r="Q196" i="5"/>
  <c r="Q260" i="5"/>
  <c r="Q42" i="5"/>
  <c r="Q276" i="5"/>
  <c r="Q83" i="5"/>
  <c r="Q87" i="5"/>
  <c r="Q405" i="5"/>
  <c r="Q268" i="5"/>
  <c r="Q519" i="5"/>
  <c r="Q478" i="5"/>
  <c r="Q407" i="5"/>
  <c r="Q532" i="5"/>
  <c r="Q49" i="5"/>
  <c r="Q86" i="5"/>
  <c r="Q526" i="5"/>
  <c r="Q450" i="5"/>
  <c r="Q270" i="5"/>
  <c r="Q310" i="5"/>
  <c r="Q360" i="5"/>
  <c r="Q490" i="5"/>
  <c r="Q406" i="5"/>
  <c r="Q316" i="5"/>
  <c r="Q447" i="5"/>
  <c r="Q521" i="5"/>
  <c r="Q41" i="5"/>
  <c r="Q353" i="5"/>
  <c r="Q90" i="5"/>
  <c r="Q313" i="5"/>
  <c r="Q420" i="5"/>
  <c r="Q493" i="5"/>
  <c r="Q148" i="5"/>
  <c r="Q152" i="5"/>
  <c r="Q162" i="5"/>
  <c r="Q112" i="5"/>
  <c r="Q395" i="5"/>
  <c r="Q127" i="5"/>
  <c r="Q232" i="5"/>
  <c r="Q94" i="5"/>
  <c r="Q439" i="5"/>
  <c r="Q271" i="5"/>
  <c r="Q147" i="5"/>
  <c r="Q226" i="5"/>
  <c r="Q227" i="5"/>
  <c r="Q355" i="5"/>
  <c r="Q203" i="5"/>
  <c r="Q235" i="5"/>
  <c r="Q221" i="5"/>
  <c r="Q510" i="5"/>
  <c r="Q59" i="5"/>
  <c r="Q383" i="5"/>
  <c r="Q481" i="5"/>
  <c r="Q22" i="5"/>
  <c r="Q546" i="5"/>
  <c r="Q67" i="5"/>
  <c r="Q457" i="5"/>
  <c r="Q280" i="5"/>
  <c r="Q556" i="5"/>
  <c r="Q188" i="5"/>
  <c r="Q516" i="5"/>
  <c r="Q335" i="5"/>
  <c r="Q85" i="5"/>
  <c r="Q252" i="5"/>
  <c r="Q169" i="5"/>
  <c r="Q145" i="5"/>
  <c r="Q126" i="5"/>
  <c r="Q50" i="5"/>
  <c r="Q142" i="5"/>
  <c r="Q560" i="5"/>
  <c r="Q178" i="5"/>
  <c r="Q376" i="5"/>
  <c r="Q295" i="5"/>
  <c r="Q544" i="5"/>
  <c r="Q195" i="5"/>
  <c r="Q539" i="5"/>
  <c r="Q193" i="5"/>
  <c r="Q425" i="5"/>
  <c r="Q486" i="5"/>
  <c r="Q218" i="5"/>
  <c r="Q319" i="5"/>
  <c r="Q98" i="5"/>
  <c r="Q20" i="5"/>
  <c r="Q342" i="5"/>
  <c r="Q500" i="5"/>
  <c r="Q21" i="5"/>
  <c r="Q259" i="5"/>
  <c r="Q231" i="5"/>
  <c r="Q537" i="5"/>
  <c r="Q559" i="5"/>
  <c r="Q289" i="5"/>
  <c r="Q391" i="5"/>
  <c r="Q190" i="5"/>
  <c r="Q138" i="5"/>
  <c r="Q444" i="5"/>
  <c r="Q206" i="5"/>
  <c r="Q225" i="5"/>
  <c r="Q398" i="5"/>
  <c r="Q508" i="5"/>
  <c r="Q306" i="5"/>
  <c r="Q514" i="5"/>
  <c r="Q181" i="5"/>
  <c r="Q324" i="5"/>
  <c r="Q462" i="5"/>
  <c r="Q68" i="5"/>
  <c r="Q413" i="5"/>
  <c r="Q489" i="5"/>
  <c r="Q476" i="5"/>
  <c r="Q415" i="5"/>
  <c r="Q57" i="5"/>
  <c r="Q536" i="5"/>
  <c r="Q65" i="5"/>
  <c r="Q441" i="5"/>
  <c r="Q234" i="5"/>
  <c r="Q401" i="5"/>
  <c r="Q120" i="5"/>
  <c r="Q201" i="5"/>
  <c r="Q507" i="5"/>
  <c r="Q37" i="5"/>
  <c r="Q71" i="5"/>
  <c r="Q209" i="5"/>
  <c r="Q520" i="5"/>
  <c r="Q343" i="5"/>
  <c r="Q249" i="5"/>
  <c r="Q435" i="5"/>
  <c r="Q299" i="5"/>
  <c r="Q533" i="5"/>
  <c r="Q116" i="5"/>
  <c r="Q357" i="5"/>
  <c r="Q102" i="5"/>
  <c r="Q419" i="5"/>
  <c r="Q180" i="5"/>
  <c r="Q512" i="5"/>
  <c r="Q47" i="5"/>
  <c r="Q253" i="5"/>
  <c r="Q60" i="5"/>
  <c r="Q105" i="5"/>
  <c r="Q36" i="5"/>
  <c r="Q128" i="5"/>
  <c r="Q527" i="5"/>
  <c r="Q557" i="5"/>
  <c r="Q25" i="5"/>
  <c r="Q125" i="5"/>
  <c r="Q93" i="5"/>
  <c r="Q267" i="5"/>
  <c r="Q121" i="5"/>
  <c r="Q223" i="5"/>
  <c r="Q237" i="5"/>
  <c r="Q331" i="5"/>
  <c r="Q80" i="5"/>
  <c r="Q378" i="5"/>
  <c r="Q91" i="5"/>
  <c r="Q394" i="5"/>
  <c r="Q141" i="5"/>
  <c r="Q257" i="5"/>
  <c r="Q191" i="5"/>
  <c r="Q555" i="5"/>
  <c r="Q56" i="5"/>
  <c r="Q454" i="5"/>
  <c r="Q497" i="5"/>
  <c r="Q182" i="5"/>
  <c r="Q109" i="5"/>
  <c r="Q34" i="5"/>
  <c r="Q298" i="5"/>
  <c r="Q256" i="5"/>
  <c r="Q373" i="5"/>
  <c r="Q240" i="5"/>
  <c r="Q509" i="5"/>
  <c r="Q423" i="5"/>
  <c r="Q369" i="5"/>
  <c r="Q107" i="5"/>
  <c r="Q210" i="5"/>
  <c r="Q118" i="5"/>
  <c r="Q323" i="5"/>
  <c r="Q222" i="5"/>
  <c r="Q443" i="5"/>
  <c r="Q367" i="5"/>
  <c r="Q265" i="5"/>
  <c r="Q129" i="5"/>
  <c r="Q303" i="5"/>
  <c r="Q242" i="5"/>
  <c r="Q264" i="5"/>
  <c r="Q151" i="5"/>
  <c r="Q318" i="5"/>
  <c r="Q302" i="5"/>
  <c r="Q375" i="5"/>
  <c r="Q381" i="5"/>
  <c r="Q522" i="5"/>
  <c r="Q13" i="5"/>
  <c r="Q550" i="5"/>
  <c r="Q432" i="5"/>
  <c r="Q282" i="5"/>
  <c r="Q183" i="5"/>
  <c r="Q35" i="5"/>
  <c r="Q135" i="5"/>
  <c r="Q63" i="5"/>
  <c r="Q311" i="5"/>
  <c r="Q179" i="5"/>
  <c r="Q9" i="5"/>
  <c r="AQ228" i="5"/>
  <c r="BI228" i="5"/>
  <c r="AP84" i="5"/>
  <c r="AP386" i="5"/>
  <c r="AP219" i="5"/>
  <c r="AP485" i="5"/>
  <c r="AP151" i="5"/>
  <c r="AP73" i="5"/>
  <c r="AP372" i="5"/>
  <c r="AE108" i="4"/>
  <c r="AH108" i="4"/>
  <c r="AE150" i="4"/>
  <c r="AH150" i="4"/>
  <c r="Z150" i="4"/>
  <c r="X150" i="4" s="1"/>
  <c r="AJ150" i="4" s="1"/>
  <c r="AE57" i="4"/>
  <c r="AH57" i="4"/>
  <c r="Z70" i="4"/>
  <c r="X70" i="4" s="1"/>
  <c r="AJ70" i="4" s="1"/>
  <c r="AE70" i="4"/>
  <c r="AH70" i="4"/>
  <c r="AH148" i="4"/>
  <c r="AE148" i="4"/>
  <c r="AH84" i="4"/>
  <c r="AE84" i="4"/>
  <c r="Z84" i="4"/>
  <c r="X84" i="4" s="1"/>
  <c r="AH144" i="4"/>
  <c r="AE144" i="4"/>
  <c r="AE128" i="4"/>
  <c r="AH128" i="4"/>
  <c r="AH106" i="4"/>
  <c r="AE106" i="4"/>
  <c r="AE88" i="4"/>
  <c r="Z88" i="4"/>
  <c r="AH88" i="4"/>
  <c r="AH140" i="4"/>
  <c r="AE140" i="4"/>
  <c r="AH20" i="4"/>
  <c r="Z20" i="4"/>
  <c r="X20" i="4" s="1"/>
  <c r="AJ20" i="4" s="1"/>
  <c r="AE20" i="4"/>
  <c r="AE135" i="4"/>
  <c r="AH135" i="4"/>
  <c r="AH55" i="4"/>
  <c r="AE55" i="4"/>
  <c r="AE105" i="4"/>
  <c r="AH105" i="4"/>
  <c r="AE130" i="4"/>
  <c r="AH130" i="4"/>
  <c r="AE43" i="4"/>
  <c r="AH43" i="4"/>
  <c r="Z43" i="4"/>
  <c r="AH119" i="4"/>
  <c r="Z119" i="4"/>
  <c r="X119" i="4" s="1"/>
  <c r="AJ119" i="4" s="1"/>
  <c r="AE119" i="4"/>
  <c r="AH39" i="4"/>
  <c r="AE39" i="4"/>
  <c r="Z39" i="4"/>
  <c r="X39" i="4" s="1"/>
  <c r="AH102" i="4"/>
  <c r="AE102" i="4"/>
  <c r="AE56" i="4"/>
  <c r="AH56" i="4"/>
  <c r="Z68" i="4"/>
  <c r="X68" i="4" s="1"/>
  <c r="AH68" i="4"/>
  <c r="AE68" i="4"/>
  <c r="AE37" i="4"/>
  <c r="AH37" i="4"/>
  <c r="Z37" i="4"/>
  <c r="X37" i="4" s="1"/>
  <c r="AH41" i="4"/>
  <c r="AE41" i="4"/>
  <c r="Z41" i="4"/>
  <c r="X41" i="4" s="1"/>
  <c r="AJ41" i="4" s="1"/>
  <c r="AE34" i="4"/>
  <c r="AH34" i="4"/>
  <c r="Z34" i="4"/>
  <c r="X34" i="4" s="1"/>
  <c r="AH113" i="4"/>
  <c r="AE113" i="4"/>
  <c r="AE109" i="4"/>
  <c r="AH109" i="4"/>
  <c r="AH136" i="4"/>
  <c r="AE136" i="4"/>
  <c r="AE129" i="4"/>
  <c r="AH129" i="4"/>
  <c r="AE98" i="4"/>
  <c r="AH98" i="4"/>
  <c r="AH64" i="4"/>
  <c r="AE64" i="4"/>
  <c r="Z64" i="4"/>
  <c r="X64" i="4" s="1"/>
  <c r="AJ64" i="4" s="1"/>
  <c r="AE146" i="4"/>
  <c r="Z146" i="4"/>
  <c r="AH146" i="4"/>
  <c r="AE85" i="4"/>
  <c r="AH85" i="4"/>
  <c r="AP186" i="5"/>
  <c r="AP284" i="5"/>
  <c r="AP54" i="5"/>
  <c r="AP13" i="5"/>
  <c r="AP209" i="5"/>
  <c r="AP416" i="5"/>
  <c r="AP462" i="5"/>
  <c r="AP419" i="5"/>
  <c r="AP504" i="5"/>
  <c r="AP77" i="5"/>
  <c r="AE117" i="4"/>
  <c r="AH117" i="4"/>
  <c r="AE81" i="4"/>
  <c r="AH81" i="4"/>
  <c r="AO537" i="5"/>
  <c r="AN537" i="5"/>
  <c r="AO509" i="5"/>
  <c r="AN509" i="5"/>
  <c r="AN213" i="5"/>
  <c r="AO213" i="5"/>
  <c r="AN259" i="5"/>
  <c r="AO259" i="5"/>
  <c r="AN95" i="5"/>
  <c r="AO95" i="5"/>
  <c r="AO135" i="5"/>
  <c r="AN135" i="5"/>
  <c r="AO393" i="5"/>
  <c r="AN393" i="5"/>
  <c r="AN482" i="5"/>
  <c r="AO482" i="5"/>
  <c r="AN149" i="5"/>
  <c r="AO149" i="5"/>
  <c r="AN129" i="5"/>
  <c r="AO129" i="5"/>
  <c r="AO333" i="5"/>
  <c r="AN333" i="5"/>
  <c r="AO365" i="5"/>
  <c r="AN365" i="5"/>
  <c r="AO497" i="5"/>
  <c r="AN497" i="5"/>
  <c r="AN61" i="5"/>
  <c r="AO61" i="5"/>
  <c r="AO463" i="5"/>
  <c r="AN463" i="5"/>
  <c r="AO408" i="5"/>
  <c r="AN408" i="5"/>
  <c r="AN273" i="5"/>
  <c r="AO273" i="5"/>
  <c r="AO526" i="5"/>
  <c r="AN526" i="5"/>
  <c r="AN291" i="5"/>
  <c r="AO291" i="5"/>
  <c r="AN127" i="5"/>
  <c r="AO127" i="5"/>
  <c r="AO293" i="5"/>
  <c r="AN293" i="5"/>
  <c r="AN220" i="5"/>
  <c r="AO220" i="5"/>
  <c r="AO453" i="5"/>
  <c r="AN453" i="5"/>
  <c r="AN442" i="5"/>
  <c r="AO442" i="5"/>
  <c r="AN138" i="5"/>
  <c r="AO138" i="5"/>
  <c r="AO500" i="5"/>
  <c r="AN500" i="5"/>
  <c r="AO495" i="5"/>
  <c r="AN495" i="5"/>
  <c r="AN294" i="5"/>
  <c r="AO294" i="5"/>
  <c r="AO310" i="5"/>
  <c r="AN310" i="5"/>
  <c r="AO477" i="5"/>
  <c r="AN477" i="5"/>
  <c r="AO137" i="5"/>
  <c r="AN137" i="5"/>
  <c r="AO173" i="5"/>
  <c r="AN173" i="5"/>
  <c r="AO401" i="5"/>
  <c r="AN401" i="5"/>
  <c r="AO49" i="5"/>
  <c r="AN49" i="5"/>
  <c r="AN150" i="5"/>
  <c r="AO150" i="5"/>
  <c r="AO59" i="5"/>
  <c r="AN59" i="5"/>
  <c r="AO347" i="5"/>
  <c r="AN347" i="5"/>
  <c r="AN227" i="5"/>
  <c r="AO227" i="5"/>
  <c r="AN458" i="5"/>
  <c r="AO458" i="5"/>
  <c r="AN480" i="5"/>
  <c r="AO480" i="5"/>
  <c r="AN428" i="5"/>
  <c r="AO428" i="5"/>
  <c r="AN476" i="5"/>
  <c r="AO476" i="5"/>
  <c r="AN361" i="5"/>
  <c r="AO361" i="5"/>
  <c r="AN270" i="5"/>
  <c r="AO270" i="5"/>
  <c r="AN250" i="5"/>
  <c r="AO250" i="5"/>
  <c r="AN207" i="5"/>
  <c r="AO207" i="5"/>
  <c r="AN254" i="5"/>
  <c r="AO254" i="5"/>
  <c r="AO553" i="5"/>
  <c r="AN553" i="5"/>
  <c r="AN25" i="5"/>
  <c r="AO25" i="5"/>
  <c r="AN231" i="5"/>
  <c r="AO231" i="5"/>
  <c r="AO371" i="5"/>
  <c r="AN371" i="5"/>
  <c r="AO172" i="5"/>
  <c r="AN172" i="5"/>
  <c r="AN214" i="5"/>
  <c r="AO214" i="5"/>
  <c r="AO128" i="5"/>
  <c r="AN128" i="5"/>
  <c r="AN141" i="5"/>
  <c r="AO141" i="5"/>
  <c r="AN550" i="5"/>
  <c r="AO550" i="5"/>
  <c r="AN314" i="5"/>
  <c r="AO314" i="5"/>
  <c r="AN79" i="5"/>
  <c r="AO79" i="5"/>
  <c r="AO378" i="5"/>
  <c r="AN378" i="5"/>
  <c r="AO490" i="5"/>
  <c r="AN490" i="5"/>
  <c r="AO385" i="5"/>
  <c r="AN385" i="5"/>
  <c r="AO406" i="5"/>
  <c r="AN406" i="5"/>
  <c r="AN118" i="5"/>
  <c r="AO118" i="5"/>
  <c r="AO521" i="5"/>
  <c r="AN521" i="5"/>
  <c r="AO531" i="5"/>
  <c r="AN531" i="5"/>
  <c r="AO483" i="5"/>
  <c r="AN483" i="5"/>
  <c r="AO132" i="5"/>
  <c r="AN132" i="5"/>
  <c r="AO211" i="5"/>
  <c r="AN211" i="5"/>
  <c r="AN478" i="5"/>
  <c r="AO478" i="5"/>
  <c r="AO63" i="5"/>
  <c r="AN63" i="5"/>
  <c r="AN351" i="5"/>
  <c r="AO351" i="5"/>
  <c r="AN246" i="5"/>
  <c r="AO246" i="5"/>
  <c r="AN409" i="5"/>
  <c r="AO409" i="5"/>
  <c r="AO390" i="5"/>
  <c r="AN390" i="5"/>
  <c r="AO391" i="5"/>
  <c r="AN391" i="5"/>
  <c r="AO345" i="5"/>
  <c r="AN345" i="5"/>
  <c r="AN272" i="5"/>
  <c r="AO272" i="5"/>
  <c r="AO87" i="5"/>
  <c r="AN87" i="5"/>
  <c r="AN525" i="5"/>
  <c r="AO525" i="5"/>
  <c r="AO514" i="5"/>
  <c r="AN514" i="5"/>
  <c r="AO21" i="5"/>
  <c r="AN21" i="5"/>
  <c r="AO489" i="5"/>
  <c r="AN489" i="5"/>
  <c r="AO424" i="5"/>
  <c r="AN424" i="5"/>
  <c r="AN157" i="5"/>
  <c r="AO157" i="5"/>
  <c r="AN257" i="5"/>
  <c r="AO257" i="5"/>
  <c r="AO175" i="5"/>
  <c r="AN175" i="5"/>
  <c r="AO417" i="5"/>
  <c r="AN417" i="5"/>
  <c r="AH264" i="5"/>
  <c r="AI264" i="5"/>
  <c r="AI513" i="5"/>
  <c r="AH513" i="5"/>
  <c r="AI524" i="5"/>
  <c r="AH524" i="5"/>
  <c r="AI194" i="5"/>
  <c r="AH194" i="5"/>
  <c r="AI546" i="5"/>
  <c r="AH546" i="5"/>
  <c r="AI460" i="5"/>
  <c r="AH460" i="5"/>
  <c r="AH375" i="5"/>
  <c r="AI375" i="5"/>
  <c r="AH484" i="5"/>
  <c r="AI484" i="5"/>
  <c r="AH401" i="5"/>
  <c r="AI401" i="5"/>
  <c r="AI229" i="5"/>
  <c r="AH229" i="5"/>
  <c r="AH536" i="5"/>
  <c r="AI536" i="5"/>
  <c r="AI280" i="5"/>
  <c r="AH280" i="5"/>
  <c r="AH384" i="5"/>
  <c r="AI384" i="5"/>
  <c r="AH328" i="5"/>
  <c r="AI328" i="5"/>
  <c r="AI254" i="5"/>
  <c r="AH254" i="5"/>
  <c r="AI248" i="5"/>
  <c r="AH248" i="5"/>
  <c r="AH368" i="5"/>
  <c r="AI368" i="5"/>
  <c r="AI427" i="5"/>
  <c r="AH427" i="5"/>
  <c r="AH409" i="5"/>
  <c r="AI409" i="5"/>
  <c r="AH204" i="5"/>
  <c r="AI204" i="5"/>
  <c r="AI113" i="5"/>
  <c r="AH113" i="5"/>
  <c r="AH558" i="5"/>
  <c r="AI558" i="5"/>
  <c r="AI308" i="5"/>
  <c r="AH308" i="5"/>
  <c r="AI28" i="5"/>
  <c r="AH28" i="5"/>
  <c r="AI342" i="5"/>
  <c r="AH342" i="5"/>
  <c r="AI225" i="5"/>
  <c r="AH225" i="5"/>
  <c r="AI56" i="5"/>
  <c r="AH56" i="5"/>
  <c r="AI77" i="5"/>
  <c r="AH77" i="5"/>
  <c r="AI250" i="5"/>
  <c r="AH250" i="5"/>
  <c r="AH91" i="5"/>
  <c r="AI91" i="5"/>
  <c r="AH161" i="5"/>
  <c r="AI161" i="5"/>
  <c r="AH125" i="5"/>
  <c r="AI125" i="5"/>
  <c r="AH7" i="5"/>
  <c r="AI7" i="5"/>
  <c r="AI413" i="5"/>
  <c r="AH413" i="5"/>
  <c r="AH356" i="5"/>
  <c r="AI356" i="5"/>
  <c r="AI316" i="5"/>
  <c r="AH316" i="5"/>
  <c r="AH347" i="5"/>
  <c r="AI347" i="5"/>
  <c r="AI255" i="5"/>
  <c r="AH255" i="5"/>
  <c r="AH327" i="5"/>
  <c r="AI327" i="5"/>
  <c r="AH242" i="5"/>
  <c r="AI242" i="5"/>
  <c r="AI57" i="5"/>
  <c r="AH57" i="5"/>
  <c r="AH523" i="5"/>
  <c r="AI523" i="5"/>
  <c r="AI294" i="5"/>
  <c r="AH294" i="5"/>
  <c r="AH381" i="5"/>
  <c r="AI381" i="5"/>
  <c r="AH102" i="5"/>
  <c r="AI102" i="5"/>
  <c r="AI123" i="5"/>
  <c r="AH123" i="5"/>
  <c r="AH300" i="5"/>
  <c r="AI300" i="5"/>
  <c r="AH320" i="5"/>
  <c r="AI320" i="5"/>
  <c r="AI392" i="5"/>
  <c r="AH392" i="5"/>
  <c r="AI337" i="5"/>
  <c r="AH337" i="5"/>
  <c r="AH60" i="5"/>
  <c r="AI60" i="5"/>
  <c r="AI429" i="5"/>
  <c r="AH429" i="5"/>
  <c r="AH37" i="5"/>
  <c r="AI37" i="5"/>
  <c r="AH553" i="5"/>
  <c r="AI553" i="5"/>
  <c r="AI457" i="5"/>
  <c r="AH457" i="5"/>
  <c r="AH543" i="5"/>
  <c r="AI543" i="5"/>
  <c r="AI314" i="5"/>
  <c r="AH314" i="5"/>
  <c r="AH430" i="5"/>
  <c r="AI430" i="5"/>
  <c r="AH45" i="5"/>
  <c r="AI45" i="5"/>
  <c r="AI410" i="5"/>
  <c r="AH410" i="5"/>
  <c r="AH495" i="5"/>
  <c r="AI495" i="5"/>
  <c r="AH494" i="5"/>
  <c r="AI494" i="5"/>
  <c r="AI422" i="5"/>
  <c r="AH422" i="5"/>
  <c r="AI61" i="5"/>
  <c r="AH61" i="5"/>
  <c r="AH540" i="5"/>
  <c r="AI540" i="5"/>
  <c r="AH120" i="5"/>
  <c r="AI120" i="5"/>
  <c r="AI33" i="5"/>
  <c r="AH33" i="5"/>
  <c r="AH396" i="5"/>
  <c r="AI396" i="5"/>
  <c r="AI262" i="5"/>
  <c r="AH262" i="5"/>
  <c r="AI55" i="5"/>
  <c r="AH55" i="5"/>
  <c r="AI527" i="5"/>
  <c r="AH527" i="5"/>
  <c r="AI271" i="5"/>
  <c r="AH271" i="5"/>
  <c r="AH366" i="5"/>
  <c r="AI366" i="5"/>
  <c r="AI334" i="5"/>
  <c r="AH334" i="5"/>
  <c r="AH188" i="5"/>
  <c r="AI188" i="5"/>
  <c r="AH12" i="5"/>
  <c r="AI12" i="5"/>
  <c r="AH79" i="5"/>
  <c r="AI79" i="5"/>
  <c r="AH107" i="5"/>
  <c r="AI107" i="5"/>
  <c r="AI349" i="5"/>
  <c r="AH349" i="5"/>
  <c r="AH171" i="5"/>
  <c r="AI171" i="5"/>
  <c r="AH329" i="5"/>
  <c r="AI329" i="5"/>
  <c r="AI505" i="5"/>
  <c r="AH505" i="5"/>
  <c r="AI258" i="5"/>
  <c r="AH258" i="5"/>
  <c r="AH322" i="5"/>
  <c r="AI322" i="5"/>
  <c r="AI530" i="5"/>
  <c r="AH530" i="5"/>
  <c r="AI154" i="5"/>
  <c r="AH154" i="5"/>
  <c r="AI276" i="5"/>
  <c r="AH276" i="5"/>
  <c r="AI340" i="5"/>
  <c r="AH340" i="5"/>
  <c r="AI76" i="5"/>
  <c r="AH76" i="5"/>
  <c r="AI395" i="5"/>
  <c r="AH395" i="5"/>
  <c r="AI514" i="5"/>
  <c r="AH514" i="5"/>
  <c r="AH369" i="5"/>
  <c r="AI369" i="5"/>
  <c r="AH25" i="5"/>
  <c r="AI25" i="5"/>
  <c r="AH491" i="5"/>
  <c r="AI491" i="5"/>
  <c r="AH353" i="5"/>
  <c r="AI353" i="5"/>
  <c r="AH531" i="5"/>
  <c r="AI531" i="5"/>
  <c r="AH115" i="5"/>
  <c r="AI115" i="5"/>
  <c r="AI93" i="5"/>
  <c r="AH93" i="5"/>
  <c r="AH552" i="5"/>
  <c r="AI552" i="5"/>
  <c r="AI345" i="5"/>
  <c r="AH345" i="5"/>
  <c r="AI111" i="5"/>
  <c r="AH111" i="5"/>
  <c r="AI503" i="5"/>
  <c r="AH503" i="5"/>
  <c r="AH295" i="5"/>
  <c r="AI295" i="5"/>
  <c r="AH211" i="5"/>
  <c r="AI211" i="5"/>
  <c r="AH97" i="5"/>
  <c r="AI97" i="5"/>
  <c r="AH325" i="5"/>
  <c r="AI325" i="5"/>
  <c r="AI390" i="5"/>
  <c r="AH390" i="5"/>
  <c r="AH436" i="5"/>
  <c r="AI436" i="5"/>
  <c r="AH547" i="5"/>
  <c r="AI547" i="5"/>
  <c r="AI75" i="5"/>
  <c r="AH75" i="5"/>
  <c r="AI142" i="5"/>
  <c r="AH142" i="5"/>
  <c r="AH47" i="5"/>
  <c r="AI47" i="5"/>
  <c r="AH205" i="5"/>
  <c r="AI205" i="5"/>
  <c r="AI542" i="5"/>
  <c r="AH542" i="5"/>
  <c r="AI73" i="5"/>
  <c r="AH73" i="5"/>
  <c r="AI555" i="5"/>
  <c r="AH555" i="5"/>
  <c r="AH348" i="5"/>
  <c r="AI348" i="5"/>
  <c r="AH144" i="5"/>
  <c r="AI144" i="5"/>
  <c r="AI441" i="5"/>
  <c r="AH441" i="5"/>
  <c r="AI71" i="5"/>
  <c r="AH71" i="5"/>
  <c r="AI46" i="5"/>
  <c r="AH46" i="5"/>
  <c r="AH383" i="5"/>
  <c r="AI383" i="5"/>
  <c r="AH266" i="5"/>
  <c r="AI266" i="5"/>
  <c r="AI360" i="5"/>
  <c r="AH360" i="5"/>
  <c r="AI219" i="5"/>
  <c r="AH219" i="5"/>
  <c r="AH377" i="5"/>
  <c r="AI377" i="5"/>
  <c r="AH22" i="5"/>
  <c r="AI22" i="5"/>
  <c r="AH170" i="5"/>
  <c r="AI170" i="5"/>
  <c r="AH94" i="5"/>
  <c r="AI94" i="5"/>
  <c r="AI89" i="5"/>
  <c r="AH89" i="5"/>
  <c r="AI84" i="5"/>
  <c r="AH84" i="5"/>
  <c r="AH29" i="5"/>
  <c r="AI29" i="5"/>
  <c r="AI165" i="5"/>
  <c r="AH165" i="5"/>
  <c r="AH463" i="5"/>
  <c r="AI463" i="5"/>
  <c r="AH324" i="5"/>
  <c r="AI324" i="5"/>
  <c r="AI181" i="5"/>
  <c r="AH181" i="5"/>
  <c r="AH12" i="4"/>
  <c r="AE12" i="4"/>
  <c r="Z12" i="4"/>
  <c r="X12" i="4" s="1"/>
  <c r="AJ12" i="4" s="1"/>
  <c r="AH71" i="4"/>
  <c r="Z71" i="4"/>
  <c r="X71" i="4" s="1"/>
  <c r="AJ71" i="4" s="1"/>
  <c r="AE71" i="4"/>
  <c r="AE49" i="4"/>
  <c r="Z49" i="4"/>
  <c r="AH49" i="4"/>
  <c r="Z157" i="4"/>
  <c r="AH157" i="4"/>
  <c r="AE157" i="4"/>
  <c r="AH155" i="4"/>
  <c r="AE155" i="4"/>
  <c r="AH73" i="4"/>
  <c r="AE73" i="4"/>
  <c r="AH152" i="4"/>
  <c r="AE152" i="4"/>
  <c r="AE124" i="4"/>
  <c r="AH124" i="4"/>
  <c r="AH26" i="4"/>
  <c r="AE26" i="4"/>
  <c r="Z26" i="4"/>
  <c r="X26" i="4" s="1"/>
  <c r="AJ26" i="4" s="1"/>
  <c r="AE110" i="4"/>
  <c r="AH110" i="4"/>
  <c r="AH123" i="4"/>
  <c r="AE123" i="4"/>
  <c r="AE60" i="4"/>
  <c r="AH60" i="4"/>
  <c r="AE58" i="4"/>
  <c r="AH58" i="4"/>
  <c r="AE153" i="4"/>
  <c r="Z153" i="4"/>
  <c r="AH153" i="4"/>
  <c r="AE149" i="4"/>
  <c r="AH149" i="4"/>
  <c r="AH66" i="4"/>
  <c r="AE66" i="4"/>
  <c r="AH23" i="4"/>
  <c r="AE23" i="4"/>
  <c r="Z23" i="4"/>
  <c r="X23" i="4" s="1"/>
  <c r="AJ23" i="4" s="1"/>
  <c r="AE112" i="4"/>
  <c r="AH112" i="4"/>
  <c r="AH131" i="4"/>
  <c r="AE131" i="4"/>
  <c r="AE36" i="4"/>
  <c r="Z36" i="4"/>
  <c r="X36" i="4" s="1"/>
  <c r="AJ36" i="4" s="1"/>
  <c r="AH36" i="4"/>
  <c r="AH14" i="4"/>
  <c r="AE14" i="4"/>
  <c r="Z14" i="4"/>
  <c r="X14" i="4" s="1"/>
  <c r="AJ14" i="4" s="1"/>
  <c r="AE42" i="4"/>
  <c r="AH42" i="4"/>
  <c r="Z42" i="4"/>
  <c r="X42" i="4" s="1"/>
  <c r="AE32" i="4"/>
  <c r="Z32" i="4"/>
  <c r="X32" i="4" s="1"/>
  <c r="AJ32" i="4" s="1"/>
  <c r="AH32" i="4"/>
  <c r="AE72" i="4"/>
  <c r="AH72" i="4"/>
  <c r="Z72" i="4"/>
  <c r="X72" i="4" s="1"/>
  <c r="AJ72" i="4" s="1"/>
  <c r="AH116" i="4"/>
  <c r="AE116" i="4"/>
  <c r="BI140" i="5"/>
  <c r="AP267" i="5"/>
  <c r="AR203" i="5"/>
  <c r="BI203" i="5"/>
  <c r="AQ203" i="5"/>
  <c r="AP148" i="5"/>
  <c r="AP452" i="5"/>
  <c r="AP33" i="5"/>
  <c r="AP497" i="5"/>
  <c r="AH67" i="4"/>
  <c r="AE67" i="4"/>
  <c r="AH31" i="4"/>
  <c r="Z31" i="4"/>
  <c r="X31" i="4" s="1"/>
  <c r="AJ31" i="4" s="1"/>
  <c r="AE31" i="4"/>
  <c r="AH145" i="4"/>
  <c r="AE145" i="4"/>
  <c r="AE93" i="4"/>
  <c r="AH93" i="4"/>
  <c r="AH59" i="4"/>
  <c r="AE59" i="4"/>
  <c r="AE94" i="4"/>
  <c r="AH94" i="4"/>
  <c r="AH121" i="4"/>
  <c r="AE121" i="4"/>
  <c r="AE126" i="4"/>
  <c r="AH126" i="4"/>
  <c r="AE74" i="4"/>
  <c r="AH74" i="4"/>
  <c r="AE83" i="4"/>
  <c r="Z83" i="4"/>
  <c r="X83" i="4" s="1"/>
  <c r="AJ83" i="4" s="1"/>
  <c r="AH83" i="4"/>
  <c r="AH79" i="4"/>
  <c r="AE79" i="4"/>
  <c r="AO560" i="5"/>
  <c r="AN560" i="5"/>
  <c r="AO451" i="5"/>
  <c r="AN451" i="5"/>
  <c r="AN274" i="5"/>
  <c r="AO274" i="5"/>
  <c r="AO190" i="5"/>
  <c r="AN190" i="5"/>
  <c r="AO377" i="5"/>
  <c r="AN377" i="5"/>
  <c r="AO308" i="5"/>
  <c r="AN308" i="5"/>
  <c r="AN222" i="5"/>
  <c r="AO222" i="5"/>
  <c r="AO412" i="5"/>
  <c r="AN412" i="5"/>
  <c r="AO375" i="5"/>
  <c r="AN375" i="5"/>
  <c r="AN494" i="5"/>
  <c r="AO494" i="5"/>
  <c r="AO140" i="5"/>
  <c r="AN140" i="5"/>
  <c r="AO329" i="5"/>
  <c r="AN329" i="5"/>
  <c r="AO241" i="5"/>
  <c r="AN241" i="5"/>
  <c r="AO474" i="5"/>
  <c r="AN474" i="5"/>
  <c r="AO38" i="5"/>
  <c r="AN38" i="5"/>
  <c r="AN28" i="5"/>
  <c r="AO28" i="5"/>
  <c r="AN295" i="5"/>
  <c r="AO295" i="5"/>
  <c r="AO450" i="5"/>
  <c r="AN450" i="5"/>
  <c r="AO193" i="5"/>
  <c r="AN193" i="5"/>
  <c r="AN275" i="5"/>
  <c r="AO275" i="5"/>
  <c r="AN160" i="5"/>
  <c r="AO160" i="5"/>
  <c r="AO353" i="5"/>
  <c r="AN353" i="5"/>
  <c r="AN178" i="5"/>
  <c r="AO178" i="5"/>
  <c r="AO454" i="5"/>
  <c r="AN454" i="5"/>
  <c r="AO432" i="5"/>
  <c r="AN432" i="5"/>
  <c r="AN153" i="5"/>
  <c r="AO153" i="5"/>
  <c r="AO225" i="5"/>
  <c r="AN225" i="5"/>
  <c r="AN189" i="5"/>
  <c r="AO189" i="5"/>
  <c r="AO535" i="5"/>
  <c r="AN535" i="5"/>
  <c r="AN438" i="5"/>
  <c r="AO438" i="5"/>
  <c r="AO358" i="5"/>
  <c r="AN358" i="5"/>
  <c r="AO515" i="5"/>
  <c r="AN515" i="5"/>
  <c r="AN413" i="5"/>
  <c r="AO413" i="5"/>
  <c r="AO244" i="5"/>
  <c r="AN244" i="5"/>
  <c r="AN196" i="5"/>
  <c r="AO196" i="5"/>
  <c r="AN170" i="5"/>
  <c r="AO170" i="5"/>
  <c r="AO108" i="5"/>
  <c r="AN108" i="5"/>
  <c r="AO144" i="5"/>
  <c r="AN144" i="5"/>
  <c r="AO325" i="5"/>
  <c r="AN325" i="5"/>
  <c r="AO536" i="5"/>
  <c r="AN536" i="5"/>
  <c r="AN107" i="5"/>
  <c r="AO107" i="5"/>
  <c r="AO383" i="5"/>
  <c r="AN383" i="5"/>
  <c r="AO387" i="5"/>
  <c r="AN387" i="5"/>
  <c r="AN327" i="5"/>
  <c r="AO327" i="5"/>
  <c r="AN105" i="5"/>
  <c r="AO105" i="5"/>
  <c r="AO26" i="5"/>
  <c r="AN26" i="5"/>
  <c r="AN517" i="5"/>
  <c r="AO517" i="5"/>
  <c r="AO236" i="5"/>
  <c r="AN236" i="5"/>
  <c r="AO548" i="5"/>
  <c r="AN548" i="5"/>
  <c r="AN81" i="5"/>
  <c r="AO81" i="5"/>
  <c r="AN39" i="5"/>
  <c r="AO39" i="5"/>
  <c r="AO243" i="5"/>
  <c r="AN243" i="5"/>
  <c r="AO287" i="5"/>
  <c r="AN287" i="5"/>
  <c r="AN348" i="5"/>
  <c r="AO348" i="5"/>
  <c r="AO194" i="5"/>
  <c r="AN194" i="5"/>
  <c r="AO459" i="5"/>
  <c r="AN459" i="5"/>
  <c r="AO337" i="5"/>
  <c r="AN337" i="5"/>
  <c r="AO366" i="5"/>
  <c r="AN366" i="5"/>
  <c r="AN354" i="5"/>
  <c r="AO354" i="5"/>
  <c r="AO426" i="5"/>
  <c r="AN426" i="5"/>
  <c r="AO82" i="5"/>
  <c r="AN82" i="5"/>
  <c r="AO42" i="5"/>
  <c r="AN42" i="5"/>
  <c r="AO120" i="5"/>
  <c r="AN120" i="5"/>
  <c r="AN230" i="5"/>
  <c r="AO230" i="5"/>
  <c r="AO469" i="5"/>
  <c r="AN469" i="5"/>
  <c r="AO309" i="5"/>
  <c r="AN309" i="5"/>
  <c r="AO292" i="5"/>
  <c r="AN292" i="5"/>
  <c r="AN382" i="5"/>
  <c r="AO382" i="5"/>
  <c r="AO27" i="5"/>
  <c r="AN27" i="5"/>
  <c r="AO163" i="5"/>
  <c r="AN163" i="5"/>
  <c r="AO389" i="5"/>
  <c r="AN389" i="5"/>
  <c r="AN356" i="5"/>
  <c r="AO356" i="5"/>
  <c r="AN115" i="5"/>
  <c r="AO115" i="5"/>
  <c r="AN559" i="5"/>
  <c r="AO559" i="5"/>
  <c r="AN229" i="5"/>
  <c r="AO229" i="5"/>
  <c r="AO461" i="5"/>
  <c r="AN461" i="5"/>
  <c r="AN45" i="5"/>
  <c r="AO45" i="5"/>
  <c r="AN113" i="5"/>
  <c r="AO113" i="5"/>
  <c r="AO403" i="5"/>
  <c r="AN403" i="5"/>
  <c r="AN496" i="5"/>
  <c r="AO496" i="5"/>
  <c r="AO399" i="5"/>
  <c r="AN399" i="5"/>
  <c r="AO234" i="5"/>
  <c r="AN234" i="5"/>
  <c r="AO472" i="5"/>
  <c r="AN472" i="5"/>
  <c r="AN44" i="5"/>
  <c r="AO44" i="5"/>
  <c r="AN367" i="5"/>
  <c r="AO367" i="5"/>
  <c r="AN506" i="5"/>
  <c r="AO506" i="5"/>
  <c r="AN208" i="5"/>
  <c r="AO208" i="5"/>
  <c r="AN465" i="5"/>
  <c r="AO465" i="5"/>
  <c r="AO511" i="5"/>
  <c r="AN511" i="5"/>
  <c r="AO256" i="5"/>
  <c r="AN256" i="5"/>
  <c r="AN197" i="5"/>
  <c r="AO197" i="5"/>
  <c r="AO122" i="5"/>
  <c r="AN122" i="5"/>
  <c r="AN436" i="5"/>
  <c r="AO436" i="5"/>
  <c r="AO167" i="5"/>
  <c r="AN167" i="5"/>
  <c r="AN76" i="5"/>
  <c r="AO76" i="5"/>
  <c r="AO341" i="5"/>
  <c r="AN341" i="5"/>
  <c r="AN86" i="5"/>
  <c r="AO86" i="5"/>
  <c r="AO210" i="5"/>
  <c r="AN210" i="5"/>
  <c r="AN305" i="5"/>
  <c r="AO305" i="5"/>
  <c r="AO57" i="5"/>
  <c r="AN57" i="5"/>
  <c r="AN83" i="5"/>
  <c r="AO83" i="5"/>
  <c r="AO268" i="5"/>
  <c r="AN268" i="5"/>
  <c r="AO117" i="5"/>
  <c r="AN117" i="5"/>
  <c r="AN156" i="5"/>
  <c r="AO156" i="5"/>
  <c r="AN285" i="5"/>
  <c r="AO285" i="5"/>
  <c r="AN414" i="5"/>
  <c r="AO414" i="5"/>
  <c r="AO518" i="5"/>
  <c r="AN518" i="5"/>
  <c r="AN74" i="5"/>
  <c r="AO74" i="5"/>
  <c r="AN443" i="5"/>
  <c r="AO443" i="5"/>
  <c r="AN242" i="5"/>
  <c r="AO242" i="5"/>
  <c r="AO507" i="5"/>
  <c r="AN507" i="5"/>
  <c r="AO71" i="5"/>
  <c r="AN71" i="5"/>
  <c r="AN282" i="5"/>
  <c r="AO282" i="5"/>
  <c r="AO201" i="5"/>
  <c r="AN201" i="5"/>
  <c r="AN445" i="5"/>
  <c r="AO445" i="5"/>
  <c r="AN277" i="5"/>
  <c r="AO277" i="5"/>
  <c r="AN133" i="5"/>
  <c r="AO133" i="5"/>
  <c r="AO31" i="5"/>
  <c r="AN31" i="5"/>
  <c r="AO171" i="5"/>
  <c r="AN171" i="5"/>
  <c r="AN48" i="5"/>
  <c r="AO48" i="5"/>
  <c r="AN539" i="5"/>
  <c r="AO539" i="5"/>
  <c r="AO224" i="5"/>
  <c r="AN224" i="5"/>
  <c r="AN124" i="5"/>
  <c r="AO124" i="5"/>
  <c r="AN374" i="5"/>
  <c r="AO374" i="5"/>
  <c r="AO380" i="5"/>
  <c r="AN380" i="5"/>
  <c r="AO182" i="5"/>
  <c r="AN182" i="5"/>
  <c r="AN418" i="5"/>
  <c r="AO418" i="5"/>
  <c r="AN226" i="5"/>
  <c r="AO226" i="5"/>
  <c r="AO376" i="5"/>
  <c r="AN376" i="5"/>
  <c r="AN288" i="5"/>
  <c r="AO288" i="5"/>
  <c r="AN546" i="5"/>
  <c r="AO546" i="5"/>
  <c r="AN322" i="5"/>
  <c r="AO322" i="5"/>
  <c r="AN429" i="5"/>
  <c r="AO429" i="5"/>
  <c r="AN139" i="5"/>
  <c r="AO139" i="5"/>
  <c r="AN373" i="5"/>
  <c r="AO373" i="5"/>
  <c r="AO467" i="5"/>
  <c r="AN467" i="5"/>
  <c r="AO430" i="5"/>
  <c r="AN430" i="5"/>
  <c r="AH216" i="5"/>
  <c r="AI216" i="5"/>
  <c r="AH424" i="5"/>
  <c r="AI424" i="5"/>
  <c r="AH51" i="5"/>
  <c r="AI51" i="5"/>
  <c r="AH286" i="5"/>
  <c r="AI286" i="5"/>
  <c r="AI417" i="5"/>
  <c r="AH417" i="5"/>
  <c r="AI421" i="5"/>
  <c r="AH421" i="5"/>
  <c r="AH414" i="5"/>
  <c r="AI414" i="5"/>
  <c r="AH550" i="5"/>
  <c r="AI550" i="5"/>
  <c r="AI464" i="5"/>
  <c r="AH464" i="5"/>
  <c r="AH406" i="5"/>
  <c r="AI406" i="5"/>
  <c r="AH198" i="5"/>
  <c r="AI198" i="5"/>
  <c r="AI31" i="5"/>
  <c r="AH31" i="5"/>
  <c r="AH74" i="5"/>
  <c r="AI74" i="5"/>
  <c r="AI549" i="5"/>
  <c r="AH549" i="5"/>
  <c r="AI385" i="5"/>
  <c r="AH385" i="5"/>
  <c r="AI23" i="5"/>
  <c r="AH23" i="5"/>
  <c r="AI265" i="5"/>
  <c r="AH265" i="5"/>
  <c r="AH296" i="5"/>
  <c r="AI296" i="5"/>
  <c r="AH548" i="5"/>
  <c r="AI548" i="5"/>
  <c r="AH358" i="5"/>
  <c r="AI358" i="5"/>
  <c r="AH212" i="5"/>
  <c r="AI212" i="5"/>
  <c r="AI103" i="5"/>
  <c r="AH103" i="5"/>
  <c r="AH268" i="5"/>
  <c r="AI268" i="5"/>
  <c r="AH152" i="5"/>
  <c r="AI152" i="5"/>
  <c r="AH518" i="5"/>
  <c r="AI518" i="5"/>
  <c r="AI178" i="5"/>
  <c r="AH178" i="5"/>
  <c r="AH78" i="5"/>
  <c r="AI78" i="5"/>
  <c r="AI291" i="5"/>
  <c r="AH291" i="5"/>
  <c r="AH389" i="5"/>
  <c r="AI389" i="5"/>
  <c r="AH69" i="5"/>
  <c r="AI69" i="5"/>
  <c r="AH283" i="5"/>
  <c r="AI283" i="5"/>
  <c r="AI50" i="5"/>
  <c r="AH50" i="5"/>
  <c r="AI174" i="5"/>
  <c r="AH174" i="5"/>
  <c r="AH146" i="5"/>
  <c r="AI146" i="5"/>
  <c r="AI499" i="5"/>
  <c r="AH499" i="5"/>
  <c r="AI382" i="5"/>
  <c r="AH382" i="5"/>
  <c r="AI63" i="5"/>
  <c r="AH63" i="5"/>
  <c r="AH319" i="5"/>
  <c r="AI319" i="5"/>
  <c r="AI59" i="5"/>
  <c r="AH59" i="5"/>
  <c r="AH10" i="5"/>
  <c r="AI10" i="5"/>
  <c r="AI253" i="5"/>
  <c r="AH253" i="5"/>
  <c r="AI317" i="5"/>
  <c r="AH317" i="5"/>
  <c r="AI462" i="5"/>
  <c r="AH462" i="5"/>
  <c r="AI425" i="5"/>
  <c r="AH425" i="5"/>
  <c r="AI87" i="5"/>
  <c r="AH87" i="5"/>
  <c r="AI447" i="5"/>
  <c r="AH447" i="5"/>
  <c r="AI21" i="5"/>
  <c r="AH21" i="5"/>
  <c r="AH493" i="5"/>
  <c r="AI493" i="5"/>
  <c r="AH519" i="5"/>
  <c r="AI519" i="5"/>
  <c r="AI43" i="5"/>
  <c r="AH43" i="5"/>
  <c r="AH36" i="5"/>
  <c r="AI36" i="5"/>
  <c r="AI239" i="5"/>
  <c r="AH239" i="5"/>
  <c r="AI233" i="5"/>
  <c r="AH233" i="5"/>
  <c r="AH405" i="5"/>
  <c r="AI405" i="5"/>
  <c r="AH48" i="5"/>
  <c r="AI48" i="5"/>
  <c r="AH136" i="5"/>
  <c r="AI136" i="5"/>
  <c r="AH208" i="5"/>
  <c r="AI208" i="5"/>
  <c r="AH82" i="5"/>
  <c r="AI82" i="5"/>
  <c r="AH354" i="5"/>
  <c r="AI354" i="5"/>
  <c r="AH259" i="5"/>
  <c r="AI259" i="5"/>
  <c r="AH34" i="5"/>
  <c r="AI34" i="5"/>
  <c r="AH292" i="5"/>
  <c r="AI292" i="5"/>
  <c r="AH439" i="5"/>
  <c r="AI439" i="5"/>
  <c r="AH189" i="5"/>
  <c r="AI189" i="5"/>
  <c r="AI560" i="5"/>
  <c r="AH560" i="5"/>
  <c r="AI230" i="5"/>
  <c r="AH230" i="5"/>
  <c r="AH121" i="5"/>
  <c r="AI121" i="5"/>
  <c r="AH541" i="5"/>
  <c r="AI541" i="5"/>
  <c r="AI408" i="5"/>
  <c r="AH408" i="5"/>
  <c r="AH330" i="5"/>
  <c r="AI330" i="5"/>
  <c r="AH41" i="5"/>
  <c r="AI41" i="5"/>
  <c r="AI391" i="5"/>
  <c r="AH391" i="5"/>
  <c r="AH244" i="5"/>
  <c r="AI244" i="5"/>
  <c r="AI166" i="5"/>
  <c r="AH166" i="5"/>
  <c r="AI282" i="5"/>
  <c r="AH282" i="5"/>
  <c r="AI100" i="5"/>
  <c r="AH100" i="5"/>
  <c r="AI221" i="5"/>
  <c r="AH221" i="5"/>
  <c r="AH433" i="5"/>
  <c r="AI433" i="5"/>
  <c r="AI273" i="5"/>
  <c r="AH273" i="5"/>
  <c r="AH278" i="5"/>
  <c r="AI278" i="5"/>
  <c r="AI177" i="5"/>
  <c r="AH177" i="5"/>
  <c r="AI285" i="5"/>
  <c r="AH285" i="5"/>
  <c r="AI465" i="5"/>
  <c r="AH465" i="5"/>
  <c r="AH306" i="5"/>
  <c r="AI306" i="5"/>
  <c r="AI372" i="5"/>
  <c r="AH372" i="5"/>
  <c r="AI399" i="5"/>
  <c r="AH399" i="5"/>
  <c r="AH318" i="5"/>
  <c r="AI318" i="5"/>
  <c r="AH106" i="5"/>
  <c r="AI106" i="5"/>
  <c r="AH478" i="5"/>
  <c r="AI478" i="5"/>
  <c r="AH466" i="5"/>
  <c r="AI466" i="5"/>
  <c r="AH434" i="5"/>
  <c r="AI434" i="5"/>
  <c r="AH556" i="5"/>
  <c r="AI556" i="5"/>
  <c r="AI394" i="5"/>
  <c r="AH394" i="5"/>
  <c r="AI235" i="5"/>
  <c r="AH235" i="5"/>
  <c r="AH445" i="5"/>
  <c r="AI445" i="5"/>
  <c r="AH476" i="5"/>
  <c r="AI476" i="5"/>
  <c r="AI80" i="5"/>
  <c r="AH80" i="5"/>
  <c r="AH498" i="5"/>
  <c r="AI498" i="5"/>
  <c r="AI105" i="5"/>
  <c r="AH105" i="5"/>
  <c r="AI241" i="5"/>
  <c r="AH241" i="5"/>
  <c r="AI131" i="5"/>
  <c r="AH131" i="5"/>
  <c r="AI42" i="5"/>
  <c r="AH42" i="5"/>
  <c r="AI412" i="5"/>
  <c r="AH412" i="5"/>
  <c r="AI303" i="5"/>
  <c r="AH303" i="5"/>
  <c r="AI453" i="5"/>
  <c r="AH453" i="5"/>
  <c r="AI365" i="5"/>
  <c r="AH365" i="5"/>
  <c r="AH336" i="5"/>
  <c r="AI336" i="5"/>
  <c r="AI437" i="5"/>
  <c r="AH437" i="5"/>
  <c r="AH224" i="5"/>
  <c r="AI224" i="5"/>
  <c r="AH187" i="5"/>
  <c r="AI187" i="5"/>
  <c r="AH361" i="5"/>
  <c r="AI361" i="5"/>
  <c r="AI290" i="5"/>
  <c r="AH290" i="5"/>
  <c r="AI467" i="5"/>
  <c r="AH467" i="5"/>
  <c r="AH504" i="5"/>
  <c r="AI504" i="5"/>
  <c r="AH521" i="5"/>
  <c r="AI521" i="5"/>
  <c r="AI344" i="5"/>
  <c r="AH344" i="5"/>
  <c r="AH407" i="5"/>
  <c r="AI407" i="5"/>
  <c r="AH506" i="5"/>
  <c r="AI506" i="5"/>
  <c r="AH331" i="5"/>
  <c r="AI331" i="5"/>
  <c r="AH81" i="5"/>
  <c r="AI81" i="5"/>
  <c r="AH510" i="5"/>
  <c r="AI510" i="5"/>
  <c r="AH364" i="5"/>
  <c r="AI364" i="5"/>
  <c r="AI269" i="5"/>
  <c r="AH269" i="5"/>
  <c r="AH143" i="5"/>
  <c r="AI143" i="5"/>
  <c r="AI355" i="5"/>
  <c r="AH355" i="5"/>
  <c r="AH66" i="5"/>
  <c r="AI66" i="5"/>
  <c r="AI378" i="5"/>
  <c r="AH378" i="5"/>
  <c r="AH321" i="5"/>
  <c r="AI321" i="5"/>
  <c r="AI483" i="5"/>
  <c r="AH483" i="5"/>
  <c r="AH274" i="5"/>
  <c r="AI274" i="5"/>
  <c r="AI213" i="5"/>
  <c r="AH213" i="5"/>
  <c r="AI298" i="5"/>
  <c r="AH298" i="5"/>
  <c r="AI192" i="5"/>
  <c r="AH192" i="5"/>
  <c r="AH164" i="5"/>
  <c r="AI164" i="5"/>
  <c r="AI158" i="5"/>
  <c r="AH158" i="5"/>
  <c r="AH367" i="5"/>
  <c r="AI367" i="5"/>
  <c r="AI393" i="5"/>
  <c r="AH393" i="5"/>
  <c r="AE101" i="4"/>
  <c r="AH101" i="4"/>
  <c r="AH7" i="4"/>
  <c r="AE7" i="4"/>
  <c r="Z7" i="4"/>
  <c r="X7" i="4" s="1"/>
  <c r="AJ7" i="4" s="1"/>
  <c r="AO78" i="5"/>
  <c r="AN78" i="5"/>
  <c r="AO551" i="5"/>
  <c r="AN551" i="5"/>
  <c r="AN251" i="5"/>
  <c r="AO251" i="5"/>
  <c r="AN104" i="5"/>
  <c r="AO104" i="5"/>
  <c r="AN355" i="5"/>
  <c r="AO355" i="5"/>
  <c r="AO162" i="5"/>
  <c r="AN162" i="5"/>
  <c r="AO200" i="5"/>
  <c r="AN200" i="5"/>
  <c r="AN30" i="5"/>
  <c r="AO30" i="5"/>
  <c r="AO62" i="5"/>
  <c r="AN62" i="5"/>
  <c r="AO41" i="5"/>
  <c r="AN41" i="5"/>
  <c r="AO452" i="5"/>
  <c r="AN452" i="5"/>
  <c r="AO265" i="5"/>
  <c r="AN265" i="5"/>
  <c r="AN143" i="5"/>
  <c r="AO143" i="5"/>
  <c r="AO72" i="5"/>
  <c r="AN72" i="5"/>
  <c r="AO164" i="5"/>
  <c r="AN164" i="5"/>
  <c r="AO152" i="5"/>
  <c r="AN152" i="5"/>
  <c r="AO312" i="5"/>
  <c r="AN312" i="5"/>
  <c r="AO448" i="5"/>
  <c r="AN448" i="5"/>
  <c r="AN479" i="5"/>
  <c r="AO479" i="5"/>
  <c r="AN276" i="5"/>
  <c r="AO276" i="5"/>
  <c r="AN425" i="5"/>
  <c r="AO425" i="5"/>
  <c r="AO313" i="5"/>
  <c r="AN313" i="5"/>
  <c r="AO195" i="5"/>
  <c r="AN195" i="5"/>
  <c r="AO69" i="5"/>
  <c r="AN69" i="5"/>
  <c r="AN281" i="5"/>
  <c r="AO281" i="5"/>
  <c r="AO326" i="5"/>
  <c r="AN326" i="5"/>
  <c r="AN301" i="5"/>
  <c r="AO301" i="5"/>
  <c r="AO98" i="5"/>
  <c r="AN98" i="5"/>
  <c r="AN311" i="5"/>
  <c r="AO311" i="5"/>
  <c r="AN547" i="5"/>
  <c r="AO547" i="5"/>
  <c r="AO402" i="5"/>
  <c r="AN402" i="5"/>
  <c r="AN334" i="5"/>
  <c r="AO334" i="5"/>
  <c r="AN318" i="5"/>
  <c r="AO318" i="5"/>
  <c r="AO290" i="5"/>
  <c r="AN290" i="5"/>
  <c r="AN552" i="5"/>
  <c r="AO552" i="5"/>
  <c r="AO249" i="5"/>
  <c r="AN249" i="5"/>
  <c r="AO530" i="5"/>
  <c r="AN530" i="5"/>
  <c r="AO362" i="5"/>
  <c r="AN362" i="5"/>
  <c r="AN439" i="5"/>
  <c r="AO439" i="5"/>
  <c r="AO36" i="5"/>
  <c r="AN36" i="5"/>
  <c r="AN169" i="5"/>
  <c r="AO169" i="5"/>
  <c r="AN145" i="5"/>
  <c r="AO145" i="5"/>
  <c r="AN556" i="5"/>
  <c r="AO556" i="5"/>
  <c r="AN264" i="5"/>
  <c r="AO264" i="5"/>
  <c r="AO297" i="5"/>
  <c r="AN297" i="5"/>
  <c r="AO85" i="5"/>
  <c r="AN85" i="5"/>
  <c r="AO456" i="5"/>
  <c r="AN456" i="5"/>
  <c r="AO434" i="5"/>
  <c r="AN434" i="5"/>
  <c r="AO342" i="5"/>
  <c r="AN342" i="5"/>
  <c r="AO437" i="5"/>
  <c r="AN437" i="5"/>
  <c r="AO110" i="5"/>
  <c r="AN110" i="5"/>
  <c r="AO369" i="5"/>
  <c r="AN369" i="5"/>
  <c r="AO299" i="5"/>
  <c r="AN299" i="5"/>
  <c r="AO228" i="5"/>
  <c r="AN228" i="5"/>
  <c r="AO324" i="5"/>
  <c r="AN324" i="5"/>
  <c r="AN32" i="5"/>
  <c r="AO32" i="5"/>
  <c r="AO155" i="5"/>
  <c r="AN155" i="5"/>
  <c r="AN116" i="5"/>
  <c r="AO116" i="5"/>
  <c r="AN125" i="5"/>
  <c r="AO125" i="5"/>
  <c r="AO56" i="5"/>
  <c r="AN56" i="5"/>
  <c r="AN146" i="5"/>
  <c r="AO146" i="5"/>
  <c r="AN136" i="5"/>
  <c r="AO136" i="5"/>
  <c r="AN179" i="5"/>
  <c r="AO179" i="5"/>
  <c r="AO340" i="5"/>
  <c r="AN340" i="5"/>
  <c r="AN66" i="5"/>
  <c r="AO66" i="5"/>
  <c r="AN455" i="5"/>
  <c r="AO455" i="5"/>
  <c r="AN283" i="5"/>
  <c r="AO283" i="5"/>
  <c r="AO320" i="5"/>
  <c r="AN320" i="5"/>
  <c r="AN343" i="5"/>
  <c r="AO343" i="5"/>
  <c r="AN335" i="5"/>
  <c r="AO335" i="5"/>
  <c r="AN90" i="5"/>
  <c r="AO90" i="5"/>
  <c r="AO510" i="5"/>
  <c r="AN510" i="5"/>
  <c r="AO158" i="5"/>
  <c r="AN158" i="5"/>
  <c r="AN352" i="5"/>
  <c r="AO352" i="5"/>
  <c r="AN554" i="5"/>
  <c r="AO554" i="5"/>
  <c r="AN338" i="5"/>
  <c r="AO338" i="5"/>
  <c r="AO475" i="5"/>
  <c r="AN475" i="5"/>
  <c r="AO247" i="5"/>
  <c r="AN247" i="5"/>
  <c r="AO505" i="5"/>
  <c r="AN505" i="5"/>
  <c r="AO203" i="5"/>
  <c r="AN203" i="5"/>
  <c r="AN460" i="5"/>
  <c r="AO460" i="5"/>
  <c r="AO384" i="5"/>
  <c r="AN384" i="5"/>
  <c r="AN468" i="5"/>
  <c r="AO468" i="5"/>
  <c r="AO492" i="5"/>
  <c r="AN492" i="5"/>
  <c r="AN470" i="5"/>
  <c r="AO470" i="5"/>
  <c r="AN300" i="5"/>
  <c r="AO300" i="5"/>
  <c r="AN532" i="5"/>
  <c r="AO532" i="5"/>
  <c r="AN498" i="5"/>
  <c r="AO498" i="5"/>
  <c r="AN527" i="5"/>
  <c r="AO527" i="5"/>
  <c r="AN360" i="5"/>
  <c r="AO360" i="5"/>
  <c r="AO185" i="5"/>
  <c r="AN185" i="5"/>
  <c r="AO180" i="5"/>
  <c r="AN180" i="5"/>
  <c r="AO422" i="5"/>
  <c r="AN422" i="5"/>
  <c r="AN103" i="5"/>
  <c r="AO103" i="5"/>
  <c r="AO331" i="5"/>
  <c r="AN331" i="5"/>
  <c r="AO93" i="5"/>
  <c r="AN93" i="5"/>
  <c r="AN199" i="5"/>
  <c r="AO199" i="5"/>
  <c r="AN407" i="5"/>
  <c r="AO407" i="5"/>
  <c r="AO435" i="5"/>
  <c r="AN435" i="5"/>
  <c r="AN24" i="5"/>
  <c r="AO24" i="5"/>
  <c r="AN520" i="5"/>
  <c r="AO520" i="5"/>
  <c r="AN218" i="5"/>
  <c r="AO218" i="5"/>
  <c r="AN323" i="5"/>
  <c r="AO323" i="5"/>
  <c r="AN388" i="5"/>
  <c r="AO388" i="5"/>
  <c r="AO392" i="5"/>
  <c r="AN392" i="5"/>
  <c r="AN168" i="5"/>
  <c r="AO168" i="5"/>
  <c r="AO549" i="5"/>
  <c r="AN549" i="5"/>
  <c r="AO466" i="5"/>
  <c r="AN466" i="5"/>
  <c r="AO205" i="5"/>
  <c r="AN205" i="5"/>
  <c r="AO501" i="5"/>
  <c r="AN501" i="5"/>
  <c r="AN70" i="5"/>
  <c r="AO70" i="5"/>
  <c r="AO126" i="5"/>
  <c r="AN126" i="5"/>
  <c r="AN296" i="5"/>
  <c r="AO296" i="5"/>
  <c r="AN381" i="5"/>
  <c r="AO381" i="5"/>
  <c r="AO315" i="5"/>
  <c r="AN315" i="5"/>
  <c r="AO191" i="5"/>
  <c r="AN191" i="5"/>
  <c r="AN96" i="5"/>
  <c r="AO96" i="5"/>
  <c r="AO147" i="5"/>
  <c r="AN147" i="5"/>
  <c r="AN204" i="5"/>
  <c r="AO204" i="5"/>
  <c r="AN142" i="5"/>
  <c r="AO142" i="5"/>
  <c r="AN269" i="5"/>
  <c r="AO269" i="5"/>
  <c r="AO487" i="5"/>
  <c r="AN487" i="5"/>
  <c r="AN350" i="5"/>
  <c r="AO350" i="5"/>
  <c r="AO405" i="5"/>
  <c r="AN405" i="5"/>
  <c r="AN278" i="5"/>
  <c r="AO278" i="5"/>
  <c r="AO51" i="5"/>
  <c r="AN51" i="5"/>
  <c r="AO364" i="5"/>
  <c r="AN364" i="5"/>
  <c r="AN307" i="5"/>
  <c r="AO307" i="5"/>
  <c r="AN321" i="5"/>
  <c r="AO321" i="5"/>
  <c r="AO298" i="5"/>
  <c r="AN298" i="5"/>
  <c r="AO221" i="5"/>
  <c r="AN221" i="5"/>
  <c r="AO212" i="5"/>
  <c r="AN212" i="5"/>
  <c r="AN40" i="5"/>
  <c r="AO40" i="5"/>
  <c r="AO235" i="5"/>
  <c r="AN235" i="5"/>
  <c r="AN280" i="5"/>
  <c r="AO280" i="5"/>
  <c r="AN232" i="5"/>
  <c r="AO232" i="5"/>
  <c r="AH218" i="5"/>
  <c r="AI218" i="5"/>
  <c r="AI343" i="5"/>
  <c r="AH343" i="5"/>
  <c r="AI299" i="5"/>
  <c r="AH299" i="5"/>
  <c r="AH398" i="5"/>
  <c r="AI398" i="5"/>
  <c r="AI423" i="5"/>
  <c r="AH423" i="5"/>
  <c r="AI480" i="5"/>
  <c r="AH480" i="5"/>
  <c r="AI288" i="5"/>
  <c r="AH288" i="5"/>
  <c r="AI326" i="5"/>
  <c r="AH326" i="5"/>
  <c r="AH376" i="5"/>
  <c r="AI376" i="5"/>
  <c r="AI551" i="5"/>
  <c r="AH551" i="5"/>
  <c r="AI454" i="5"/>
  <c r="AH454" i="5"/>
  <c r="AI479" i="5"/>
  <c r="AH479" i="5"/>
  <c r="AH83" i="5"/>
  <c r="AI83" i="5"/>
  <c r="AH210" i="5"/>
  <c r="AI210" i="5"/>
  <c r="AI297" i="5"/>
  <c r="AH297" i="5"/>
  <c r="AI217" i="5"/>
  <c r="AH217" i="5"/>
  <c r="AH38" i="5"/>
  <c r="AI38" i="5"/>
  <c r="AI127" i="5"/>
  <c r="AH127" i="5"/>
  <c r="AI522" i="5"/>
  <c r="AH522" i="5"/>
  <c r="AI234" i="5"/>
  <c r="AH234" i="5"/>
  <c r="AI488" i="5"/>
  <c r="AH488" i="5"/>
  <c r="AI323" i="5"/>
  <c r="AH323" i="5"/>
  <c r="AH118" i="5"/>
  <c r="AI118" i="5"/>
  <c r="AH153" i="5"/>
  <c r="AI153" i="5"/>
  <c r="AI539" i="5"/>
  <c r="AH539" i="5"/>
  <c r="AI200" i="5"/>
  <c r="AH200" i="5"/>
  <c r="AI167" i="5"/>
  <c r="AH167" i="5"/>
  <c r="AI222" i="5"/>
  <c r="AH222" i="5"/>
  <c r="AI333" i="5"/>
  <c r="AH333" i="5"/>
  <c r="AI156" i="5"/>
  <c r="AH156" i="5"/>
  <c r="AH231" i="5"/>
  <c r="AI231" i="5"/>
  <c r="AH473" i="5"/>
  <c r="AI473" i="5"/>
  <c r="AI443" i="5"/>
  <c r="AH443" i="5"/>
  <c r="AI313" i="5"/>
  <c r="AH313" i="5"/>
  <c r="AH312" i="5"/>
  <c r="AI312" i="5"/>
  <c r="AI151" i="5"/>
  <c r="AH151" i="5"/>
  <c r="AH419" i="5"/>
  <c r="AI419" i="5"/>
  <c r="AH175" i="5"/>
  <c r="AI175" i="5"/>
  <c r="AH209" i="5"/>
  <c r="AI209" i="5"/>
  <c r="AH141" i="5"/>
  <c r="AI141" i="5"/>
  <c r="AI486" i="5"/>
  <c r="AH486" i="5"/>
  <c r="AH128" i="5"/>
  <c r="AI128" i="5"/>
  <c r="AH557" i="5"/>
  <c r="AI557" i="5"/>
  <c r="AI359" i="5"/>
  <c r="AH359" i="5"/>
  <c r="AH520" i="5"/>
  <c r="AI520" i="5"/>
  <c r="AI240" i="5"/>
  <c r="AH240" i="5"/>
  <c r="AI435" i="5"/>
  <c r="AH435" i="5"/>
  <c r="AI490" i="5"/>
  <c r="AH490" i="5"/>
  <c r="AH469" i="5"/>
  <c r="AI469" i="5"/>
  <c r="AI432" i="5"/>
  <c r="AH432" i="5"/>
  <c r="AI92" i="5"/>
  <c r="AH92" i="5"/>
  <c r="AH67" i="5"/>
  <c r="AI67" i="5"/>
  <c r="AH58" i="5"/>
  <c r="AI58" i="5"/>
  <c r="AH257" i="5"/>
  <c r="AI257" i="5"/>
  <c r="AI62" i="5"/>
  <c r="AH62" i="5"/>
  <c r="AI272" i="5"/>
  <c r="AH272" i="5"/>
  <c r="AI456" i="5"/>
  <c r="AH456" i="5"/>
  <c r="AI307" i="5"/>
  <c r="AH307" i="5"/>
  <c r="AH26" i="5"/>
  <c r="AI26" i="5"/>
  <c r="AI339" i="5"/>
  <c r="AH339" i="5"/>
  <c r="AI397" i="5"/>
  <c r="AH397" i="5"/>
  <c r="AI119" i="5"/>
  <c r="AH119" i="5"/>
  <c r="AI380" i="5"/>
  <c r="AH380" i="5"/>
  <c r="AI293" i="5"/>
  <c r="AH293" i="5"/>
  <c r="AH287" i="5"/>
  <c r="AI287" i="5"/>
  <c r="AI289" i="5"/>
  <c r="AH289" i="5"/>
  <c r="AH64" i="5"/>
  <c r="AI64" i="5"/>
  <c r="AH554" i="5"/>
  <c r="AI554" i="5"/>
  <c r="AH470" i="5"/>
  <c r="AI470" i="5"/>
  <c r="AH206" i="5"/>
  <c r="AI206" i="5"/>
  <c r="AI132" i="5"/>
  <c r="AH132" i="5"/>
  <c r="AI196" i="5"/>
  <c r="AH196" i="5"/>
  <c r="AH114" i="5"/>
  <c r="AI114" i="5"/>
  <c r="AH203" i="5"/>
  <c r="AI203" i="5"/>
  <c r="AI426" i="5"/>
  <c r="AH426" i="5"/>
  <c r="AH228" i="5"/>
  <c r="AI228" i="5"/>
  <c r="AI370" i="5"/>
  <c r="AH370" i="5"/>
  <c r="AH53" i="5"/>
  <c r="AI53" i="5"/>
  <c r="AI507" i="5"/>
  <c r="AH507" i="5"/>
  <c r="AI438" i="5"/>
  <c r="AH438" i="5"/>
  <c r="AI440" i="5"/>
  <c r="AH440" i="5"/>
  <c r="AI535" i="5"/>
  <c r="AH535" i="5"/>
  <c r="AI147" i="5"/>
  <c r="AH147" i="5"/>
  <c r="AI310" i="5"/>
  <c r="AH310" i="5"/>
  <c r="AH20" i="5"/>
  <c r="AI20" i="5"/>
  <c r="AH138" i="5"/>
  <c r="AI138" i="5"/>
  <c r="AH379" i="5"/>
  <c r="AI379" i="5"/>
  <c r="AI404" i="5"/>
  <c r="AH404" i="5"/>
  <c r="AH350" i="5"/>
  <c r="AI350" i="5"/>
  <c r="AH140" i="5"/>
  <c r="AI140" i="5"/>
  <c r="AI160" i="5"/>
  <c r="AH160" i="5"/>
  <c r="AH388" i="5"/>
  <c r="AI388" i="5"/>
  <c r="AH315" i="5"/>
  <c r="AI315" i="5"/>
  <c r="AH517" i="5"/>
  <c r="AI517" i="5"/>
  <c r="AI39" i="5"/>
  <c r="AH39" i="5"/>
  <c r="AH512" i="5"/>
  <c r="AI512" i="5"/>
  <c r="AH442" i="5"/>
  <c r="AI442" i="5"/>
  <c r="AI27" i="5"/>
  <c r="AH27" i="5"/>
  <c r="AH371" i="5"/>
  <c r="AI371" i="5"/>
  <c r="AI444" i="5"/>
  <c r="AH444" i="5"/>
  <c r="AH341" i="5"/>
  <c r="AI341" i="5"/>
  <c r="AH85" i="5"/>
  <c r="AI85" i="5"/>
  <c r="AI402" i="5"/>
  <c r="AH402" i="5"/>
  <c r="AI215" i="5"/>
  <c r="AH215" i="5"/>
  <c r="AI515" i="5"/>
  <c r="AH515" i="5"/>
  <c r="AI526" i="5"/>
  <c r="AH526" i="5"/>
  <c r="AH534" i="5"/>
  <c r="AI534" i="5"/>
  <c r="AH40" i="5"/>
  <c r="AI40" i="5"/>
  <c r="AI173" i="5"/>
  <c r="AH173" i="5"/>
  <c r="AH52" i="5"/>
  <c r="AI52" i="5"/>
  <c r="AI226" i="5"/>
  <c r="AH226" i="5"/>
  <c r="AH267" i="5"/>
  <c r="AI267" i="5"/>
  <c r="AI420" i="5"/>
  <c r="AH420" i="5"/>
  <c r="AH502" i="5"/>
  <c r="AI502" i="5"/>
  <c r="AI163" i="5"/>
  <c r="AH163" i="5"/>
  <c r="AI54" i="5"/>
  <c r="AH54" i="5"/>
  <c r="AI415" i="5"/>
  <c r="AH415" i="5"/>
  <c r="AH261" i="5"/>
  <c r="AI261" i="5"/>
  <c r="AI458" i="5"/>
  <c r="AH458" i="5"/>
  <c r="AI459" i="5"/>
  <c r="AH459" i="5"/>
  <c r="AH199" i="5"/>
  <c r="AI199" i="5"/>
  <c r="AH496" i="5"/>
  <c r="AI496" i="5"/>
  <c r="AH451" i="5"/>
  <c r="AI451" i="5"/>
  <c r="AI468" i="5"/>
  <c r="AH468" i="5"/>
  <c r="AH35" i="5"/>
  <c r="AI35" i="5"/>
  <c r="AH195" i="5"/>
  <c r="AI195" i="5"/>
  <c r="AI116" i="5"/>
  <c r="AH116" i="5"/>
  <c r="AI416" i="5"/>
  <c r="AH416" i="5"/>
  <c r="AH236" i="5"/>
  <c r="AI236" i="5"/>
  <c r="AH448" i="5"/>
  <c r="AI448" i="5"/>
  <c r="AI186" i="5"/>
  <c r="AH186" i="5"/>
  <c r="AI112" i="5"/>
  <c r="AH112" i="5"/>
  <c r="AI411" i="5"/>
  <c r="AH411" i="5"/>
  <c r="AH134" i="5"/>
  <c r="AI134" i="5"/>
  <c r="AI247" i="5"/>
  <c r="AH247" i="5"/>
  <c r="AI220" i="5"/>
  <c r="AH220" i="5"/>
  <c r="AI96" i="5"/>
  <c r="AH96" i="5"/>
  <c r="AH21" i="4"/>
  <c r="AE21" i="4"/>
  <c r="Z21" i="4"/>
  <c r="X21" i="4" s="1"/>
  <c r="AJ21" i="4" s="1"/>
  <c r="AH19" i="4"/>
  <c r="AE19" i="4"/>
  <c r="Z19" i="4"/>
  <c r="X19" i="4" s="1"/>
  <c r="AJ19" i="4" s="1"/>
  <c r="AH111" i="4"/>
  <c r="AE111" i="4"/>
  <c r="AH13" i="4"/>
  <c r="Z13" i="4"/>
  <c r="X13" i="4" s="1"/>
  <c r="AJ13" i="4" s="1"/>
  <c r="AE13" i="4"/>
  <c r="AH92" i="4"/>
  <c r="AE92" i="4"/>
  <c r="AH133" i="4"/>
  <c r="AE133" i="4"/>
  <c r="AH38" i="4"/>
  <c r="AE38" i="4"/>
  <c r="Z38" i="4"/>
  <c r="X38" i="4" s="1"/>
  <c r="AE127" i="4"/>
  <c r="AH127" i="4"/>
  <c r="AE18" i="4"/>
  <c r="AH18" i="4"/>
  <c r="Z18" i="4"/>
  <c r="X18" i="4" s="1"/>
  <c r="AJ18" i="4" s="1"/>
  <c r="AE156" i="4"/>
  <c r="AH156" i="4"/>
  <c r="AH77" i="4"/>
  <c r="AE77" i="4"/>
  <c r="AH40" i="4"/>
  <c r="AE40" i="4"/>
  <c r="Z40" i="4"/>
  <c r="X40" i="4" s="1"/>
  <c r="AE22" i="4"/>
  <c r="AH22" i="4"/>
  <c r="Z22" i="4"/>
  <c r="X22" i="4" s="1"/>
  <c r="AJ22" i="4" s="1"/>
  <c r="AH125" i="4"/>
  <c r="AE125" i="4"/>
  <c r="AE115" i="4"/>
  <c r="AH115" i="4"/>
  <c r="Z115" i="4"/>
  <c r="X115" i="4" s="1"/>
  <c r="AH134" i="4"/>
  <c r="AE134" i="4"/>
  <c r="AE11" i="4"/>
  <c r="AH11" i="4"/>
  <c r="Z11" i="4"/>
  <c r="X11" i="4" s="1"/>
  <c r="AJ11" i="4" s="1"/>
  <c r="AH154" i="4"/>
  <c r="AE154" i="4"/>
  <c r="AH143" i="4"/>
  <c r="AE143" i="4"/>
  <c r="AE52" i="4"/>
  <c r="AH52" i="4"/>
  <c r="Z52" i="4"/>
  <c r="X52" i="4" s="1"/>
  <c r="AH17" i="4"/>
  <c r="Z17" i="4"/>
  <c r="X17" i="4" s="1"/>
  <c r="AA17" i="4" s="1"/>
  <c r="AE17" i="4"/>
  <c r="AH132" i="4"/>
  <c r="Z132" i="4"/>
  <c r="X132" i="4" s="1"/>
  <c r="AJ132" i="4" s="1"/>
  <c r="AE132" i="4"/>
  <c r="AH86" i="4"/>
  <c r="AE86" i="4"/>
  <c r="AH90" i="4"/>
  <c r="AE90" i="4"/>
  <c r="AH45" i="4"/>
  <c r="Z45" i="4"/>
  <c r="X45" i="4" s="1"/>
  <c r="AJ45" i="4" s="1"/>
  <c r="AE45" i="4"/>
  <c r="AH107" i="4"/>
  <c r="Z107" i="4"/>
  <c r="X107" i="4" s="1"/>
  <c r="AJ107" i="4" s="1"/>
  <c r="AE107" i="4"/>
  <c r="AP127" i="5"/>
  <c r="AP500" i="5"/>
  <c r="AP524" i="5"/>
  <c r="AH61" i="4"/>
  <c r="AE61" i="4"/>
  <c r="AE141" i="4"/>
  <c r="AH141" i="4"/>
  <c r="AE33" i="4"/>
  <c r="Z33" i="4"/>
  <c r="AH33" i="4"/>
  <c r="AH44" i="4"/>
  <c r="AE44" i="4"/>
  <c r="Z44" i="4"/>
  <c r="X44" i="4" s="1"/>
  <c r="AJ44" i="4" s="1"/>
  <c r="AE30" i="4"/>
  <c r="Z30" i="4"/>
  <c r="X30" i="4" s="1"/>
  <c r="AH30" i="4"/>
  <c r="AH15" i="4"/>
  <c r="AE15" i="4"/>
  <c r="Z15" i="4"/>
  <c r="X15" i="4" s="1"/>
  <c r="AJ15" i="4" s="1"/>
  <c r="AH8" i="4"/>
  <c r="Z8" i="4"/>
  <c r="X8" i="4" s="1"/>
  <c r="AJ8" i="4" s="1"/>
  <c r="AE8" i="4"/>
  <c r="AE147" i="4"/>
  <c r="Z147" i="4"/>
  <c r="X147" i="4" s="1"/>
  <c r="AJ147" i="4" s="1"/>
  <c r="AH147" i="4"/>
  <c r="AH137" i="4"/>
  <c r="AE137" i="4"/>
  <c r="AE28" i="4"/>
  <c r="Z28" i="4"/>
  <c r="AH28" i="4"/>
  <c r="AE151" i="4"/>
  <c r="AH151" i="4"/>
  <c r="BB9" i="5"/>
  <c r="BA9" i="5"/>
  <c r="AN397" i="5"/>
  <c r="AO397" i="5"/>
  <c r="AN237" i="5"/>
  <c r="AO237" i="5"/>
  <c r="AO37" i="5"/>
  <c r="AN37" i="5"/>
  <c r="AN558" i="5"/>
  <c r="AO558" i="5"/>
  <c r="AN166" i="5"/>
  <c r="AO166" i="5"/>
  <c r="AN404" i="5"/>
  <c r="AO404" i="5"/>
  <c r="AN187" i="5"/>
  <c r="AO187" i="5"/>
  <c r="AN216" i="5"/>
  <c r="AO216" i="5"/>
  <c r="AO420" i="5"/>
  <c r="AN420" i="5"/>
  <c r="AN427" i="5"/>
  <c r="AO427" i="5"/>
  <c r="AO447" i="5"/>
  <c r="AN447" i="5"/>
  <c r="AO286" i="5"/>
  <c r="AN286" i="5"/>
  <c r="AN473" i="5"/>
  <c r="AO473" i="5"/>
  <c r="AO503" i="5"/>
  <c r="AN503" i="5"/>
  <c r="AN202" i="5"/>
  <c r="AO202" i="5"/>
  <c r="AN215" i="5"/>
  <c r="AO215" i="5"/>
  <c r="AN177" i="5"/>
  <c r="AO177" i="5"/>
  <c r="AN328" i="5"/>
  <c r="AO328" i="5"/>
  <c r="AN306" i="5"/>
  <c r="AO306" i="5"/>
  <c r="AN421" i="5"/>
  <c r="AO421" i="5"/>
  <c r="AO109" i="5"/>
  <c r="AN109" i="5"/>
  <c r="AN545" i="5"/>
  <c r="AO545" i="5"/>
  <c r="AN344" i="5"/>
  <c r="AO344" i="5"/>
  <c r="AN491" i="5"/>
  <c r="AO491" i="5"/>
  <c r="AO512" i="5"/>
  <c r="AN512" i="5"/>
  <c r="AO544" i="5"/>
  <c r="AN544" i="5"/>
  <c r="AO134" i="5"/>
  <c r="AN134" i="5"/>
  <c r="AN433" i="5"/>
  <c r="AO433" i="5"/>
  <c r="AN22" i="5"/>
  <c r="AO22" i="5"/>
  <c r="AN181" i="5"/>
  <c r="AO181" i="5"/>
  <c r="AO555" i="5"/>
  <c r="AN555" i="5"/>
  <c r="AO262" i="5"/>
  <c r="AN262" i="5"/>
  <c r="AN410" i="5"/>
  <c r="AO410" i="5"/>
  <c r="AN502" i="5"/>
  <c r="AO502" i="5"/>
  <c r="AN233" i="5"/>
  <c r="AO233" i="5"/>
  <c r="AN319" i="5"/>
  <c r="AO319" i="5"/>
  <c r="AN457" i="5"/>
  <c r="AO457" i="5"/>
  <c r="AN304" i="5"/>
  <c r="AO304" i="5"/>
  <c r="AO46" i="5"/>
  <c r="AN46" i="5"/>
  <c r="AN400" i="5"/>
  <c r="AO400" i="5"/>
  <c r="AN398" i="5"/>
  <c r="AO398" i="5"/>
  <c r="AO440" i="5"/>
  <c r="AN440" i="5"/>
  <c r="AO198" i="5"/>
  <c r="AN198" i="5"/>
  <c r="AN34" i="5"/>
  <c r="AO34" i="5"/>
  <c r="AO64" i="5"/>
  <c r="AN64" i="5"/>
  <c r="AN50" i="5"/>
  <c r="AO50" i="5"/>
  <c r="AN431" i="5"/>
  <c r="AO431" i="5"/>
  <c r="AO542" i="5"/>
  <c r="AN542" i="5"/>
  <c r="AO206" i="5"/>
  <c r="AN206" i="5"/>
  <c r="AO370" i="5"/>
  <c r="AN370" i="5"/>
  <c r="AO499" i="5"/>
  <c r="AN499" i="5"/>
  <c r="AN10" i="5"/>
  <c r="AO10" i="5"/>
  <c r="AO481" i="5"/>
  <c r="AN481" i="5"/>
  <c r="AO239" i="5"/>
  <c r="AN239" i="5"/>
  <c r="AO263" i="5"/>
  <c r="AN263" i="5"/>
  <c r="AO258" i="5"/>
  <c r="AN258" i="5"/>
  <c r="AO55" i="5"/>
  <c r="AN55" i="5"/>
  <c r="AN255" i="5"/>
  <c r="AO255" i="5"/>
  <c r="AN112" i="5"/>
  <c r="AO112" i="5"/>
  <c r="AO332" i="5"/>
  <c r="AN332" i="5"/>
  <c r="AN543" i="5"/>
  <c r="AO543" i="5"/>
  <c r="AN53" i="5"/>
  <c r="AO53" i="5"/>
  <c r="AN88" i="5"/>
  <c r="AO88" i="5"/>
  <c r="AN513" i="5"/>
  <c r="AO513" i="5"/>
  <c r="AN396" i="5"/>
  <c r="AO396" i="5"/>
  <c r="AN217" i="5"/>
  <c r="AO217" i="5"/>
  <c r="AN519" i="5"/>
  <c r="AO519" i="5"/>
  <c r="AO464" i="5"/>
  <c r="AN464" i="5"/>
  <c r="AN357" i="5"/>
  <c r="AO357" i="5"/>
  <c r="AO94" i="5"/>
  <c r="AN94" i="5"/>
  <c r="AN102" i="5"/>
  <c r="AO102" i="5"/>
  <c r="AN19" i="5"/>
  <c r="AO19" i="5"/>
  <c r="AO97" i="5"/>
  <c r="AN97" i="5"/>
  <c r="AO279" i="5"/>
  <c r="AN279" i="5"/>
  <c r="AN165" i="5"/>
  <c r="AO165" i="5"/>
  <c r="AN67" i="5"/>
  <c r="AO67" i="5"/>
  <c r="AO415" i="5"/>
  <c r="AN415" i="5"/>
  <c r="AO52" i="5"/>
  <c r="AN52" i="5"/>
  <c r="AN43" i="5"/>
  <c r="AO43" i="5"/>
  <c r="AN317" i="5"/>
  <c r="AO317" i="5"/>
  <c r="AO523" i="5"/>
  <c r="AN523" i="5"/>
  <c r="AO359" i="5"/>
  <c r="AN359" i="5"/>
  <c r="AO131" i="5"/>
  <c r="AN131" i="5"/>
  <c r="AO100" i="5"/>
  <c r="AN100" i="5"/>
  <c r="AN528" i="5"/>
  <c r="AO528" i="5"/>
  <c r="AN303" i="5"/>
  <c r="AO303" i="5"/>
  <c r="AN349" i="5"/>
  <c r="AO349" i="5"/>
  <c r="AO540" i="5"/>
  <c r="AN540" i="5"/>
  <c r="AO174" i="5"/>
  <c r="AN174" i="5"/>
  <c r="AO29" i="5"/>
  <c r="AN29" i="5"/>
  <c r="AN471" i="5"/>
  <c r="AO471" i="5"/>
  <c r="AN488" i="5"/>
  <c r="AO488" i="5"/>
  <c r="AN20" i="5"/>
  <c r="AO20" i="5"/>
  <c r="AN238" i="5"/>
  <c r="AO238" i="5"/>
  <c r="AN508" i="5"/>
  <c r="AO508" i="5"/>
  <c r="AN23" i="5"/>
  <c r="AO23" i="5"/>
  <c r="AN111" i="5"/>
  <c r="AO111" i="5"/>
  <c r="AN161" i="5"/>
  <c r="AO161" i="5"/>
  <c r="AO99" i="5"/>
  <c r="AN99" i="5"/>
  <c r="AN35" i="5"/>
  <c r="AO35" i="5"/>
  <c r="AO119" i="5"/>
  <c r="AN119" i="5"/>
  <c r="AO271" i="5"/>
  <c r="AN271" i="5"/>
  <c r="AN449" i="5"/>
  <c r="AO449" i="5"/>
  <c r="AO538" i="5"/>
  <c r="AN538" i="5"/>
  <c r="AN47" i="5"/>
  <c r="AO47" i="5"/>
  <c r="AO58" i="5"/>
  <c r="AN58" i="5"/>
  <c r="AN379" i="5"/>
  <c r="AO379" i="5"/>
  <c r="AN339" i="5"/>
  <c r="AO339" i="5"/>
  <c r="AN522" i="5"/>
  <c r="AO522" i="5"/>
  <c r="AN423" i="5"/>
  <c r="AO423" i="5"/>
  <c r="AN223" i="5"/>
  <c r="AO223" i="5"/>
  <c r="AO75" i="5"/>
  <c r="AN75" i="5"/>
  <c r="AN91" i="5"/>
  <c r="AO91" i="5"/>
  <c r="AN123" i="5"/>
  <c r="AO123" i="5"/>
  <c r="AO493" i="5"/>
  <c r="AN493" i="5"/>
  <c r="AO7" i="5"/>
  <c r="AN7" i="5"/>
  <c r="AO346" i="5"/>
  <c r="AN346" i="5"/>
  <c r="AN484" i="5"/>
  <c r="AO484" i="5"/>
  <c r="AO8" i="5"/>
  <c r="AN8" i="5"/>
  <c r="AO130" i="5"/>
  <c r="AN130" i="5"/>
  <c r="AO289" i="5"/>
  <c r="AN289" i="5"/>
  <c r="AO534" i="5"/>
  <c r="AN534" i="5"/>
  <c r="AO253" i="5"/>
  <c r="AN253" i="5"/>
  <c r="AN89" i="5"/>
  <c r="AO89" i="5"/>
  <c r="AO121" i="5"/>
  <c r="AN121" i="5"/>
  <c r="AN395" i="5"/>
  <c r="AO395" i="5"/>
  <c r="AN330" i="5"/>
  <c r="AO330" i="5"/>
  <c r="AN188" i="5"/>
  <c r="AO188" i="5"/>
  <c r="AO441" i="5"/>
  <c r="AN441" i="5"/>
  <c r="AO486" i="5"/>
  <c r="AN486" i="5"/>
  <c r="AN92" i="5"/>
  <c r="AO92" i="5"/>
  <c r="AO60" i="5"/>
  <c r="AN60" i="5"/>
  <c r="AO80" i="5"/>
  <c r="AN80" i="5"/>
  <c r="AN114" i="5"/>
  <c r="AO114" i="5"/>
  <c r="AO261" i="5"/>
  <c r="AN261" i="5"/>
  <c r="AN245" i="5"/>
  <c r="AO245" i="5"/>
  <c r="AN516" i="5"/>
  <c r="AO516" i="5"/>
  <c r="AH335" i="5"/>
  <c r="AI335" i="5"/>
  <c r="AH482" i="5"/>
  <c r="AI482" i="5"/>
  <c r="AH446" i="5"/>
  <c r="AI446" i="5"/>
  <c r="AH386" i="5"/>
  <c r="AI386" i="5"/>
  <c r="AI162" i="5"/>
  <c r="AH162" i="5"/>
  <c r="AH8" i="5"/>
  <c r="AI8" i="5"/>
  <c r="AI497" i="5"/>
  <c r="AH497" i="5"/>
  <c r="AI455" i="5"/>
  <c r="AH455" i="5"/>
  <c r="AH529" i="5"/>
  <c r="AI529" i="5"/>
  <c r="AI309" i="5"/>
  <c r="AH309" i="5"/>
  <c r="AI90" i="5"/>
  <c r="AH90" i="5"/>
  <c r="AH431" i="5"/>
  <c r="AI431" i="5"/>
  <c r="AH126" i="5"/>
  <c r="AI126" i="5"/>
  <c r="AH32" i="5"/>
  <c r="AI32" i="5"/>
  <c r="AH373" i="5"/>
  <c r="AI373" i="5"/>
  <c r="AH108" i="5"/>
  <c r="AI108" i="5"/>
  <c r="AI281" i="5"/>
  <c r="AH281" i="5"/>
  <c r="AI176" i="5"/>
  <c r="AH176" i="5"/>
  <c r="AI237" i="5"/>
  <c r="AH237" i="5"/>
  <c r="AI538" i="5"/>
  <c r="AH538" i="5"/>
  <c r="AH284" i="5"/>
  <c r="AI284" i="5"/>
  <c r="AH270" i="5"/>
  <c r="AI270" i="5"/>
  <c r="AH509" i="5"/>
  <c r="AI509" i="5"/>
  <c r="AH511" i="5"/>
  <c r="AI511" i="5"/>
  <c r="AH260" i="5"/>
  <c r="AI260" i="5"/>
  <c r="AH472" i="5"/>
  <c r="AI472" i="5"/>
  <c r="AH19" i="5"/>
  <c r="AI19" i="5"/>
  <c r="AI207" i="5"/>
  <c r="AH207" i="5"/>
  <c r="AI168" i="5"/>
  <c r="AH168" i="5"/>
  <c r="AI70" i="5"/>
  <c r="AH70" i="5"/>
  <c r="AI24" i="5"/>
  <c r="AH24" i="5"/>
  <c r="AI302" i="5"/>
  <c r="AH302" i="5"/>
  <c r="AH403" i="5"/>
  <c r="AI403" i="5"/>
  <c r="AH133" i="5"/>
  <c r="AI133" i="5"/>
  <c r="AH159" i="5"/>
  <c r="AI159" i="5"/>
  <c r="AH363" i="5"/>
  <c r="AI363" i="5"/>
  <c r="AH238" i="5"/>
  <c r="AI238" i="5"/>
  <c r="AI129" i="5"/>
  <c r="AH129" i="5"/>
  <c r="AI185" i="5"/>
  <c r="AH185" i="5"/>
  <c r="AI428" i="5"/>
  <c r="AH428" i="5"/>
  <c r="AI362" i="5"/>
  <c r="AH362" i="5"/>
  <c r="AH130" i="5"/>
  <c r="AI130" i="5"/>
  <c r="AH277" i="5"/>
  <c r="AI277" i="5"/>
  <c r="AH492" i="5"/>
  <c r="AI492" i="5"/>
  <c r="AH452" i="5"/>
  <c r="AI452" i="5"/>
  <c r="AH332" i="5"/>
  <c r="AI332" i="5"/>
  <c r="AH124" i="5"/>
  <c r="AI124" i="5"/>
  <c r="AH481" i="5"/>
  <c r="AI481" i="5"/>
  <c r="AH305" i="5"/>
  <c r="AI305" i="5"/>
  <c r="AI251" i="5"/>
  <c r="AH251" i="5"/>
  <c r="AI227" i="5"/>
  <c r="AH227" i="5"/>
  <c r="AH201" i="5"/>
  <c r="AI201" i="5"/>
  <c r="AH99" i="5"/>
  <c r="AI99" i="5"/>
  <c r="AH275" i="5"/>
  <c r="AI275" i="5"/>
  <c r="AI180" i="5"/>
  <c r="AH180" i="5"/>
  <c r="AH304" i="5"/>
  <c r="AI304" i="5"/>
  <c r="AH214" i="5"/>
  <c r="AI214" i="5"/>
  <c r="AH65" i="5"/>
  <c r="AI65" i="5"/>
  <c r="AH256" i="5"/>
  <c r="AI256" i="5"/>
  <c r="AI109" i="5"/>
  <c r="AH109" i="5"/>
  <c r="AI279" i="5"/>
  <c r="AH279" i="5"/>
  <c r="AH104" i="5"/>
  <c r="AI104" i="5"/>
  <c r="AH525" i="5"/>
  <c r="AI525" i="5"/>
  <c r="AH387" i="5"/>
  <c r="AI387" i="5"/>
  <c r="AI223" i="5"/>
  <c r="AH223" i="5"/>
  <c r="AI137" i="5"/>
  <c r="AH137" i="5"/>
  <c r="AI485" i="5"/>
  <c r="AH485" i="5"/>
  <c r="AH477" i="5"/>
  <c r="AI477" i="5"/>
  <c r="AH461" i="5"/>
  <c r="AI461" i="5"/>
  <c r="AH245" i="5"/>
  <c r="AI245" i="5"/>
  <c r="AI528" i="5"/>
  <c r="AH528" i="5"/>
  <c r="AH169" i="5"/>
  <c r="AI169" i="5"/>
  <c r="AI135" i="5"/>
  <c r="AH135" i="5"/>
  <c r="AI246" i="5"/>
  <c r="AH246" i="5"/>
  <c r="AI122" i="5"/>
  <c r="AH122" i="5"/>
  <c r="AI338" i="5"/>
  <c r="AH338" i="5"/>
  <c r="AI533" i="5"/>
  <c r="AH533" i="5"/>
  <c r="AI86" i="5"/>
  <c r="AH86" i="5"/>
  <c r="AI516" i="5"/>
  <c r="AH516" i="5"/>
  <c r="AI474" i="5"/>
  <c r="AH474" i="5"/>
  <c r="AI487" i="5"/>
  <c r="AH487" i="5"/>
  <c r="AI49" i="5"/>
  <c r="AH49" i="5"/>
  <c r="AI501" i="5"/>
  <c r="AH501" i="5"/>
  <c r="AI148" i="5"/>
  <c r="AH148" i="5"/>
  <c r="AH157" i="5"/>
  <c r="AI157" i="5"/>
  <c r="AH471" i="5"/>
  <c r="AI471" i="5"/>
  <c r="AI544" i="5"/>
  <c r="AH544" i="5"/>
  <c r="AH232" i="5"/>
  <c r="AI232" i="5"/>
  <c r="AH95" i="5"/>
  <c r="AI95" i="5"/>
  <c r="AI191" i="5"/>
  <c r="AH191" i="5"/>
  <c r="AH44" i="5"/>
  <c r="AI44" i="5"/>
  <c r="AH559" i="5"/>
  <c r="AI559" i="5"/>
  <c r="AH139" i="5"/>
  <c r="AI139" i="5"/>
  <c r="AI537" i="5"/>
  <c r="AH537" i="5"/>
  <c r="AI179" i="5"/>
  <c r="AH179" i="5"/>
  <c r="AH545" i="5"/>
  <c r="AI545" i="5"/>
  <c r="AH489" i="5"/>
  <c r="AI489" i="5"/>
  <c r="AH197" i="5"/>
  <c r="AI197" i="5"/>
  <c r="AH357" i="5"/>
  <c r="AI357" i="5"/>
  <c r="AH263" i="5"/>
  <c r="AI263" i="5"/>
  <c r="AH532" i="5"/>
  <c r="AI532" i="5"/>
  <c r="AH449" i="5"/>
  <c r="AI449" i="5"/>
  <c r="AH346" i="5"/>
  <c r="AI346" i="5"/>
  <c r="AI301" i="5"/>
  <c r="AH301" i="5"/>
  <c r="AI101" i="5"/>
  <c r="AH101" i="5"/>
  <c r="AI117" i="5"/>
  <c r="AH117" i="5"/>
  <c r="AI202" i="5"/>
  <c r="AH202" i="5"/>
  <c r="AH172" i="5"/>
  <c r="AI172" i="5"/>
  <c r="AI190" i="5"/>
  <c r="AH190" i="5"/>
  <c r="AI68" i="5"/>
  <c r="AH68" i="5"/>
  <c r="AH183" i="5"/>
  <c r="AI183" i="5"/>
  <c r="AI145" i="5"/>
  <c r="AH145" i="5"/>
  <c r="AI400" i="5"/>
  <c r="AH400" i="5"/>
  <c r="AI475" i="5"/>
  <c r="AH475" i="5"/>
  <c r="AH311" i="5"/>
  <c r="AI311" i="5"/>
  <c r="AI193" i="5"/>
  <c r="AH193" i="5"/>
  <c r="AH500" i="5"/>
  <c r="AI500" i="5"/>
  <c r="AH351" i="5"/>
  <c r="AI351" i="5"/>
  <c r="AI508" i="5"/>
  <c r="AH508" i="5"/>
  <c r="AH249" i="5"/>
  <c r="AI249" i="5"/>
  <c r="AH418" i="5"/>
  <c r="AI418" i="5"/>
  <c r="AH182" i="5"/>
  <c r="AI182" i="5"/>
  <c r="AH150" i="5"/>
  <c r="AI150" i="5"/>
  <c r="AH252" i="5"/>
  <c r="AI252" i="5"/>
  <c r="AI149" i="5"/>
  <c r="AH149" i="5"/>
  <c r="AH110" i="5"/>
  <c r="AI110" i="5"/>
  <c r="AI243" i="5"/>
  <c r="AH243" i="5"/>
  <c r="AI98" i="5"/>
  <c r="AH98" i="5"/>
  <c r="AH30" i="5"/>
  <c r="AI30" i="5"/>
  <c r="AH450" i="5"/>
  <c r="AI450" i="5"/>
  <c r="AI374" i="5"/>
  <c r="AH374" i="5"/>
  <c r="AH155" i="5"/>
  <c r="AI155" i="5"/>
  <c r="AH13" i="5"/>
  <c r="AI13" i="5"/>
  <c r="AI88" i="5"/>
  <c r="AH88" i="5"/>
  <c r="AH184" i="5"/>
  <c r="AI184" i="5"/>
  <c r="AI72" i="5"/>
  <c r="AH72" i="5"/>
  <c r="AH352" i="5"/>
  <c r="AI352" i="5"/>
  <c r="AE103" i="4"/>
  <c r="Z103" i="4"/>
  <c r="AH103" i="4"/>
  <c r="AH75" i="4"/>
  <c r="AE75" i="4"/>
  <c r="AR171" i="5" l="1"/>
  <c r="AQ244" i="5"/>
  <c r="AQ171" i="5"/>
  <c r="BI508" i="5"/>
  <c r="AQ19" i="5"/>
  <c r="AV9" i="5"/>
  <c r="AR508" i="5"/>
  <c r="AB9" i="5"/>
  <c r="AQ304" i="5"/>
  <c r="AQ191" i="5"/>
  <c r="AR129" i="5"/>
  <c r="BI129" i="5"/>
  <c r="BK129" i="5" s="1"/>
  <c r="BI323" i="5"/>
  <c r="BK323" i="5" s="1"/>
  <c r="AR19" i="5"/>
  <c r="AQ515" i="5"/>
  <c r="AR266" i="5"/>
  <c r="AR406" i="5"/>
  <c r="AQ406" i="5"/>
  <c r="BI266" i="5"/>
  <c r="BJ266" i="5" s="1"/>
  <c r="BC9" i="5"/>
  <c r="BD9" i="5" s="1"/>
  <c r="AX9" i="5"/>
  <c r="BI197" i="5"/>
  <c r="BJ197" i="5" s="1"/>
  <c r="AR197" i="5"/>
  <c r="BI344" i="5"/>
  <c r="BK344" i="5" s="1"/>
  <c r="BI470" i="5"/>
  <c r="BK470" i="5" s="1"/>
  <c r="AR183" i="5"/>
  <c r="AR470" i="5"/>
  <c r="AQ292" i="5"/>
  <c r="BI80" i="5"/>
  <c r="BK80" i="5" s="1"/>
  <c r="AR191" i="5"/>
  <c r="BI432" i="5"/>
  <c r="BK432" i="5" s="1"/>
  <c r="AQ432" i="5"/>
  <c r="AQ140" i="5"/>
  <c r="BI157" i="5"/>
  <c r="BK157" i="5" s="1"/>
  <c r="AR80" i="5"/>
  <c r="BI85" i="5"/>
  <c r="BK85" i="5" s="1"/>
  <c r="BI103" i="5"/>
  <c r="BK103" i="5" s="1"/>
  <c r="AQ484" i="5"/>
  <c r="BI263" i="5"/>
  <c r="BJ263" i="5" s="1"/>
  <c r="BI496" i="5"/>
  <c r="BK496" i="5" s="1"/>
  <c r="BI484" i="5"/>
  <c r="BK484" i="5" s="1"/>
  <c r="AQ496" i="5"/>
  <c r="AQ119" i="5"/>
  <c r="AR189" i="5"/>
  <c r="BI420" i="5"/>
  <c r="BJ420" i="5" s="1"/>
  <c r="AR119" i="5"/>
  <c r="BI341" i="5"/>
  <c r="BK341" i="5" s="1"/>
  <c r="AR341" i="5"/>
  <c r="BI189" i="5"/>
  <c r="BK189" i="5" s="1"/>
  <c r="BI92" i="5"/>
  <c r="BK92" i="5" s="1"/>
  <c r="AQ420" i="5"/>
  <c r="AR263" i="5"/>
  <c r="AQ103" i="5"/>
  <c r="AR99" i="5"/>
  <c r="AR85" i="5"/>
  <c r="BI363" i="5"/>
  <c r="BJ363" i="5" s="1"/>
  <c r="AQ295" i="5"/>
  <c r="AQ511" i="5"/>
  <c r="AQ223" i="5"/>
  <c r="AQ363" i="5"/>
  <c r="AQ410" i="5"/>
  <c r="BI511" i="5"/>
  <c r="BJ511" i="5" s="1"/>
  <c r="AR223" i="5"/>
  <c r="BI42" i="5"/>
  <c r="BJ42" i="5" s="1"/>
  <c r="AR27" i="5"/>
  <c r="BI298" i="5"/>
  <c r="BK298" i="5" s="1"/>
  <c r="AQ42" i="5"/>
  <c r="BI27" i="5"/>
  <c r="BK27" i="5" s="1"/>
  <c r="AR298" i="5"/>
  <c r="AR233" i="5"/>
  <c r="AQ233" i="5"/>
  <c r="AR509" i="5"/>
  <c r="AR395" i="5"/>
  <c r="AQ279" i="5"/>
  <c r="AQ509" i="5"/>
  <c r="BI395" i="5"/>
  <c r="BK395" i="5" s="1"/>
  <c r="BI279" i="5"/>
  <c r="BJ279" i="5" s="1"/>
  <c r="AQ92" i="5"/>
  <c r="AQ99" i="5"/>
  <c r="Z58" i="4"/>
  <c r="X58" i="4" s="1"/>
  <c r="AJ58" i="4" s="1"/>
  <c r="BI471" i="5"/>
  <c r="BK471" i="5" s="1"/>
  <c r="BI254" i="5"/>
  <c r="BK254" i="5" s="1"/>
  <c r="AQ343" i="5"/>
  <c r="AQ525" i="5"/>
  <c r="BI52" i="5"/>
  <c r="BK52" i="5" s="1"/>
  <c r="AR306" i="5"/>
  <c r="AR184" i="5"/>
  <c r="BI172" i="5"/>
  <c r="BJ172" i="5" s="1"/>
  <c r="BI230" i="5"/>
  <c r="BJ230" i="5" s="1"/>
  <c r="AQ184" i="5"/>
  <c r="AQ124" i="5"/>
  <c r="BI128" i="5"/>
  <c r="BK128" i="5" s="1"/>
  <c r="AR230" i="5"/>
  <c r="BI319" i="5"/>
  <c r="BK319" i="5" s="1"/>
  <c r="AR256" i="5"/>
  <c r="AQ338" i="5"/>
  <c r="AQ256" i="5"/>
  <c r="BI338" i="5"/>
  <c r="BJ338" i="5" s="1"/>
  <c r="AR434" i="5"/>
  <c r="BI150" i="5"/>
  <c r="BJ150" i="5" s="1"/>
  <c r="BI434" i="5"/>
  <c r="BK434" i="5" s="1"/>
  <c r="BI231" i="5"/>
  <c r="BK231" i="5" s="1"/>
  <c r="AR231" i="5"/>
  <c r="BI306" i="5"/>
  <c r="BJ306" i="5" s="1"/>
  <c r="AR135" i="5"/>
  <c r="AR525" i="5"/>
  <c r="AR172" i="5"/>
  <c r="BI74" i="5"/>
  <c r="BJ74" i="5" s="1"/>
  <c r="AR74" i="5"/>
  <c r="Z126" i="4"/>
  <c r="X126" i="4" s="1"/>
  <c r="AJ126" i="4" s="1"/>
  <c r="AQ442" i="5"/>
  <c r="BI146" i="5"/>
  <c r="BK146" i="5" s="1"/>
  <c r="AR456" i="5"/>
  <c r="AQ456" i="5"/>
  <c r="BI442" i="5"/>
  <c r="BJ442" i="5" s="1"/>
  <c r="AR309" i="5"/>
  <c r="AR52" i="5"/>
  <c r="AR319" i="5"/>
  <c r="AR493" i="5"/>
  <c r="AQ309" i="5"/>
  <c r="BI190" i="5"/>
  <c r="BK190" i="5" s="1"/>
  <c r="AR121" i="5"/>
  <c r="AQ26" i="5"/>
  <c r="AQ270" i="5"/>
  <c r="AQ493" i="5"/>
  <c r="AR190" i="5"/>
  <c r="AQ121" i="5"/>
  <c r="AQ418" i="5"/>
  <c r="AR26" i="5"/>
  <c r="BI244" i="5"/>
  <c r="BK244" i="5" s="1"/>
  <c r="AQ20" i="5"/>
  <c r="BI270" i="5"/>
  <c r="BJ270" i="5" s="1"/>
  <c r="AQ150" i="5"/>
  <c r="BI418" i="5"/>
  <c r="BJ418" i="5" s="1"/>
  <c r="BI356" i="5"/>
  <c r="BJ356" i="5" s="1"/>
  <c r="BI516" i="5"/>
  <c r="BK516" i="5" s="1"/>
  <c r="BI357" i="5"/>
  <c r="BJ357" i="5" s="1"/>
  <c r="BI20" i="5"/>
  <c r="BJ20" i="5" s="1"/>
  <c r="AQ174" i="5"/>
  <c r="AR374" i="5"/>
  <c r="BI130" i="5"/>
  <c r="BK130" i="5" s="1"/>
  <c r="BI44" i="5"/>
  <c r="BK44" i="5" s="1"/>
  <c r="AQ516" i="5"/>
  <c r="AQ526" i="5"/>
  <c r="BI374" i="5"/>
  <c r="BJ374" i="5" s="1"/>
  <c r="AR130" i="5"/>
  <c r="AR87" i="5"/>
  <c r="AR538" i="5"/>
  <c r="AQ357" i="5"/>
  <c r="BI174" i="5"/>
  <c r="BJ174" i="5" s="1"/>
  <c r="AQ44" i="5"/>
  <c r="AR128" i="5"/>
  <c r="BI526" i="5"/>
  <c r="BJ526" i="5" s="1"/>
  <c r="AR277" i="5"/>
  <c r="AQ467" i="5"/>
  <c r="AR373" i="5"/>
  <c r="AQ101" i="5"/>
  <c r="AR467" i="5"/>
  <c r="AR323" i="5"/>
  <c r="AQ373" i="5"/>
  <c r="AQ135" i="5"/>
  <c r="BI433" i="5"/>
  <c r="BK433" i="5" s="1"/>
  <c r="BI277" i="5"/>
  <c r="BJ277" i="5" s="1"/>
  <c r="AR543" i="5"/>
  <c r="AR227" i="5"/>
  <c r="AQ433" i="5"/>
  <c r="AQ471" i="5"/>
  <c r="AQ254" i="5"/>
  <c r="BI543" i="5"/>
  <c r="BK543" i="5" s="1"/>
  <c r="AR101" i="5"/>
  <c r="AQ356" i="5"/>
  <c r="AR226" i="5"/>
  <c r="AR204" i="5"/>
  <c r="BI343" i="5"/>
  <c r="BJ343" i="5" s="1"/>
  <c r="AR330" i="5"/>
  <c r="BI476" i="5"/>
  <c r="BK476" i="5" s="1"/>
  <c r="AR476" i="5"/>
  <c r="BI560" i="5"/>
  <c r="BJ560" i="5" s="1"/>
  <c r="AR560" i="5"/>
  <c r="BI330" i="5"/>
  <c r="BK330" i="5" s="1"/>
  <c r="AR360" i="5"/>
  <c r="BI427" i="5"/>
  <c r="BK427" i="5" s="1"/>
  <c r="BI262" i="5"/>
  <c r="BJ262" i="5" s="1"/>
  <c r="AQ399" i="5"/>
  <c r="BI399" i="5"/>
  <c r="BK399" i="5" s="1"/>
  <c r="BI222" i="5"/>
  <c r="BK222" i="5" s="1"/>
  <c r="AQ380" i="5"/>
  <c r="BI227" i="5"/>
  <c r="BJ227" i="5" s="1"/>
  <c r="BI124" i="5"/>
  <c r="BJ124" i="5" s="1"/>
  <c r="AQ538" i="5"/>
  <c r="AH9" i="5"/>
  <c r="AR339" i="5"/>
  <c r="V9" i="5"/>
  <c r="AR380" i="5"/>
  <c r="AQ339" i="5"/>
  <c r="AR169" i="5"/>
  <c r="AQ491" i="5"/>
  <c r="AQ169" i="5"/>
  <c r="AR136" i="5"/>
  <c r="AR32" i="5"/>
  <c r="AR515" i="5"/>
  <c r="AR157" i="5"/>
  <c r="AR146" i="5"/>
  <c r="AR40" i="5"/>
  <c r="AR528" i="5"/>
  <c r="BI40" i="5"/>
  <c r="BJ40" i="5" s="1"/>
  <c r="AQ387" i="5"/>
  <c r="BI546" i="5"/>
  <c r="BJ546" i="5" s="1"/>
  <c r="AN9" i="5"/>
  <c r="AQ147" i="5"/>
  <c r="AQ241" i="5"/>
  <c r="AR69" i="5"/>
  <c r="BI192" i="5"/>
  <c r="BJ192" i="5" s="1"/>
  <c r="BI226" i="5"/>
  <c r="BK226" i="5" s="1"/>
  <c r="AR241" i="5"/>
  <c r="AQ192" i="5"/>
  <c r="Y9" i="5"/>
  <c r="BI104" i="5"/>
  <c r="BK104" i="5" s="1"/>
  <c r="AQ175" i="5"/>
  <c r="AQ104" i="5"/>
  <c r="AQ132" i="5"/>
  <c r="AR175" i="5"/>
  <c r="BI147" i="5"/>
  <c r="BK147" i="5" s="1"/>
  <c r="BI139" i="5"/>
  <c r="BJ139" i="5" s="1"/>
  <c r="BI415" i="5"/>
  <c r="BJ415" i="5" s="1"/>
  <c r="AR132" i="5"/>
  <c r="AQ109" i="5"/>
  <c r="AR321" i="5"/>
  <c r="AR139" i="5"/>
  <c r="BI321" i="5"/>
  <c r="BK321" i="5" s="1"/>
  <c r="BI224" i="5"/>
  <c r="BJ224" i="5" s="1"/>
  <c r="AR292" i="5"/>
  <c r="AQ224" i="5"/>
  <c r="AR546" i="5"/>
  <c r="AQ220" i="5"/>
  <c r="AR440" i="5"/>
  <c r="AQ361" i="5"/>
  <c r="AR220" i="5"/>
  <c r="BI293" i="5"/>
  <c r="BJ293" i="5" s="1"/>
  <c r="BI440" i="5"/>
  <c r="BK440" i="5" s="1"/>
  <c r="BI361" i="5"/>
  <c r="BJ361" i="5" s="1"/>
  <c r="BI239" i="5"/>
  <c r="BK239" i="5" s="1"/>
  <c r="AR293" i="5"/>
  <c r="AR239" i="5"/>
  <c r="AR70" i="5"/>
  <c r="AQ247" i="5"/>
  <c r="AR35" i="5"/>
  <c r="BI229" i="5"/>
  <c r="BJ229" i="5" s="1"/>
  <c r="AR481" i="5"/>
  <c r="AR229" i="5"/>
  <c r="AR545" i="5"/>
  <c r="BI405" i="5"/>
  <c r="BJ405" i="5" s="1"/>
  <c r="AR283" i="5"/>
  <c r="AR468" i="5"/>
  <c r="AR116" i="5"/>
  <c r="AR532" i="5"/>
  <c r="AQ532" i="5"/>
  <c r="BI544" i="5"/>
  <c r="BK544" i="5" s="1"/>
  <c r="BI283" i="5"/>
  <c r="BJ283" i="5" s="1"/>
  <c r="AR436" i="5"/>
  <c r="BI116" i="5"/>
  <c r="BJ116" i="5" s="1"/>
  <c r="BI58" i="5"/>
  <c r="BK58" i="5" s="1"/>
  <c r="BI247" i="5"/>
  <c r="BK247" i="5" s="1"/>
  <c r="AQ558" i="5"/>
  <c r="BI410" i="5"/>
  <c r="BK410" i="5" s="1"/>
  <c r="BI295" i="5"/>
  <c r="BK295" i="5" s="1"/>
  <c r="AR558" i="5"/>
  <c r="AR276" i="5"/>
  <c r="AR376" i="5"/>
  <c r="AQ276" i="5"/>
  <c r="AQ460" i="5"/>
  <c r="AQ376" i="5"/>
  <c r="AQ335" i="5"/>
  <c r="AQ544" i="5"/>
  <c r="AQ549" i="5"/>
  <c r="AR557" i="5"/>
  <c r="AR405" i="5"/>
  <c r="AR407" i="5"/>
  <c r="AQ545" i="5"/>
  <c r="AQ436" i="5"/>
  <c r="AR64" i="5"/>
  <c r="AQ481" i="5"/>
  <c r="AR368" i="5"/>
  <c r="AQ473" i="5"/>
  <c r="BI64" i="5"/>
  <c r="BJ64" i="5" s="1"/>
  <c r="AR216" i="5"/>
  <c r="BI549" i="5"/>
  <c r="BJ549" i="5" s="1"/>
  <c r="BI557" i="5"/>
  <c r="BK557" i="5" s="1"/>
  <c r="AQ143" i="5"/>
  <c r="BI407" i="5"/>
  <c r="BJ407" i="5" s="1"/>
  <c r="AR149" i="5"/>
  <c r="AQ368" i="5"/>
  <c r="AQ178" i="5"/>
  <c r="BI424" i="5"/>
  <c r="BK424" i="5" s="1"/>
  <c r="BI216" i="5"/>
  <c r="BJ216" i="5" s="1"/>
  <c r="AQ126" i="5"/>
  <c r="AR143" i="5"/>
  <c r="AQ149" i="5"/>
  <c r="BI421" i="5"/>
  <c r="BK421" i="5" s="1"/>
  <c r="AQ522" i="5"/>
  <c r="BI501" i="5"/>
  <c r="BJ501" i="5" s="1"/>
  <c r="BI178" i="5"/>
  <c r="BK178" i="5" s="1"/>
  <c r="AQ463" i="5"/>
  <c r="AQ424" i="5"/>
  <c r="AR246" i="5"/>
  <c r="AR126" i="5"/>
  <c r="AQ81" i="5"/>
  <c r="BI378" i="5"/>
  <c r="BJ378" i="5" s="1"/>
  <c r="AR421" i="5"/>
  <c r="AR523" i="5"/>
  <c r="AR134" i="5"/>
  <c r="AR522" i="5"/>
  <c r="AR463" i="5"/>
  <c r="AQ336" i="5"/>
  <c r="BI507" i="5"/>
  <c r="BJ507" i="5" s="1"/>
  <c r="AR400" i="5"/>
  <c r="AR299" i="5"/>
  <c r="BI246" i="5"/>
  <c r="BJ246" i="5" s="1"/>
  <c r="AQ200" i="5"/>
  <c r="AR207" i="5"/>
  <c r="AR81" i="5"/>
  <c r="AQ378" i="5"/>
  <c r="BI134" i="5"/>
  <c r="BK134" i="5" s="1"/>
  <c r="AQ63" i="5"/>
  <c r="AR82" i="5"/>
  <c r="AR200" i="5"/>
  <c r="AQ207" i="5"/>
  <c r="BI336" i="5"/>
  <c r="BJ336" i="5" s="1"/>
  <c r="BI182" i="5"/>
  <c r="BJ182" i="5" s="1"/>
  <c r="AQ507" i="5"/>
  <c r="BI400" i="5"/>
  <c r="BJ400" i="5" s="1"/>
  <c r="BI351" i="5"/>
  <c r="BK351" i="5" s="1"/>
  <c r="AR461" i="5"/>
  <c r="BI63" i="5"/>
  <c r="BK63" i="5" s="1"/>
  <c r="BI82" i="5"/>
  <c r="BK82" i="5" s="1"/>
  <c r="BI238" i="5"/>
  <c r="BJ238" i="5" s="1"/>
  <c r="AQ272" i="5"/>
  <c r="BI358" i="5"/>
  <c r="BJ358" i="5" s="1"/>
  <c r="AQ182" i="5"/>
  <c r="AQ351" i="5"/>
  <c r="AQ303" i="5"/>
  <c r="BI8" i="5"/>
  <c r="BK8" i="5" s="1"/>
  <c r="BI461" i="5"/>
  <c r="BJ461" i="5" s="1"/>
  <c r="AQ238" i="5"/>
  <c r="BI487" i="5"/>
  <c r="BK487" i="5" s="1"/>
  <c r="AR206" i="5"/>
  <c r="BI253" i="5"/>
  <c r="BJ253" i="5" s="1"/>
  <c r="BI477" i="5"/>
  <c r="BJ477" i="5" s="1"/>
  <c r="AR417" i="5"/>
  <c r="BI272" i="5"/>
  <c r="BJ272" i="5" s="1"/>
  <c r="AR358" i="5"/>
  <c r="BI291" i="5"/>
  <c r="BJ291" i="5" s="1"/>
  <c r="AQ61" i="5"/>
  <c r="BI303" i="5"/>
  <c r="BJ303" i="5" s="1"/>
  <c r="AR8" i="5"/>
  <c r="BI106" i="5"/>
  <c r="BK106" i="5" s="1"/>
  <c r="AQ250" i="5"/>
  <c r="BI391" i="5"/>
  <c r="BJ391" i="5" s="1"/>
  <c r="AQ478" i="5"/>
  <c r="AR334" i="5"/>
  <c r="AQ487" i="5"/>
  <c r="AQ206" i="5"/>
  <c r="AQ253" i="5"/>
  <c r="AR477" i="5"/>
  <c r="AQ417" i="5"/>
  <c r="AR291" i="5"/>
  <c r="BI221" i="5"/>
  <c r="BJ221" i="5" s="1"/>
  <c r="AR59" i="5"/>
  <c r="BI105" i="5"/>
  <c r="BK105" i="5" s="1"/>
  <c r="AR106" i="5"/>
  <c r="AR473" i="5"/>
  <c r="AR250" i="5"/>
  <c r="AQ391" i="5"/>
  <c r="BI478" i="5"/>
  <c r="BJ478" i="5" s="1"/>
  <c r="BI35" i="5"/>
  <c r="BJ35" i="5" s="1"/>
  <c r="BI70" i="5"/>
  <c r="BK70" i="5" s="1"/>
  <c r="AR47" i="5"/>
  <c r="AQ468" i="5"/>
  <c r="AQ221" i="5"/>
  <c r="AQ59" i="5"/>
  <c r="AQ105" i="5"/>
  <c r="BI278" i="5"/>
  <c r="BJ278" i="5" s="1"/>
  <c r="AQ222" i="5"/>
  <c r="BI345" i="5"/>
  <c r="BJ345" i="5" s="1"/>
  <c r="AQ274" i="5"/>
  <c r="AR501" i="5"/>
  <c r="AQ510" i="5"/>
  <c r="BI510" i="5"/>
  <c r="BJ510" i="5" s="1"/>
  <c r="AQ345" i="5"/>
  <c r="BI109" i="5"/>
  <c r="BJ109" i="5" s="1"/>
  <c r="BI523" i="5"/>
  <c r="BK523" i="5" s="1"/>
  <c r="AR559" i="5"/>
  <c r="AR367" i="5"/>
  <c r="AQ559" i="5"/>
  <c r="Z130" i="4"/>
  <c r="X130" i="4" s="1"/>
  <c r="AK130" i="4" s="1"/>
  <c r="AL130" i="4" s="1"/>
  <c r="BI367" i="5"/>
  <c r="BJ367" i="5" s="1"/>
  <c r="AR278" i="5"/>
  <c r="BI299" i="5"/>
  <c r="BK299" i="5" s="1"/>
  <c r="AQ334" i="5"/>
  <c r="AR61" i="5"/>
  <c r="AQ196" i="5"/>
  <c r="AQ145" i="5"/>
  <c r="AR145" i="5"/>
  <c r="Z73" i="4"/>
  <c r="X73" i="4" s="1"/>
  <c r="AJ73" i="4" s="1"/>
  <c r="AR352" i="5"/>
  <c r="AQ199" i="5"/>
  <c r="BI387" i="5"/>
  <c r="BJ387" i="5" s="1"/>
  <c r="AR12" i="5"/>
  <c r="AQ24" i="5"/>
  <c r="AR530" i="5"/>
  <c r="AR24" i="5"/>
  <c r="Z123" i="4"/>
  <c r="X123" i="4" s="1"/>
  <c r="AJ123" i="4" s="1"/>
  <c r="BI530" i="5"/>
  <c r="BK530" i="5" s="1"/>
  <c r="AR459" i="5"/>
  <c r="AP9" i="5"/>
  <c r="AR9" i="5" s="1"/>
  <c r="BI243" i="5"/>
  <c r="BJ243" i="5" s="1"/>
  <c r="AR245" i="5"/>
  <c r="AR243" i="5"/>
  <c r="AR29" i="5"/>
  <c r="BI153" i="5"/>
  <c r="BJ153" i="5" s="1"/>
  <c r="BI322" i="5"/>
  <c r="BJ322" i="5" s="1"/>
  <c r="AL9" i="5"/>
  <c r="AK9" i="5"/>
  <c r="AQ86" i="5"/>
  <c r="BI513" i="5"/>
  <c r="BK513" i="5" s="1"/>
  <c r="BI48" i="5"/>
  <c r="BJ48" i="5" s="1"/>
  <c r="AR369" i="5"/>
  <c r="BI196" i="5"/>
  <c r="BJ196" i="5" s="1"/>
  <c r="AR86" i="5"/>
  <c r="BI160" i="5"/>
  <c r="BJ160" i="5" s="1"/>
  <c r="BI528" i="5"/>
  <c r="BK528" i="5" s="1"/>
  <c r="AQ87" i="5"/>
  <c r="AR362" i="5"/>
  <c r="AR62" i="5"/>
  <c r="AQ88" i="5"/>
  <c r="AR96" i="5"/>
  <c r="AR274" i="5"/>
  <c r="AQ435" i="5"/>
  <c r="BI170" i="5"/>
  <c r="BJ170" i="5" s="1"/>
  <c r="AR170" i="5"/>
  <c r="AR110" i="5"/>
  <c r="BI110" i="5"/>
  <c r="BJ110" i="5" s="1"/>
  <c r="AQ60" i="5"/>
  <c r="AQ375" i="5"/>
  <c r="AR294" i="5"/>
  <c r="BI317" i="5"/>
  <c r="BK317" i="5" s="1"/>
  <c r="BI60" i="5"/>
  <c r="BJ60" i="5" s="1"/>
  <c r="AR469" i="5"/>
  <c r="BI286" i="5"/>
  <c r="BK286" i="5" s="1"/>
  <c r="AR317" i="5"/>
  <c r="AQ414" i="5"/>
  <c r="AQ469" i="5"/>
  <c r="AQ519" i="5"/>
  <c r="AQ286" i="5"/>
  <c r="BI414" i="5"/>
  <c r="BK414" i="5" s="1"/>
  <c r="BI519" i="5"/>
  <c r="BJ519" i="5" s="1"/>
  <c r="AR449" i="5"/>
  <c r="AR88" i="5"/>
  <c r="BI449" i="5"/>
  <c r="BK449" i="5" s="1"/>
  <c r="BI459" i="5"/>
  <c r="BJ459" i="5" s="1"/>
  <c r="AR180" i="5"/>
  <c r="BI503" i="5"/>
  <c r="BJ503" i="5" s="1"/>
  <c r="BI362" i="5"/>
  <c r="BK362" i="5" s="1"/>
  <c r="AQ234" i="5"/>
  <c r="AQ160" i="5"/>
  <c r="BI180" i="5"/>
  <c r="BJ180" i="5" s="1"/>
  <c r="AR161" i="5"/>
  <c r="AQ161" i="5"/>
  <c r="BI23" i="5"/>
  <c r="BK23" i="5" s="1"/>
  <c r="AR78" i="5"/>
  <c r="AQ98" i="5"/>
  <c r="AQ46" i="5"/>
  <c r="AR118" i="5"/>
  <c r="BI46" i="5"/>
  <c r="BJ46" i="5" s="1"/>
  <c r="BI7" i="5"/>
  <c r="BJ7" i="5" s="1"/>
  <c r="AR289" i="5"/>
  <c r="AR347" i="5"/>
  <c r="AQ198" i="5"/>
  <c r="BI347" i="5"/>
  <c r="BJ347" i="5" s="1"/>
  <c r="BI413" i="5"/>
  <c r="BK413" i="5" s="1"/>
  <c r="AQ413" i="5"/>
  <c r="AQ445" i="5"/>
  <c r="AQ118" i="5"/>
  <c r="AR98" i="5"/>
  <c r="BI234" i="5"/>
  <c r="BJ234" i="5" s="1"/>
  <c r="AQ552" i="5"/>
  <c r="BI39" i="5"/>
  <c r="BK39" i="5" s="1"/>
  <c r="BI242" i="5"/>
  <c r="BK242" i="5" s="1"/>
  <c r="BI383" i="5"/>
  <c r="BK383" i="5" s="1"/>
  <c r="BI289" i="5"/>
  <c r="BK289" i="5" s="1"/>
  <c r="AQ273" i="5"/>
  <c r="AR65" i="5"/>
  <c r="AR213" i="5"/>
  <c r="BI313" i="5"/>
  <c r="BJ313" i="5" s="1"/>
  <c r="AQ39" i="5"/>
  <c r="AR445" i="5"/>
  <c r="AR49" i="5"/>
  <c r="AR273" i="5"/>
  <c r="AR290" i="5"/>
  <c r="AQ65" i="5"/>
  <c r="AR332" i="5"/>
  <c r="BI213" i="5"/>
  <c r="BJ213" i="5" s="1"/>
  <c r="AQ554" i="5"/>
  <c r="AQ472" i="5"/>
  <c r="AR322" i="5"/>
  <c r="AQ344" i="5"/>
  <c r="AR218" i="5"/>
  <c r="BI100" i="5"/>
  <c r="BJ100" i="5" s="1"/>
  <c r="AR242" i="5"/>
  <c r="BI214" i="5"/>
  <c r="BJ214" i="5" s="1"/>
  <c r="AQ100" i="5"/>
  <c r="BI281" i="5"/>
  <c r="BJ281" i="5" s="1"/>
  <c r="AQ438" i="5"/>
  <c r="AR214" i="5"/>
  <c r="BI49" i="5"/>
  <c r="BJ49" i="5" s="1"/>
  <c r="AR382" i="5"/>
  <c r="AQ173" i="5"/>
  <c r="AQ494" i="5"/>
  <c r="AQ332" i="5"/>
  <c r="BI554" i="5"/>
  <c r="BJ554" i="5" s="1"/>
  <c r="BI472" i="5"/>
  <c r="BJ472" i="5" s="1"/>
  <c r="AR383" i="5"/>
  <c r="BI245" i="5"/>
  <c r="BK245" i="5" s="1"/>
  <c r="BI495" i="5"/>
  <c r="BJ495" i="5" s="1"/>
  <c r="BI438" i="5"/>
  <c r="BK438" i="5" s="1"/>
  <c r="AQ498" i="5"/>
  <c r="AR480" i="5"/>
  <c r="BI382" i="5"/>
  <c r="BK382" i="5" s="1"/>
  <c r="AR173" i="5"/>
  <c r="AR494" i="5"/>
  <c r="AQ331" i="5"/>
  <c r="AQ495" i="5"/>
  <c r="AR506" i="5"/>
  <c r="AR429" i="5"/>
  <c r="AR498" i="5"/>
  <c r="BI480" i="5"/>
  <c r="BJ480" i="5" s="1"/>
  <c r="BI331" i="5"/>
  <c r="BK331" i="5" s="1"/>
  <c r="BI327" i="5"/>
  <c r="BJ327" i="5" s="1"/>
  <c r="AR38" i="5"/>
  <c r="AQ506" i="5"/>
  <c r="AQ429" i="5"/>
  <c r="AR193" i="5"/>
  <c r="AR412" i="5"/>
  <c r="AR327" i="5"/>
  <c r="AQ112" i="5"/>
  <c r="AQ385" i="5"/>
  <c r="BI193" i="5"/>
  <c r="BJ193" i="5" s="1"/>
  <c r="AR547" i="5"/>
  <c r="AQ412" i="5"/>
  <c r="AR402" i="5"/>
  <c r="AR57" i="5"/>
  <c r="AQ258" i="5"/>
  <c r="AR346" i="5"/>
  <c r="BI512" i="5"/>
  <c r="BJ512" i="5" s="1"/>
  <c r="BI402" i="5"/>
  <c r="BK402" i="5" s="1"/>
  <c r="AQ57" i="5"/>
  <c r="AR112" i="5"/>
  <c r="BI385" i="5"/>
  <c r="BJ385" i="5" s="1"/>
  <c r="AQ165" i="5"/>
  <c r="AR165" i="5"/>
  <c r="AR428" i="5"/>
  <c r="BI37" i="5"/>
  <c r="BJ37" i="5" s="1"/>
  <c r="AR311" i="5"/>
  <c r="BI258" i="5"/>
  <c r="BJ258" i="5" s="1"/>
  <c r="AQ346" i="5"/>
  <c r="AR261" i="5"/>
  <c r="AR512" i="5"/>
  <c r="AQ29" i="5"/>
  <c r="AQ153" i="5"/>
  <c r="AQ513" i="5"/>
  <c r="AR48" i="5"/>
  <c r="BI428" i="5"/>
  <c r="BK428" i="5" s="1"/>
  <c r="AQ37" i="5"/>
  <c r="BI311" i="5"/>
  <c r="BK311" i="5" s="1"/>
  <c r="AR23" i="5"/>
  <c r="BI261" i="5"/>
  <c r="BK261" i="5" s="1"/>
  <c r="BI328" i="5"/>
  <c r="BK328" i="5" s="1"/>
  <c r="BI198" i="5"/>
  <c r="BJ198" i="5" s="1"/>
  <c r="AQ328" i="5"/>
  <c r="AR177" i="5"/>
  <c r="AQ465" i="5"/>
  <c r="AQ138" i="5"/>
  <c r="BI69" i="5"/>
  <c r="BK69" i="5" s="1"/>
  <c r="BI211" i="5"/>
  <c r="BK211" i="5" s="1"/>
  <c r="AQ352" i="5"/>
  <c r="AQ290" i="5"/>
  <c r="AR199" i="5"/>
  <c r="AQ333" i="5"/>
  <c r="BI78" i="5"/>
  <c r="BK78" i="5" s="1"/>
  <c r="AQ443" i="5"/>
  <c r="AR320" i="5"/>
  <c r="BI152" i="5"/>
  <c r="BJ152" i="5" s="1"/>
  <c r="AR364" i="5"/>
  <c r="BI443" i="5"/>
  <c r="BJ443" i="5" s="1"/>
  <c r="AR152" i="5"/>
  <c r="BI248" i="5"/>
  <c r="BJ248" i="5" s="1"/>
  <c r="BI458" i="5"/>
  <c r="BK458" i="5" s="1"/>
  <c r="AR30" i="5"/>
  <c r="AQ30" i="5"/>
  <c r="BI364" i="5"/>
  <c r="BK364" i="5" s="1"/>
  <c r="BI255" i="5"/>
  <c r="BK255" i="5" s="1"/>
  <c r="AQ248" i="5"/>
  <c r="AR348" i="5"/>
  <c r="AQ208" i="5"/>
  <c r="AQ458" i="5"/>
  <c r="AR240" i="5"/>
  <c r="BI312" i="5"/>
  <c r="BK312" i="5" s="1"/>
  <c r="AR425" i="5"/>
  <c r="AR255" i="5"/>
  <c r="AQ297" i="5"/>
  <c r="AQ431" i="5"/>
  <c r="BI155" i="5"/>
  <c r="BK155" i="5" s="1"/>
  <c r="AQ232" i="5"/>
  <c r="AQ492" i="5"/>
  <c r="AQ240" i="5"/>
  <c r="BI425" i="5"/>
  <c r="BK425" i="5" s="1"/>
  <c r="AQ177" i="5"/>
  <c r="BI297" i="5"/>
  <c r="BK297" i="5" s="1"/>
  <c r="AQ155" i="5"/>
  <c r="AR259" i="5"/>
  <c r="BI232" i="5"/>
  <c r="BJ232" i="5" s="1"/>
  <c r="BI492" i="5"/>
  <c r="BJ492" i="5" s="1"/>
  <c r="Z56" i="4"/>
  <c r="X56" i="4" s="1"/>
  <c r="AJ56" i="4" s="1"/>
  <c r="BI259" i="5"/>
  <c r="BK259" i="5" s="1"/>
  <c r="AR466" i="5"/>
  <c r="AQ301" i="5"/>
  <c r="AQ488" i="5"/>
  <c r="AR117" i="5"/>
  <c r="BI466" i="5"/>
  <c r="BJ466" i="5" s="1"/>
  <c r="AQ556" i="5"/>
  <c r="AQ308" i="5"/>
  <c r="AQ95" i="5"/>
  <c r="BI185" i="5"/>
  <c r="BK185" i="5" s="1"/>
  <c r="BI488" i="5"/>
  <c r="BK488" i="5" s="1"/>
  <c r="AR415" i="5"/>
  <c r="BI28" i="5"/>
  <c r="BJ28" i="5" s="1"/>
  <c r="AR340" i="5"/>
  <c r="BI556" i="5"/>
  <c r="BK556" i="5" s="1"/>
  <c r="BI76" i="5"/>
  <c r="BK76" i="5" s="1"/>
  <c r="AR185" i="5"/>
  <c r="AR138" i="5"/>
  <c r="AR28" i="5"/>
  <c r="AR211" i="5"/>
  <c r="AQ76" i="5"/>
  <c r="BI251" i="5"/>
  <c r="BJ251" i="5" s="1"/>
  <c r="BI275" i="5"/>
  <c r="BK275" i="5" s="1"/>
  <c r="AR333" i="5"/>
  <c r="BI117" i="5"/>
  <c r="BJ117" i="5" s="1"/>
  <c r="AR465" i="5"/>
  <c r="BI217" i="5"/>
  <c r="BK217" i="5" s="1"/>
  <c r="AQ131" i="5"/>
  <c r="AR131" i="5"/>
  <c r="AQ163" i="5"/>
  <c r="AR370" i="5"/>
  <c r="AR435" i="5"/>
  <c r="AQ325" i="5"/>
  <c r="BI491" i="5"/>
  <c r="BJ491" i="5" s="1"/>
  <c r="AR225" i="5"/>
  <c r="BI208" i="5"/>
  <c r="BK208" i="5" s="1"/>
  <c r="AR275" i="5"/>
  <c r="AR313" i="5"/>
  <c r="AQ218" i="5"/>
  <c r="BI552" i="5"/>
  <c r="BJ552" i="5" s="1"/>
  <c r="BI369" i="5"/>
  <c r="BJ369" i="5" s="1"/>
  <c r="AR79" i="5"/>
  <c r="AQ79" i="5"/>
  <c r="AR337" i="5"/>
  <c r="AQ404" i="5"/>
  <c r="BI337" i="5"/>
  <c r="BJ337" i="5" s="1"/>
  <c r="BI34" i="5"/>
  <c r="BK34" i="5" s="1"/>
  <c r="AR111" i="5"/>
  <c r="AR34" i="5"/>
  <c r="AQ55" i="5"/>
  <c r="AR404" i="5"/>
  <c r="BI108" i="5"/>
  <c r="BK108" i="5" s="1"/>
  <c r="AQ251" i="5"/>
  <c r="AR195" i="5"/>
  <c r="BI111" i="5"/>
  <c r="BJ111" i="5" s="1"/>
  <c r="BI142" i="5"/>
  <c r="BK142" i="5" s="1"/>
  <c r="AR460" i="5"/>
  <c r="AR55" i="5"/>
  <c r="AR210" i="5"/>
  <c r="AR108" i="5"/>
  <c r="BI141" i="5"/>
  <c r="BK141" i="5" s="1"/>
  <c r="AQ195" i="5"/>
  <c r="BI97" i="5"/>
  <c r="BJ97" i="5" s="1"/>
  <c r="AQ489" i="5"/>
  <c r="AR114" i="5"/>
  <c r="BI125" i="5"/>
  <c r="BJ125" i="5" s="1"/>
  <c r="AQ141" i="5"/>
  <c r="BI365" i="5"/>
  <c r="BJ365" i="5" s="1"/>
  <c r="BI489" i="5"/>
  <c r="BJ489" i="5" s="1"/>
  <c r="AA44" i="4"/>
  <c r="AQ44" i="4" s="1"/>
  <c r="AQ114" i="5"/>
  <c r="BI548" i="5"/>
  <c r="BJ548" i="5" s="1"/>
  <c r="AQ503" i="5"/>
  <c r="AQ285" i="5"/>
  <c r="Z148" i="4"/>
  <c r="X148" i="4" s="1"/>
  <c r="AJ148" i="4" s="1"/>
  <c r="AQ547" i="5"/>
  <c r="AQ47" i="5"/>
  <c r="AR217" i="5"/>
  <c r="AQ156" i="5"/>
  <c r="AQ125" i="5"/>
  <c r="AR365" i="5"/>
  <c r="AQ38" i="5"/>
  <c r="AR548" i="5"/>
  <c r="AA35" i="4"/>
  <c r="AP35" i="4" s="1"/>
  <c r="AQ56" i="5"/>
  <c r="AR474" i="5"/>
  <c r="BI285" i="5"/>
  <c r="BK285" i="5" s="1"/>
  <c r="AR156" i="5"/>
  <c r="AA45" i="4"/>
  <c r="AP45" i="4" s="1"/>
  <c r="AR56" i="5"/>
  <c r="AQ370" i="5"/>
  <c r="BI325" i="5"/>
  <c r="BJ325" i="5" s="1"/>
  <c r="AQ474" i="5"/>
  <c r="AQ225" i="5"/>
  <c r="BI163" i="5"/>
  <c r="BK163" i="5" s="1"/>
  <c r="AJ37" i="4"/>
  <c r="AA37" i="4"/>
  <c r="AP37" i="4" s="1"/>
  <c r="AJ80" i="4"/>
  <c r="AA80" i="4"/>
  <c r="AQ80" i="4" s="1"/>
  <c r="AJ84" i="4"/>
  <c r="AA84" i="4"/>
  <c r="AP84" i="4" s="1"/>
  <c r="AJ38" i="4"/>
  <c r="AA38" i="4"/>
  <c r="AQ38" i="4" s="1"/>
  <c r="AJ40" i="4"/>
  <c r="AA40" i="4"/>
  <c r="AQ40" i="4" s="1"/>
  <c r="AA68" i="4"/>
  <c r="AC68" i="4" s="1"/>
  <c r="AD68" i="4" s="1"/>
  <c r="AJ68" i="4"/>
  <c r="AJ100" i="4"/>
  <c r="AA100" i="4"/>
  <c r="AC100" i="4" s="1"/>
  <c r="AD100" i="4" s="1"/>
  <c r="AJ42" i="4"/>
  <c r="AA42" i="4"/>
  <c r="AC42" i="4" s="1"/>
  <c r="AD42" i="4" s="1"/>
  <c r="AJ34" i="4"/>
  <c r="AA34" i="4"/>
  <c r="AQ34" i="4" s="1"/>
  <c r="AJ115" i="4"/>
  <c r="AA115" i="4"/>
  <c r="AP115" i="4" s="1"/>
  <c r="AA39" i="4"/>
  <c r="AQ39" i="4" s="1"/>
  <c r="AJ39" i="4"/>
  <c r="AJ47" i="4"/>
  <c r="AA47" i="4"/>
  <c r="AP47" i="4" s="1"/>
  <c r="AJ138" i="4"/>
  <c r="AA138" i="4"/>
  <c r="AC138" i="4" s="1"/>
  <c r="AD138" i="4" s="1"/>
  <c r="AJ52" i="4"/>
  <c r="AA52" i="4"/>
  <c r="AQ52" i="4" s="1"/>
  <c r="AJ104" i="4"/>
  <c r="AA104" i="4"/>
  <c r="AP104" i="4" s="1"/>
  <c r="AR66" i="5"/>
  <c r="AA119" i="4"/>
  <c r="AQ119" i="4" s="1"/>
  <c r="AR550" i="5"/>
  <c r="AA132" i="4"/>
  <c r="AQ132" i="4" s="1"/>
  <c r="AA72" i="4"/>
  <c r="AQ72" i="4" s="1"/>
  <c r="BI542" i="5"/>
  <c r="BJ542" i="5" s="1"/>
  <c r="AQ379" i="5"/>
  <c r="AR166" i="5"/>
  <c r="BI447" i="5"/>
  <c r="BJ447" i="5" s="1"/>
  <c r="BI96" i="5"/>
  <c r="BJ96" i="5" s="1"/>
  <c r="AR25" i="5"/>
  <c r="AR531" i="5"/>
  <c r="AQ536" i="5"/>
  <c r="AR454" i="5"/>
  <c r="AR490" i="5"/>
  <c r="AR403" i="5"/>
  <c r="AQ66" i="5"/>
  <c r="AQ235" i="5"/>
  <c r="X157" i="4"/>
  <c r="AJ157" i="4" s="1"/>
  <c r="X139" i="4"/>
  <c r="AJ139" i="4" s="1"/>
  <c r="AR235" i="5"/>
  <c r="AQ542" i="5"/>
  <c r="AR450" i="5"/>
  <c r="BI379" i="5"/>
  <c r="BJ379" i="5" s="1"/>
  <c r="AA41" i="4"/>
  <c r="AQ41" i="4" s="1"/>
  <c r="AR475" i="5"/>
  <c r="AQ166" i="5"/>
  <c r="AR447" i="5"/>
  <c r="AQ384" i="5"/>
  <c r="BI25" i="5"/>
  <c r="BJ25" i="5" s="1"/>
  <c r="BI531" i="5"/>
  <c r="BJ531" i="5" s="1"/>
  <c r="BI536" i="5"/>
  <c r="BJ536" i="5" s="1"/>
  <c r="AQ454" i="5"/>
  <c r="AQ490" i="5"/>
  <c r="AQ403" i="5"/>
  <c r="BI168" i="5"/>
  <c r="BK168" i="5" s="1"/>
  <c r="X146" i="4"/>
  <c r="AJ146" i="4" s="1"/>
  <c r="X43" i="4"/>
  <c r="AJ43" i="4" s="1"/>
  <c r="X49" i="4"/>
  <c r="AJ49" i="4" s="1"/>
  <c r="X91" i="4"/>
  <c r="AJ91" i="4" s="1"/>
  <c r="AA70" i="4"/>
  <c r="AQ70" i="4" s="1"/>
  <c r="BI550" i="5"/>
  <c r="BJ550" i="5" s="1"/>
  <c r="AA36" i="4"/>
  <c r="AQ36" i="4" s="1"/>
  <c r="AQ555" i="5"/>
  <c r="AQ450" i="5"/>
  <c r="AA150" i="4"/>
  <c r="AQ150" i="4" s="1"/>
  <c r="AQ475" i="5"/>
  <c r="AQ36" i="5"/>
  <c r="AR384" i="5"/>
  <c r="AQ137" i="5"/>
  <c r="AA99" i="4"/>
  <c r="AQ99" i="4" s="1"/>
  <c r="AA120" i="4"/>
  <c r="AP120" i="4" s="1"/>
  <c r="AR307" i="5"/>
  <c r="AA87" i="4"/>
  <c r="AP87" i="4" s="1"/>
  <c r="AR168" i="5"/>
  <c r="AQ282" i="5"/>
  <c r="X88" i="4"/>
  <c r="AJ88" i="4" s="1"/>
  <c r="X103" i="4"/>
  <c r="AJ103" i="4" s="1"/>
  <c r="X50" i="4"/>
  <c r="AJ50" i="4" s="1"/>
  <c r="AA107" i="4"/>
  <c r="AC107" i="4" s="1"/>
  <c r="AD107" i="4" s="1"/>
  <c r="AA83" i="4"/>
  <c r="AP83" i="4" s="1"/>
  <c r="AR555" i="5"/>
  <c r="Z109" i="4"/>
  <c r="X109" i="4" s="1"/>
  <c r="AJ109" i="4" s="1"/>
  <c r="BI36" i="5"/>
  <c r="BJ36" i="5" s="1"/>
  <c r="BI236" i="5"/>
  <c r="BK236" i="5" s="1"/>
  <c r="AR137" i="5"/>
  <c r="AQ307" i="5"/>
  <c r="BI397" i="5"/>
  <c r="BJ397" i="5" s="1"/>
  <c r="AR316" i="5"/>
  <c r="BI282" i="5"/>
  <c r="BK282" i="5" s="1"/>
  <c r="AR535" i="5"/>
  <c r="AA147" i="4"/>
  <c r="AP147" i="4" s="1"/>
  <c r="AA71" i="4"/>
  <c r="AQ71" i="4" s="1"/>
  <c r="BI21" i="5"/>
  <c r="BK21" i="5" s="1"/>
  <c r="AR236" i="5"/>
  <c r="BI71" i="5"/>
  <c r="BJ71" i="5" s="1"/>
  <c r="AA48" i="4"/>
  <c r="AC48" i="4" s="1"/>
  <c r="AD48" i="4" s="1"/>
  <c r="AR505" i="5"/>
  <c r="AQ397" i="5"/>
  <c r="BI83" i="5"/>
  <c r="BK83" i="5" s="1"/>
  <c r="BI535" i="5"/>
  <c r="BK535" i="5" s="1"/>
  <c r="AA32" i="4"/>
  <c r="AC32" i="4" s="1"/>
  <c r="AD32" i="4" s="1"/>
  <c r="AQ21" i="5"/>
  <c r="AQ71" i="5"/>
  <c r="AR167" i="5"/>
  <c r="AR201" i="5"/>
  <c r="AQ83" i="5"/>
  <c r="BI533" i="5"/>
  <c r="BJ533" i="5" s="1"/>
  <c r="AQ448" i="5"/>
  <c r="X153" i="4"/>
  <c r="AJ153" i="4" s="1"/>
  <c r="AR122" i="5"/>
  <c r="AQ354" i="5"/>
  <c r="AQ167" i="5"/>
  <c r="AQ181" i="5"/>
  <c r="AR533" i="5"/>
  <c r="AR448" i="5"/>
  <c r="BI115" i="5"/>
  <c r="BK115" i="5" s="1"/>
  <c r="AQ122" i="5"/>
  <c r="AR553" i="5"/>
  <c r="BI354" i="5"/>
  <c r="BK354" i="5" s="1"/>
  <c r="AQ324" i="5"/>
  <c r="BI91" i="5"/>
  <c r="BJ91" i="5" s="1"/>
  <c r="AR350" i="5"/>
  <c r="X51" i="4"/>
  <c r="AJ51" i="4" s="1"/>
  <c r="BI93" i="5"/>
  <c r="BJ93" i="5" s="1"/>
  <c r="BI479" i="5"/>
  <c r="BJ479" i="5" s="1"/>
  <c r="BI553" i="5"/>
  <c r="BJ553" i="5" s="1"/>
  <c r="BI324" i="5"/>
  <c r="BK324" i="5" s="1"/>
  <c r="AA64" i="4"/>
  <c r="AC64" i="4" s="1"/>
  <c r="AD64" i="4" s="1"/>
  <c r="AR439" i="5"/>
  <c r="AR91" i="5"/>
  <c r="BI164" i="5"/>
  <c r="BJ164" i="5" s="1"/>
  <c r="BI350" i="5"/>
  <c r="BJ350" i="5" s="1"/>
  <c r="X46" i="4"/>
  <c r="AJ46" i="4" s="1"/>
  <c r="AQ93" i="5"/>
  <c r="AQ479" i="5"/>
  <c r="BI50" i="5"/>
  <c r="BK50" i="5" s="1"/>
  <c r="BI340" i="5"/>
  <c r="BJ340" i="5" s="1"/>
  <c r="AR375" i="5"/>
  <c r="AQ439" i="5"/>
  <c r="BI294" i="5"/>
  <c r="BJ294" i="5" s="1"/>
  <c r="AQ164" i="5"/>
  <c r="AR45" i="5"/>
  <c r="BI441" i="5"/>
  <c r="BJ441" i="5" s="1"/>
  <c r="AR22" i="5"/>
  <c r="H29" i="1"/>
  <c r="K94" i="2"/>
  <c r="B84" i="2"/>
  <c r="B86" i="2" s="1"/>
  <c r="B87" i="2" s="1"/>
  <c r="H30" i="1" s="1"/>
  <c r="Z86" i="4"/>
  <c r="AN86" i="4" s="1"/>
  <c r="AA53" i="4"/>
  <c r="AP53" i="4" s="1"/>
  <c r="Z145" i="4"/>
  <c r="AN145" i="4" s="1"/>
  <c r="BI390" i="5"/>
  <c r="BJ390" i="5" s="1"/>
  <c r="AR50" i="5"/>
  <c r="AQ355" i="5"/>
  <c r="BI45" i="5"/>
  <c r="BK45" i="5" s="1"/>
  <c r="AQ441" i="5"/>
  <c r="AJ30" i="4"/>
  <c r="AA30" i="4"/>
  <c r="AP30" i="4" s="1"/>
  <c r="AJ27" i="4"/>
  <c r="AA27" i="4"/>
  <c r="AQ27" i="4" s="1"/>
  <c r="AJ29" i="4"/>
  <c r="AA29" i="4"/>
  <c r="AP29" i="4" s="1"/>
  <c r="AR10" i="5"/>
  <c r="AQ136" i="5"/>
  <c r="BI62" i="5"/>
  <c r="BJ62" i="5" s="1"/>
  <c r="AA31" i="4"/>
  <c r="AQ31" i="4" s="1"/>
  <c r="AA26" i="4"/>
  <c r="AC26" i="4" s="1"/>
  <c r="AD26" i="4" s="1"/>
  <c r="AQ381" i="5"/>
  <c r="AQ210" i="5"/>
  <c r="BI181" i="5"/>
  <c r="BJ181" i="5" s="1"/>
  <c r="X28" i="4"/>
  <c r="AJ28" i="4" s="1"/>
  <c r="AQ32" i="5"/>
  <c r="AQ281" i="5"/>
  <c r="AR541" i="5"/>
  <c r="AR300" i="5"/>
  <c r="AR268" i="5"/>
  <c r="AQ201" i="5"/>
  <c r="AR349" i="5"/>
  <c r="AQ302" i="5"/>
  <c r="BI520" i="5"/>
  <c r="BK520" i="5" s="1"/>
  <c r="Z131" i="4"/>
  <c r="X131" i="4" s="1"/>
  <c r="AJ131" i="4" s="1"/>
  <c r="BI310" i="5"/>
  <c r="BK310" i="5" s="1"/>
  <c r="AQ541" i="5"/>
  <c r="BI502" i="5"/>
  <c r="BK502" i="5" s="1"/>
  <c r="AQ300" i="5"/>
  <c r="BI268" i="5"/>
  <c r="BK268" i="5" s="1"/>
  <c r="AR455" i="5"/>
  <c r="BI315" i="5"/>
  <c r="BJ315" i="5" s="1"/>
  <c r="BI302" i="5"/>
  <c r="BJ302" i="5" s="1"/>
  <c r="X33" i="4"/>
  <c r="AJ33" i="4" s="1"/>
  <c r="BI257" i="5"/>
  <c r="BJ257" i="5" s="1"/>
  <c r="AR310" i="5"/>
  <c r="BI75" i="5"/>
  <c r="BK75" i="5" s="1"/>
  <c r="AR457" i="5"/>
  <c r="AR287" i="5"/>
  <c r="AR94" i="5"/>
  <c r="AQ315" i="5"/>
  <c r="BI133" i="5"/>
  <c r="BK133" i="5" s="1"/>
  <c r="AQ133" i="5"/>
  <c r="Z151" i="4"/>
  <c r="AQ342" i="5"/>
  <c r="AR314" i="5"/>
  <c r="AQ271" i="5"/>
  <c r="AR75" i="5"/>
  <c r="AQ409" i="5"/>
  <c r="BI287" i="5"/>
  <c r="BK287" i="5" s="1"/>
  <c r="AR67" i="5"/>
  <c r="BI94" i="5"/>
  <c r="BK94" i="5" s="1"/>
  <c r="AQ534" i="5"/>
  <c r="AQ527" i="5"/>
  <c r="BI342" i="5"/>
  <c r="BK342" i="5" s="1"/>
  <c r="AR371" i="5"/>
  <c r="AQ430" i="5"/>
  <c r="BI314" i="5"/>
  <c r="BJ314" i="5" s="1"/>
  <c r="AR271" i="5"/>
  <c r="BI409" i="5"/>
  <c r="BJ409" i="5" s="1"/>
  <c r="BI67" i="5"/>
  <c r="BJ67" i="5" s="1"/>
  <c r="BI188" i="5"/>
  <c r="BK188" i="5" s="1"/>
  <c r="AR534" i="5"/>
  <c r="BI527" i="5"/>
  <c r="BJ527" i="5" s="1"/>
  <c r="BI371" i="5"/>
  <c r="BJ371" i="5" s="1"/>
  <c r="AR430" i="5"/>
  <c r="AQ521" i="5"/>
  <c r="AQ215" i="5"/>
  <c r="BI389" i="5"/>
  <c r="BJ389" i="5" s="1"/>
  <c r="BI464" i="5"/>
  <c r="BJ464" i="5" s="1"/>
  <c r="AR188" i="5"/>
  <c r="Z154" i="4"/>
  <c r="X154" i="4" s="1"/>
  <c r="AJ154" i="4" s="1"/>
  <c r="AR366" i="5"/>
  <c r="BI486" i="5"/>
  <c r="BJ486" i="5" s="1"/>
  <c r="BI393" i="5"/>
  <c r="BK393" i="5" s="1"/>
  <c r="BI51" i="5"/>
  <c r="BJ51" i="5" s="1"/>
  <c r="BI521" i="5"/>
  <c r="BK521" i="5" s="1"/>
  <c r="AR215" i="5"/>
  <c r="AR389" i="5"/>
  <c r="BI158" i="5"/>
  <c r="BJ158" i="5" s="1"/>
  <c r="AQ464" i="5"/>
  <c r="AR551" i="5"/>
  <c r="BI366" i="5"/>
  <c r="BK366" i="5" s="1"/>
  <c r="AQ486" i="5"/>
  <c r="AQ393" i="5"/>
  <c r="AR51" i="5"/>
  <c r="BI398" i="5"/>
  <c r="BK398" i="5" s="1"/>
  <c r="AQ158" i="5"/>
  <c r="AQ359" i="5"/>
  <c r="BI551" i="5"/>
  <c r="BJ551" i="5" s="1"/>
  <c r="AQ422" i="5"/>
  <c r="BI43" i="5"/>
  <c r="BJ43" i="5" s="1"/>
  <c r="AR398" i="5"/>
  <c r="AR482" i="5"/>
  <c r="BI359" i="5"/>
  <c r="BK359" i="5" s="1"/>
  <c r="BI422" i="5"/>
  <c r="BK422" i="5" s="1"/>
  <c r="AQ43" i="5"/>
  <c r="AQ329" i="5"/>
  <c r="AQ326" i="5"/>
  <c r="BI396" i="5"/>
  <c r="BJ396" i="5" s="1"/>
  <c r="AQ349" i="5"/>
  <c r="BI89" i="5"/>
  <c r="BJ89" i="5" s="1"/>
  <c r="BI326" i="5"/>
  <c r="BJ326" i="5" s="1"/>
  <c r="AQ396" i="5"/>
  <c r="AR90" i="5"/>
  <c r="AQ89" i="5"/>
  <c r="BI90" i="5"/>
  <c r="BJ90" i="5" s="1"/>
  <c r="AQ316" i="5"/>
  <c r="BI540" i="5"/>
  <c r="BJ540" i="5" s="1"/>
  <c r="AQ348" i="5"/>
  <c r="AR249" i="5"/>
  <c r="AQ320" i="5"/>
  <c r="BI308" i="5"/>
  <c r="BK308" i="5" s="1"/>
  <c r="BI249" i="5"/>
  <c r="BJ249" i="5" s="1"/>
  <c r="BI12" i="5"/>
  <c r="BJ12" i="5" s="1"/>
  <c r="AQ455" i="5"/>
  <c r="BI144" i="5"/>
  <c r="BJ144" i="5" s="1"/>
  <c r="AR408" i="5"/>
  <c r="AQ144" i="5"/>
  <c r="BI408" i="5"/>
  <c r="BJ408" i="5" s="1"/>
  <c r="AR329" i="5"/>
  <c r="AQ142" i="5"/>
  <c r="BI505" i="5"/>
  <c r="BJ505" i="5" s="1"/>
  <c r="AR312" i="5"/>
  <c r="AR280" i="5"/>
  <c r="AR377" i="5"/>
  <c r="BI377" i="5"/>
  <c r="BJ377" i="5" s="1"/>
  <c r="AR162" i="5"/>
  <c r="AR335" i="5"/>
  <c r="BI162" i="5"/>
  <c r="BK162" i="5" s="1"/>
  <c r="AR318" i="5"/>
  <c r="BI72" i="5"/>
  <c r="BJ72" i="5" s="1"/>
  <c r="BI318" i="5"/>
  <c r="BK318" i="5" s="1"/>
  <c r="AR72" i="5"/>
  <c r="AR58" i="5"/>
  <c r="AQ97" i="5"/>
  <c r="AQ22" i="5"/>
  <c r="BI301" i="5"/>
  <c r="BK301" i="5" s="1"/>
  <c r="AQ280" i="5"/>
  <c r="BI95" i="5"/>
  <c r="BK95" i="5" s="1"/>
  <c r="BI102" i="5"/>
  <c r="BJ102" i="5" s="1"/>
  <c r="AR499" i="5"/>
  <c r="AQ305" i="5"/>
  <c r="AR401" i="5"/>
  <c r="AR426" i="5"/>
  <c r="AR390" i="5"/>
  <c r="AR353" i="5"/>
  <c r="AQ482" i="5"/>
  <c r="AR381" i="5"/>
  <c r="BI539" i="5"/>
  <c r="BJ539" i="5" s="1"/>
  <c r="AR537" i="5"/>
  <c r="BI537" i="5"/>
  <c r="BJ537" i="5" s="1"/>
  <c r="BI451" i="5"/>
  <c r="BK451" i="5" s="1"/>
  <c r="AQ499" i="5"/>
  <c r="BI305" i="5"/>
  <c r="BK305" i="5" s="1"/>
  <c r="BI401" i="5"/>
  <c r="BK401" i="5" s="1"/>
  <c r="AR388" i="5"/>
  <c r="BI426" i="5"/>
  <c r="BJ426" i="5" s="1"/>
  <c r="BI353" i="5"/>
  <c r="BK353" i="5" s="1"/>
  <c r="AR518" i="5"/>
  <c r="AR202" i="5"/>
  <c r="AQ453" i="5"/>
  <c r="AQ539" i="5"/>
  <c r="BI107" i="5"/>
  <c r="BK107" i="5" s="1"/>
  <c r="Z92" i="4"/>
  <c r="X92" i="4" s="1"/>
  <c r="AJ92" i="4" s="1"/>
  <c r="BI212" i="5"/>
  <c r="BJ212" i="5" s="1"/>
  <c r="BI388" i="5"/>
  <c r="BJ388" i="5" s="1"/>
  <c r="AQ269" i="5"/>
  <c r="BI518" i="5"/>
  <c r="BK518" i="5" s="1"/>
  <c r="BI202" i="5"/>
  <c r="BJ202" i="5" s="1"/>
  <c r="AR453" i="5"/>
  <c r="BI514" i="5"/>
  <c r="BK514" i="5" s="1"/>
  <c r="AR31" i="5"/>
  <c r="AQ237" i="5"/>
  <c r="AR107" i="5"/>
  <c r="AQ120" i="5"/>
  <c r="AQ179" i="5"/>
  <c r="AQ451" i="5"/>
  <c r="AR212" i="5"/>
  <c r="BI123" i="5"/>
  <c r="BJ123" i="5" s="1"/>
  <c r="AR269" i="5"/>
  <c r="BI187" i="5"/>
  <c r="BJ187" i="5" s="1"/>
  <c r="AR514" i="5"/>
  <c r="AQ31" i="5"/>
  <c r="BI237" i="5"/>
  <c r="BK237" i="5" s="1"/>
  <c r="BI120" i="5"/>
  <c r="BJ120" i="5" s="1"/>
  <c r="BI179" i="5"/>
  <c r="BK179" i="5" s="1"/>
  <c r="BI194" i="5"/>
  <c r="BK194" i="5" s="1"/>
  <c r="AQ123" i="5"/>
  <c r="AQ187" i="5"/>
  <c r="AQ423" i="5"/>
  <c r="AQ264" i="5"/>
  <c r="AQ194" i="5"/>
  <c r="AQ205" i="5"/>
  <c r="AQ53" i="5"/>
  <c r="AR423" i="5"/>
  <c r="BI264" i="5"/>
  <c r="BK264" i="5" s="1"/>
  <c r="AQ113" i="5"/>
  <c r="AR437" i="5"/>
  <c r="BI265" i="5"/>
  <c r="BK265" i="5" s="1"/>
  <c r="Z127" i="4"/>
  <c r="X127" i="4" s="1"/>
  <c r="AJ127" i="4" s="1"/>
  <c r="AR205" i="5"/>
  <c r="AR517" i="5"/>
  <c r="BI53" i="5"/>
  <c r="BJ53" i="5" s="1"/>
  <c r="AR113" i="5"/>
  <c r="BI288" i="5"/>
  <c r="BK288" i="5" s="1"/>
  <c r="BI296" i="5"/>
  <c r="BJ296" i="5" s="1"/>
  <c r="BI437" i="5"/>
  <c r="BJ437" i="5" s="1"/>
  <c r="AR265" i="5"/>
  <c r="AQ360" i="5"/>
  <c r="AQ257" i="5"/>
  <c r="AQ517" i="5"/>
  <c r="AR355" i="5"/>
  <c r="BI431" i="5"/>
  <c r="BJ431" i="5" s="1"/>
  <c r="AQ457" i="5"/>
  <c r="AR288" i="5"/>
  <c r="AQ392" i="5"/>
  <c r="AR296" i="5"/>
  <c r="AQ520" i="5"/>
  <c r="AQ502" i="5"/>
  <c r="AR392" i="5"/>
  <c r="BI41" i="5"/>
  <c r="BJ41" i="5" s="1"/>
  <c r="AR427" i="5"/>
  <c r="AQ540" i="5"/>
  <c r="AQ262" i="5"/>
  <c r="AQ204" i="5"/>
  <c r="AR41" i="5"/>
  <c r="AQ115" i="5"/>
  <c r="AQ102" i="5"/>
  <c r="Z55" i="4"/>
  <c r="X55" i="4" s="1"/>
  <c r="AJ55" i="4" s="1"/>
  <c r="AQ10" i="5"/>
  <c r="Z54" i="4"/>
  <c r="X54" i="4" s="1"/>
  <c r="AJ54" i="4" s="1"/>
  <c r="Z105" i="4"/>
  <c r="X105" i="4" s="1"/>
  <c r="AJ105" i="4" s="1"/>
  <c r="Z142" i="4"/>
  <c r="X142" i="4" s="1"/>
  <c r="AJ142" i="4" s="1"/>
  <c r="Z78" i="4"/>
  <c r="X78" i="4" s="1"/>
  <c r="AJ78" i="4" s="1"/>
  <c r="Z85" i="4"/>
  <c r="Z129" i="4"/>
  <c r="Z63" i="4"/>
  <c r="AN63" i="4" s="1"/>
  <c r="Z114" i="4"/>
  <c r="X114" i="4" s="1"/>
  <c r="AJ114" i="4" s="1"/>
  <c r="Z134" i="4"/>
  <c r="Z61" i="4"/>
  <c r="Z152" i="4"/>
  <c r="Z101" i="4"/>
  <c r="Z133" i="4"/>
  <c r="Z69" i="4"/>
  <c r="AN69" i="4" s="1"/>
  <c r="Z95" i="4"/>
  <c r="Z110" i="4"/>
  <c r="Z111" i="4"/>
  <c r="Z106" i="4"/>
  <c r="Z65" i="4"/>
  <c r="Z113" i="4"/>
  <c r="Z59" i="4"/>
  <c r="Z112" i="4"/>
  <c r="Z117" i="4"/>
  <c r="AN117" i="4" s="1"/>
  <c r="Z135" i="4"/>
  <c r="Z57" i="4"/>
  <c r="Z94" i="4"/>
  <c r="Z140" i="4"/>
  <c r="X140" i="4" s="1"/>
  <c r="AJ140" i="4" s="1"/>
  <c r="Z137" i="4"/>
  <c r="Z141" i="4"/>
  <c r="Z90" i="4"/>
  <c r="Z67" i="4"/>
  <c r="Z156" i="4"/>
  <c r="X156" i="4" s="1"/>
  <c r="AJ156" i="4" s="1"/>
  <c r="Z102" i="4"/>
  <c r="Z118" i="4"/>
  <c r="Z77" i="4"/>
  <c r="Z60" i="4"/>
  <c r="Z108" i="4"/>
  <c r="X108" i="4" s="1"/>
  <c r="AJ108" i="4" s="1"/>
  <c r="Z93" i="4"/>
  <c r="Z79" i="4"/>
  <c r="Z149" i="4"/>
  <c r="Z98" i="4"/>
  <c r="Z96" i="4"/>
  <c r="Z75" i="4"/>
  <c r="X75" i="4" s="1"/>
  <c r="AJ75" i="4" s="1"/>
  <c r="Z122" i="4"/>
  <c r="Z81" i="4"/>
  <c r="Z136" i="4"/>
  <c r="Z89" i="4"/>
  <c r="Z66" i="4"/>
  <c r="Z82" i="4"/>
  <c r="Z143" i="4"/>
  <c r="Z155" i="4"/>
  <c r="X155" i="4" s="1"/>
  <c r="AJ155" i="4" s="1"/>
  <c r="Z74" i="4"/>
  <c r="Z121" i="4"/>
  <c r="Z128" i="4"/>
  <c r="Z144" i="4"/>
  <c r="Z125" i="4"/>
  <c r="Z76" i="4"/>
  <c r="AN76" i="4" s="1"/>
  <c r="Z97" i="4"/>
  <c r="Z116" i="4"/>
  <c r="Z124" i="4"/>
  <c r="Z62" i="4"/>
  <c r="AF62" i="4" s="1"/>
  <c r="AG62" i="4" s="1"/>
  <c r="AI62" i="4" s="1"/>
  <c r="AJ17" i="4"/>
  <c r="AA16" i="4"/>
  <c r="AC16" i="4" s="1"/>
  <c r="AD16" i="4" s="1"/>
  <c r="AA22" i="4"/>
  <c r="AC22" i="4" s="1"/>
  <c r="AD22" i="4" s="1"/>
  <c r="AA12" i="4"/>
  <c r="AQ12" i="4" s="1"/>
  <c r="AA19" i="4"/>
  <c r="AQ19" i="4" s="1"/>
  <c r="AA14" i="4"/>
  <c r="AQ14" i="4" s="1"/>
  <c r="AA20" i="4"/>
  <c r="AQ20" i="4" s="1"/>
  <c r="AA10" i="4"/>
  <c r="AP10" i="4" s="1"/>
  <c r="AA11" i="4"/>
  <c r="AQ11" i="4" s="1"/>
  <c r="AA23" i="4"/>
  <c r="AP23" i="4" s="1"/>
  <c r="AA24" i="4"/>
  <c r="AP24" i="4" s="1"/>
  <c r="AA9" i="4"/>
  <c r="AC9" i="4" s="1"/>
  <c r="AD9" i="4" s="1"/>
  <c r="AA21" i="4"/>
  <c r="AC21" i="4" s="1"/>
  <c r="AD21" i="4" s="1"/>
  <c r="AA8" i="4"/>
  <c r="AC8" i="4" s="1"/>
  <c r="AD8" i="4" s="1"/>
  <c r="AA15" i="4"/>
  <c r="AQ15" i="4" s="1"/>
  <c r="AA18" i="4"/>
  <c r="AP18" i="4" s="1"/>
  <c r="AA13" i="4"/>
  <c r="AP13" i="4" s="1"/>
  <c r="AA7" i="4"/>
  <c r="AC7" i="4" s="1"/>
  <c r="AD7" i="4" s="1"/>
  <c r="AA25" i="4"/>
  <c r="AP25" i="4" s="1"/>
  <c r="AQ7" i="5"/>
  <c r="B209" i="2" s="1"/>
  <c r="B214" i="2" s="1"/>
  <c r="B215" i="2" s="1"/>
  <c r="B188" i="2"/>
  <c r="B189" i="2" s="1"/>
  <c r="B190" i="2"/>
  <c r="B226" i="2" s="1"/>
  <c r="F70" i="1" s="1"/>
  <c r="AC418" i="5"/>
  <c r="AD418" i="5" s="1"/>
  <c r="AN28" i="4"/>
  <c r="AF28" i="4"/>
  <c r="AG28" i="4" s="1"/>
  <c r="AI28" i="4" s="1"/>
  <c r="BJ250" i="5"/>
  <c r="BK250" i="5"/>
  <c r="BJ460" i="5"/>
  <c r="BK460" i="5"/>
  <c r="BK118" i="5"/>
  <c r="BJ118" i="5"/>
  <c r="BK32" i="5"/>
  <c r="BJ32" i="5"/>
  <c r="AN45" i="4"/>
  <c r="AK45" i="4"/>
  <c r="AL45" i="4" s="1"/>
  <c r="AF45" i="4"/>
  <c r="AG45" i="4" s="1"/>
  <c r="AI45" i="4" s="1"/>
  <c r="AN17" i="4"/>
  <c r="AF17" i="4"/>
  <c r="AG17" i="4" s="1"/>
  <c r="AI17" i="4" s="1"/>
  <c r="AK17" i="4"/>
  <c r="AL17" i="4" s="1"/>
  <c r="AN40" i="4"/>
  <c r="AK40" i="4"/>
  <c r="AL40" i="4" s="1"/>
  <c r="AF40" i="4"/>
  <c r="AG40" i="4" s="1"/>
  <c r="AI40" i="4" s="1"/>
  <c r="AK13" i="4"/>
  <c r="AL13" i="4" s="1"/>
  <c r="AN13" i="4"/>
  <c r="AF13" i="4"/>
  <c r="AG13" i="4" s="1"/>
  <c r="AI13" i="4" s="1"/>
  <c r="AK31" i="4"/>
  <c r="AL31" i="4" s="1"/>
  <c r="AN31" i="4"/>
  <c r="AF31" i="4"/>
  <c r="AG31" i="4" s="1"/>
  <c r="AI31" i="4" s="1"/>
  <c r="AQ148" i="5"/>
  <c r="BI148" i="5"/>
  <c r="AR148" i="5"/>
  <c r="BK203" i="5"/>
  <c r="BJ203" i="5"/>
  <c r="AN36" i="4"/>
  <c r="AK36" i="4"/>
  <c r="AL36" i="4" s="1"/>
  <c r="AF36" i="4"/>
  <c r="AG36" i="4" s="1"/>
  <c r="AI36" i="4" s="1"/>
  <c r="AN12" i="4"/>
  <c r="AF12" i="4"/>
  <c r="AG12" i="4" s="1"/>
  <c r="AI12" i="4" s="1"/>
  <c r="AK12" i="4"/>
  <c r="AL12" i="4" s="1"/>
  <c r="BK499" i="5"/>
  <c r="BJ499" i="5"/>
  <c r="BK122" i="5"/>
  <c r="BJ122" i="5"/>
  <c r="BJ19" i="5"/>
  <c r="BK19" i="5"/>
  <c r="BJ429" i="5"/>
  <c r="BK429" i="5"/>
  <c r="BI504" i="5"/>
  <c r="AR504" i="5"/>
  <c r="AQ504" i="5"/>
  <c r="BI419" i="5"/>
  <c r="AQ419" i="5"/>
  <c r="AR419" i="5"/>
  <c r="BJ320" i="5"/>
  <c r="BK320" i="5"/>
  <c r="AR462" i="5"/>
  <c r="AQ462" i="5"/>
  <c r="BI462" i="5"/>
  <c r="BJ223" i="5"/>
  <c r="BK223" i="5"/>
  <c r="BI284" i="5"/>
  <c r="AR284" i="5"/>
  <c r="AQ284" i="5"/>
  <c r="BK269" i="5"/>
  <c r="BJ269" i="5"/>
  <c r="AR186" i="5"/>
  <c r="AQ186" i="5"/>
  <c r="BI186" i="5"/>
  <c r="BJ450" i="5"/>
  <c r="BK450" i="5"/>
  <c r="BJ493" i="5"/>
  <c r="BK493" i="5"/>
  <c r="AK64" i="4"/>
  <c r="AL64" i="4" s="1"/>
  <c r="AN64" i="4"/>
  <c r="AF64" i="4"/>
  <c r="AG64" i="4" s="1"/>
  <c r="AI64" i="4" s="1"/>
  <c r="AN37" i="4"/>
  <c r="AF37" i="4"/>
  <c r="AG37" i="4" s="1"/>
  <c r="AI37" i="4" s="1"/>
  <c r="AK37" i="4"/>
  <c r="AL37" i="4" s="1"/>
  <c r="AK68" i="4"/>
  <c r="AL68" i="4" s="1"/>
  <c r="AN68" i="4"/>
  <c r="AF68" i="4"/>
  <c r="AG68" i="4" s="1"/>
  <c r="AI68" i="4" s="1"/>
  <c r="AK119" i="4"/>
  <c r="AL119" i="4" s="1"/>
  <c r="AN119" i="4"/>
  <c r="AF119" i="4"/>
  <c r="AG119" i="4" s="1"/>
  <c r="AI119" i="4" s="1"/>
  <c r="AN43" i="4"/>
  <c r="AF43" i="4"/>
  <c r="AG43" i="4" s="1"/>
  <c r="AI43" i="4" s="1"/>
  <c r="AN84" i="4"/>
  <c r="AK84" i="4"/>
  <c r="AL84" i="4" s="1"/>
  <c r="AF84" i="4"/>
  <c r="AG84" i="4" s="1"/>
  <c r="AI84" i="4" s="1"/>
  <c r="AK70" i="4"/>
  <c r="AL70" i="4" s="1"/>
  <c r="AN70" i="4"/>
  <c r="AF70" i="4"/>
  <c r="AG70" i="4" s="1"/>
  <c r="AI70" i="4" s="1"/>
  <c r="BK200" i="5"/>
  <c r="BJ200" i="5"/>
  <c r="BK381" i="5"/>
  <c r="BJ381" i="5"/>
  <c r="BK417" i="5"/>
  <c r="BJ417" i="5"/>
  <c r="BJ348" i="5"/>
  <c r="BK348" i="5"/>
  <c r="BJ457" i="5"/>
  <c r="BK457" i="5"/>
  <c r="BJ47" i="5"/>
  <c r="BK47" i="5"/>
  <c r="BK406" i="5"/>
  <c r="BJ406" i="5"/>
  <c r="BJ456" i="5"/>
  <c r="BK456" i="5"/>
  <c r="BJ329" i="5"/>
  <c r="BK329" i="5"/>
  <c r="AQ386" i="5"/>
  <c r="BI386" i="5"/>
  <c r="AR386" i="5"/>
  <c r="BK352" i="5"/>
  <c r="BJ352" i="5"/>
  <c r="BK225" i="5"/>
  <c r="BJ225" i="5"/>
  <c r="BJ233" i="5"/>
  <c r="BK233" i="5"/>
  <c r="BK300" i="5"/>
  <c r="BJ300" i="5"/>
  <c r="S9" i="5"/>
  <c r="R9" i="5"/>
  <c r="R135" i="5"/>
  <c r="S135" i="5"/>
  <c r="R432" i="5"/>
  <c r="S432" i="5"/>
  <c r="S381" i="5"/>
  <c r="R381" i="5"/>
  <c r="S151" i="5"/>
  <c r="R151" i="5"/>
  <c r="R129" i="5"/>
  <c r="S129" i="5"/>
  <c r="S222" i="5"/>
  <c r="R222" i="5"/>
  <c r="R107" i="5"/>
  <c r="S107" i="5"/>
  <c r="R240" i="5"/>
  <c r="S240" i="5"/>
  <c r="S34" i="5"/>
  <c r="R34" i="5"/>
  <c r="R454" i="5"/>
  <c r="S454" i="5"/>
  <c r="R257" i="5"/>
  <c r="S257" i="5"/>
  <c r="S378" i="5"/>
  <c r="R378" i="5"/>
  <c r="S223" i="5"/>
  <c r="R223" i="5"/>
  <c r="R125" i="5"/>
  <c r="S125" i="5"/>
  <c r="R128" i="5"/>
  <c r="S128" i="5"/>
  <c r="S253" i="5"/>
  <c r="R253" i="5"/>
  <c r="R419" i="5"/>
  <c r="S419" i="5"/>
  <c r="R533" i="5"/>
  <c r="S533" i="5"/>
  <c r="S343" i="5"/>
  <c r="R343" i="5"/>
  <c r="R37" i="5"/>
  <c r="S37" i="5"/>
  <c r="R401" i="5"/>
  <c r="S401" i="5"/>
  <c r="S536" i="5"/>
  <c r="R536" i="5"/>
  <c r="R489" i="5"/>
  <c r="S489" i="5"/>
  <c r="S324" i="5"/>
  <c r="R324" i="5"/>
  <c r="R508" i="5"/>
  <c r="S508" i="5"/>
  <c r="R444" i="5"/>
  <c r="S444" i="5"/>
  <c r="S289" i="5"/>
  <c r="R289" i="5"/>
  <c r="R259" i="5"/>
  <c r="S259" i="5"/>
  <c r="R20" i="5"/>
  <c r="S20" i="5"/>
  <c r="S486" i="5"/>
  <c r="R486" i="5"/>
  <c r="S195" i="5"/>
  <c r="R195" i="5"/>
  <c r="S178" i="5"/>
  <c r="R178" i="5"/>
  <c r="S126" i="5"/>
  <c r="R126" i="5"/>
  <c r="R85" i="5"/>
  <c r="S85" i="5"/>
  <c r="S556" i="5"/>
  <c r="R556" i="5"/>
  <c r="R546" i="5"/>
  <c r="S546" i="5"/>
  <c r="S59" i="5"/>
  <c r="R59" i="5"/>
  <c r="R203" i="5"/>
  <c r="S203" i="5"/>
  <c r="R147" i="5"/>
  <c r="S147" i="5"/>
  <c r="S232" i="5"/>
  <c r="R232" i="5"/>
  <c r="R162" i="5"/>
  <c r="S162" i="5"/>
  <c r="S420" i="5"/>
  <c r="R420" i="5"/>
  <c r="S41" i="5"/>
  <c r="R41" i="5"/>
  <c r="S406" i="5"/>
  <c r="R406" i="5"/>
  <c r="R270" i="5"/>
  <c r="S270" i="5"/>
  <c r="S49" i="5"/>
  <c r="R49" i="5"/>
  <c r="S519" i="5"/>
  <c r="R519" i="5"/>
  <c r="S83" i="5"/>
  <c r="R83" i="5"/>
  <c r="S196" i="5"/>
  <c r="R196" i="5"/>
  <c r="S205" i="5"/>
  <c r="R205" i="5"/>
  <c r="S491" i="5"/>
  <c r="R491" i="5"/>
  <c r="R340" i="5"/>
  <c r="S340" i="5"/>
  <c r="S380" i="5"/>
  <c r="R380" i="5"/>
  <c r="R469" i="5"/>
  <c r="S469" i="5"/>
  <c r="S297" i="5"/>
  <c r="R297" i="5"/>
  <c r="S153" i="5"/>
  <c r="R153" i="5"/>
  <c r="R216" i="5"/>
  <c r="S216" i="5"/>
  <c r="S84" i="5"/>
  <c r="R84" i="5"/>
  <c r="S511" i="5"/>
  <c r="R511" i="5"/>
  <c r="R403" i="5"/>
  <c r="S403" i="5"/>
  <c r="S77" i="5"/>
  <c r="R77" i="5"/>
  <c r="R358" i="5"/>
  <c r="S358" i="5"/>
  <c r="S198" i="5"/>
  <c r="R198" i="5"/>
  <c r="S262" i="5"/>
  <c r="R262" i="5"/>
  <c r="S160" i="5"/>
  <c r="R160" i="5"/>
  <c r="R307" i="5"/>
  <c r="S307" i="5"/>
  <c r="S100" i="5"/>
  <c r="R100" i="5"/>
  <c r="S437" i="5"/>
  <c r="R437" i="5"/>
  <c r="R525" i="5"/>
  <c r="S525" i="5"/>
  <c r="R312" i="5"/>
  <c r="S312" i="5"/>
  <c r="R189" i="5"/>
  <c r="S189" i="5"/>
  <c r="S258" i="5"/>
  <c r="R258" i="5"/>
  <c r="R239" i="5"/>
  <c r="S239" i="5"/>
  <c r="S171" i="5"/>
  <c r="R171" i="5"/>
  <c r="R31" i="5"/>
  <c r="S31" i="5"/>
  <c r="R230" i="5"/>
  <c r="S230" i="5"/>
  <c r="S433" i="5"/>
  <c r="R433" i="5"/>
  <c r="R106" i="5"/>
  <c r="S106" i="5"/>
  <c r="S494" i="5"/>
  <c r="R494" i="5"/>
  <c r="R431" i="5"/>
  <c r="S431" i="5"/>
  <c r="R429" i="5"/>
  <c r="S429" i="5"/>
  <c r="R553" i="5"/>
  <c r="S553" i="5"/>
  <c r="R446" i="5"/>
  <c r="S446" i="5"/>
  <c r="R379" i="5"/>
  <c r="S379" i="5"/>
  <c r="S200" i="5"/>
  <c r="R200" i="5"/>
  <c r="R228" i="5"/>
  <c r="S228" i="5"/>
  <c r="S164" i="5"/>
  <c r="R164" i="5"/>
  <c r="S370" i="5"/>
  <c r="R370" i="5"/>
  <c r="S552" i="5"/>
  <c r="R552" i="5"/>
  <c r="S140" i="5"/>
  <c r="R140" i="5"/>
  <c r="S467" i="5"/>
  <c r="R467" i="5"/>
  <c r="S414" i="5"/>
  <c r="R414" i="5"/>
  <c r="R427" i="5"/>
  <c r="S427" i="5"/>
  <c r="R473" i="5"/>
  <c r="S473" i="5"/>
  <c r="R74" i="5"/>
  <c r="S74" i="5"/>
  <c r="S248" i="5"/>
  <c r="R248" i="5"/>
  <c r="S261" i="5"/>
  <c r="R261" i="5"/>
  <c r="S163" i="5"/>
  <c r="R163" i="5"/>
  <c r="S320" i="5"/>
  <c r="R320" i="5"/>
  <c r="R172" i="5"/>
  <c r="S172" i="5"/>
  <c r="S349" i="5"/>
  <c r="R349" i="5"/>
  <c r="S197" i="5"/>
  <c r="R197" i="5"/>
  <c r="R19" i="5"/>
  <c r="S19" i="5"/>
  <c r="S82" i="5"/>
  <c r="R82" i="5"/>
  <c r="S315" i="5"/>
  <c r="R315" i="5"/>
  <c r="R535" i="5"/>
  <c r="S535" i="5"/>
  <c r="S296" i="5"/>
  <c r="R296" i="5"/>
  <c r="R346" i="5"/>
  <c r="S346" i="5"/>
  <c r="S393" i="5"/>
  <c r="R393" i="5"/>
  <c r="S149" i="5"/>
  <c r="R149" i="5"/>
  <c r="S204" i="5"/>
  <c r="R204" i="5"/>
  <c r="S187" i="5"/>
  <c r="R187" i="5"/>
  <c r="S506" i="5"/>
  <c r="R506" i="5"/>
  <c r="S412" i="5"/>
  <c r="R412" i="5"/>
  <c r="R66" i="5"/>
  <c r="S66" i="5"/>
  <c r="S434" i="5"/>
  <c r="R434" i="5"/>
  <c r="R461" i="5"/>
  <c r="S461" i="5"/>
  <c r="S72" i="5"/>
  <c r="R72" i="5"/>
  <c r="R389" i="5"/>
  <c r="S389" i="5"/>
  <c r="R529" i="5"/>
  <c r="S529" i="5"/>
  <c r="R350" i="5"/>
  <c r="S350" i="5"/>
  <c r="S111" i="5"/>
  <c r="R111" i="5"/>
  <c r="S542" i="5"/>
  <c r="R542" i="5"/>
  <c r="R269" i="5"/>
  <c r="S269" i="5"/>
  <c r="R460" i="5"/>
  <c r="S460" i="5"/>
  <c r="R123" i="5"/>
  <c r="S123" i="5"/>
  <c r="S168" i="5"/>
  <c r="R168" i="5"/>
  <c r="R137" i="5"/>
  <c r="S137" i="5"/>
  <c r="R69" i="5"/>
  <c r="S69" i="5"/>
  <c r="R400" i="5"/>
  <c r="S400" i="5"/>
  <c r="R416" i="5"/>
  <c r="S416" i="5"/>
  <c r="R504" i="5"/>
  <c r="S504" i="5"/>
  <c r="R495" i="5"/>
  <c r="S495" i="5"/>
  <c r="R459" i="5"/>
  <c r="S459" i="5"/>
  <c r="R150" i="5"/>
  <c r="S150" i="5"/>
  <c r="Q11" i="5"/>
  <c r="AG11" i="5"/>
  <c r="AT11" i="5"/>
  <c r="AM11" i="5"/>
  <c r="AZ11" i="5"/>
  <c r="T11" i="5"/>
  <c r="AW11" i="5"/>
  <c r="AJ11" i="5"/>
  <c r="W11" i="5"/>
  <c r="Z11" i="5"/>
  <c r="AN103" i="4"/>
  <c r="AF103" i="4"/>
  <c r="AG103" i="4" s="1"/>
  <c r="AI103" i="4" s="1"/>
  <c r="AN30" i="4"/>
  <c r="AK30" i="4"/>
  <c r="AL30" i="4" s="1"/>
  <c r="AF30" i="4"/>
  <c r="AG30" i="4" s="1"/>
  <c r="AI30" i="4" s="1"/>
  <c r="AK44" i="4"/>
  <c r="AL44" i="4" s="1"/>
  <c r="AN44" i="4"/>
  <c r="AF44" i="4"/>
  <c r="AG44" i="4" s="1"/>
  <c r="AI44" i="4" s="1"/>
  <c r="AF33" i="4"/>
  <c r="AG33" i="4" s="1"/>
  <c r="AI33" i="4" s="1"/>
  <c r="AN33" i="4"/>
  <c r="BJ445" i="5"/>
  <c r="BK445" i="5"/>
  <c r="AR500" i="5"/>
  <c r="BI500" i="5"/>
  <c r="AQ500" i="5"/>
  <c r="AQ127" i="5"/>
  <c r="BI127" i="5"/>
  <c r="AR127" i="5"/>
  <c r="BJ532" i="5"/>
  <c r="BK532" i="5"/>
  <c r="BK465" i="5"/>
  <c r="BJ465" i="5"/>
  <c r="AK107" i="4"/>
  <c r="AL107" i="4" s="1"/>
  <c r="AN107" i="4"/>
  <c r="AF107" i="4"/>
  <c r="AG107" i="4" s="1"/>
  <c r="AI107" i="4" s="1"/>
  <c r="AN11" i="4"/>
  <c r="AK11" i="4"/>
  <c r="AL11" i="4" s="1"/>
  <c r="AF11" i="4"/>
  <c r="AG11" i="4" s="1"/>
  <c r="AI11" i="4" s="1"/>
  <c r="AN18" i="4"/>
  <c r="AF18" i="4"/>
  <c r="AG18" i="4" s="1"/>
  <c r="AI18" i="4" s="1"/>
  <c r="AK18" i="4"/>
  <c r="AL18" i="4" s="1"/>
  <c r="AN19" i="4"/>
  <c r="AK19" i="4"/>
  <c r="AL19" i="4" s="1"/>
  <c r="AF19" i="4"/>
  <c r="AG19" i="4" s="1"/>
  <c r="AI19" i="4" s="1"/>
  <c r="AF7" i="4"/>
  <c r="AG7" i="4" s="1"/>
  <c r="AI7" i="4" s="1"/>
  <c r="AN7" i="4"/>
  <c r="AK7" i="4"/>
  <c r="AL7" i="4" s="1"/>
  <c r="AK83" i="4"/>
  <c r="AL83" i="4" s="1"/>
  <c r="AN83" i="4"/>
  <c r="AF83" i="4"/>
  <c r="AG83" i="4" s="1"/>
  <c r="AI83" i="4" s="1"/>
  <c r="BK56" i="5"/>
  <c r="BJ56" i="5"/>
  <c r="BK360" i="5"/>
  <c r="BJ360" i="5"/>
  <c r="BJ430" i="5"/>
  <c r="BK430" i="5"/>
  <c r="AQ267" i="5"/>
  <c r="BI267" i="5"/>
  <c r="AR267" i="5"/>
  <c r="AN49" i="4"/>
  <c r="AF49" i="4"/>
  <c r="AG49" i="4" s="1"/>
  <c r="AI49" i="4" s="1"/>
  <c r="AR77" i="5"/>
  <c r="AQ77" i="5"/>
  <c r="BI77" i="5"/>
  <c r="BK55" i="5"/>
  <c r="BJ55" i="5"/>
  <c r="BK467" i="5"/>
  <c r="BJ467" i="5"/>
  <c r="BJ506" i="5"/>
  <c r="BK506" i="5"/>
  <c r="AR416" i="5"/>
  <c r="BI416" i="5"/>
  <c r="AQ416" i="5"/>
  <c r="BJ88" i="5"/>
  <c r="BK88" i="5"/>
  <c r="BJ215" i="5"/>
  <c r="BK215" i="5"/>
  <c r="BK482" i="5"/>
  <c r="BJ482" i="5"/>
  <c r="BJ559" i="5"/>
  <c r="BK559" i="5"/>
  <c r="AN146" i="4"/>
  <c r="AF146" i="4"/>
  <c r="AG146" i="4" s="1"/>
  <c r="AI146" i="4" s="1"/>
  <c r="AN20" i="4"/>
  <c r="AF20" i="4"/>
  <c r="AG20" i="4" s="1"/>
  <c r="AI20" i="4" s="1"/>
  <c r="AK20" i="4"/>
  <c r="AL20" i="4" s="1"/>
  <c r="AN88" i="4"/>
  <c r="AF88" i="4"/>
  <c r="AG88" i="4" s="1"/>
  <c r="AI88" i="4" s="1"/>
  <c r="BK309" i="5"/>
  <c r="BJ309" i="5"/>
  <c r="BK475" i="5"/>
  <c r="BJ475" i="5"/>
  <c r="BK453" i="5"/>
  <c r="BJ453" i="5"/>
  <c r="BK439" i="5"/>
  <c r="BJ439" i="5"/>
  <c r="BJ191" i="5"/>
  <c r="BK191" i="5"/>
  <c r="BJ143" i="5"/>
  <c r="BK143" i="5"/>
  <c r="BK204" i="5"/>
  <c r="BJ204" i="5"/>
  <c r="BK508" i="5"/>
  <c r="BJ508" i="5"/>
  <c r="BK81" i="5"/>
  <c r="BJ81" i="5"/>
  <c r="AR84" i="5"/>
  <c r="BI84" i="5"/>
  <c r="AQ84" i="5"/>
  <c r="BJ228" i="5"/>
  <c r="BK228" i="5"/>
  <c r="R179" i="5"/>
  <c r="S179" i="5"/>
  <c r="S35" i="5"/>
  <c r="R35" i="5"/>
  <c r="S550" i="5"/>
  <c r="R550" i="5"/>
  <c r="R375" i="5"/>
  <c r="S375" i="5"/>
  <c r="S264" i="5"/>
  <c r="R264" i="5"/>
  <c r="S265" i="5"/>
  <c r="R265" i="5"/>
  <c r="R323" i="5"/>
  <c r="S323" i="5"/>
  <c r="R369" i="5"/>
  <c r="S369" i="5"/>
  <c r="S373" i="5"/>
  <c r="R373" i="5"/>
  <c r="S109" i="5"/>
  <c r="R109" i="5"/>
  <c r="S56" i="5"/>
  <c r="R56" i="5"/>
  <c r="S141" i="5"/>
  <c r="R141" i="5"/>
  <c r="S80" i="5"/>
  <c r="R80" i="5"/>
  <c r="R121" i="5"/>
  <c r="S121" i="5"/>
  <c r="R25" i="5"/>
  <c r="S25" i="5"/>
  <c r="R36" i="5"/>
  <c r="S36" i="5"/>
  <c r="R47" i="5"/>
  <c r="S47" i="5"/>
  <c r="R102" i="5"/>
  <c r="S102" i="5"/>
  <c r="R299" i="5"/>
  <c r="S299" i="5"/>
  <c r="S520" i="5"/>
  <c r="R520" i="5"/>
  <c r="R507" i="5"/>
  <c r="S507" i="5"/>
  <c r="R234" i="5"/>
  <c r="S234" i="5"/>
  <c r="R57" i="5"/>
  <c r="S57" i="5"/>
  <c r="R413" i="5"/>
  <c r="S413" i="5"/>
  <c r="S181" i="5"/>
  <c r="R181" i="5"/>
  <c r="R398" i="5"/>
  <c r="S398" i="5"/>
  <c r="R138" i="5"/>
  <c r="S138" i="5"/>
  <c r="R559" i="5"/>
  <c r="S559" i="5"/>
  <c r="R21" i="5"/>
  <c r="S21" i="5"/>
  <c r="R98" i="5"/>
  <c r="S98" i="5"/>
  <c r="S425" i="5"/>
  <c r="R425" i="5"/>
  <c r="S544" i="5"/>
  <c r="R544" i="5"/>
  <c r="S560" i="5"/>
  <c r="R560" i="5"/>
  <c r="S145" i="5"/>
  <c r="R145" i="5"/>
  <c r="R335" i="5"/>
  <c r="S335" i="5"/>
  <c r="R280" i="5"/>
  <c r="S280" i="5"/>
  <c r="S22" i="5"/>
  <c r="R22" i="5"/>
  <c r="R510" i="5"/>
  <c r="S510" i="5"/>
  <c r="R355" i="5"/>
  <c r="S355" i="5"/>
  <c r="S271" i="5"/>
  <c r="R271" i="5"/>
  <c r="R127" i="5"/>
  <c r="S127" i="5"/>
  <c r="S152" i="5"/>
  <c r="R152" i="5"/>
  <c r="R313" i="5"/>
  <c r="S313" i="5"/>
  <c r="R521" i="5"/>
  <c r="S521" i="5"/>
  <c r="R490" i="5"/>
  <c r="S490" i="5"/>
  <c r="R450" i="5"/>
  <c r="S450" i="5"/>
  <c r="R532" i="5"/>
  <c r="S532" i="5"/>
  <c r="S268" i="5"/>
  <c r="R268" i="5"/>
  <c r="S276" i="5"/>
  <c r="R276" i="5"/>
  <c r="R337" i="5"/>
  <c r="S337" i="5"/>
  <c r="R468" i="5"/>
  <c r="S468" i="5"/>
  <c r="S426" i="5"/>
  <c r="R426" i="5"/>
  <c r="R475" i="5"/>
  <c r="S475" i="5"/>
  <c r="S174" i="5"/>
  <c r="R174" i="5"/>
  <c r="S482" i="5"/>
  <c r="R482" i="5"/>
  <c r="S76" i="5"/>
  <c r="R76" i="5"/>
  <c r="S445" i="5"/>
  <c r="R445" i="5"/>
  <c r="R115" i="5"/>
  <c r="S115" i="5"/>
  <c r="R341" i="5"/>
  <c r="S341" i="5"/>
  <c r="S374" i="5"/>
  <c r="R374" i="5"/>
  <c r="S290" i="5"/>
  <c r="R290" i="5"/>
  <c r="S487" i="5"/>
  <c r="R487" i="5"/>
  <c r="S247" i="5"/>
  <c r="R247" i="5"/>
  <c r="S558" i="5"/>
  <c r="R558" i="5"/>
  <c r="S345" i="5"/>
  <c r="R345" i="5"/>
  <c r="R330" i="5"/>
  <c r="S330" i="5"/>
  <c r="R371" i="5"/>
  <c r="S371" i="5"/>
  <c r="S75" i="5"/>
  <c r="R75" i="5"/>
  <c r="R483" i="5"/>
  <c r="S483" i="5"/>
  <c r="R523" i="5"/>
  <c r="S523" i="5"/>
  <c r="R474" i="5"/>
  <c r="S474" i="5"/>
  <c r="R229" i="5"/>
  <c r="S229" i="5"/>
  <c r="R549" i="5"/>
  <c r="S549" i="5"/>
  <c r="S479" i="5"/>
  <c r="R479" i="5"/>
  <c r="S372" i="5"/>
  <c r="R372" i="5"/>
  <c r="R95" i="5"/>
  <c r="S95" i="5"/>
  <c r="R255" i="5"/>
  <c r="S255" i="5"/>
  <c r="R384" i="5"/>
  <c r="S384" i="5"/>
  <c r="R155" i="5"/>
  <c r="S155" i="5"/>
  <c r="S496" i="5"/>
  <c r="R496" i="5"/>
  <c r="R278" i="5"/>
  <c r="S278" i="5"/>
  <c r="R368" i="5"/>
  <c r="S368" i="5"/>
  <c r="S40" i="5"/>
  <c r="R40" i="5"/>
  <c r="S453" i="5"/>
  <c r="R453" i="5"/>
  <c r="S44" i="5"/>
  <c r="R44" i="5"/>
  <c r="R309" i="5"/>
  <c r="S309" i="5"/>
  <c r="S334" i="5"/>
  <c r="R334" i="5"/>
  <c r="R202" i="5"/>
  <c r="S202" i="5"/>
  <c r="S61" i="5"/>
  <c r="R61" i="5"/>
  <c r="R46" i="5"/>
  <c r="S46" i="5"/>
  <c r="S396" i="5"/>
  <c r="R396" i="5"/>
  <c r="S157" i="5"/>
  <c r="R157" i="5"/>
  <c r="R480" i="5"/>
  <c r="S480" i="5"/>
  <c r="S279" i="5"/>
  <c r="R279" i="5"/>
  <c r="R351" i="5"/>
  <c r="S351" i="5"/>
  <c r="R64" i="5"/>
  <c r="S64" i="5"/>
  <c r="R505" i="5"/>
  <c r="S505" i="5"/>
  <c r="S515" i="5"/>
  <c r="R515" i="5"/>
  <c r="S29" i="5"/>
  <c r="R29" i="5"/>
  <c r="R266" i="5"/>
  <c r="S266" i="5"/>
  <c r="R530" i="5"/>
  <c r="S530" i="5"/>
  <c r="S333" i="5"/>
  <c r="R333" i="5"/>
  <c r="S538" i="5"/>
  <c r="R538" i="5"/>
  <c r="R359" i="5"/>
  <c r="S359" i="5"/>
  <c r="S39" i="5"/>
  <c r="R39" i="5"/>
  <c r="R110" i="5"/>
  <c r="S110" i="5"/>
  <c r="S356" i="5"/>
  <c r="R356" i="5"/>
  <c r="S99" i="5"/>
  <c r="R99" i="5"/>
  <c r="R301" i="5"/>
  <c r="S301" i="5"/>
  <c r="S212" i="5"/>
  <c r="R212" i="5"/>
  <c r="S273" i="5"/>
  <c r="R273" i="5"/>
  <c r="R238" i="5"/>
  <c r="S238" i="5"/>
  <c r="R246" i="5"/>
  <c r="S246" i="5"/>
  <c r="R283" i="5"/>
  <c r="S283" i="5"/>
  <c r="R24" i="5"/>
  <c r="S24" i="5"/>
  <c r="R390" i="5"/>
  <c r="S390" i="5"/>
  <c r="S113" i="5"/>
  <c r="R113" i="5"/>
  <c r="R12" i="5"/>
  <c r="S12" i="5"/>
  <c r="R466" i="5"/>
  <c r="S466" i="5"/>
  <c r="R156" i="5"/>
  <c r="S156" i="5"/>
  <c r="S81" i="5"/>
  <c r="R81" i="5"/>
  <c r="S363" i="5"/>
  <c r="R363" i="5"/>
  <c r="S452" i="5"/>
  <c r="R452" i="5"/>
  <c r="S451" i="5"/>
  <c r="R451" i="5"/>
  <c r="S244" i="5"/>
  <c r="R244" i="5"/>
  <c r="R134" i="5"/>
  <c r="S134" i="5"/>
  <c r="S386" i="5"/>
  <c r="R386" i="5"/>
  <c r="S442" i="5"/>
  <c r="R442" i="5"/>
  <c r="R281" i="5"/>
  <c r="S281" i="5"/>
  <c r="R233" i="5"/>
  <c r="S233" i="5"/>
  <c r="R488" i="5"/>
  <c r="S488" i="5"/>
  <c r="R131" i="5"/>
  <c r="S131" i="5"/>
  <c r="R292" i="5"/>
  <c r="S292" i="5"/>
  <c r="S45" i="5"/>
  <c r="R45" i="5"/>
  <c r="R402" i="5"/>
  <c r="S402" i="5"/>
  <c r="R464" i="5"/>
  <c r="S464" i="5"/>
  <c r="R154" i="5"/>
  <c r="S154" i="5"/>
  <c r="AK99" i="4"/>
  <c r="AL99" i="4" s="1"/>
  <c r="AF99" i="4"/>
  <c r="AG99" i="4" s="1"/>
  <c r="AI99" i="4" s="1"/>
  <c r="AN99" i="4"/>
  <c r="AK48" i="4"/>
  <c r="AL48" i="4" s="1"/>
  <c r="AN48" i="4"/>
  <c r="AF48" i="4"/>
  <c r="AG48" i="4" s="1"/>
  <c r="AI48" i="4" s="1"/>
  <c r="AC129" i="5"/>
  <c r="AC249" i="5"/>
  <c r="AC167" i="5"/>
  <c r="AC170" i="5"/>
  <c r="AC527" i="5"/>
  <c r="AC315" i="5"/>
  <c r="AN147" i="4"/>
  <c r="AK147" i="4"/>
  <c r="AL147" i="4" s="1"/>
  <c r="AF147" i="4"/>
  <c r="AG147" i="4" s="1"/>
  <c r="AI147" i="4" s="1"/>
  <c r="BK29" i="5"/>
  <c r="BJ29" i="5"/>
  <c r="AN132" i="4"/>
  <c r="AK132" i="4"/>
  <c r="AL132" i="4" s="1"/>
  <c r="AF132" i="4"/>
  <c r="AG132" i="4" s="1"/>
  <c r="AI132" i="4" s="1"/>
  <c r="AQ17" i="4"/>
  <c r="AC17" i="4"/>
  <c r="AD17" i="4" s="1"/>
  <c r="AP17" i="4"/>
  <c r="AK52" i="4"/>
  <c r="AL52" i="4" s="1"/>
  <c r="AN52" i="4"/>
  <c r="AF52" i="4"/>
  <c r="AG52" i="4" s="1"/>
  <c r="AI52" i="4" s="1"/>
  <c r="AF22" i="4"/>
  <c r="AG22" i="4" s="1"/>
  <c r="AI22" i="4" s="1"/>
  <c r="AK22" i="4"/>
  <c r="AL22" i="4" s="1"/>
  <c r="AN22" i="4"/>
  <c r="AK38" i="4"/>
  <c r="AL38" i="4" s="1"/>
  <c r="AN38" i="4"/>
  <c r="AF38" i="4"/>
  <c r="AG38" i="4" s="1"/>
  <c r="AI38" i="4" s="1"/>
  <c r="AR497" i="5"/>
  <c r="BI497" i="5"/>
  <c r="AQ497" i="5"/>
  <c r="AQ33" i="5"/>
  <c r="BI33" i="5"/>
  <c r="AR33" i="5"/>
  <c r="BK292" i="5"/>
  <c r="BJ292" i="5"/>
  <c r="BK177" i="5"/>
  <c r="BJ177" i="5"/>
  <c r="BJ205" i="5"/>
  <c r="BK205" i="5"/>
  <c r="BK370" i="5"/>
  <c r="BJ370" i="5"/>
  <c r="BJ140" i="5"/>
  <c r="BK140" i="5"/>
  <c r="AK72" i="4"/>
  <c r="AL72" i="4" s="1"/>
  <c r="AN72" i="4"/>
  <c r="AF72" i="4"/>
  <c r="AG72" i="4" s="1"/>
  <c r="AI72" i="4" s="1"/>
  <c r="AF14" i="4"/>
  <c r="AG14" i="4" s="1"/>
  <c r="AI14" i="4" s="1"/>
  <c r="AK14" i="4"/>
  <c r="AL14" i="4" s="1"/>
  <c r="AN14" i="4"/>
  <c r="AN23" i="4"/>
  <c r="AK23" i="4"/>
  <c r="AL23" i="4" s="1"/>
  <c r="AF23" i="4"/>
  <c r="AG23" i="4" s="1"/>
  <c r="AI23" i="4" s="1"/>
  <c r="AN153" i="4"/>
  <c r="AF153" i="4"/>
  <c r="AG153" i="4" s="1"/>
  <c r="AI153" i="4" s="1"/>
  <c r="AN26" i="4"/>
  <c r="AK26" i="4"/>
  <c r="AL26" i="4" s="1"/>
  <c r="AF26" i="4"/>
  <c r="AG26" i="4" s="1"/>
  <c r="AI26" i="4" s="1"/>
  <c r="AN157" i="4"/>
  <c r="AF157" i="4"/>
  <c r="AG157" i="4" s="1"/>
  <c r="AI157" i="4" s="1"/>
  <c r="BK517" i="5"/>
  <c r="BJ517" i="5"/>
  <c r="BJ138" i="5"/>
  <c r="BK138" i="5"/>
  <c r="BK435" i="5"/>
  <c r="BJ435" i="5"/>
  <c r="BJ558" i="5"/>
  <c r="BK558" i="5"/>
  <c r="BJ474" i="5"/>
  <c r="BK474" i="5"/>
  <c r="AQ209" i="5"/>
  <c r="AR209" i="5"/>
  <c r="BI209" i="5"/>
  <c r="AR13" i="5"/>
  <c r="BI13" i="5"/>
  <c r="AQ13" i="5"/>
  <c r="BK165" i="5"/>
  <c r="BJ165" i="5"/>
  <c r="BJ541" i="5"/>
  <c r="BK541" i="5"/>
  <c r="BJ355" i="5"/>
  <c r="BK355" i="5"/>
  <c r="BJ509" i="5"/>
  <c r="BK509" i="5"/>
  <c r="AN34" i="4"/>
  <c r="AK34" i="4"/>
  <c r="AL34" i="4" s="1"/>
  <c r="AF34" i="4"/>
  <c r="AG34" i="4" s="1"/>
  <c r="AI34" i="4" s="1"/>
  <c r="AN150" i="4"/>
  <c r="AK150" i="4"/>
  <c r="AL150" i="4" s="1"/>
  <c r="AF150" i="4"/>
  <c r="AG150" i="4" s="1"/>
  <c r="AI150" i="4" s="1"/>
  <c r="BK375" i="5"/>
  <c r="BJ375" i="5"/>
  <c r="BI73" i="5"/>
  <c r="AQ73" i="5"/>
  <c r="AR73" i="5"/>
  <c r="BK547" i="5"/>
  <c r="BJ547" i="5"/>
  <c r="BJ126" i="5"/>
  <c r="BK126" i="5"/>
  <c r="AR151" i="5"/>
  <c r="BI151" i="5"/>
  <c r="AQ151" i="5"/>
  <c r="BJ114" i="5"/>
  <c r="BK114" i="5"/>
  <c r="BK423" i="5"/>
  <c r="BJ423" i="5"/>
  <c r="BJ137" i="5"/>
  <c r="BK137" i="5"/>
  <c r="AQ219" i="5"/>
  <c r="BI219" i="5"/>
  <c r="AR219" i="5"/>
  <c r="BK468" i="5"/>
  <c r="BJ468" i="5"/>
  <c r="BK373" i="5"/>
  <c r="BJ373" i="5"/>
  <c r="BJ149" i="5"/>
  <c r="BK149" i="5"/>
  <c r="S311" i="5"/>
  <c r="R311" i="5"/>
  <c r="R183" i="5"/>
  <c r="S183" i="5"/>
  <c r="R13" i="5"/>
  <c r="S13" i="5"/>
  <c r="S302" i="5"/>
  <c r="R302" i="5"/>
  <c r="S242" i="5"/>
  <c r="R242" i="5"/>
  <c r="R367" i="5"/>
  <c r="S367" i="5"/>
  <c r="R118" i="5"/>
  <c r="S118" i="5"/>
  <c r="R423" i="5"/>
  <c r="S423" i="5"/>
  <c r="R256" i="5"/>
  <c r="S256" i="5"/>
  <c r="S182" i="5"/>
  <c r="R182" i="5"/>
  <c r="R555" i="5"/>
  <c r="S555" i="5"/>
  <c r="R394" i="5"/>
  <c r="S394" i="5"/>
  <c r="R331" i="5"/>
  <c r="S331" i="5"/>
  <c r="R267" i="5"/>
  <c r="S267" i="5"/>
  <c r="S557" i="5"/>
  <c r="R557" i="5"/>
  <c r="S105" i="5"/>
  <c r="R105" i="5"/>
  <c r="S512" i="5"/>
  <c r="R512" i="5"/>
  <c r="S357" i="5"/>
  <c r="R357" i="5"/>
  <c r="R435" i="5"/>
  <c r="S435" i="5"/>
  <c r="R209" i="5"/>
  <c r="S209" i="5"/>
  <c r="R201" i="5"/>
  <c r="S201" i="5"/>
  <c r="R441" i="5"/>
  <c r="S441" i="5"/>
  <c r="R415" i="5"/>
  <c r="S415" i="5"/>
  <c r="S68" i="5"/>
  <c r="R68" i="5"/>
  <c r="R514" i="5"/>
  <c r="S514" i="5"/>
  <c r="S225" i="5"/>
  <c r="R225" i="5"/>
  <c r="S190" i="5"/>
  <c r="R190" i="5"/>
  <c r="S537" i="5"/>
  <c r="R537" i="5"/>
  <c r="R500" i="5"/>
  <c r="S500" i="5"/>
  <c r="S319" i="5"/>
  <c r="R319" i="5"/>
  <c r="R193" i="5"/>
  <c r="S193" i="5"/>
  <c r="R295" i="5"/>
  <c r="S295" i="5"/>
  <c r="S142" i="5"/>
  <c r="R142" i="5"/>
  <c r="S169" i="5"/>
  <c r="R169" i="5"/>
  <c r="S516" i="5"/>
  <c r="R516" i="5"/>
  <c r="S457" i="5"/>
  <c r="R457" i="5"/>
  <c r="S481" i="5"/>
  <c r="R481" i="5"/>
  <c r="R221" i="5"/>
  <c r="S221" i="5"/>
  <c r="S227" i="5"/>
  <c r="R227" i="5"/>
  <c r="S439" i="5"/>
  <c r="R439" i="5"/>
  <c r="S395" i="5"/>
  <c r="R395" i="5"/>
  <c r="R148" i="5"/>
  <c r="S148" i="5"/>
  <c r="S90" i="5"/>
  <c r="R90" i="5"/>
  <c r="R447" i="5"/>
  <c r="S447" i="5"/>
  <c r="S360" i="5"/>
  <c r="R360" i="5"/>
  <c r="S526" i="5"/>
  <c r="R526" i="5"/>
  <c r="S407" i="5"/>
  <c r="R407" i="5"/>
  <c r="R405" i="5"/>
  <c r="S405" i="5"/>
  <c r="R42" i="5"/>
  <c r="S42" i="5"/>
  <c r="S436" i="5"/>
  <c r="R436" i="5"/>
  <c r="R186" i="5"/>
  <c r="S186" i="5"/>
  <c r="S165" i="5"/>
  <c r="R165" i="5"/>
  <c r="S294" i="5"/>
  <c r="R294" i="5"/>
  <c r="S170" i="5"/>
  <c r="R170" i="5"/>
  <c r="R284" i="5"/>
  <c r="S284" i="5"/>
  <c r="S30" i="5"/>
  <c r="R30" i="5"/>
  <c r="S551" i="5"/>
  <c r="R551" i="5"/>
  <c r="S449" i="5"/>
  <c r="R449" i="5"/>
  <c r="R485" i="5"/>
  <c r="S485" i="5"/>
  <c r="S54" i="5"/>
  <c r="R54" i="5"/>
  <c r="S92" i="5"/>
  <c r="R92" i="5"/>
  <c r="R365" i="5"/>
  <c r="S365" i="5"/>
  <c r="R208" i="5"/>
  <c r="S208" i="5"/>
  <c r="S43" i="5"/>
  <c r="R43" i="5"/>
  <c r="S139" i="5"/>
  <c r="R139" i="5"/>
  <c r="R524" i="5"/>
  <c r="S524" i="5"/>
  <c r="S275" i="5"/>
  <c r="R275" i="5"/>
  <c r="R245" i="5"/>
  <c r="S245" i="5"/>
  <c r="R470" i="5"/>
  <c r="S470" i="5"/>
  <c r="S554" i="5"/>
  <c r="R554" i="5"/>
  <c r="R136" i="5"/>
  <c r="S136" i="5"/>
  <c r="S236" i="5"/>
  <c r="R236" i="5"/>
  <c r="S397" i="5"/>
  <c r="R397" i="5"/>
  <c r="R277" i="5"/>
  <c r="S277" i="5"/>
  <c r="S167" i="5"/>
  <c r="R167" i="5"/>
  <c r="S332" i="5"/>
  <c r="R332" i="5"/>
  <c r="R347" i="5"/>
  <c r="S347" i="5"/>
  <c r="R176" i="5"/>
  <c r="S176" i="5"/>
  <c r="R291" i="5"/>
  <c r="S291" i="5"/>
  <c r="R159" i="5"/>
  <c r="S159" i="5"/>
  <c r="S185" i="5"/>
  <c r="R185" i="5"/>
  <c r="S263" i="5"/>
  <c r="R263" i="5"/>
  <c r="S88" i="5"/>
  <c r="R88" i="5"/>
  <c r="R499" i="5"/>
  <c r="S499" i="5"/>
  <c r="S28" i="5"/>
  <c r="R28" i="5"/>
  <c r="S219" i="5"/>
  <c r="R219" i="5"/>
  <c r="S300" i="5"/>
  <c r="R300" i="5"/>
  <c r="R288" i="5"/>
  <c r="S288" i="5"/>
  <c r="S344" i="5"/>
  <c r="R344" i="5"/>
  <c r="R78" i="5"/>
  <c r="S78" i="5"/>
  <c r="S8" i="5"/>
  <c r="R8" i="5"/>
  <c r="S541" i="5"/>
  <c r="R541" i="5"/>
  <c r="R387" i="5"/>
  <c r="S387" i="5"/>
  <c r="S428" i="5"/>
  <c r="R428" i="5"/>
  <c r="S543" i="5"/>
  <c r="R543" i="5"/>
  <c r="R114" i="5"/>
  <c r="S114" i="5"/>
  <c r="S382" i="5"/>
  <c r="R382" i="5"/>
  <c r="S438" i="5"/>
  <c r="R438" i="5"/>
  <c r="S518" i="5"/>
  <c r="R518" i="5"/>
  <c r="S293" i="5"/>
  <c r="R293" i="5"/>
  <c r="S326" i="5"/>
  <c r="R326" i="5"/>
  <c r="S463" i="5"/>
  <c r="R463" i="5"/>
  <c r="R207" i="5"/>
  <c r="S207" i="5"/>
  <c r="R336" i="5"/>
  <c r="S336" i="5"/>
  <c r="R132" i="5"/>
  <c r="S132" i="5"/>
  <c r="R62" i="5"/>
  <c r="S62" i="5"/>
  <c r="S321" i="5"/>
  <c r="R321" i="5"/>
  <c r="R327" i="5"/>
  <c r="S327" i="5"/>
  <c r="S215" i="5"/>
  <c r="R215" i="5"/>
  <c r="R272" i="5"/>
  <c r="S272" i="5"/>
  <c r="R96" i="5"/>
  <c r="S96" i="5"/>
  <c r="S513" i="5"/>
  <c r="R513" i="5"/>
  <c r="S217" i="5"/>
  <c r="R217" i="5"/>
  <c r="R161" i="5"/>
  <c r="S161" i="5"/>
  <c r="R547" i="5"/>
  <c r="S547" i="5"/>
  <c r="S322" i="5"/>
  <c r="R322" i="5"/>
  <c r="S70" i="5"/>
  <c r="R70" i="5"/>
  <c r="R89" i="5"/>
  <c r="S89" i="5"/>
  <c r="R458" i="5"/>
  <c r="S458" i="5"/>
  <c r="R317" i="5"/>
  <c r="S317" i="5"/>
  <c r="S286" i="5"/>
  <c r="R286" i="5"/>
  <c r="R173" i="5"/>
  <c r="S173" i="5"/>
  <c r="R517" i="5"/>
  <c r="S517" i="5"/>
  <c r="S117" i="5"/>
  <c r="R117" i="5"/>
  <c r="S33" i="5"/>
  <c r="R33" i="5"/>
  <c r="R534" i="5"/>
  <c r="S534" i="5"/>
  <c r="R194" i="5"/>
  <c r="S194" i="5"/>
  <c r="R285" i="5"/>
  <c r="S285" i="5"/>
  <c r="S214" i="5"/>
  <c r="R214" i="5"/>
  <c r="R455" i="5"/>
  <c r="S455" i="5"/>
  <c r="S79" i="5"/>
  <c r="R79" i="5"/>
  <c r="S339" i="5"/>
  <c r="R339" i="5"/>
  <c r="S325" i="5"/>
  <c r="R325" i="5"/>
  <c r="S404" i="5"/>
  <c r="R404" i="5"/>
  <c r="S424" i="5"/>
  <c r="R424" i="5"/>
  <c r="R385" i="5"/>
  <c r="S385" i="5"/>
  <c r="R53" i="5"/>
  <c r="S53" i="5"/>
  <c r="AN24" i="4"/>
  <c r="AF24" i="4"/>
  <c r="AG24" i="4" s="1"/>
  <c r="AI24" i="4" s="1"/>
  <c r="AK24" i="4"/>
  <c r="AL24" i="4" s="1"/>
  <c r="BJ276" i="5"/>
  <c r="BK276" i="5"/>
  <c r="AN50" i="4"/>
  <c r="AF50" i="4"/>
  <c r="AG50" i="4" s="1"/>
  <c r="AI50" i="4" s="1"/>
  <c r="AC248" i="5"/>
  <c r="AC235" i="5"/>
  <c r="AC218" i="5"/>
  <c r="AC525" i="5"/>
  <c r="AC304" i="5"/>
  <c r="AC494" i="5"/>
  <c r="AN8" i="4"/>
  <c r="AK8" i="4"/>
  <c r="AL8" i="4" s="1"/>
  <c r="AF8" i="4"/>
  <c r="AG8" i="4" s="1"/>
  <c r="AI8" i="4" s="1"/>
  <c r="AN15" i="4"/>
  <c r="AF15" i="4"/>
  <c r="AG15" i="4" s="1"/>
  <c r="AI15" i="4" s="1"/>
  <c r="AK15" i="4"/>
  <c r="AL15" i="4" s="1"/>
  <c r="AQ524" i="5"/>
  <c r="AR524" i="5"/>
  <c r="BI524" i="5"/>
  <c r="BJ136" i="5"/>
  <c r="BK136" i="5"/>
  <c r="BK131" i="5"/>
  <c r="BJ131" i="5"/>
  <c r="BJ256" i="5"/>
  <c r="BK256" i="5"/>
  <c r="BK30" i="5"/>
  <c r="BJ30" i="5"/>
  <c r="AK115" i="4"/>
  <c r="AL115" i="4" s="1"/>
  <c r="AN115" i="4"/>
  <c r="AF115" i="4"/>
  <c r="AG115" i="4" s="1"/>
  <c r="AI115" i="4" s="1"/>
  <c r="AN21" i="4"/>
  <c r="AK21" i="4"/>
  <c r="AL21" i="4" s="1"/>
  <c r="AF21" i="4"/>
  <c r="AG21" i="4" s="1"/>
  <c r="AI21" i="4" s="1"/>
  <c r="AR452" i="5"/>
  <c r="BI452" i="5"/>
  <c r="AQ452" i="5"/>
  <c r="BK98" i="5"/>
  <c r="BJ98" i="5"/>
  <c r="AK32" i="4"/>
  <c r="AL32" i="4" s="1"/>
  <c r="AN32" i="4"/>
  <c r="AF32" i="4"/>
  <c r="AG32" i="4" s="1"/>
  <c r="AI32" i="4" s="1"/>
  <c r="AN42" i="4"/>
  <c r="AK42" i="4"/>
  <c r="AL42" i="4" s="1"/>
  <c r="AF42" i="4"/>
  <c r="AG42" i="4" s="1"/>
  <c r="AI42" i="4" s="1"/>
  <c r="AN71" i="4"/>
  <c r="AK71" i="4"/>
  <c r="AL71" i="4" s="1"/>
  <c r="AF71" i="4"/>
  <c r="AG71" i="4" s="1"/>
  <c r="AI71" i="4" s="1"/>
  <c r="BK112" i="5"/>
  <c r="BJ112" i="5"/>
  <c r="BJ241" i="5"/>
  <c r="BK241" i="5"/>
  <c r="BK555" i="5"/>
  <c r="BJ555" i="5"/>
  <c r="BK132" i="5"/>
  <c r="BJ132" i="5"/>
  <c r="BJ334" i="5"/>
  <c r="BK334" i="5"/>
  <c r="BJ161" i="5"/>
  <c r="BK161" i="5"/>
  <c r="AQ54" i="5"/>
  <c r="BI54" i="5"/>
  <c r="AR54" i="5"/>
  <c r="BK271" i="5"/>
  <c r="BJ271" i="5"/>
  <c r="BK380" i="5"/>
  <c r="BJ380" i="5"/>
  <c r="AK41" i="4"/>
  <c r="AL41" i="4" s="1"/>
  <c r="AN41" i="4"/>
  <c r="AF41" i="4"/>
  <c r="AG41" i="4" s="1"/>
  <c r="AI41" i="4" s="1"/>
  <c r="AN39" i="4"/>
  <c r="AK39" i="4"/>
  <c r="AL39" i="4" s="1"/>
  <c r="AF39" i="4"/>
  <c r="AG39" i="4" s="1"/>
  <c r="AI39" i="4" s="1"/>
  <c r="BJ206" i="5"/>
  <c r="BK206" i="5"/>
  <c r="BJ169" i="5"/>
  <c r="BK169" i="5"/>
  <c r="BK498" i="5"/>
  <c r="BJ498" i="5"/>
  <c r="AQ372" i="5"/>
  <c r="AR372" i="5"/>
  <c r="BI372" i="5"/>
  <c r="BK166" i="5"/>
  <c r="BJ166" i="5"/>
  <c r="BK207" i="5"/>
  <c r="BJ207" i="5"/>
  <c r="BK404" i="5"/>
  <c r="BJ404" i="5"/>
  <c r="BJ175" i="5"/>
  <c r="BK175" i="5"/>
  <c r="BK384" i="5"/>
  <c r="BJ384" i="5"/>
  <c r="BK121" i="5"/>
  <c r="BJ121" i="5"/>
  <c r="BK220" i="5"/>
  <c r="BJ220" i="5"/>
  <c r="BI485" i="5"/>
  <c r="AR485" i="5"/>
  <c r="AQ485" i="5"/>
  <c r="BJ545" i="5"/>
  <c r="BK545" i="5"/>
  <c r="BK113" i="5"/>
  <c r="BJ113" i="5"/>
  <c r="BJ376" i="5"/>
  <c r="BK376" i="5"/>
  <c r="S63" i="5"/>
  <c r="R63" i="5"/>
  <c r="S282" i="5"/>
  <c r="R282" i="5"/>
  <c r="S522" i="5"/>
  <c r="R522" i="5"/>
  <c r="S318" i="5"/>
  <c r="R318" i="5"/>
  <c r="R303" i="5"/>
  <c r="S303" i="5"/>
  <c r="S443" i="5"/>
  <c r="R443" i="5"/>
  <c r="S210" i="5"/>
  <c r="R210" i="5"/>
  <c r="R509" i="5"/>
  <c r="S509" i="5"/>
  <c r="S298" i="5"/>
  <c r="R298" i="5"/>
  <c r="S497" i="5"/>
  <c r="R497" i="5"/>
  <c r="S191" i="5"/>
  <c r="R191" i="5"/>
  <c r="S91" i="5"/>
  <c r="R91" i="5"/>
  <c r="R237" i="5"/>
  <c r="S237" i="5"/>
  <c r="R93" i="5"/>
  <c r="S93" i="5"/>
  <c r="S527" i="5"/>
  <c r="R527" i="5"/>
  <c r="S60" i="5"/>
  <c r="R60" i="5"/>
  <c r="R180" i="5"/>
  <c r="S180" i="5"/>
  <c r="S116" i="5"/>
  <c r="R116" i="5"/>
  <c r="S249" i="5"/>
  <c r="R249" i="5"/>
  <c r="S71" i="5"/>
  <c r="R71" i="5"/>
  <c r="R120" i="5"/>
  <c r="S120" i="5"/>
  <c r="S65" i="5"/>
  <c r="R65" i="5"/>
  <c r="R476" i="5"/>
  <c r="S476" i="5"/>
  <c r="R462" i="5"/>
  <c r="S462" i="5"/>
  <c r="S306" i="5"/>
  <c r="R306" i="5"/>
  <c r="R206" i="5"/>
  <c r="S206" i="5"/>
  <c r="R391" i="5"/>
  <c r="S391" i="5"/>
  <c r="R231" i="5"/>
  <c r="S231" i="5"/>
  <c r="R342" i="5"/>
  <c r="S342" i="5"/>
  <c r="R218" i="5"/>
  <c r="S218" i="5"/>
  <c r="S539" i="5"/>
  <c r="R539" i="5"/>
  <c r="S376" i="5"/>
  <c r="R376" i="5"/>
  <c r="R50" i="5"/>
  <c r="S50" i="5"/>
  <c r="S252" i="5"/>
  <c r="R252" i="5"/>
  <c r="R188" i="5"/>
  <c r="S188" i="5"/>
  <c r="R67" i="5"/>
  <c r="S67" i="5"/>
  <c r="R383" i="5"/>
  <c r="S383" i="5"/>
  <c r="S235" i="5"/>
  <c r="R235" i="5"/>
  <c r="S226" i="5"/>
  <c r="R226" i="5"/>
  <c r="R94" i="5"/>
  <c r="S94" i="5"/>
  <c r="S112" i="5"/>
  <c r="R112" i="5"/>
  <c r="R493" i="5"/>
  <c r="S493" i="5"/>
  <c r="R353" i="5"/>
  <c r="S353" i="5"/>
  <c r="S316" i="5"/>
  <c r="R316" i="5"/>
  <c r="S310" i="5"/>
  <c r="R310" i="5"/>
  <c r="S86" i="5"/>
  <c r="R86" i="5"/>
  <c r="S478" i="5"/>
  <c r="R478" i="5"/>
  <c r="S87" i="5"/>
  <c r="R87" i="5"/>
  <c r="S260" i="5"/>
  <c r="R260" i="5"/>
  <c r="S502" i="5"/>
  <c r="R502" i="5"/>
  <c r="R241" i="5"/>
  <c r="S241" i="5"/>
  <c r="R410" i="5"/>
  <c r="S410" i="5"/>
  <c r="R430" i="5"/>
  <c r="S430" i="5"/>
  <c r="S354" i="5"/>
  <c r="R354" i="5"/>
  <c r="S122" i="5"/>
  <c r="R122" i="5"/>
  <c r="R192" i="5"/>
  <c r="S192" i="5"/>
  <c r="S220" i="5"/>
  <c r="R220" i="5"/>
  <c r="R32" i="5"/>
  <c r="S32" i="5"/>
  <c r="S417" i="5"/>
  <c r="R417" i="5"/>
  <c r="R308" i="5"/>
  <c r="S308" i="5"/>
  <c r="R314" i="5"/>
  <c r="S314" i="5"/>
  <c r="S254" i="5"/>
  <c r="R254" i="5"/>
  <c r="R166" i="5"/>
  <c r="S166" i="5"/>
  <c r="R101" i="5"/>
  <c r="S101" i="5"/>
  <c r="S545" i="5"/>
  <c r="R545" i="5"/>
  <c r="R305" i="5"/>
  <c r="S305" i="5"/>
  <c r="S498" i="5"/>
  <c r="R498" i="5"/>
  <c r="S352" i="5"/>
  <c r="R352" i="5"/>
  <c r="S51" i="5"/>
  <c r="R51" i="5"/>
  <c r="S10" i="5"/>
  <c r="R10" i="5"/>
  <c r="R548" i="5"/>
  <c r="S548" i="5"/>
  <c r="R422" i="5"/>
  <c r="S422" i="5"/>
  <c r="S440" i="5"/>
  <c r="R440" i="5"/>
  <c r="R175" i="5"/>
  <c r="S175" i="5"/>
  <c r="S251" i="5"/>
  <c r="R251" i="5"/>
  <c r="S243" i="5"/>
  <c r="R243" i="5"/>
  <c r="S472" i="5"/>
  <c r="R472" i="5"/>
  <c r="S492" i="5"/>
  <c r="R492" i="5"/>
  <c r="R338" i="5"/>
  <c r="S338" i="5"/>
  <c r="S130" i="5"/>
  <c r="R130" i="5"/>
  <c r="S456" i="5"/>
  <c r="R456" i="5"/>
  <c r="S399" i="5"/>
  <c r="R399" i="5"/>
  <c r="S329" i="5"/>
  <c r="R329" i="5"/>
  <c r="S377" i="5"/>
  <c r="R377" i="5"/>
  <c r="R38" i="5"/>
  <c r="S38" i="5"/>
  <c r="R364" i="5"/>
  <c r="S364" i="5"/>
  <c r="R250" i="5"/>
  <c r="S250" i="5"/>
  <c r="R528" i="5"/>
  <c r="S528" i="5"/>
  <c r="R477" i="5"/>
  <c r="S477" i="5"/>
  <c r="S411" i="5"/>
  <c r="R411" i="5"/>
  <c r="R213" i="5"/>
  <c r="S213" i="5"/>
  <c r="S501" i="5"/>
  <c r="R501" i="5"/>
  <c r="R73" i="5"/>
  <c r="S73" i="5"/>
  <c r="R199" i="5"/>
  <c r="S199" i="5"/>
  <c r="R484" i="5"/>
  <c r="S484" i="5"/>
  <c r="S409" i="5"/>
  <c r="R409" i="5"/>
  <c r="R27" i="5"/>
  <c r="S27" i="5"/>
  <c r="S211" i="5"/>
  <c r="R211" i="5"/>
  <c r="S304" i="5"/>
  <c r="R304" i="5"/>
  <c r="R26" i="5"/>
  <c r="S26" i="5"/>
  <c r="S58" i="5"/>
  <c r="R58" i="5"/>
  <c r="R184" i="5"/>
  <c r="S184" i="5"/>
  <c r="S348" i="5"/>
  <c r="R348" i="5"/>
  <c r="S328" i="5"/>
  <c r="R328" i="5"/>
  <c r="R448" i="5"/>
  <c r="S448" i="5"/>
  <c r="S23" i="5"/>
  <c r="R23" i="5"/>
  <c r="S388" i="5"/>
  <c r="R388" i="5"/>
  <c r="R224" i="5"/>
  <c r="S224" i="5"/>
  <c r="S52" i="5"/>
  <c r="R52" i="5"/>
  <c r="R104" i="5"/>
  <c r="S104" i="5"/>
  <c r="R97" i="5"/>
  <c r="S97" i="5"/>
  <c r="R108" i="5"/>
  <c r="S108" i="5"/>
  <c r="S146" i="5"/>
  <c r="R146" i="5"/>
  <c r="R361" i="5"/>
  <c r="S361" i="5"/>
  <c r="S124" i="5"/>
  <c r="R124" i="5"/>
  <c r="R503" i="5"/>
  <c r="S503" i="5"/>
  <c r="S144" i="5"/>
  <c r="R144" i="5"/>
  <c r="S465" i="5"/>
  <c r="R465" i="5"/>
  <c r="S274" i="5"/>
  <c r="R274" i="5"/>
  <c r="R119" i="5"/>
  <c r="S119" i="5"/>
  <c r="R55" i="5"/>
  <c r="S55" i="5"/>
  <c r="S540" i="5"/>
  <c r="R540" i="5"/>
  <c r="R362" i="5"/>
  <c r="S362" i="5"/>
  <c r="R531" i="5"/>
  <c r="S531" i="5"/>
  <c r="S103" i="5"/>
  <c r="R103" i="5"/>
  <c r="S158" i="5"/>
  <c r="R158" i="5"/>
  <c r="S133" i="5"/>
  <c r="R133" i="5"/>
  <c r="S143" i="5"/>
  <c r="R143" i="5"/>
  <c r="R366" i="5"/>
  <c r="S366" i="5"/>
  <c r="R421" i="5"/>
  <c r="S421" i="5"/>
  <c r="S48" i="5"/>
  <c r="R48" i="5"/>
  <c r="R471" i="5"/>
  <c r="S471" i="5"/>
  <c r="R392" i="5"/>
  <c r="S392" i="5"/>
  <c r="R177" i="5"/>
  <c r="S177" i="5"/>
  <c r="S418" i="5"/>
  <c r="R418" i="5"/>
  <c r="R287" i="5"/>
  <c r="S287" i="5"/>
  <c r="S408" i="5"/>
  <c r="R408" i="5"/>
  <c r="BH7" i="5"/>
  <c r="BG7" i="5"/>
  <c r="AK53" i="4"/>
  <c r="AL53" i="4" s="1"/>
  <c r="AN53" i="4"/>
  <c r="AF53" i="4"/>
  <c r="AG53" i="4" s="1"/>
  <c r="AI53" i="4" s="1"/>
  <c r="AC35" i="5"/>
  <c r="AC517" i="5"/>
  <c r="AC444" i="5"/>
  <c r="AC367" i="5"/>
  <c r="AC60" i="5"/>
  <c r="AC496" i="5"/>
  <c r="AC302" i="5"/>
  <c r="AC239" i="5"/>
  <c r="AC188" i="5"/>
  <c r="AC39" i="5"/>
  <c r="AC386" i="5"/>
  <c r="AC529" i="5"/>
  <c r="AC392" i="5"/>
  <c r="AC59" i="5"/>
  <c r="AC355" i="5"/>
  <c r="AC354" i="5"/>
  <c r="AC250" i="5"/>
  <c r="AC310" i="5"/>
  <c r="AC404" i="5"/>
  <c r="AC398" i="5"/>
  <c r="AC200" i="5"/>
  <c r="AC520" i="5"/>
  <c r="AC192" i="5"/>
  <c r="AC179" i="5"/>
  <c r="AC163" i="5"/>
  <c r="AC169" i="5"/>
  <c r="AC78" i="5"/>
  <c r="AC216" i="5"/>
  <c r="AC317" i="5"/>
  <c r="AC146" i="5"/>
  <c r="AC215" i="5"/>
  <c r="AC340" i="5"/>
  <c r="AC219" i="5"/>
  <c r="AC189" i="5"/>
  <c r="AC196" i="5"/>
  <c r="AC365" i="5"/>
  <c r="AC54" i="5"/>
  <c r="AC548" i="5"/>
  <c r="AC536" i="5"/>
  <c r="AC138" i="5"/>
  <c r="AC481" i="5"/>
  <c r="AC136" i="5"/>
  <c r="AC305" i="5"/>
  <c r="AC23" i="5"/>
  <c r="AC321" i="5"/>
  <c r="AC359" i="5"/>
  <c r="AC306" i="5"/>
  <c r="AC255" i="5"/>
  <c r="AC342" i="5"/>
  <c r="AC274" i="5"/>
  <c r="AC347" i="5"/>
  <c r="AC263" i="5"/>
  <c r="AC491" i="5"/>
  <c r="AC237" i="5"/>
  <c r="AC154" i="5"/>
  <c r="AC285" i="5"/>
  <c r="AC426" i="5"/>
  <c r="AC532" i="5"/>
  <c r="AC530" i="5"/>
  <c r="AC267" i="5"/>
  <c r="AC252" i="5"/>
  <c r="AC523" i="5"/>
  <c r="AC389" i="5"/>
  <c r="AC476" i="5"/>
  <c r="AC168" i="5"/>
  <c r="AC159" i="5"/>
  <c r="AC335" i="5"/>
  <c r="AC266" i="5"/>
  <c r="AC290" i="5"/>
  <c r="AC99" i="5"/>
  <c r="AC223" i="5"/>
  <c r="AC307" i="5"/>
  <c r="AC526" i="5"/>
  <c r="AC229" i="5"/>
  <c r="AC155" i="5"/>
  <c r="AC121" i="5"/>
  <c r="AC477" i="5"/>
  <c r="AC394" i="5"/>
  <c r="AC323" i="5"/>
  <c r="AC449" i="5"/>
  <c r="AC231" i="5"/>
  <c r="AC495" i="5"/>
  <c r="AC33" i="5"/>
  <c r="AC535" i="5"/>
  <c r="AC538" i="5"/>
  <c r="AC412" i="5"/>
  <c r="AC82" i="5"/>
  <c r="AC435" i="5"/>
  <c r="AC112" i="5"/>
  <c r="AC262" i="5"/>
  <c r="AC346" i="5"/>
  <c r="AC457" i="5"/>
  <c r="AC185" i="5"/>
  <c r="AC417" i="5"/>
  <c r="AC399" i="5"/>
  <c r="AC171" i="5"/>
  <c r="AC482" i="5"/>
  <c r="AC339" i="5"/>
  <c r="AC74" i="5"/>
  <c r="AC124" i="5"/>
  <c r="AC429" i="5"/>
  <c r="AC349" i="5"/>
  <c r="AC153" i="5"/>
  <c r="AC162" i="5"/>
  <c r="AC243" i="5"/>
  <c r="AC195" i="5"/>
  <c r="AC301" i="5"/>
  <c r="AC402" i="5"/>
  <c r="AC245" i="5"/>
  <c r="AC329" i="5"/>
  <c r="AC458" i="5"/>
  <c r="AC324" i="5"/>
  <c r="AC370" i="5"/>
  <c r="AC554" i="5"/>
  <c r="AC87" i="5"/>
  <c r="AC277" i="5"/>
  <c r="AC254" i="5"/>
  <c r="AC164" i="5"/>
  <c r="AC353" i="5"/>
  <c r="AC473" i="5"/>
  <c r="AC8" i="5"/>
  <c r="AC500" i="5"/>
  <c r="AC209" i="5"/>
  <c r="AC421" i="5"/>
  <c r="AC88" i="5"/>
  <c r="AC110" i="5"/>
  <c r="AC181" i="5"/>
  <c r="AC415" i="5"/>
  <c r="AC144" i="5"/>
  <c r="AC328" i="5"/>
  <c r="AC341" i="5"/>
  <c r="AC542" i="5"/>
  <c r="AC431" i="5"/>
  <c r="AC137" i="5"/>
  <c r="AC19" i="5"/>
  <c r="AC28" i="5"/>
  <c r="AC44" i="5"/>
  <c r="BJ167" i="5"/>
  <c r="BK167" i="5"/>
  <c r="BK346" i="5"/>
  <c r="BJ346" i="5"/>
  <c r="BJ66" i="5"/>
  <c r="BK66" i="5"/>
  <c r="BJ455" i="5"/>
  <c r="BK455" i="5"/>
  <c r="AQ411" i="5"/>
  <c r="BI411" i="5"/>
  <c r="AR411" i="5"/>
  <c r="AQ446" i="5"/>
  <c r="BI446" i="5"/>
  <c r="AR446" i="5"/>
  <c r="BK79" i="5"/>
  <c r="BJ79" i="5"/>
  <c r="BK280" i="5"/>
  <c r="BJ280" i="5"/>
  <c r="BJ481" i="5"/>
  <c r="BK481" i="5"/>
  <c r="BJ349" i="5"/>
  <c r="BK349" i="5"/>
  <c r="AF25" i="4"/>
  <c r="AG25" i="4" s="1"/>
  <c r="AI25" i="4" s="1"/>
  <c r="AK25" i="4"/>
  <c r="AL25" i="4" s="1"/>
  <c r="AN25" i="4"/>
  <c r="AN27" i="4"/>
  <c r="AK27" i="4"/>
  <c r="AL27" i="4" s="1"/>
  <c r="AF27" i="4"/>
  <c r="AG27" i="4" s="1"/>
  <c r="AI27" i="4" s="1"/>
  <c r="BJ368" i="5"/>
  <c r="BK368" i="5"/>
  <c r="BK99" i="5"/>
  <c r="BJ99" i="5"/>
  <c r="BK240" i="5"/>
  <c r="BJ240" i="5"/>
  <c r="BK218" i="5"/>
  <c r="BJ218" i="5"/>
  <c r="BK145" i="5"/>
  <c r="BJ145" i="5"/>
  <c r="BK463" i="5"/>
  <c r="BJ463" i="5"/>
  <c r="AC133" i="5"/>
  <c r="AC454" i="5"/>
  <c r="AC92" i="5"/>
  <c r="AC75" i="5"/>
  <c r="AC193" i="5"/>
  <c r="AC280" i="5"/>
  <c r="AC413" i="5"/>
  <c r="AC244" i="5"/>
  <c r="AC356" i="5"/>
  <c r="AC283" i="5"/>
  <c r="AC456" i="5"/>
  <c r="AC546" i="5"/>
  <c r="AC371" i="5"/>
  <c r="AC557" i="5"/>
  <c r="AC94" i="5"/>
  <c r="AC484" i="5"/>
  <c r="AC460" i="5"/>
  <c r="AC336" i="5"/>
  <c r="AC228" i="5"/>
  <c r="AC174" i="5"/>
  <c r="AC198" i="5"/>
  <c r="AC152" i="5"/>
  <c r="AC173" i="5"/>
  <c r="AC469" i="5"/>
  <c r="AC395" i="5"/>
  <c r="AC251" i="5"/>
  <c r="AC117" i="5"/>
  <c r="AC241" i="5"/>
  <c r="AC407" i="5"/>
  <c r="AC420" i="5"/>
  <c r="AC48" i="5"/>
  <c r="AC471" i="5"/>
  <c r="AC89" i="5"/>
  <c r="AC143" i="5"/>
  <c r="AC428" i="5"/>
  <c r="AC211" i="5"/>
  <c r="AC57" i="5"/>
  <c r="AC490" i="5"/>
  <c r="AC493" i="5"/>
  <c r="AC472" i="5"/>
  <c r="AC177" i="5"/>
  <c r="AC291" i="5"/>
  <c r="AC547" i="5"/>
  <c r="AC199" i="5"/>
  <c r="AC374" i="5"/>
  <c r="AC480" i="5"/>
  <c r="AC351" i="5"/>
  <c r="AC433" i="5"/>
  <c r="AC105" i="5"/>
  <c r="AC497" i="5"/>
  <c r="AC288" i="5"/>
  <c r="AC25" i="5"/>
  <c r="AC427" i="5"/>
  <c r="AC130" i="5"/>
  <c r="AC388" i="5"/>
  <c r="AC483" i="5"/>
  <c r="AC505" i="5"/>
  <c r="AC100" i="5"/>
  <c r="AC53" i="5"/>
  <c r="AC151" i="5"/>
  <c r="AC264" i="5"/>
  <c r="AC156" i="5"/>
  <c r="AC512" i="5"/>
  <c r="AC275" i="5"/>
  <c r="AC303" i="5"/>
  <c r="AC343" i="5"/>
  <c r="AC452" i="5"/>
  <c r="AC67" i="5"/>
  <c r="AC314" i="5"/>
  <c r="AC68" i="5"/>
  <c r="AC295" i="5"/>
  <c r="AC378" i="5"/>
  <c r="AC539" i="5"/>
  <c r="AC65" i="5"/>
  <c r="AC253" i="5"/>
  <c r="AC545" i="5"/>
  <c r="AC47" i="5"/>
  <c r="AC425" i="5"/>
  <c r="AC432" i="5"/>
  <c r="AC333" i="5"/>
  <c r="AC450" i="5"/>
  <c r="AC271" i="5"/>
  <c r="AC287" i="5"/>
  <c r="AC95" i="5"/>
  <c r="AC120" i="5"/>
  <c r="AC289" i="5"/>
  <c r="AC544" i="5"/>
  <c r="AC486" i="5"/>
  <c r="AC488" i="5"/>
  <c r="AC487" i="5"/>
  <c r="AC128" i="5"/>
  <c r="AC203" i="5"/>
  <c r="AC453" i="5"/>
  <c r="AC220" i="5"/>
  <c r="AC191" i="5"/>
  <c r="AC322" i="5"/>
  <c r="AC381" i="5"/>
  <c r="AC207" i="5"/>
  <c r="AC474" i="5"/>
  <c r="AC424" i="5"/>
  <c r="AC41" i="5"/>
  <c r="AC279" i="5"/>
  <c r="AC93" i="5"/>
  <c r="AC393" i="5"/>
  <c r="AC331" i="5"/>
  <c r="AC150" i="5"/>
  <c r="AC236" i="5"/>
  <c r="AC352" i="5"/>
  <c r="AC551" i="5"/>
  <c r="AC549" i="5"/>
  <c r="AC83" i="5"/>
  <c r="AC234" i="5"/>
  <c r="AC316" i="5"/>
  <c r="AC372" i="5"/>
  <c r="AC51" i="5"/>
  <c r="AC187" i="5"/>
  <c r="AC309" i="5"/>
  <c r="AC437" i="5"/>
  <c r="AC507" i="5"/>
  <c r="AC558" i="5"/>
  <c r="AC522" i="5"/>
  <c r="AC210" i="5"/>
  <c r="AC166" i="5"/>
  <c r="AC258" i="5"/>
  <c r="AC70" i="5"/>
  <c r="AC21" i="5"/>
  <c r="AC76" i="5"/>
  <c r="AC282" i="5"/>
  <c r="AC29" i="5"/>
  <c r="AC541" i="5"/>
  <c r="AN51" i="4"/>
  <c r="AF51" i="4"/>
  <c r="AG51" i="4" s="1"/>
  <c r="AI51" i="4" s="1"/>
  <c r="BK436" i="5"/>
  <c r="BJ436" i="5"/>
  <c r="BJ184" i="5"/>
  <c r="BK184" i="5"/>
  <c r="AK120" i="4"/>
  <c r="AL120" i="4" s="1"/>
  <c r="AF120" i="4"/>
  <c r="AG120" i="4" s="1"/>
  <c r="AI120" i="4" s="1"/>
  <c r="AN120" i="4"/>
  <c r="BJ454" i="5"/>
  <c r="BK454" i="5"/>
  <c r="BK135" i="5"/>
  <c r="BJ135" i="5"/>
  <c r="BK490" i="5"/>
  <c r="BJ490" i="5"/>
  <c r="BK156" i="5"/>
  <c r="BJ156" i="5"/>
  <c r="BJ392" i="5"/>
  <c r="BK392" i="5"/>
  <c r="AQ176" i="5"/>
  <c r="AR176" i="5"/>
  <c r="BI176" i="5"/>
  <c r="BJ483" i="5"/>
  <c r="BK483" i="5"/>
  <c r="BJ199" i="5"/>
  <c r="BK199" i="5"/>
  <c r="BK494" i="5"/>
  <c r="BJ494" i="5"/>
  <c r="BK22" i="5"/>
  <c r="BJ22" i="5"/>
  <c r="BJ316" i="5"/>
  <c r="BK316" i="5"/>
  <c r="AN29" i="4"/>
  <c r="AK29" i="4"/>
  <c r="AL29" i="4" s="1"/>
  <c r="AF29" i="4"/>
  <c r="AG29" i="4" s="1"/>
  <c r="AI29" i="4" s="1"/>
  <c r="BJ304" i="5"/>
  <c r="BK304" i="5"/>
  <c r="AN9" i="4"/>
  <c r="AK9" i="4"/>
  <c r="AL9" i="4" s="1"/>
  <c r="AF9" i="4"/>
  <c r="AG9" i="4" s="1"/>
  <c r="AI9" i="4" s="1"/>
  <c r="BJ333" i="5"/>
  <c r="BK333" i="5"/>
  <c r="BK525" i="5"/>
  <c r="BJ525" i="5"/>
  <c r="BK274" i="5"/>
  <c r="BJ274" i="5"/>
  <c r="BJ38" i="5"/>
  <c r="BK38" i="5"/>
  <c r="AC556" i="5"/>
  <c r="AC345" i="5"/>
  <c r="AC233" i="5"/>
  <c r="AC238" i="5"/>
  <c r="AC32" i="5"/>
  <c r="AC232" i="5"/>
  <c r="AC127" i="5"/>
  <c r="AC270" i="5"/>
  <c r="AC10" i="5"/>
  <c r="AC503" i="5"/>
  <c r="AC212" i="5"/>
  <c r="AC145" i="5"/>
  <c r="AC259" i="5"/>
  <c r="AC157" i="5"/>
  <c r="AC227" i="5"/>
  <c r="AC126" i="5"/>
  <c r="AC12" i="5"/>
  <c r="AC334" i="5"/>
  <c r="AC161" i="5"/>
  <c r="AC461" i="5"/>
  <c r="AC293" i="5"/>
  <c r="AC318" i="5"/>
  <c r="AC114" i="5"/>
  <c r="AC176" i="5"/>
  <c r="AC284" i="5"/>
  <c r="AC106" i="5"/>
  <c r="AC86" i="5"/>
  <c r="AC501" i="5"/>
  <c r="AC396" i="5"/>
  <c r="AC205" i="5"/>
  <c r="AC511" i="5"/>
  <c r="AC247" i="5"/>
  <c r="AC63" i="5"/>
  <c r="AC516" i="5"/>
  <c r="AC533" i="5"/>
  <c r="AC508" i="5"/>
  <c r="AC186" i="5"/>
  <c r="AC20" i="5"/>
  <c r="AC246" i="5"/>
  <c r="AC190" i="5"/>
  <c r="AC366" i="5"/>
  <c r="AC182" i="5"/>
  <c r="AC434" i="5"/>
  <c r="AC118" i="5"/>
  <c r="AC66" i="5"/>
  <c r="AC552" i="5"/>
  <c r="AC506" i="5"/>
  <c r="AC201" i="5"/>
  <c r="AC296" i="5"/>
  <c r="AC510" i="5"/>
  <c r="AC222" i="5"/>
  <c r="AC397" i="5"/>
  <c r="AC73" i="5"/>
  <c r="AC308" i="5"/>
  <c r="AC204" i="5"/>
  <c r="AC414" i="5"/>
  <c r="AC327" i="5"/>
  <c r="AC208" i="5"/>
  <c r="AC240" i="5"/>
  <c r="AC178" i="5"/>
  <c r="AC325" i="5"/>
  <c r="AC139" i="5"/>
  <c r="AC555" i="5"/>
  <c r="AC230" i="5"/>
  <c r="AC55" i="5"/>
  <c r="AC470" i="5"/>
  <c r="AC411" i="5"/>
  <c r="AC22" i="5"/>
  <c r="AC268" i="5"/>
  <c r="AC519" i="5"/>
  <c r="AC61" i="5"/>
  <c r="AC269" i="5"/>
  <c r="AC194" i="5"/>
  <c r="AC383" i="5"/>
  <c r="AC492" i="5"/>
  <c r="AC79" i="5"/>
  <c r="AC543" i="5"/>
  <c r="AC122" i="5"/>
  <c r="AC465" i="5"/>
  <c r="AC509" i="5"/>
  <c r="AC72" i="5"/>
  <c r="AC479" i="5"/>
  <c r="AC403" i="5"/>
  <c r="AC320" i="5"/>
  <c r="AC217" i="5"/>
  <c r="AC104" i="5"/>
  <c r="AC401" i="5"/>
  <c r="AC132" i="5"/>
  <c r="AC515" i="5"/>
  <c r="AC134" i="5"/>
  <c r="AC440" i="5"/>
  <c r="AC214" i="5"/>
  <c r="AC332" i="5"/>
  <c r="AC513" i="5"/>
  <c r="AC31" i="5"/>
  <c r="AC36" i="5"/>
  <c r="AC406" i="5"/>
  <c r="AC531" i="5"/>
  <c r="AC98" i="5"/>
  <c r="AC292" i="5"/>
  <c r="AC160" i="5"/>
  <c r="AC265" i="5"/>
  <c r="AC443" i="5"/>
  <c r="AC125" i="5"/>
  <c r="AC485" i="5"/>
  <c r="AC45" i="5"/>
  <c r="AC475" i="5"/>
  <c r="AC362" i="5"/>
  <c r="AC286" i="5"/>
  <c r="AC141" i="5"/>
  <c r="AC90" i="5"/>
  <c r="AC445" i="5"/>
  <c r="AC448" i="5"/>
  <c r="AC38" i="5"/>
  <c r="AC213" i="5"/>
  <c r="AC377" i="5"/>
  <c r="AC430" i="5"/>
  <c r="AC260" i="5"/>
  <c r="AC225" i="5"/>
  <c r="AC419" i="5"/>
  <c r="AC81" i="5"/>
  <c r="AC358" i="5"/>
  <c r="AC49" i="5"/>
  <c r="AC326" i="5"/>
  <c r="AC410" i="5"/>
  <c r="AC97" i="5"/>
  <c r="AC281" i="5"/>
  <c r="AC85" i="5"/>
  <c r="AC524" i="5"/>
  <c r="AC297" i="5"/>
  <c r="AN100" i="4"/>
  <c r="AK100" i="4"/>
  <c r="AL100" i="4" s="1"/>
  <c r="AF100" i="4"/>
  <c r="AG100" i="4" s="1"/>
  <c r="AI100" i="4" s="1"/>
  <c r="AN104" i="4"/>
  <c r="AK104" i="4"/>
  <c r="AL104" i="4" s="1"/>
  <c r="AF104" i="4"/>
  <c r="AG104" i="4" s="1"/>
  <c r="AI104" i="4" s="1"/>
  <c r="BK210" i="5"/>
  <c r="BJ210" i="5"/>
  <c r="AR252" i="5"/>
  <c r="BI252" i="5"/>
  <c r="AQ252" i="5"/>
  <c r="AQ260" i="5"/>
  <c r="AR260" i="5"/>
  <c r="BI260" i="5"/>
  <c r="BK26" i="5"/>
  <c r="BJ26" i="5"/>
  <c r="BJ290" i="5"/>
  <c r="BK290" i="5"/>
  <c r="BJ31" i="5"/>
  <c r="BK31" i="5"/>
  <c r="AR154" i="5"/>
  <c r="BI154" i="5"/>
  <c r="AQ154" i="5"/>
  <c r="BJ339" i="5"/>
  <c r="BK339" i="5"/>
  <c r="BJ307" i="5"/>
  <c r="BK307" i="5"/>
  <c r="BI529" i="5"/>
  <c r="AR529" i="5"/>
  <c r="AQ529" i="5"/>
  <c r="BK119" i="5"/>
  <c r="BJ119" i="5"/>
  <c r="BK86" i="5"/>
  <c r="BJ86" i="5"/>
  <c r="BJ65" i="5"/>
  <c r="BK65" i="5"/>
  <c r="BI68" i="5"/>
  <c r="AR68" i="5"/>
  <c r="AQ68" i="5"/>
  <c r="BJ10" i="5"/>
  <c r="BK10" i="5"/>
  <c r="BK332" i="5"/>
  <c r="BJ332" i="5"/>
  <c r="AK138" i="4"/>
  <c r="AL138" i="4" s="1"/>
  <c r="AN138" i="4"/>
  <c r="AF138" i="4"/>
  <c r="AG138" i="4" s="1"/>
  <c r="AI138" i="4" s="1"/>
  <c r="BK57" i="5"/>
  <c r="BJ57" i="5"/>
  <c r="BK183" i="5"/>
  <c r="BJ183" i="5"/>
  <c r="BJ473" i="5"/>
  <c r="BK473" i="5"/>
  <c r="BK273" i="5"/>
  <c r="BJ273" i="5"/>
  <c r="AN91" i="4"/>
  <c r="AF91" i="4"/>
  <c r="AG91" i="4" s="1"/>
  <c r="AI91" i="4" s="1"/>
  <c r="AN46" i="4"/>
  <c r="AF46" i="4"/>
  <c r="AG46" i="4" s="1"/>
  <c r="AI46" i="4" s="1"/>
  <c r="AC9" i="5"/>
  <c r="AC455" i="5"/>
  <c r="AC344" i="5"/>
  <c r="AC96" i="5"/>
  <c r="AC382" i="5"/>
  <c r="AC311" i="5"/>
  <c r="AC534" i="5"/>
  <c r="AC459" i="5"/>
  <c r="AC363" i="5"/>
  <c r="AC58" i="5"/>
  <c r="AC330" i="5"/>
  <c r="AC50" i="5"/>
  <c r="AC313" i="5"/>
  <c r="AC423" i="5"/>
  <c r="AC135" i="5"/>
  <c r="AC142" i="5"/>
  <c r="AC224" i="5"/>
  <c r="AC111" i="5"/>
  <c r="AC439" i="5"/>
  <c r="AC261" i="5"/>
  <c r="AC24" i="5"/>
  <c r="AC71" i="5"/>
  <c r="AC312" i="5"/>
  <c r="AC206" i="5"/>
  <c r="AC257" i="5"/>
  <c r="AC273" i="5"/>
  <c r="AC147" i="5"/>
  <c r="AC140" i="5"/>
  <c r="AC131" i="5"/>
  <c r="AC540" i="5"/>
  <c r="AC400" i="5"/>
  <c r="AC103" i="5"/>
  <c r="AC375" i="5"/>
  <c r="AC357" i="5"/>
  <c r="AC502" i="5"/>
  <c r="AC361" i="5"/>
  <c r="AC390" i="5"/>
  <c r="AC553" i="5"/>
  <c r="AC102" i="5"/>
  <c r="AC52" i="5"/>
  <c r="AC338" i="5"/>
  <c r="AC221" i="5"/>
  <c r="AC467" i="5"/>
  <c r="AC26" i="5"/>
  <c r="AC226" i="5"/>
  <c r="AC446" i="5"/>
  <c r="AC158" i="5"/>
  <c r="AC436" i="5"/>
  <c r="AC550" i="5"/>
  <c r="AC165" i="5"/>
  <c r="AC202" i="5"/>
  <c r="AC368" i="5"/>
  <c r="AC80" i="5"/>
  <c r="AC278" i="5"/>
  <c r="AC464" i="5"/>
  <c r="AC478" i="5"/>
  <c r="AC463" i="5"/>
  <c r="AC376" i="5"/>
  <c r="AC387" i="5"/>
  <c r="AC183" i="5"/>
  <c r="AC108" i="5"/>
  <c r="AC422" i="5"/>
  <c r="AC184" i="5"/>
  <c r="AC197" i="5"/>
  <c r="AC84" i="5"/>
  <c r="AC294" i="5"/>
  <c r="AC498" i="5"/>
  <c r="AC385" i="5"/>
  <c r="AC380" i="5"/>
  <c r="AC499" i="5"/>
  <c r="AC298" i="5"/>
  <c r="AC409" i="5"/>
  <c r="AC113" i="5"/>
  <c r="AC148" i="5"/>
  <c r="AC107" i="5"/>
  <c r="AC391" i="5"/>
  <c r="AC489" i="5"/>
  <c r="AC43" i="5"/>
  <c r="AC360" i="5"/>
  <c r="AC101" i="5"/>
  <c r="AC30" i="5"/>
  <c r="AC337" i="5"/>
  <c r="AC40" i="5"/>
  <c r="AC172" i="5"/>
  <c r="AC379" i="5"/>
  <c r="AC408" i="5"/>
  <c r="AC116" i="5"/>
  <c r="AC518" i="5"/>
  <c r="AC276" i="5"/>
  <c r="AC175" i="5"/>
  <c r="AC528" i="5"/>
  <c r="AC384" i="5"/>
  <c r="AC451" i="5"/>
  <c r="AC441" i="5"/>
  <c r="AC56" i="5"/>
  <c r="AC91" i="5"/>
  <c r="AC438" i="5"/>
  <c r="AC416" i="5"/>
  <c r="AC109" i="5"/>
  <c r="AC364" i="5"/>
  <c r="AC13" i="5"/>
  <c r="AC319" i="5"/>
  <c r="AC300" i="5"/>
  <c r="AC69" i="5"/>
  <c r="AC442" i="5"/>
  <c r="AC462" i="5"/>
  <c r="AC42" i="5"/>
  <c r="AC64" i="5"/>
  <c r="AC123" i="5"/>
  <c r="AC537" i="5"/>
  <c r="AC521" i="5"/>
  <c r="AC447" i="5"/>
  <c r="AC350" i="5"/>
  <c r="AC369" i="5"/>
  <c r="AC115" i="5"/>
  <c r="AC27" i="5"/>
  <c r="AC149" i="5"/>
  <c r="AC373" i="5"/>
  <c r="AC504" i="5"/>
  <c r="AC180" i="5"/>
  <c r="AC34" i="5"/>
  <c r="AC119" i="5"/>
  <c r="AC242" i="5"/>
  <c r="AC299" i="5"/>
  <c r="AC466" i="5"/>
  <c r="AC272" i="5"/>
  <c r="AC514" i="5"/>
  <c r="AC559" i="5"/>
  <c r="AC62" i="5"/>
  <c r="AC560" i="5"/>
  <c r="AC77" i="5"/>
  <c r="AC37" i="5"/>
  <c r="AC405" i="5"/>
  <c r="AC468" i="5"/>
  <c r="AC256" i="5"/>
  <c r="AC348" i="5"/>
  <c r="AC46" i="5"/>
  <c r="AN139" i="4"/>
  <c r="AF139" i="4"/>
  <c r="AG139" i="4" s="1"/>
  <c r="AI139" i="4" s="1"/>
  <c r="BK171" i="5"/>
  <c r="BJ171" i="5"/>
  <c r="BJ24" i="5"/>
  <c r="BK24" i="5"/>
  <c r="BJ412" i="5"/>
  <c r="BK412" i="5"/>
  <c r="AQ394" i="5"/>
  <c r="AR394" i="5"/>
  <c r="BI394" i="5"/>
  <c r="BK201" i="5"/>
  <c r="BJ201" i="5"/>
  <c r="BK403" i="5"/>
  <c r="BJ403" i="5"/>
  <c r="BK87" i="5"/>
  <c r="BJ87" i="5"/>
  <c r="BJ469" i="5"/>
  <c r="BK469" i="5"/>
  <c r="BJ522" i="5"/>
  <c r="BK522" i="5"/>
  <c r="AQ444" i="5"/>
  <c r="AR444" i="5"/>
  <c r="BI444" i="5"/>
  <c r="BJ235" i="5"/>
  <c r="BK235" i="5"/>
  <c r="BK173" i="5"/>
  <c r="BJ173" i="5"/>
  <c r="BI159" i="5"/>
  <c r="AQ159" i="5"/>
  <c r="AR159" i="5"/>
  <c r="BK61" i="5"/>
  <c r="BJ61" i="5"/>
  <c r="BK195" i="5"/>
  <c r="BJ195" i="5"/>
  <c r="BK101" i="5"/>
  <c r="BJ101" i="5"/>
  <c r="BK59" i="5"/>
  <c r="BJ59" i="5"/>
  <c r="BJ534" i="5"/>
  <c r="BK534" i="5"/>
  <c r="AN87" i="4"/>
  <c r="AK87" i="4"/>
  <c r="AL87" i="4" s="1"/>
  <c r="AF87" i="4"/>
  <c r="AG87" i="4" s="1"/>
  <c r="AI87" i="4" s="1"/>
  <c r="AN47" i="4"/>
  <c r="AK47" i="4"/>
  <c r="AL47" i="4" s="1"/>
  <c r="AF47" i="4"/>
  <c r="AG47" i="4" s="1"/>
  <c r="AI47" i="4" s="1"/>
  <c r="AK35" i="4"/>
  <c r="AL35" i="4" s="1"/>
  <c r="AN35" i="4"/>
  <c r="AF35" i="4"/>
  <c r="AG35" i="4" s="1"/>
  <c r="AI35" i="4" s="1"/>
  <c r="AK10" i="4"/>
  <c r="AL10" i="4" s="1"/>
  <c r="AN10" i="4"/>
  <c r="AF10" i="4"/>
  <c r="AG10" i="4" s="1"/>
  <c r="AI10" i="4" s="1"/>
  <c r="AK80" i="4"/>
  <c r="AL80" i="4" s="1"/>
  <c r="AN80" i="4"/>
  <c r="AF80" i="4"/>
  <c r="AG80" i="4" s="1"/>
  <c r="AI80" i="4" s="1"/>
  <c r="BJ335" i="5"/>
  <c r="BK335" i="5"/>
  <c r="AF16" i="4"/>
  <c r="AG16" i="4" s="1"/>
  <c r="AI16" i="4" s="1"/>
  <c r="AN16" i="4"/>
  <c r="AK16" i="4"/>
  <c r="AL16" i="4" s="1"/>
  <c r="BJ538" i="5"/>
  <c r="BK538" i="5"/>
  <c r="BK448" i="5"/>
  <c r="BJ448" i="5"/>
  <c r="BK515" i="5"/>
  <c r="BJ515" i="5"/>
  <c r="BJ129" i="5" l="1"/>
  <c r="BJ323" i="5"/>
  <c r="BJ80" i="5"/>
  <c r="BK266" i="5"/>
  <c r="BJ134" i="5"/>
  <c r="BJ275" i="5"/>
  <c r="BJ399" i="5"/>
  <c r="BL7" i="5"/>
  <c r="BK150" i="5"/>
  <c r="BK415" i="5"/>
  <c r="BJ344" i="5"/>
  <c r="BK533" i="5"/>
  <c r="AA126" i="4"/>
  <c r="AQ126" i="4" s="1"/>
  <c r="AA109" i="4"/>
  <c r="AP109" i="4" s="1"/>
  <c r="AA123" i="4"/>
  <c r="AP123" i="4" s="1"/>
  <c r="AA73" i="4"/>
  <c r="AP73" i="4" s="1"/>
  <c r="B224" i="2"/>
  <c r="F69" i="1" s="1"/>
  <c r="B222" i="2"/>
  <c r="F68" i="1" s="1"/>
  <c r="AA56" i="4"/>
  <c r="AQ56" i="4" s="1"/>
  <c r="BJ298" i="5"/>
  <c r="AA148" i="4"/>
  <c r="AP148" i="4" s="1"/>
  <c r="BK356" i="5"/>
  <c r="BJ103" i="5"/>
  <c r="AA130" i="4"/>
  <c r="AP130" i="4" s="1"/>
  <c r="AA58" i="4"/>
  <c r="AQ58" i="4" s="1"/>
  <c r="BE9" i="5"/>
  <c r="AN58" i="4"/>
  <c r="BK164" i="5"/>
  <c r="BJ496" i="5"/>
  <c r="BJ432" i="5"/>
  <c r="AF58" i="4"/>
  <c r="AG58" i="4" s="1"/>
  <c r="AI58" i="4" s="1"/>
  <c r="BJ470" i="5"/>
  <c r="BK357" i="5"/>
  <c r="BK42" i="5"/>
  <c r="BK197" i="5"/>
  <c r="BJ27" i="5"/>
  <c r="BJ282" i="5"/>
  <c r="BJ433" i="5"/>
  <c r="BK391" i="5"/>
  <c r="BJ178" i="5"/>
  <c r="BJ85" i="5"/>
  <c r="BK408" i="5"/>
  <c r="AK126" i="4"/>
  <c r="AL126" i="4" s="1"/>
  <c r="BK258" i="5"/>
  <c r="BJ254" i="5"/>
  <c r="BK442" i="5"/>
  <c r="AK139" i="4"/>
  <c r="AL139" i="4" s="1"/>
  <c r="AO139" i="4" s="1"/>
  <c r="BJ434" i="5"/>
  <c r="AC10" i="4"/>
  <c r="AD10" i="4" s="1"/>
  <c r="BK420" i="5"/>
  <c r="BK172" i="5"/>
  <c r="BK539" i="5"/>
  <c r="BK170" i="5"/>
  <c r="BJ104" i="5"/>
  <c r="BJ222" i="5"/>
  <c r="BJ105" i="5"/>
  <c r="BK263" i="5"/>
  <c r="BK313" i="5"/>
  <c r="BJ244" i="5"/>
  <c r="BK303" i="5"/>
  <c r="BK527" i="5"/>
  <c r="BK526" i="5"/>
  <c r="BJ523" i="5"/>
  <c r="BJ484" i="5"/>
  <c r="BJ255" i="5"/>
  <c r="BK20" i="5"/>
  <c r="BK327" i="5"/>
  <c r="BJ245" i="5"/>
  <c r="BJ8" i="5"/>
  <c r="BK343" i="5"/>
  <c r="BK64" i="5"/>
  <c r="BK41" i="5"/>
  <c r="BK227" i="5"/>
  <c r="BJ312" i="5"/>
  <c r="BJ341" i="5"/>
  <c r="BK492" i="5"/>
  <c r="AK78" i="4"/>
  <c r="AL78" i="4" s="1"/>
  <c r="BK365" i="5"/>
  <c r="BK336" i="5"/>
  <c r="BJ331" i="5"/>
  <c r="BJ157" i="5"/>
  <c r="BK232" i="5"/>
  <c r="BK306" i="5"/>
  <c r="AC99" i="4"/>
  <c r="AD99" i="4" s="1"/>
  <c r="AP99" i="4"/>
  <c r="BK489" i="5"/>
  <c r="BK537" i="5"/>
  <c r="BJ301" i="5"/>
  <c r="BJ422" i="5"/>
  <c r="AN78" i="4"/>
  <c r="BJ92" i="5"/>
  <c r="BK279" i="5"/>
  <c r="BK479" i="5"/>
  <c r="BK182" i="5"/>
  <c r="BJ189" i="5"/>
  <c r="BK511" i="5"/>
  <c r="AF78" i="4"/>
  <c r="AG78" i="4" s="1"/>
  <c r="AI78" i="4" s="1"/>
  <c r="AK58" i="4"/>
  <c r="AL58" i="4" s="1"/>
  <c r="BK437" i="5"/>
  <c r="BK97" i="5"/>
  <c r="BJ299" i="5"/>
  <c r="BK374" i="5"/>
  <c r="BK262" i="5"/>
  <c r="BK387" i="5"/>
  <c r="BK350" i="5"/>
  <c r="BK272" i="5"/>
  <c r="BJ147" i="5"/>
  <c r="BK378" i="5"/>
  <c r="BJ78" i="5"/>
  <c r="BJ130" i="5"/>
  <c r="BK293" i="5"/>
  <c r="BK363" i="5"/>
  <c r="BJ146" i="5"/>
  <c r="BJ52" i="5"/>
  <c r="BK251" i="5"/>
  <c r="BJ311" i="5"/>
  <c r="BJ421" i="5"/>
  <c r="BJ286" i="5"/>
  <c r="BJ471" i="5"/>
  <c r="BK552" i="5"/>
  <c r="BK315" i="5"/>
  <c r="BJ543" i="5"/>
  <c r="BK338" i="5"/>
  <c r="BJ362" i="5"/>
  <c r="BJ208" i="5"/>
  <c r="BK111" i="5"/>
  <c r="BJ106" i="5"/>
  <c r="BJ217" i="5"/>
  <c r="BK270" i="5"/>
  <c r="BK345" i="5"/>
  <c r="BJ395" i="5"/>
  <c r="BK367" i="5"/>
  <c r="BK325" i="5"/>
  <c r="BK230" i="5"/>
  <c r="AN54" i="4"/>
  <c r="BK512" i="5"/>
  <c r="BK196" i="5"/>
  <c r="BJ557" i="5"/>
  <c r="AQ120" i="4"/>
  <c r="BK120" i="5"/>
  <c r="BK519" i="5"/>
  <c r="BK74" i="5"/>
  <c r="BJ319" i="5"/>
  <c r="AC80" i="4"/>
  <c r="AD80" i="4" s="1"/>
  <c r="BJ128" i="5"/>
  <c r="AP80" i="4"/>
  <c r="BJ476" i="5"/>
  <c r="BJ162" i="5"/>
  <c r="BJ458" i="5"/>
  <c r="BK400" i="5"/>
  <c r="BK560" i="5"/>
  <c r="BJ179" i="5"/>
  <c r="BK60" i="5"/>
  <c r="BJ82" i="5"/>
  <c r="BJ410" i="5"/>
  <c r="AF126" i="4"/>
  <c r="AG126" i="4" s="1"/>
  <c r="AI126" i="4" s="1"/>
  <c r="BK7" i="5"/>
  <c r="BM7" i="5" s="1"/>
  <c r="BK369" i="5"/>
  <c r="BK491" i="5"/>
  <c r="AK91" i="4"/>
  <c r="AL91" i="4" s="1"/>
  <c r="AO91" i="4" s="1"/>
  <c r="BK322" i="5"/>
  <c r="BK281" i="5"/>
  <c r="BJ226" i="5"/>
  <c r="BJ231" i="5"/>
  <c r="BK198" i="5"/>
  <c r="BK90" i="5"/>
  <c r="BJ239" i="5"/>
  <c r="BK278" i="5"/>
  <c r="BK180" i="5"/>
  <c r="BJ23" i="5"/>
  <c r="BJ107" i="5"/>
  <c r="AN123" i="4"/>
  <c r="BK214" i="5"/>
  <c r="BK542" i="5"/>
  <c r="AQ37" i="4"/>
  <c r="BJ94" i="5"/>
  <c r="AK51" i="4"/>
  <c r="AL51" i="4" s="1"/>
  <c r="AO51" i="4" s="1"/>
  <c r="AN126" i="4"/>
  <c r="BK418" i="5"/>
  <c r="BK193" i="5"/>
  <c r="BK443" i="5"/>
  <c r="BK549" i="5"/>
  <c r="BJ321" i="5"/>
  <c r="AQ100" i="4"/>
  <c r="BJ95" i="5"/>
  <c r="AP100" i="4"/>
  <c r="BK234" i="5"/>
  <c r="BJ58" i="5"/>
  <c r="BJ402" i="5"/>
  <c r="BK40" i="5"/>
  <c r="BJ76" i="5"/>
  <c r="BK116" i="5"/>
  <c r="BJ516" i="5"/>
  <c r="BK181" i="5"/>
  <c r="BJ351" i="5"/>
  <c r="BK174" i="5"/>
  <c r="BJ45" i="5"/>
  <c r="AP138" i="4"/>
  <c r="BK229" i="5"/>
  <c r="AC120" i="4"/>
  <c r="AD120" i="4" s="1"/>
  <c r="AQ138" i="4"/>
  <c r="BJ487" i="5"/>
  <c r="BJ83" i="5"/>
  <c r="BK246" i="5"/>
  <c r="BK510" i="5"/>
  <c r="BK160" i="5"/>
  <c r="BJ382" i="5"/>
  <c r="BK277" i="5"/>
  <c r="BK379" i="5"/>
  <c r="BK326" i="5"/>
  <c r="BJ285" i="5"/>
  <c r="BJ502" i="5"/>
  <c r="BJ190" i="5"/>
  <c r="BK302" i="5"/>
  <c r="BK96" i="5"/>
  <c r="BK243" i="5"/>
  <c r="BJ427" i="5"/>
  <c r="BK505" i="5"/>
  <c r="AQ47" i="4"/>
  <c r="BK71" i="5"/>
  <c r="BJ295" i="5"/>
  <c r="BK551" i="5"/>
  <c r="BJ44" i="5"/>
  <c r="AQ26" i="4"/>
  <c r="BK216" i="5"/>
  <c r="BJ288" i="5"/>
  <c r="BK139" i="5"/>
  <c r="BK405" i="5"/>
  <c r="BK153" i="5"/>
  <c r="BJ359" i="5"/>
  <c r="BK296" i="5"/>
  <c r="BJ310" i="5"/>
  <c r="AQ35" i="4"/>
  <c r="AC47" i="4"/>
  <c r="AD47" i="4" s="1"/>
  <c r="AP26" i="4"/>
  <c r="AP68" i="4"/>
  <c r="BK124" i="5"/>
  <c r="BJ142" i="5"/>
  <c r="AF92" i="4"/>
  <c r="AG92" i="4" s="1"/>
  <c r="AI92" i="4" s="1"/>
  <c r="BJ168" i="5"/>
  <c r="BJ63" i="5"/>
  <c r="AK92" i="4"/>
  <c r="AL92" i="4" s="1"/>
  <c r="BK340" i="5"/>
  <c r="AP48" i="4"/>
  <c r="BK495" i="5"/>
  <c r="AF123" i="4"/>
  <c r="AG123" i="4" s="1"/>
  <c r="AI123" i="4" s="1"/>
  <c r="BK501" i="5"/>
  <c r="BJ330" i="5"/>
  <c r="BK48" i="5"/>
  <c r="BK224" i="5"/>
  <c r="BK461" i="5"/>
  <c r="BK28" i="5"/>
  <c r="BJ414" i="5"/>
  <c r="BK507" i="5"/>
  <c r="BJ383" i="5"/>
  <c r="BK540" i="5"/>
  <c r="BJ530" i="5"/>
  <c r="BK283" i="5"/>
  <c r="BJ544" i="5"/>
  <c r="AK131" i="4"/>
  <c r="AL131" i="4" s="1"/>
  <c r="AC35" i="4"/>
  <c r="AD35" i="4" s="1"/>
  <c r="BK12" i="5"/>
  <c r="BJ237" i="5"/>
  <c r="BJ513" i="5"/>
  <c r="BK480" i="5"/>
  <c r="BJ413" i="5"/>
  <c r="BK466" i="5"/>
  <c r="BJ115" i="5"/>
  <c r="AK105" i="4"/>
  <c r="AL105" i="4" s="1"/>
  <c r="AP39" i="4"/>
  <c r="AN75" i="4"/>
  <c r="BJ264" i="5"/>
  <c r="AK153" i="4"/>
  <c r="AL153" i="4" s="1"/>
  <c r="AO153" i="4" s="1"/>
  <c r="AC37" i="4"/>
  <c r="AD37" i="4" s="1"/>
  <c r="AF142" i="4"/>
  <c r="AG142" i="4" s="1"/>
  <c r="AI142" i="4" s="1"/>
  <c r="BK238" i="5"/>
  <c r="BK371" i="5"/>
  <c r="BK531" i="5"/>
  <c r="BK125" i="5"/>
  <c r="BJ261" i="5"/>
  <c r="BK291" i="5"/>
  <c r="BK72" i="5"/>
  <c r="BJ188" i="5"/>
  <c r="BK37" i="5"/>
  <c r="BK554" i="5"/>
  <c r="BJ440" i="5"/>
  <c r="BI9" i="5"/>
  <c r="BK9" i="5" s="1"/>
  <c r="BK407" i="5"/>
  <c r="BJ39" i="5"/>
  <c r="BJ528" i="5"/>
  <c r="BJ324" i="5"/>
  <c r="AC52" i="4"/>
  <c r="AD52" i="4" s="1"/>
  <c r="AN154" i="4"/>
  <c r="BJ21" i="5"/>
  <c r="AC41" i="4"/>
  <c r="AD41" i="4" s="1"/>
  <c r="BK478" i="5"/>
  <c r="BK221" i="5"/>
  <c r="BK472" i="5"/>
  <c r="AF130" i="4"/>
  <c r="AG130" i="4" s="1"/>
  <c r="AI130" i="4" s="1"/>
  <c r="BK257" i="5"/>
  <c r="BK361" i="5"/>
  <c r="AC71" i="4"/>
  <c r="AD71" i="4" s="1"/>
  <c r="BJ108" i="5"/>
  <c r="BK100" i="5"/>
  <c r="AQ53" i="4"/>
  <c r="AN130" i="4"/>
  <c r="AO130" i="4" s="1"/>
  <c r="BK536" i="5"/>
  <c r="AC39" i="4"/>
  <c r="AD39" i="4" s="1"/>
  <c r="BK358" i="5"/>
  <c r="BJ185" i="5"/>
  <c r="BJ521" i="5"/>
  <c r="AC72" i="4"/>
  <c r="AD72" i="4" s="1"/>
  <c r="BK347" i="5"/>
  <c r="BJ328" i="5"/>
  <c r="BJ318" i="5"/>
  <c r="BK192" i="5"/>
  <c r="AQ107" i="4"/>
  <c r="AP107" i="4"/>
  <c r="BJ308" i="5"/>
  <c r="BK213" i="5"/>
  <c r="BK253" i="5"/>
  <c r="AC45" i="4"/>
  <c r="AD45" i="4" s="1"/>
  <c r="BK397" i="5"/>
  <c r="BJ141" i="5"/>
  <c r="BJ247" i="5"/>
  <c r="AQ45" i="4"/>
  <c r="BK35" i="5"/>
  <c r="BK546" i="5"/>
  <c r="BK441" i="5"/>
  <c r="BK459" i="5"/>
  <c r="BJ242" i="5"/>
  <c r="BJ317" i="5"/>
  <c r="BJ535" i="5"/>
  <c r="AC87" i="4"/>
  <c r="AD87" i="4" s="1"/>
  <c r="AQ87" i="4"/>
  <c r="BJ305" i="5"/>
  <c r="BJ34" i="5"/>
  <c r="BK377" i="5"/>
  <c r="BJ70" i="5"/>
  <c r="BK385" i="5"/>
  <c r="BK102" i="5"/>
  <c r="BK477" i="5"/>
  <c r="BJ449" i="5"/>
  <c r="BK337" i="5"/>
  <c r="BK109" i="5"/>
  <c r="BK46" i="5"/>
  <c r="AF114" i="4"/>
  <c r="AG114" i="4" s="1"/>
  <c r="AI114" i="4" s="1"/>
  <c r="BJ424" i="5"/>
  <c r="BK93" i="5"/>
  <c r="BJ438" i="5"/>
  <c r="AF131" i="4"/>
  <c r="AG131" i="4" s="1"/>
  <c r="AI131" i="4" s="1"/>
  <c r="AQ48" i="4"/>
  <c r="BJ354" i="5"/>
  <c r="AN114" i="4"/>
  <c r="AP70" i="4"/>
  <c r="BK249" i="5"/>
  <c r="BJ289" i="5"/>
  <c r="BJ75" i="5"/>
  <c r="BJ428" i="5"/>
  <c r="AN73" i="4"/>
  <c r="AF105" i="4"/>
  <c r="AG105" i="4" s="1"/>
  <c r="AI105" i="4" s="1"/>
  <c r="AK73" i="4"/>
  <c r="AL73" i="4" s="1"/>
  <c r="BJ211" i="5"/>
  <c r="AN105" i="4"/>
  <c r="BK409" i="5"/>
  <c r="BJ364" i="5"/>
  <c r="BJ133" i="5"/>
  <c r="BK51" i="5"/>
  <c r="BK426" i="5"/>
  <c r="BJ342" i="5"/>
  <c r="AN56" i="4"/>
  <c r="AK56" i="4"/>
  <c r="AL56" i="4" s="1"/>
  <c r="BK553" i="5"/>
  <c r="BK187" i="5"/>
  <c r="BK548" i="5"/>
  <c r="AQ9" i="5"/>
  <c r="AQ21" i="4"/>
  <c r="BK110" i="5"/>
  <c r="AF73" i="4"/>
  <c r="AG73" i="4" s="1"/>
  <c r="AI73" i="4" s="1"/>
  <c r="BK503" i="5"/>
  <c r="AN131" i="4"/>
  <c r="BK294" i="5"/>
  <c r="BJ520" i="5"/>
  <c r="BK117" i="5"/>
  <c r="BJ353" i="5"/>
  <c r="AN92" i="4"/>
  <c r="AK75" i="4"/>
  <c r="AL75" i="4" s="1"/>
  <c r="AK54" i="4"/>
  <c r="AL54" i="4" s="1"/>
  <c r="AK123" i="4"/>
  <c r="AL123" i="4" s="1"/>
  <c r="AQ42" i="4"/>
  <c r="AC44" i="4"/>
  <c r="AD44" i="4" s="1"/>
  <c r="AK109" i="4"/>
  <c r="AL109" i="4" s="1"/>
  <c r="AJ130" i="4"/>
  <c r="BJ297" i="5"/>
  <c r="AC84" i="4"/>
  <c r="AD84" i="4" s="1"/>
  <c r="BK25" i="5"/>
  <c r="AP21" i="4"/>
  <c r="BK89" i="5"/>
  <c r="BJ398" i="5"/>
  <c r="BK36" i="5"/>
  <c r="AN109" i="4"/>
  <c r="BK67" i="5"/>
  <c r="AF75" i="4"/>
  <c r="AG75" i="4" s="1"/>
  <c r="AI75" i="4" s="1"/>
  <c r="BJ194" i="5"/>
  <c r="BK144" i="5"/>
  <c r="BJ393" i="5"/>
  <c r="AK142" i="4"/>
  <c r="AL142" i="4" s="1"/>
  <c r="BK212" i="5"/>
  <c r="AP41" i="4"/>
  <c r="BK390" i="5"/>
  <c r="BK62" i="5"/>
  <c r="AN142" i="4"/>
  <c r="AC31" i="4"/>
  <c r="AD31" i="4" s="1"/>
  <c r="AF54" i="4"/>
  <c r="AG54" i="4" s="1"/>
  <c r="AI54" i="4" s="1"/>
  <c r="AP44" i="4"/>
  <c r="AP72" i="4"/>
  <c r="AF145" i="4"/>
  <c r="AG145" i="4" s="1"/>
  <c r="AI145" i="4" s="1"/>
  <c r="BJ259" i="5"/>
  <c r="AK157" i="4"/>
  <c r="AL157" i="4" s="1"/>
  <c r="AO157" i="4" s="1"/>
  <c r="AQ68" i="4"/>
  <c r="BJ50" i="5"/>
  <c r="AC53" i="4"/>
  <c r="AD53" i="4" s="1"/>
  <c r="BJ236" i="5"/>
  <c r="AF56" i="4"/>
  <c r="AG56" i="4" s="1"/>
  <c r="AI56" i="4" s="1"/>
  <c r="AK140" i="4"/>
  <c r="AL140" i="4" s="1"/>
  <c r="BK248" i="5"/>
  <c r="BJ556" i="5"/>
  <c r="BK447" i="5"/>
  <c r="BJ155" i="5"/>
  <c r="AQ84" i="4"/>
  <c r="BK49" i="5"/>
  <c r="AF148" i="4"/>
  <c r="AG148" i="4" s="1"/>
  <c r="AI148" i="4" s="1"/>
  <c r="BK123" i="5"/>
  <c r="AK148" i="4"/>
  <c r="AL148" i="4" s="1"/>
  <c r="AN148" i="4"/>
  <c r="AC132" i="4"/>
  <c r="AD132" i="4" s="1"/>
  <c r="AP31" i="4"/>
  <c r="BK43" i="5"/>
  <c r="AP42" i="4"/>
  <c r="AK156" i="4"/>
  <c r="AL156" i="4" s="1"/>
  <c r="AP64" i="4"/>
  <c r="BJ425" i="5"/>
  <c r="AK146" i="4"/>
  <c r="AL146" i="4" s="1"/>
  <c r="AO146" i="4" s="1"/>
  <c r="AP52" i="4"/>
  <c r="BK464" i="5"/>
  <c r="BK158" i="5"/>
  <c r="BK388" i="5"/>
  <c r="BJ69" i="5"/>
  <c r="AK43" i="4"/>
  <c r="AL43" i="4" s="1"/>
  <c r="AO43" i="4" s="1"/>
  <c r="AF156" i="4"/>
  <c r="AG156" i="4" s="1"/>
  <c r="AI156" i="4" s="1"/>
  <c r="AQ64" i="4"/>
  <c r="AC104" i="4"/>
  <c r="AD104" i="4" s="1"/>
  <c r="AQ104" i="4"/>
  <c r="AC38" i="4"/>
  <c r="AD38" i="4" s="1"/>
  <c r="AC19" i="4"/>
  <c r="AD19" i="4" s="1"/>
  <c r="AP19" i="4"/>
  <c r="AC27" i="4"/>
  <c r="AD27" i="4" s="1"/>
  <c r="AP71" i="4"/>
  <c r="AQ147" i="4"/>
  <c r="AP132" i="4"/>
  <c r="AK155" i="4"/>
  <c r="AL155" i="4" s="1"/>
  <c r="AK55" i="4"/>
  <c r="AL55" i="4" s="1"/>
  <c r="AC147" i="4"/>
  <c r="AD147" i="4" s="1"/>
  <c r="AF155" i="4"/>
  <c r="AG155" i="4" s="1"/>
  <c r="AI155" i="4" s="1"/>
  <c r="AC40" i="4"/>
  <c r="AD40" i="4" s="1"/>
  <c r="AF127" i="4"/>
  <c r="AG127" i="4" s="1"/>
  <c r="AI127" i="4" s="1"/>
  <c r="AP27" i="4"/>
  <c r="AC119" i="4"/>
  <c r="AD119" i="4" s="1"/>
  <c r="AN155" i="4"/>
  <c r="AP40" i="4"/>
  <c r="AN127" i="4"/>
  <c r="AP38" i="4"/>
  <c r="AP119" i="4"/>
  <c r="AK46" i="4"/>
  <c r="AL46" i="4" s="1"/>
  <c r="AO46" i="4" s="1"/>
  <c r="AC150" i="4"/>
  <c r="AD150" i="4" s="1"/>
  <c r="AK103" i="4"/>
  <c r="AL103" i="4" s="1"/>
  <c r="AO103" i="4" s="1"/>
  <c r="AF86" i="4"/>
  <c r="AG86" i="4" s="1"/>
  <c r="AI86" i="4" s="1"/>
  <c r="AP150" i="4"/>
  <c r="AK33" i="4"/>
  <c r="AL33" i="4" s="1"/>
  <c r="AO33" i="4" s="1"/>
  <c r="AC115" i="4"/>
  <c r="AD115" i="4" s="1"/>
  <c r="AC29" i="4"/>
  <c r="AD29" i="4" s="1"/>
  <c r="AF140" i="4"/>
  <c r="AG140" i="4" s="1"/>
  <c r="AI140" i="4" s="1"/>
  <c r="AQ115" i="4"/>
  <c r="AQ29" i="4"/>
  <c r="AN140" i="4"/>
  <c r="AK108" i="4"/>
  <c r="AL108" i="4" s="1"/>
  <c r="AK50" i="4"/>
  <c r="AL50" i="4" s="1"/>
  <c r="AO50" i="4" s="1"/>
  <c r="AK114" i="4"/>
  <c r="AL114" i="4" s="1"/>
  <c r="AF154" i="4"/>
  <c r="AG154" i="4" s="1"/>
  <c r="AI154" i="4" s="1"/>
  <c r="BJ265" i="5"/>
  <c r="AA103" i="4"/>
  <c r="AK127" i="4"/>
  <c r="AL127" i="4" s="1"/>
  <c r="BJ488" i="5"/>
  <c r="BJ268" i="5"/>
  <c r="BK486" i="5"/>
  <c r="AK88" i="4"/>
  <c r="AL88" i="4" s="1"/>
  <c r="AO88" i="4" s="1"/>
  <c r="AC36" i="4"/>
  <c r="AD36" i="4" s="1"/>
  <c r="BK396" i="5"/>
  <c r="AC30" i="4"/>
  <c r="AD30" i="4" s="1"/>
  <c r="AP36" i="4"/>
  <c r="AQ30" i="4"/>
  <c r="BJ514" i="5"/>
  <c r="BK202" i="5"/>
  <c r="BK431" i="5"/>
  <c r="BJ163" i="5"/>
  <c r="BK550" i="5"/>
  <c r="AF109" i="4"/>
  <c r="AG109" i="4" s="1"/>
  <c r="AI109" i="4" s="1"/>
  <c r="AA131" i="4"/>
  <c r="AP131" i="4" s="1"/>
  <c r="BK53" i="5"/>
  <c r="AF55" i="4"/>
  <c r="AG55" i="4" s="1"/>
  <c r="AI55" i="4" s="1"/>
  <c r="AK154" i="4"/>
  <c r="AL154" i="4" s="1"/>
  <c r="AN55" i="4"/>
  <c r="AC83" i="4"/>
  <c r="AD83" i="4" s="1"/>
  <c r="BJ401" i="5"/>
  <c r="AQ83" i="4"/>
  <c r="AA154" i="4"/>
  <c r="AC154" i="4" s="1"/>
  <c r="AD154" i="4" s="1"/>
  <c r="BK91" i="5"/>
  <c r="AA157" i="4"/>
  <c r="AN156" i="4"/>
  <c r="AC70" i="4"/>
  <c r="AD70" i="4" s="1"/>
  <c r="AP34" i="4"/>
  <c r="BK314" i="5"/>
  <c r="AP32" i="4"/>
  <c r="BJ287" i="5"/>
  <c r="BK152" i="5"/>
  <c r="AQ32" i="4"/>
  <c r="BK389" i="5"/>
  <c r="BJ366" i="5"/>
  <c r="AK28" i="4"/>
  <c r="AL28" i="4" s="1"/>
  <c r="AO28" i="4" s="1"/>
  <c r="AA142" i="4"/>
  <c r="AK49" i="4"/>
  <c r="AL49" i="4" s="1"/>
  <c r="AO49" i="4" s="1"/>
  <c r="AA55" i="4"/>
  <c r="BJ518" i="5"/>
  <c r="AC34" i="4"/>
  <c r="AD34" i="4" s="1"/>
  <c r="AA75" i="4"/>
  <c r="AA28" i="4"/>
  <c r="AA139" i="4"/>
  <c r="X121" i="4"/>
  <c r="AJ121" i="4" s="1"/>
  <c r="AN57" i="4"/>
  <c r="X57" i="4"/>
  <c r="AK57" i="4" s="1"/>
  <c r="AL57" i="4" s="1"/>
  <c r="X86" i="4"/>
  <c r="AF124" i="4"/>
  <c r="AG124" i="4" s="1"/>
  <c r="AI124" i="4" s="1"/>
  <c r="X124" i="4"/>
  <c r="AJ124" i="4" s="1"/>
  <c r="AN74" i="4"/>
  <c r="X74" i="4"/>
  <c r="AJ74" i="4" s="1"/>
  <c r="AN79" i="4"/>
  <c r="X79" i="4"/>
  <c r="AJ79" i="4" s="1"/>
  <c r="AN135" i="4"/>
  <c r="X135" i="4"/>
  <c r="AJ135" i="4" s="1"/>
  <c r="AN106" i="4"/>
  <c r="X106" i="4"/>
  <c r="AJ106" i="4" s="1"/>
  <c r="AN61" i="4"/>
  <c r="X61" i="4"/>
  <c r="AJ61" i="4" s="1"/>
  <c r="X116" i="4"/>
  <c r="AJ116" i="4" s="1"/>
  <c r="X117" i="4"/>
  <c r="AJ117" i="4" s="1"/>
  <c r="X97" i="4"/>
  <c r="AJ97" i="4" s="1"/>
  <c r="AN122" i="4"/>
  <c r="X122" i="4"/>
  <c r="AJ122" i="4" s="1"/>
  <c r="X67" i="4"/>
  <c r="AJ67" i="4" s="1"/>
  <c r="X112" i="4"/>
  <c r="AJ112" i="4" s="1"/>
  <c r="X111" i="4"/>
  <c r="AJ111" i="4" s="1"/>
  <c r="X134" i="4"/>
  <c r="AN108" i="4"/>
  <c r="AN143" i="4"/>
  <c r="X143" i="4"/>
  <c r="AK143" i="4" s="1"/>
  <c r="AL143" i="4" s="1"/>
  <c r="AF90" i="4"/>
  <c r="AG90" i="4" s="1"/>
  <c r="AI90" i="4" s="1"/>
  <c r="X90" i="4"/>
  <c r="AK90" i="4" s="1"/>
  <c r="AL90" i="4" s="1"/>
  <c r="AF59" i="4"/>
  <c r="AG59" i="4" s="1"/>
  <c r="AI59" i="4" s="1"/>
  <c r="X59" i="4"/>
  <c r="AJ59" i="4" s="1"/>
  <c r="AA105" i="4"/>
  <c r="AQ105" i="4" s="1"/>
  <c r="AN151" i="4"/>
  <c r="X151" i="4"/>
  <c r="AF108" i="4"/>
  <c r="AG108" i="4" s="1"/>
  <c r="AI108" i="4" s="1"/>
  <c r="AF76" i="4"/>
  <c r="AG76" i="4" s="1"/>
  <c r="AI76" i="4" s="1"/>
  <c r="X76" i="4"/>
  <c r="AJ76" i="4" s="1"/>
  <c r="X82" i="4"/>
  <c r="AJ82" i="4" s="1"/>
  <c r="AN96" i="4"/>
  <c r="X96" i="4"/>
  <c r="AK96" i="4" s="1"/>
  <c r="AL96" i="4" s="1"/>
  <c r="AN93" i="4"/>
  <c r="X93" i="4"/>
  <c r="AK93" i="4" s="1"/>
  <c r="AL93" i="4" s="1"/>
  <c r="AN141" i="4"/>
  <c r="X141" i="4"/>
  <c r="AJ141" i="4" s="1"/>
  <c r="AN110" i="4"/>
  <c r="X110" i="4"/>
  <c r="AA78" i="4"/>
  <c r="AA54" i="4"/>
  <c r="AA50" i="4"/>
  <c r="AF137" i="4"/>
  <c r="AG137" i="4" s="1"/>
  <c r="AI137" i="4" s="1"/>
  <c r="X137" i="4"/>
  <c r="AJ137" i="4" s="1"/>
  <c r="AN95" i="4"/>
  <c r="X95" i="4"/>
  <c r="AJ95" i="4" s="1"/>
  <c r="AA46" i="4"/>
  <c r="X98" i="4"/>
  <c r="AJ98" i="4" s="1"/>
  <c r="AA108" i="4"/>
  <c r="AP108" i="4" s="1"/>
  <c r="X69" i="4"/>
  <c r="AJ69" i="4" s="1"/>
  <c r="AF66" i="4"/>
  <c r="AG66" i="4" s="1"/>
  <c r="AI66" i="4" s="1"/>
  <c r="X66" i="4"/>
  <c r="AK66" i="4" s="1"/>
  <c r="AL66" i="4" s="1"/>
  <c r="AN60" i="4"/>
  <c r="X60" i="4"/>
  <c r="AK60" i="4" s="1"/>
  <c r="AL60" i="4" s="1"/>
  <c r="AN133" i="4"/>
  <c r="X133" i="4"/>
  <c r="AK133" i="4" s="1"/>
  <c r="AL133" i="4" s="1"/>
  <c r="X63" i="4"/>
  <c r="X149" i="4"/>
  <c r="AJ149" i="4" s="1"/>
  <c r="AN77" i="4"/>
  <c r="X77" i="4"/>
  <c r="AK77" i="4" s="1"/>
  <c r="AL77" i="4" s="1"/>
  <c r="AF94" i="4"/>
  <c r="AG94" i="4" s="1"/>
  <c r="AI94" i="4" s="1"/>
  <c r="X94" i="4"/>
  <c r="AJ94" i="4" s="1"/>
  <c r="X113" i="4"/>
  <c r="AA155" i="4"/>
  <c r="AP155" i="4" s="1"/>
  <c r="AA114" i="4"/>
  <c r="AN125" i="4"/>
  <c r="X125" i="4"/>
  <c r="AJ125" i="4" s="1"/>
  <c r="X118" i="4"/>
  <c r="AJ118" i="4" s="1"/>
  <c r="AN129" i="4"/>
  <c r="X129" i="4"/>
  <c r="AJ129" i="4" s="1"/>
  <c r="AA127" i="4"/>
  <c r="AA91" i="4"/>
  <c r="AN62" i="4"/>
  <c r="X62" i="4"/>
  <c r="AK62" i="4" s="1"/>
  <c r="AL62" i="4" s="1"/>
  <c r="X144" i="4"/>
  <c r="X89" i="4"/>
  <c r="AA140" i="4"/>
  <c r="AA92" i="4"/>
  <c r="AQ92" i="4" s="1"/>
  <c r="AF101" i="4"/>
  <c r="AG101" i="4" s="1"/>
  <c r="AI101" i="4" s="1"/>
  <c r="X101" i="4"/>
  <c r="AN85" i="4"/>
  <c r="X85" i="4"/>
  <c r="AK85" i="4" s="1"/>
  <c r="AL85" i="4" s="1"/>
  <c r="AA51" i="4"/>
  <c r="X128" i="4"/>
  <c r="AN136" i="4"/>
  <c r="X136" i="4"/>
  <c r="AK136" i="4" s="1"/>
  <c r="AL136" i="4" s="1"/>
  <c r="AN102" i="4"/>
  <c r="X102" i="4"/>
  <c r="AK102" i="4" s="1"/>
  <c r="AL102" i="4" s="1"/>
  <c r="AA156" i="4"/>
  <c r="AQ156" i="4" s="1"/>
  <c r="X145" i="4"/>
  <c r="AA145" i="4" s="1"/>
  <c r="AA88" i="4"/>
  <c r="AA43" i="4"/>
  <c r="AA49" i="4"/>
  <c r="AN81" i="4"/>
  <c r="X81" i="4"/>
  <c r="AK81" i="4" s="1"/>
  <c r="AL81" i="4" s="1"/>
  <c r="AN65" i="4"/>
  <c r="X65" i="4"/>
  <c r="AK65" i="4" s="1"/>
  <c r="AL65" i="4" s="1"/>
  <c r="AN152" i="4"/>
  <c r="X152" i="4"/>
  <c r="AA146" i="4"/>
  <c r="AA153" i="4"/>
  <c r="AF151" i="4"/>
  <c r="AG151" i="4" s="1"/>
  <c r="AI151" i="4" s="1"/>
  <c r="AA33" i="4"/>
  <c r="BJ451" i="5"/>
  <c r="AP8" i="4"/>
  <c r="AF85" i="4"/>
  <c r="AG85" i="4" s="1"/>
  <c r="AI85" i="4" s="1"/>
  <c r="AF106" i="4"/>
  <c r="AG106" i="4" s="1"/>
  <c r="AI106" i="4" s="1"/>
  <c r="AF134" i="4"/>
  <c r="AG134" i="4" s="1"/>
  <c r="AI134" i="4" s="1"/>
  <c r="AN118" i="4"/>
  <c r="AN134" i="4"/>
  <c r="AN90" i="4"/>
  <c r="AC13" i="4"/>
  <c r="AD13" i="4" s="1"/>
  <c r="AP11" i="4"/>
  <c r="AF118" i="4"/>
  <c r="AG118" i="4" s="1"/>
  <c r="AI118" i="4" s="1"/>
  <c r="AC11" i="4"/>
  <c r="AD11" i="4" s="1"/>
  <c r="AF63" i="4"/>
  <c r="AG63" i="4" s="1"/>
  <c r="AI63" i="4" s="1"/>
  <c r="AN116" i="4"/>
  <c r="AF117" i="4"/>
  <c r="AG117" i="4" s="1"/>
  <c r="AI117" i="4" s="1"/>
  <c r="AF57" i="4"/>
  <c r="AG57" i="4" s="1"/>
  <c r="AI57" i="4" s="1"/>
  <c r="AF149" i="4"/>
  <c r="AG149" i="4" s="1"/>
  <c r="AI149" i="4" s="1"/>
  <c r="AQ13" i="4"/>
  <c r="AF133" i="4"/>
  <c r="AG133" i="4" s="1"/>
  <c r="AI133" i="4" s="1"/>
  <c r="AN149" i="4"/>
  <c r="AF129" i="4"/>
  <c r="AG129" i="4" s="1"/>
  <c r="AI129" i="4" s="1"/>
  <c r="AQ10" i="4"/>
  <c r="AF141" i="4"/>
  <c r="AG141" i="4" s="1"/>
  <c r="AI141" i="4" s="1"/>
  <c r="AF69" i="4"/>
  <c r="AG69" i="4" s="1"/>
  <c r="AI69" i="4" s="1"/>
  <c r="AF61" i="4"/>
  <c r="AG61" i="4" s="1"/>
  <c r="AI61" i="4" s="1"/>
  <c r="AN112" i="4"/>
  <c r="AF135" i="4"/>
  <c r="AG135" i="4" s="1"/>
  <c r="AI135" i="4" s="1"/>
  <c r="AF113" i="4"/>
  <c r="AG113" i="4" s="1"/>
  <c r="AI113" i="4" s="1"/>
  <c r="AN113" i="4"/>
  <c r="AF122" i="4"/>
  <c r="AG122" i="4" s="1"/>
  <c r="AI122" i="4" s="1"/>
  <c r="AF74" i="4"/>
  <c r="AG74" i="4" s="1"/>
  <c r="AI74" i="4" s="1"/>
  <c r="AF111" i="4"/>
  <c r="AG111" i="4" s="1"/>
  <c r="AI111" i="4" s="1"/>
  <c r="AN101" i="4"/>
  <c r="AN111" i="4"/>
  <c r="AP9" i="4"/>
  <c r="AF110" i="4"/>
  <c r="AG110" i="4" s="1"/>
  <c r="AI110" i="4" s="1"/>
  <c r="AF112" i="4"/>
  <c r="AG112" i="4" s="1"/>
  <c r="AI112" i="4" s="1"/>
  <c r="AC12" i="4"/>
  <c r="AD12" i="4" s="1"/>
  <c r="AF152" i="4"/>
  <c r="AG152" i="4" s="1"/>
  <c r="AI152" i="4" s="1"/>
  <c r="AN89" i="4"/>
  <c r="AN94" i="4"/>
  <c r="AC18" i="4"/>
  <c r="AD18" i="4" s="1"/>
  <c r="AF93" i="4"/>
  <c r="AG93" i="4" s="1"/>
  <c r="AI93" i="4" s="1"/>
  <c r="AP14" i="4"/>
  <c r="AC14" i="4"/>
  <c r="AD14" i="4" s="1"/>
  <c r="AQ8" i="4"/>
  <c r="AQ18" i="4"/>
  <c r="AQ24" i="4"/>
  <c r="AF136" i="4"/>
  <c r="AG136" i="4" s="1"/>
  <c r="AI136" i="4" s="1"/>
  <c r="AF116" i="4"/>
  <c r="AG116" i="4" s="1"/>
  <c r="AI116" i="4" s="1"/>
  <c r="AQ22" i="4"/>
  <c r="AF60" i="4"/>
  <c r="AG60" i="4" s="1"/>
  <c r="AI60" i="4" s="1"/>
  <c r="AN59" i="4"/>
  <c r="AP22" i="4"/>
  <c r="AC25" i="4"/>
  <c r="AD25" i="4" s="1"/>
  <c r="AQ25" i="4"/>
  <c r="AF95" i="4"/>
  <c r="AG95" i="4" s="1"/>
  <c r="AI95" i="4" s="1"/>
  <c r="AF143" i="4"/>
  <c r="AG143" i="4" s="1"/>
  <c r="AI143" i="4" s="1"/>
  <c r="AC24" i="4"/>
  <c r="AD24" i="4" s="1"/>
  <c r="AF97" i="4"/>
  <c r="AG97" i="4" s="1"/>
  <c r="AI97" i="4" s="1"/>
  <c r="AQ16" i="4"/>
  <c r="AF144" i="4"/>
  <c r="AG144" i="4" s="1"/>
  <c r="AI144" i="4" s="1"/>
  <c r="AC11" i="5"/>
  <c r="AE11" i="5" s="1"/>
  <c r="AN97" i="4"/>
  <c r="AN82" i="4"/>
  <c r="AP7" i="4"/>
  <c r="AQ7" i="4"/>
  <c r="AC23" i="4"/>
  <c r="AD23" i="4" s="1"/>
  <c r="AN144" i="4"/>
  <c r="AF65" i="4"/>
  <c r="AG65" i="4" s="1"/>
  <c r="AI65" i="4" s="1"/>
  <c r="AF67" i="4"/>
  <c r="AG67" i="4" s="1"/>
  <c r="AI67" i="4" s="1"/>
  <c r="AF77" i="4"/>
  <c r="AG77" i="4" s="1"/>
  <c r="AI77" i="4" s="1"/>
  <c r="AQ23" i="4"/>
  <c r="AN67" i="4"/>
  <c r="AF128" i="4"/>
  <c r="AG128" i="4" s="1"/>
  <c r="AI128" i="4" s="1"/>
  <c r="AN128" i="4"/>
  <c r="AF81" i="4"/>
  <c r="AG81" i="4" s="1"/>
  <c r="AI81" i="4" s="1"/>
  <c r="AF98" i="4"/>
  <c r="AG98" i="4" s="1"/>
  <c r="AI98" i="4" s="1"/>
  <c r="AF79" i="4"/>
  <c r="AG79" i="4" s="1"/>
  <c r="AI79" i="4" s="1"/>
  <c r="AP16" i="4"/>
  <c r="AF82" i="4"/>
  <c r="AG82" i="4" s="1"/>
  <c r="AI82" i="4" s="1"/>
  <c r="AN98" i="4"/>
  <c r="AO18" i="4"/>
  <c r="AN137" i="4"/>
  <c r="AN66" i="4"/>
  <c r="AN121" i="4"/>
  <c r="AF102" i="4"/>
  <c r="AG102" i="4" s="1"/>
  <c r="AI102" i="4" s="1"/>
  <c r="AF121" i="4"/>
  <c r="AG121" i="4" s="1"/>
  <c r="AI121" i="4" s="1"/>
  <c r="AP20" i="4"/>
  <c r="AC15" i="4"/>
  <c r="AD15" i="4" s="1"/>
  <c r="AC20" i="4"/>
  <c r="AD20" i="4" s="1"/>
  <c r="AP15" i="4"/>
  <c r="AQ9" i="4"/>
  <c r="AP12" i="4"/>
  <c r="AN124" i="4"/>
  <c r="AF96" i="4"/>
  <c r="AG96" i="4" s="1"/>
  <c r="AI96" i="4" s="1"/>
  <c r="AO107" i="4"/>
  <c r="AF125" i="4"/>
  <c r="AG125" i="4" s="1"/>
  <c r="AI125" i="4" s="1"/>
  <c r="AF89" i="4"/>
  <c r="AG89" i="4" s="1"/>
  <c r="AI89" i="4" s="1"/>
  <c r="AO150" i="4"/>
  <c r="AO34" i="4"/>
  <c r="AO22" i="4"/>
  <c r="AO48" i="4"/>
  <c r="AO26" i="4"/>
  <c r="AO132" i="4"/>
  <c r="AO7" i="4"/>
  <c r="AO19" i="4"/>
  <c r="AO11" i="4"/>
  <c r="AO87" i="4"/>
  <c r="AO138" i="4"/>
  <c r="AO80" i="4"/>
  <c r="BF418" i="5"/>
  <c r="BH418" i="5" s="1"/>
  <c r="AO16" i="4"/>
  <c r="AO9" i="4"/>
  <c r="AO53" i="4"/>
  <c r="AO42" i="4"/>
  <c r="AO32" i="4"/>
  <c r="AO21" i="4"/>
  <c r="AE418" i="5"/>
  <c r="AO72" i="4"/>
  <c r="AO38" i="4"/>
  <c r="AO52" i="4"/>
  <c r="AO147" i="4"/>
  <c r="AO15" i="4"/>
  <c r="AO8" i="4"/>
  <c r="AO24" i="4"/>
  <c r="AO36" i="4"/>
  <c r="AO40" i="4"/>
  <c r="AO68" i="4"/>
  <c r="AO31" i="4"/>
  <c r="AO13" i="4"/>
  <c r="AO10" i="4"/>
  <c r="AO27" i="4"/>
  <c r="AO20" i="4"/>
  <c r="AO84" i="4"/>
  <c r="AO37" i="4"/>
  <c r="AO12" i="4"/>
  <c r="AO45" i="4"/>
  <c r="AO25" i="4"/>
  <c r="AD559" i="5"/>
  <c r="BF559" i="5"/>
  <c r="AE559" i="5"/>
  <c r="AD27" i="5"/>
  <c r="BF27" i="5"/>
  <c r="AE27" i="5"/>
  <c r="AD69" i="5"/>
  <c r="BF69" i="5"/>
  <c r="AE69" i="5"/>
  <c r="AE384" i="5"/>
  <c r="AD384" i="5"/>
  <c r="BF384" i="5"/>
  <c r="AE101" i="5"/>
  <c r="AD101" i="5"/>
  <c r="BF101" i="5"/>
  <c r="BF391" i="5"/>
  <c r="AE391" i="5"/>
  <c r="AD391" i="5"/>
  <c r="AE409" i="5"/>
  <c r="AD409" i="5"/>
  <c r="BF409" i="5"/>
  <c r="AD385" i="5"/>
  <c r="AE385" i="5"/>
  <c r="BF385" i="5"/>
  <c r="AE197" i="5"/>
  <c r="AD197" i="5"/>
  <c r="BF197" i="5"/>
  <c r="AE183" i="5"/>
  <c r="AD183" i="5"/>
  <c r="BF183" i="5"/>
  <c r="AE478" i="5"/>
  <c r="BF478" i="5"/>
  <c r="AD478" i="5"/>
  <c r="AE368" i="5"/>
  <c r="AD368" i="5"/>
  <c r="BF368" i="5"/>
  <c r="AE436" i="5"/>
  <c r="AD436" i="5"/>
  <c r="BF436" i="5"/>
  <c r="AD26" i="5"/>
  <c r="AE26" i="5"/>
  <c r="BF26" i="5"/>
  <c r="BF52" i="5"/>
  <c r="AE52" i="5"/>
  <c r="AD52" i="5"/>
  <c r="AD361" i="5"/>
  <c r="BF361" i="5"/>
  <c r="AE361" i="5"/>
  <c r="AD103" i="5"/>
  <c r="AE103" i="5"/>
  <c r="BF103" i="5"/>
  <c r="AD140" i="5"/>
  <c r="BF140" i="5"/>
  <c r="AE140" i="5"/>
  <c r="AE206" i="5"/>
  <c r="BF206" i="5"/>
  <c r="AD206" i="5"/>
  <c r="AE261" i="5"/>
  <c r="AD261" i="5"/>
  <c r="BF261" i="5"/>
  <c r="BF142" i="5"/>
  <c r="AD142" i="5"/>
  <c r="AE142" i="5"/>
  <c r="BF50" i="5"/>
  <c r="AE50" i="5"/>
  <c r="AD50" i="5"/>
  <c r="AE459" i="5"/>
  <c r="BF459" i="5"/>
  <c r="AD459" i="5"/>
  <c r="BF96" i="5"/>
  <c r="AD96" i="5"/>
  <c r="AE96" i="5"/>
  <c r="BK260" i="5"/>
  <c r="BJ260" i="5"/>
  <c r="BK252" i="5"/>
  <c r="BJ252" i="5"/>
  <c r="AD297" i="5"/>
  <c r="AE297" i="5"/>
  <c r="BF297" i="5"/>
  <c r="AD97" i="5"/>
  <c r="AE97" i="5"/>
  <c r="BF97" i="5"/>
  <c r="AD358" i="5"/>
  <c r="AE358" i="5"/>
  <c r="BF358" i="5"/>
  <c r="AD260" i="5"/>
  <c r="AE260" i="5"/>
  <c r="BF260" i="5"/>
  <c r="AD38" i="5"/>
  <c r="BF38" i="5"/>
  <c r="AE38" i="5"/>
  <c r="BF141" i="5"/>
  <c r="AE141" i="5"/>
  <c r="AD141" i="5"/>
  <c r="AD45" i="5"/>
  <c r="BF45" i="5"/>
  <c r="AE45" i="5"/>
  <c r="AD265" i="5"/>
  <c r="AE265" i="5"/>
  <c r="BF265" i="5"/>
  <c r="AD531" i="5"/>
  <c r="BF531" i="5"/>
  <c r="AE531" i="5"/>
  <c r="BF513" i="5"/>
  <c r="AD513" i="5"/>
  <c r="AE513" i="5"/>
  <c r="AE134" i="5"/>
  <c r="BF134" i="5"/>
  <c r="AD134" i="5"/>
  <c r="BF104" i="5"/>
  <c r="AD104" i="5"/>
  <c r="AE104" i="5"/>
  <c r="AE479" i="5"/>
  <c r="AD479" i="5"/>
  <c r="BF479" i="5"/>
  <c r="BF122" i="5"/>
  <c r="AD122" i="5"/>
  <c r="AE122" i="5"/>
  <c r="BF383" i="5"/>
  <c r="AE383" i="5"/>
  <c r="AD383" i="5"/>
  <c r="AD519" i="5"/>
  <c r="AE519" i="5"/>
  <c r="BF519" i="5"/>
  <c r="AD470" i="5"/>
  <c r="AE470" i="5"/>
  <c r="BF470" i="5"/>
  <c r="BF139" i="5"/>
  <c r="AE139" i="5"/>
  <c r="AD139" i="5"/>
  <c r="AD208" i="5"/>
  <c r="BF208" i="5"/>
  <c r="AE208" i="5"/>
  <c r="AE308" i="5"/>
  <c r="AD308" i="5"/>
  <c r="BF308" i="5"/>
  <c r="BF510" i="5"/>
  <c r="AD510" i="5"/>
  <c r="AE510" i="5"/>
  <c r="AD552" i="5"/>
  <c r="AE552" i="5"/>
  <c r="BF552" i="5"/>
  <c r="BF182" i="5"/>
  <c r="AD182" i="5"/>
  <c r="AE182" i="5"/>
  <c r="AE20" i="5"/>
  <c r="BF20" i="5"/>
  <c r="AD20" i="5"/>
  <c r="AE516" i="5"/>
  <c r="AD516" i="5"/>
  <c r="BF516" i="5"/>
  <c r="AD205" i="5"/>
  <c r="BF205" i="5"/>
  <c r="AE205" i="5"/>
  <c r="AE106" i="5"/>
  <c r="BF106" i="5"/>
  <c r="AD106" i="5"/>
  <c r="AE318" i="5"/>
  <c r="BF318" i="5"/>
  <c r="AD318" i="5"/>
  <c r="AE334" i="5"/>
  <c r="BF334" i="5"/>
  <c r="AD334" i="5"/>
  <c r="AE157" i="5"/>
  <c r="BF157" i="5"/>
  <c r="AD157" i="5"/>
  <c r="AE503" i="5"/>
  <c r="BF503" i="5"/>
  <c r="AD503" i="5"/>
  <c r="AD232" i="5"/>
  <c r="BF232" i="5"/>
  <c r="AE232" i="5"/>
  <c r="BF345" i="5"/>
  <c r="AE345" i="5"/>
  <c r="AD345" i="5"/>
  <c r="AD541" i="5"/>
  <c r="BF541" i="5"/>
  <c r="AE541" i="5"/>
  <c r="AE21" i="5"/>
  <c r="AD21" i="5"/>
  <c r="BF21" i="5"/>
  <c r="AE210" i="5"/>
  <c r="BF210" i="5"/>
  <c r="AD210" i="5"/>
  <c r="AD437" i="5"/>
  <c r="BF437" i="5"/>
  <c r="AE437" i="5"/>
  <c r="BF372" i="5"/>
  <c r="AD372" i="5"/>
  <c r="AE372" i="5"/>
  <c r="AE549" i="5"/>
  <c r="BF549" i="5"/>
  <c r="AD549" i="5"/>
  <c r="AE150" i="5"/>
  <c r="AD150" i="5"/>
  <c r="BF150" i="5"/>
  <c r="AD279" i="5"/>
  <c r="BF279" i="5"/>
  <c r="AE279" i="5"/>
  <c r="AE207" i="5"/>
  <c r="AD207" i="5"/>
  <c r="BF207" i="5"/>
  <c r="BF128" i="5"/>
  <c r="AE128" i="5"/>
  <c r="AD128" i="5"/>
  <c r="AE544" i="5"/>
  <c r="AD544" i="5"/>
  <c r="BF544" i="5"/>
  <c r="AD287" i="5"/>
  <c r="BF287" i="5"/>
  <c r="AE287" i="5"/>
  <c r="AD432" i="5"/>
  <c r="AE432" i="5"/>
  <c r="BF432" i="5"/>
  <c r="AD253" i="5"/>
  <c r="BF253" i="5"/>
  <c r="AE253" i="5"/>
  <c r="AE295" i="5"/>
  <c r="AD295" i="5"/>
  <c r="BF295" i="5"/>
  <c r="AD452" i="5"/>
  <c r="BF452" i="5"/>
  <c r="AE452" i="5"/>
  <c r="AE512" i="5"/>
  <c r="BF512" i="5"/>
  <c r="AD512" i="5"/>
  <c r="AD53" i="5"/>
  <c r="AE53" i="5"/>
  <c r="BF53" i="5"/>
  <c r="AE388" i="5"/>
  <c r="AD388" i="5"/>
  <c r="BF388" i="5"/>
  <c r="AE288" i="5"/>
  <c r="AD288" i="5"/>
  <c r="BF288" i="5"/>
  <c r="AE351" i="5"/>
  <c r="AD351" i="5"/>
  <c r="BF351" i="5"/>
  <c r="AE547" i="5"/>
  <c r="AD547" i="5"/>
  <c r="BF547" i="5"/>
  <c r="AE493" i="5"/>
  <c r="AD493" i="5"/>
  <c r="BF493" i="5"/>
  <c r="BF428" i="5"/>
  <c r="AD428" i="5"/>
  <c r="AE428" i="5"/>
  <c r="BF48" i="5"/>
  <c r="AD48" i="5"/>
  <c r="AE48" i="5"/>
  <c r="AE117" i="5"/>
  <c r="AD117" i="5"/>
  <c r="BF117" i="5"/>
  <c r="AE173" i="5"/>
  <c r="BF173" i="5"/>
  <c r="AD173" i="5"/>
  <c r="AD228" i="5"/>
  <c r="AE228" i="5"/>
  <c r="BF228" i="5"/>
  <c r="AE94" i="5"/>
  <c r="AD94" i="5"/>
  <c r="BF94" i="5"/>
  <c r="AD456" i="5"/>
  <c r="BF456" i="5"/>
  <c r="AE456" i="5"/>
  <c r="AD413" i="5"/>
  <c r="AE413" i="5"/>
  <c r="BF413" i="5"/>
  <c r="AD92" i="5"/>
  <c r="AE92" i="5"/>
  <c r="BF92" i="5"/>
  <c r="BK411" i="5"/>
  <c r="BJ411" i="5"/>
  <c r="AD44" i="5"/>
  <c r="BF44" i="5"/>
  <c r="AE44" i="5"/>
  <c r="AD431" i="5"/>
  <c r="AE431" i="5"/>
  <c r="BF431" i="5"/>
  <c r="AE144" i="5"/>
  <c r="AD144" i="5"/>
  <c r="BF144" i="5"/>
  <c r="BF88" i="5"/>
  <c r="AE88" i="5"/>
  <c r="AD88" i="5"/>
  <c r="AD8" i="5"/>
  <c r="AE8" i="5"/>
  <c r="BF8" i="5"/>
  <c r="BF254" i="5"/>
  <c r="AE254" i="5"/>
  <c r="AD254" i="5"/>
  <c r="AD370" i="5"/>
  <c r="AE370" i="5"/>
  <c r="BF370" i="5"/>
  <c r="AD245" i="5"/>
  <c r="BF245" i="5"/>
  <c r="AE245" i="5"/>
  <c r="AE243" i="5"/>
  <c r="BF243" i="5"/>
  <c r="AD243" i="5"/>
  <c r="BF429" i="5"/>
  <c r="AD429" i="5"/>
  <c r="AE429" i="5"/>
  <c r="AE482" i="5"/>
  <c r="BF482" i="5"/>
  <c r="AD482" i="5"/>
  <c r="AE185" i="5"/>
  <c r="BF185" i="5"/>
  <c r="AD185" i="5"/>
  <c r="AD112" i="5"/>
  <c r="AE112" i="5"/>
  <c r="BF112" i="5"/>
  <c r="AE538" i="5"/>
  <c r="BF538" i="5"/>
  <c r="AD538" i="5"/>
  <c r="AD231" i="5"/>
  <c r="BF231" i="5"/>
  <c r="AE231" i="5"/>
  <c r="AE477" i="5"/>
  <c r="AD477" i="5"/>
  <c r="BF477" i="5"/>
  <c r="AE526" i="5"/>
  <c r="AD526" i="5"/>
  <c r="BF526" i="5"/>
  <c r="AE290" i="5"/>
  <c r="AD290" i="5"/>
  <c r="BF290" i="5"/>
  <c r="AD168" i="5"/>
  <c r="BF168" i="5"/>
  <c r="AE168" i="5"/>
  <c r="AE252" i="5"/>
  <c r="BF252" i="5"/>
  <c r="AD252" i="5"/>
  <c r="AD426" i="5"/>
  <c r="BF426" i="5"/>
  <c r="AE426" i="5"/>
  <c r="AE491" i="5"/>
  <c r="AD491" i="5"/>
  <c r="BF491" i="5"/>
  <c r="BF342" i="5"/>
  <c r="AE342" i="5"/>
  <c r="AD342" i="5"/>
  <c r="AE321" i="5"/>
  <c r="AD321" i="5"/>
  <c r="BF321" i="5"/>
  <c r="BF481" i="5"/>
  <c r="AE481" i="5"/>
  <c r="AD481" i="5"/>
  <c r="AD54" i="5"/>
  <c r="BF54" i="5"/>
  <c r="AE54" i="5"/>
  <c r="AE219" i="5"/>
  <c r="AD219" i="5"/>
  <c r="BF219" i="5"/>
  <c r="AE317" i="5"/>
  <c r="BF317" i="5"/>
  <c r="AD317" i="5"/>
  <c r="AE163" i="5"/>
  <c r="BF163" i="5"/>
  <c r="AD163" i="5"/>
  <c r="AE200" i="5"/>
  <c r="AD200" i="5"/>
  <c r="BF200" i="5"/>
  <c r="AD250" i="5"/>
  <c r="BF250" i="5"/>
  <c r="AE250" i="5"/>
  <c r="AE392" i="5"/>
  <c r="AD392" i="5"/>
  <c r="BF392" i="5"/>
  <c r="BF188" i="5"/>
  <c r="AD188" i="5"/>
  <c r="AE188" i="5"/>
  <c r="AE60" i="5"/>
  <c r="AD60" i="5"/>
  <c r="BF60" i="5"/>
  <c r="AE35" i="5"/>
  <c r="AD35" i="5"/>
  <c r="BF35" i="5"/>
  <c r="BK485" i="5"/>
  <c r="BJ485" i="5"/>
  <c r="AO71" i="4"/>
  <c r="AE218" i="5"/>
  <c r="BF218" i="5"/>
  <c r="AD218" i="5"/>
  <c r="AD235" i="5"/>
  <c r="BF235" i="5"/>
  <c r="AE235" i="5"/>
  <c r="BK209" i="5"/>
  <c r="BJ209" i="5"/>
  <c r="AO23" i="4"/>
  <c r="BK497" i="5"/>
  <c r="BJ497" i="5"/>
  <c r="AE167" i="5"/>
  <c r="AD167" i="5"/>
  <c r="BF167" i="5"/>
  <c r="AO99" i="4"/>
  <c r="BJ84" i="5"/>
  <c r="BK84" i="5"/>
  <c r="BJ127" i="5"/>
  <c r="BK127" i="5"/>
  <c r="AO30" i="4"/>
  <c r="AB11" i="5"/>
  <c r="AA11" i="5"/>
  <c r="U11" i="5"/>
  <c r="V11" i="5"/>
  <c r="AH11" i="5"/>
  <c r="AI11" i="5"/>
  <c r="BK284" i="5"/>
  <c r="BJ284" i="5"/>
  <c r="BK419" i="5"/>
  <c r="BJ419" i="5"/>
  <c r="BJ148" i="5"/>
  <c r="BK148" i="5"/>
  <c r="AO17" i="4"/>
  <c r="AU17" i="4" s="1"/>
  <c r="AW17" i="4" s="1"/>
  <c r="AD348" i="5"/>
  <c r="BF348" i="5"/>
  <c r="AE348" i="5"/>
  <c r="AE299" i="5"/>
  <c r="BF299" i="5"/>
  <c r="AD299" i="5"/>
  <c r="BF447" i="5"/>
  <c r="AE447" i="5"/>
  <c r="AD447" i="5"/>
  <c r="AE364" i="5"/>
  <c r="AD364" i="5"/>
  <c r="BF364" i="5"/>
  <c r="AE172" i="5"/>
  <c r="BF172" i="5"/>
  <c r="AD172" i="5"/>
  <c r="AO35" i="4"/>
  <c r="AO47" i="4"/>
  <c r="AE256" i="5"/>
  <c r="BF256" i="5"/>
  <c r="AD256" i="5"/>
  <c r="BF77" i="5"/>
  <c r="AE77" i="5"/>
  <c r="AD77" i="5"/>
  <c r="AD514" i="5"/>
  <c r="AE514" i="5"/>
  <c r="BF514" i="5"/>
  <c r="AE242" i="5"/>
  <c r="BF242" i="5"/>
  <c r="AD242" i="5"/>
  <c r="AD504" i="5"/>
  <c r="BF504" i="5"/>
  <c r="AE504" i="5"/>
  <c r="BF115" i="5"/>
  <c r="AE115" i="5"/>
  <c r="AD115" i="5"/>
  <c r="AD521" i="5"/>
  <c r="BF521" i="5"/>
  <c r="AE521" i="5"/>
  <c r="AD42" i="5"/>
  <c r="BF42" i="5"/>
  <c r="AE42" i="5"/>
  <c r="AD300" i="5"/>
  <c r="AE300" i="5"/>
  <c r="BF300" i="5"/>
  <c r="AE109" i="5"/>
  <c r="AD109" i="5"/>
  <c r="BF109" i="5"/>
  <c r="AD56" i="5"/>
  <c r="AE56" i="5"/>
  <c r="BF56" i="5"/>
  <c r="AE528" i="5"/>
  <c r="BF528" i="5"/>
  <c r="AD528" i="5"/>
  <c r="AD116" i="5"/>
  <c r="AE116" i="5"/>
  <c r="BF116" i="5"/>
  <c r="AE40" i="5"/>
  <c r="AD40" i="5"/>
  <c r="BF40" i="5"/>
  <c r="AE360" i="5"/>
  <c r="BF360" i="5"/>
  <c r="AD360" i="5"/>
  <c r="AD107" i="5"/>
  <c r="AE107" i="5"/>
  <c r="BF107" i="5"/>
  <c r="BF298" i="5"/>
  <c r="AD298" i="5"/>
  <c r="AE298" i="5"/>
  <c r="AD498" i="5"/>
  <c r="AE498" i="5"/>
  <c r="BF498" i="5"/>
  <c r="AE184" i="5"/>
  <c r="AD184" i="5"/>
  <c r="BF184" i="5"/>
  <c r="AE387" i="5"/>
  <c r="BF387" i="5"/>
  <c r="AD387" i="5"/>
  <c r="AD464" i="5"/>
  <c r="AE464" i="5"/>
  <c r="BF464" i="5"/>
  <c r="AE202" i="5"/>
  <c r="AD202" i="5"/>
  <c r="BF202" i="5"/>
  <c r="AE158" i="5"/>
  <c r="AD158" i="5"/>
  <c r="BF158" i="5"/>
  <c r="AE467" i="5"/>
  <c r="BF467" i="5"/>
  <c r="AD467" i="5"/>
  <c r="AE102" i="5"/>
  <c r="AD102" i="5"/>
  <c r="BF102" i="5"/>
  <c r="BF502" i="5"/>
  <c r="AD502" i="5"/>
  <c r="AE502" i="5"/>
  <c r="AD400" i="5"/>
  <c r="BF400" i="5"/>
  <c r="AE400" i="5"/>
  <c r="AE147" i="5"/>
  <c r="AD147" i="5"/>
  <c r="BF147" i="5"/>
  <c r="AE312" i="5"/>
  <c r="AD312" i="5"/>
  <c r="BF312" i="5"/>
  <c r="AD439" i="5"/>
  <c r="BF439" i="5"/>
  <c r="AE439" i="5"/>
  <c r="BF135" i="5"/>
  <c r="AE135" i="5"/>
  <c r="AD135" i="5"/>
  <c r="AE330" i="5"/>
  <c r="AD330" i="5"/>
  <c r="BF330" i="5"/>
  <c r="AE534" i="5"/>
  <c r="BF534" i="5"/>
  <c r="AD534" i="5"/>
  <c r="AE344" i="5"/>
  <c r="BF344" i="5"/>
  <c r="AD344" i="5"/>
  <c r="AD524" i="5"/>
  <c r="AE524" i="5"/>
  <c r="BF524" i="5"/>
  <c r="AD410" i="5"/>
  <c r="AE410" i="5"/>
  <c r="BF410" i="5"/>
  <c r="AD81" i="5"/>
  <c r="BF81" i="5"/>
  <c r="AE81" i="5"/>
  <c r="BF430" i="5"/>
  <c r="AD430" i="5"/>
  <c r="AE430" i="5"/>
  <c r="BF448" i="5"/>
  <c r="AE448" i="5"/>
  <c r="AD448" i="5"/>
  <c r="AD286" i="5"/>
  <c r="BF286" i="5"/>
  <c r="AE286" i="5"/>
  <c r="AD485" i="5"/>
  <c r="BF485" i="5"/>
  <c r="AE485" i="5"/>
  <c r="AD160" i="5"/>
  <c r="BF160" i="5"/>
  <c r="AE160" i="5"/>
  <c r="BF406" i="5"/>
  <c r="AD406" i="5"/>
  <c r="AE406" i="5"/>
  <c r="AE332" i="5"/>
  <c r="BF332" i="5"/>
  <c r="AD332" i="5"/>
  <c r="AD515" i="5"/>
  <c r="BF515" i="5"/>
  <c r="AE515" i="5"/>
  <c r="BF217" i="5"/>
  <c r="AD217" i="5"/>
  <c r="AE217" i="5"/>
  <c r="AD72" i="5"/>
  <c r="AE72" i="5"/>
  <c r="BF72" i="5"/>
  <c r="AE543" i="5"/>
  <c r="BF543" i="5"/>
  <c r="AD543" i="5"/>
  <c r="AE194" i="5"/>
  <c r="AD194" i="5"/>
  <c r="BF194" i="5"/>
  <c r="BF268" i="5"/>
  <c r="AE268" i="5"/>
  <c r="AD268" i="5"/>
  <c r="BF55" i="5"/>
  <c r="AD55" i="5"/>
  <c r="AE55" i="5"/>
  <c r="AE325" i="5"/>
  <c r="AD325" i="5"/>
  <c r="BF325" i="5"/>
  <c r="BF327" i="5"/>
  <c r="AD327" i="5"/>
  <c r="AE327" i="5"/>
  <c r="AE73" i="5"/>
  <c r="AD73" i="5"/>
  <c r="BF73" i="5"/>
  <c r="BF296" i="5"/>
  <c r="AE296" i="5"/>
  <c r="AD296" i="5"/>
  <c r="AE66" i="5"/>
  <c r="AD66" i="5"/>
  <c r="BF66" i="5"/>
  <c r="BF366" i="5"/>
  <c r="AD366" i="5"/>
  <c r="AE366" i="5"/>
  <c r="BF186" i="5"/>
  <c r="AE186" i="5"/>
  <c r="AD186" i="5"/>
  <c r="AD63" i="5"/>
  <c r="AE63" i="5"/>
  <c r="BF63" i="5"/>
  <c r="AD396" i="5"/>
  <c r="BF396" i="5"/>
  <c r="AE396" i="5"/>
  <c r="BF284" i="5"/>
  <c r="AD284" i="5"/>
  <c r="AE284" i="5"/>
  <c r="AE293" i="5"/>
  <c r="AD293" i="5"/>
  <c r="BF293" i="5"/>
  <c r="AD12" i="5"/>
  <c r="BF12" i="5"/>
  <c r="AE12" i="5"/>
  <c r="AE259" i="5"/>
  <c r="BF259" i="5"/>
  <c r="AD259" i="5"/>
  <c r="AD10" i="5"/>
  <c r="AE10" i="5"/>
  <c r="BF10" i="5"/>
  <c r="AD32" i="5"/>
  <c r="AE32" i="5"/>
  <c r="BF32" i="5"/>
  <c r="AE556" i="5"/>
  <c r="AD556" i="5"/>
  <c r="BF556" i="5"/>
  <c r="AO120" i="4"/>
  <c r="AE29" i="5"/>
  <c r="AD29" i="5"/>
  <c r="BF29" i="5"/>
  <c r="AE70" i="5"/>
  <c r="BF70" i="5"/>
  <c r="AD70" i="5"/>
  <c r="AD522" i="5"/>
  <c r="AE522" i="5"/>
  <c r="BF522" i="5"/>
  <c r="AE309" i="5"/>
  <c r="AD309" i="5"/>
  <c r="BF309" i="5"/>
  <c r="BF316" i="5"/>
  <c r="AE316" i="5"/>
  <c r="AD316" i="5"/>
  <c r="BF551" i="5"/>
  <c r="AD551" i="5"/>
  <c r="AE551" i="5"/>
  <c r="AE331" i="5"/>
  <c r="AD331" i="5"/>
  <c r="BF331" i="5"/>
  <c r="BF41" i="5"/>
  <c r="AE41" i="5"/>
  <c r="AD41" i="5"/>
  <c r="AD381" i="5"/>
  <c r="AE381" i="5"/>
  <c r="BF381" i="5"/>
  <c r="AE220" i="5"/>
  <c r="AD220" i="5"/>
  <c r="BF220" i="5"/>
  <c r="BF487" i="5"/>
  <c r="AE487" i="5"/>
  <c r="AD487" i="5"/>
  <c r="AD289" i="5"/>
  <c r="AE289" i="5"/>
  <c r="BF289" i="5"/>
  <c r="AE271" i="5"/>
  <c r="AD271" i="5"/>
  <c r="BF271" i="5"/>
  <c r="AE425" i="5"/>
  <c r="AD425" i="5"/>
  <c r="BF425" i="5"/>
  <c r="AE65" i="5"/>
  <c r="AD65" i="5"/>
  <c r="BF65" i="5"/>
  <c r="AD68" i="5"/>
  <c r="BF68" i="5"/>
  <c r="AE68" i="5"/>
  <c r="BF343" i="5"/>
  <c r="AE343" i="5"/>
  <c r="AD343" i="5"/>
  <c r="BF156" i="5"/>
  <c r="AD156" i="5"/>
  <c r="AE156" i="5"/>
  <c r="BF100" i="5"/>
  <c r="AE100" i="5"/>
  <c r="AD100" i="5"/>
  <c r="AE130" i="5"/>
  <c r="BF130" i="5"/>
  <c r="AD130" i="5"/>
  <c r="AD497" i="5"/>
  <c r="AE497" i="5"/>
  <c r="BF497" i="5"/>
  <c r="BF480" i="5"/>
  <c r="AD480" i="5"/>
  <c r="AE480" i="5"/>
  <c r="AD291" i="5"/>
  <c r="AE291" i="5"/>
  <c r="BF291" i="5"/>
  <c r="AD490" i="5"/>
  <c r="AE490" i="5"/>
  <c r="BF490" i="5"/>
  <c r="AD143" i="5"/>
  <c r="AE143" i="5"/>
  <c r="BF143" i="5"/>
  <c r="AD420" i="5"/>
  <c r="AE420" i="5"/>
  <c r="BF420" i="5"/>
  <c r="AE251" i="5"/>
  <c r="AD251" i="5"/>
  <c r="BF251" i="5"/>
  <c r="AE152" i="5"/>
  <c r="BF152" i="5"/>
  <c r="AD152" i="5"/>
  <c r="AD336" i="5"/>
  <c r="AE336" i="5"/>
  <c r="BF336" i="5"/>
  <c r="AD557" i="5"/>
  <c r="AE557" i="5"/>
  <c r="BF557" i="5"/>
  <c r="AE283" i="5"/>
  <c r="AD283" i="5"/>
  <c r="BF283" i="5"/>
  <c r="AE280" i="5"/>
  <c r="AD280" i="5"/>
  <c r="BF280" i="5"/>
  <c r="AE454" i="5"/>
  <c r="AD454" i="5"/>
  <c r="BF454" i="5"/>
  <c r="BJ446" i="5"/>
  <c r="BK446" i="5"/>
  <c r="AE28" i="5"/>
  <c r="BF28" i="5"/>
  <c r="AD28" i="5"/>
  <c r="AD542" i="5"/>
  <c r="AE542" i="5"/>
  <c r="BF542" i="5"/>
  <c r="BF415" i="5"/>
  <c r="AE415" i="5"/>
  <c r="AD415" i="5"/>
  <c r="AE421" i="5"/>
  <c r="BF421" i="5"/>
  <c r="AD421" i="5"/>
  <c r="AD473" i="5"/>
  <c r="AE473" i="5"/>
  <c r="BF473" i="5"/>
  <c r="AE277" i="5"/>
  <c r="AD277" i="5"/>
  <c r="BF277" i="5"/>
  <c r="AE324" i="5"/>
  <c r="BF324" i="5"/>
  <c r="AD324" i="5"/>
  <c r="AD402" i="5"/>
  <c r="AE402" i="5"/>
  <c r="BF402" i="5"/>
  <c r="AE162" i="5"/>
  <c r="AD162" i="5"/>
  <c r="BF162" i="5"/>
  <c r="BF124" i="5"/>
  <c r="AD124" i="5"/>
  <c r="AE124" i="5"/>
  <c r="AE171" i="5"/>
  <c r="AD171" i="5"/>
  <c r="BF171" i="5"/>
  <c r="AE457" i="5"/>
  <c r="BF457" i="5"/>
  <c r="AD457" i="5"/>
  <c r="BF435" i="5"/>
  <c r="AD435" i="5"/>
  <c r="AE435" i="5"/>
  <c r="AD535" i="5"/>
  <c r="AE535" i="5"/>
  <c r="BF535" i="5"/>
  <c r="BF449" i="5"/>
  <c r="AD449" i="5"/>
  <c r="AE449" i="5"/>
  <c r="AD121" i="5"/>
  <c r="AE121" i="5"/>
  <c r="BF121" i="5"/>
  <c r="BF307" i="5"/>
  <c r="AD307" i="5"/>
  <c r="AE307" i="5"/>
  <c r="AD266" i="5"/>
  <c r="AE266" i="5"/>
  <c r="BF266" i="5"/>
  <c r="AE476" i="5"/>
  <c r="AD476" i="5"/>
  <c r="BF476" i="5"/>
  <c r="AD267" i="5"/>
  <c r="BF267" i="5"/>
  <c r="AE267" i="5"/>
  <c r="BF285" i="5"/>
  <c r="AE285" i="5"/>
  <c r="AD285" i="5"/>
  <c r="AE263" i="5"/>
  <c r="BF263" i="5"/>
  <c r="AD263" i="5"/>
  <c r="AD255" i="5"/>
  <c r="BF255" i="5"/>
  <c r="AE255" i="5"/>
  <c r="AE23" i="5"/>
  <c r="BF23" i="5"/>
  <c r="AD23" i="5"/>
  <c r="AE138" i="5"/>
  <c r="BF138" i="5"/>
  <c r="AD138" i="5"/>
  <c r="AD365" i="5"/>
  <c r="BF365" i="5"/>
  <c r="AE365" i="5"/>
  <c r="AE340" i="5"/>
  <c r="AD340" i="5"/>
  <c r="BF340" i="5"/>
  <c r="AE216" i="5"/>
  <c r="BF216" i="5"/>
  <c r="AD216" i="5"/>
  <c r="AE179" i="5"/>
  <c r="AD179" i="5"/>
  <c r="BF179" i="5"/>
  <c r="AD398" i="5"/>
  <c r="BF398" i="5"/>
  <c r="AE398" i="5"/>
  <c r="AD354" i="5"/>
  <c r="BF354" i="5"/>
  <c r="AE354" i="5"/>
  <c r="AE529" i="5"/>
  <c r="AD529" i="5"/>
  <c r="BF529" i="5"/>
  <c r="BF239" i="5"/>
  <c r="AE239" i="5"/>
  <c r="AD239" i="5"/>
  <c r="AD367" i="5"/>
  <c r="AE367" i="5"/>
  <c r="BF367" i="5"/>
  <c r="BK524" i="5"/>
  <c r="BJ524" i="5"/>
  <c r="AD494" i="5"/>
  <c r="AE494" i="5"/>
  <c r="BF494" i="5"/>
  <c r="AE248" i="5"/>
  <c r="AD248" i="5"/>
  <c r="BF248" i="5"/>
  <c r="BJ151" i="5"/>
  <c r="BK151" i="5"/>
  <c r="BK73" i="5"/>
  <c r="BJ73" i="5"/>
  <c r="BJ33" i="5"/>
  <c r="BK33" i="5"/>
  <c r="AE315" i="5"/>
  <c r="BF315" i="5"/>
  <c r="AD315" i="5"/>
  <c r="AE249" i="5"/>
  <c r="BF249" i="5"/>
  <c r="AD249" i="5"/>
  <c r="BK416" i="5"/>
  <c r="BJ416" i="5"/>
  <c r="BJ77" i="5"/>
  <c r="BK77" i="5"/>
  <c r="BJ267" i="5"/>
  <c r="BK267" i="5"/>
  <c r="X11" i="5"/>
  <c r="Y11" i="5"/>
  <c r="BB11" i="5"/>
  <c r="BA11" i="5"/>
  <c r="S11" i="5"/>
  <c r="R11" i="5"/>
  <c r="BJ386" i="5"/>
  <c r="BK386" i="5"/>
  <c r="BK186" i="5"/>
  <c r="BJ186" i="5"/>
  <c r="BJ462" i="5"/>
  <c r="BK462" i="5"/>
  <c r="AE37" i="5"/>
  <c r="BF37" i="5"/>
  <c r="AD37" i="5"/>
  <c r="AD180" i="5"/>
  <c r="BF180" i="5"/>
  <c r="AE180" i="5"/>
  <c r="AD64" i="5"/>
  <c r="AE64" i="5"/>
  <c r="BF64" i="5"/>
  <c r="BF91" i="5"/>
  <c r="AD91" i="5"/>
  <c r="AE91" i="5"/>
  <c r="AD518" i="5"/>
  <c r="AE518" i="5"/>
  <c r="BF518" i="5"/>
  <c r="BK444" i="5"/>
  <c r="BJ444" i="5"/>
  <c r="AE468" i="5"/>
  <c r="BF468" i="5"/>
  <c r="AD468" i="5"/>
  <c r="AE560" i="5"/>
  <c r="BF560" i="5"/>
  <c r="AD560" i="5"/>
  <c r="BF272" i="5"/>
  <c r="AD272" i="5"/>
  <c r="AE272" i="5"/>
  <c r="AD119" i="5"/>
  <c r="BF119" i="5"/>
  <c r="AE119" i="5"/>
  <c r="AD373" i="5"/>
  <c r="AE373" i="5"/>
  <c r="BF373" i="5"/>
  <c r="AE369" i="5"/>
  <c r="BF369" i="5"/>
  <c r="AD369" i="5"/>
  <c r="AD537" i="5"/>
  <c r="AE537" i="5"/>
  <c r="BF537" i="5"/>
  <c r="BF462" i="5"/>
  <c r="AE462" i="5"/>
  <c r="AD462" i="5"/>
  <c r="AE319" i="5"/>
  <c r="BF319" i="5"/>
  <c r="AD319" i="5"/>
  <c r="AD416" i="5"/>
  <c r="AE416" i="5"/>
  <c r="BF416" i="5"/>
  <c r="AD441" i="5"/>
  <c r="AE441" i="5"/>
  <c r="BF441" i="5"/>
  <c r="BF175" i="5"/>
  <c r="AD175" i="5"/>
  <c r="AE175" i="5"/>
  <c r="AD408" i="5"/>
  <c r="AE408" i="5"/>
  <c r="BF408" i="5"/>
  <c r="AD337" i="5"/>
  <c r="BF337" i="5"/>
  <c r="AE337" i="5"/>
  <c r="AD43" i="5"/>
  <c r="BF43" i="5"/>
  <c r="AE43" i="5"/>
  <c r="BF148" i="5"/>
  <c r="AE148" i="5"/>
  <c r="AD148" i="5"/>
  <c r="AD499" i="5"/>
  <c r="AE499" i="5"/>
  <c r="BF499" i="5"/>
  <c r="AE294" i="5"/>
  <c r="BF294" i="5"/>
  <c r="AD294" i="5"/>
  <c r="AE422" i="5"/>
  <c r="BF422" i="5"/>
  <c r="AD422" i="5"/>
  <c r="AD376" i="5"/>
  <c r="BF376" i="5"/>
  <c r="AE376" i="5"/>
  <c r="AE278" i="5"/>
  <c r="AD278" i="5"/>
  <c r="BF278" i="5"/>
  <c r="AD165" i="5"/>
  <c r="AE165" i="5"/>
  <c r="BF165" i="5"/>
  <c r="AE446" i="5"/>
  <c r="BF446" i="5"/>
  <c r="AD446" i="5"/>
  <c r="AE221" i="5"/>
  <c r="BF221" i="5"/>
  <c r="AD221" i="5"/>
  <c r="AD553" i="5"/>
  <c r="AE553" i="5"/>
  <c r="BF553" i="5"/>
  <c r="AD357" i="5"/>
  <c r="BF357" i="5"/>
  <c r="AE357" i="5"/>
  <c r="AE540" i="5"/>
  <c r="AD540" i="5"/>
  <c r="BF540" i="5"/>
  <c r="BF273" i="5"/>
  <c r="AD273" i="5"/>
  <c r="AE273" i="5"/>
  <c r="AE71" i="5"/>
  <c r="AD71" i="5"/>
  <c r="BF71" i="5"/>
  <c r="AE111" i="5"/>
  <c r="AD111" i="5"/>
  <c r="BF111" i="5"/>
  <c r="BF423" i="5"/>
  <c r="AE423" i="5"/>
  <c r="AD423" i="5"/>
  <c r="AE58" i="5"/>
  <c r="BF58" i="5"/>
  <c r="AD58" i="5"/>
  <c r="AE311" i="5"/>
  <c r="AD311" i="5"/>
  <c r="BF311" i="5"/>
  <c r="AE455" i="5"/>
  <c r="AD455" i="5"/>
  <c r="BF455" i="5"/>
  <c r="BK529" i="5"/>
  <c r="BJ529" i="5"/>
  <c r="BK154" i="5"/>
  <c r="BJ154" i="5"/>
  <c r="AO100" i="4"/>
  <c r="AD85" i="5"/>
  <c r="BF85" i="5"/>
  <c r="AE85" i="5"/>
  <c r="AD326" i="5"/>
  <c r="BF326" i="5"/>
  <c r="AE326" i="5"/>
  <c r="AD419" i="5"/>
  <c r="BF419" i="5"/>
  <c r="AE419" i="5"/>
  <c r="AD377" i="5"/>
  <c r="AE377" i="5"/>
  <c r="BF377" i="5"/>
  <c r="BF445" i="5"/>
  <c r="AD445" i="5"/>
  <c r="AE445" i="5"/>
  <c r="AE362" i="5"/>
  <c r="BF362" i="5"/>
  <c r="AD362" i="5"/>
  <c r="AE125" i="5"/>
  <c r="BF125" i="5"/>
  <c r="AD125" i="5"/>
  <c r="AE292" i="5"/>
  <c r="BF292" i="5"/>
  <c r="AD292" i="5"/>
  <c r="BF36" i="5"/>
  <c r="AD36" i="5"/>
  <c r="AE36" i="5"/>
  <c r="BF214" i="5"/>
  <c r="AD214" i="5"/>
  <c r="AE214" i="5"/>
  <c r="AE132" i="5"/>
  <c r="BF132" i="5"/>
  <c r="AD132" i="5"/>
  <c r="AD320" i="5"/>
  <c r="AE320" i="5"/>
  <c r="BF320" i="5"/>
  <c r="AE509" i="5"/>
  <c r="AD509" i="5"/>
  <c r="BF509" i="5"/>
  <c r="AE79" i="5"/>
  <c r="BF79" i="5"/>
  <c r="AD79" i="5"/>
  <c r="AE269" i="5"/>
  <c r="BF269" i="5"/>
  <c r="AD269" i="5"/>
  <c r="AD22" i="5"/>
  <c r="AE22" i="5"/>
  <c r="BF22" i="5"/>
  <c r="AD230" i="5"/>
  <c r="AE230" i="5"/>
  <c r="BF230" i="5"/>
  <c r="AD178" i="5"/>
  <c r="BF178" i="5"/>
  <c r="AE178" i="5"/>
  <c r="BF414" i="5"/>
  <c r="AE414" i="5"/>
  <c r="AD414" i="5"/>
  <c r="AE397" i="5"/>
  <c r="AD397" i="5"/>
  <c r="BF397" i="5"/>
  <c r="BF201" i="5"/>
  <c r="AD201" i="5"/>
  <c r="AE201" i="5"/>
  <c r="BF118" i="5"/>
  <c r="AD118" i="5"/>
  <c r="AE118" i="5"/>
  <c r="AD190" i="5"/>
  <c r="BF190" i="5"/>
  <c r="AE190" i="5"/>
  <c r="AD508" i="5"/>
  <c r="BF508" i="5"/>
  <c r="AE508" i="5"/>
  <c r="BF247" i="5"/>
  <c r="AD247" i="5"/>
  <c r="AE247" i="5"/>
  <c r="AD501" i="5"/>
  <c r="BF501" i="5"/>
  <c r="AE501" i="5"/>
  <c r="BF176" i="5"/>
  <c r="AD176" i="5"/>
  <c r="AE176" i="5"/>
  <c r="AD461" i="5"/>
  <c r="AE461" i="5"/>
  <c r="BF461" i="5"/>
  <c r="AE126" i="5"/>
  <c r="BF126" i="5"/>
  <c r="AD126" i="5"/>
  <c r="AD145" i="5"/>
  <c r="AE145" i="5"/>
  <c r="BF145" i="5"/>
  <c r="BF270" i="5"/>
  <c r="AD270" i="5"/>
  <c r="AE270" i="5"/>
  <c r="AE238" i="5"/>
  <c r="AD238" i="5"/>
  <c r="BF238" i="5"/>
  <c r="BK176" i="5"/>
  <c r="BJ176" i="5"/>
  <c r="BF282" i="5"/>
  <c r="AE282" i="5"/>
  <c r="AD282" i="5"/>
  <c r="AE258" i="5"/>
  <c r="AD258" i="5"/>
  <c r="BF258" i="5"/>
  <c r="BF558" i="5"/>
  <c r="AE558" i="5"/>
  <c r="AD558" i="5"/>
  <c r="AD187" i="5"/>
  <c r="AE187" i="5"/>
  <c r="BF187" i="5"/>
  <c r="AD234" i="5"/>
  <c r="AE234" i="5"/>
  <c r="BF234" i="5"/>
  <c r="AD352" i="5"/>
  <c r="BF352" i="5"/>
  <c r="AE352" i="5"/>
  <c r="AD393" i="5"/>
  <c r="AE393" i="5"/>
  <c r="BF393" i="5"/>
  <c r="AE424" i="5"/>
  <c r="AD424" i="5"/>
  <c r="BF424" i="5"/>
  <c r="AD322" i="5"/>
  <c r="BF322" i="5"/>
  <c r="AE322" i="5"/>
  <c r="BF453" i="5"/>
  <c r="AE453" i="5"/>
  <c r="AD453" i="5"/>
  <c r="BF488" i="5"/>
  <c r="AE488" i="5"/>
  <c r="AD488" i="5"/>
  <c r="AE120" i="5"/>
  <c r="BF120" i="5"/>
  <c r="AD120" i="5"/>
  <c r="AE450" i="5"/>
  <c r="AD450" i="5"/>
  <c r="BF450" i="5"/>
  <c r="AD47" i="5"/>
  <c r="AE47" i="5"/>
  <c r="BF47" i="5"/>
  <c r="BF539" i="5"/>
  <c r="AD539" i="5"/>
  <c r="AE539" i="5"/>
  <c r="AE314" i="5"/>
  <c r="AD314" i="5"/>
  <c r="BF314" i="5"/>
  <c r="AE303" i="5"/>
  <c r="BF303" i="5"/>
  <c r="AD303" i="5"/>
  <c r="BF264" i="5"/>
  <c r="AD264" i="5"/>
  <c r="AE264" i="5"/>
  <c r="AE505" i="5"/>
  <c r="AD505" i="5"/>
  <c r="BF505" i="5"/>
  <c r="AE427" i="5"/>
  <c r="BF427" i="5"/>
  <c r="AD427" i="5"/>
  <c r="AE105" i="5"/>
  <c r="BF105" i="5"/>
  <c r="AD105" i="5"/>
  <c r="AE374" i="5"/>
  <c r="AD374" i="5"/>
  <c r="BF374" i="5"/>
  <c r="BF177" i="5"/>
  <c r="AE177" i="5"/>
  <c r="AD177" i="5"/>
  <c r="AE57" i="5"/>
  <c r="AD57" i="5"/>
  <c r="BF57" i="5"/>
  <c r="AD89" i="5"/>
  <c r="AE89" i="5"/>
  <c r="BF89" i="5"/>
  <c r="AD407" i="5"/>
  <c r="BF407" i="5"/>
  <c r="AE407" i="5"/>
  <c r="AD395" i="5"/>
  <c r="AE395" i="5"/>
  <c r="BF395" i="5"/>
  <c r="AE198" i="5"/>
  <c r="BF198" i="5"/>
  <c r="AD198" i="5"/>
  <c r="BF460" i="5"/>
  <c r="AD460" i="5"/>
  <c r="AE460" i="5"/>
  <c r="AE371" i="5"/>
  <c r="BF371" i="5"/>
  <c r="AD371" i="5"/>
  <c r="AE356" i="5"/>
  <c r="AD356" i="5"/>
  <c r="BF356" i="5"/>
  <c r="AD193" i="5"/>
  <c r="AE193" i="5"/>
  <c r="BF193" i="5"/>
  <c r="BF133" i="5"/>
  <c r="AD133" i="5"/>
  <c r="AE133" i="5"/>
  <c r="AE19" i="5"/>
  <c r="AD19" i="5"/>
  <c r="BF19" i="5"/>
  <c r="AE341" i="5"/>
  <c r="AD341" i="5"/>
  <c r="BF341" i="5"/>
  <c r="AD181" i="5"/>
  <c r="BF181" i="5"/>
  <c r="AE181" i="5"/>
  <c r="AD209" i="5"/>
  <c r="BF209" i="5"/>
  <c r="AE209" i="5"/>
  <c r="AD353" i="5"/>
  <c r="AE353" i="5"/>
  <c r="BF353" i="5"/>
  <c r="AE87" i="5"/>
  <c r="AD87" i="5"/>
  <c r="BF87" i="5"/>
  <c r="AE458" i="5"/>
  <c r="BF458" i="5"/>
  <c r="AD458" i="5"/>
  <c r="AD301" i="5"/>
  <c r="AE301" i="5"/>
  <c r="BF301" i="5"/>
  <c r="BF153" i="5"/>
  <c r="AD153" i="5"/>
  <c r="AE153" i="5"/>
  <c r="AE74" i="5"/>
  <c r="BF74" i="5"/>
  <c r="AD74" i="5"/>
  <c r="AE399" i="5"/>
  <c r="AD399" i="5"/>
  <c r="BF399" i="5"/>
  <c r="AD346" i="5"/>
  <c r="AE346" i="5"/>
  <c r="BF346" i="5"/>
  <c r="AE82" i="5"/>
  <c r="AD82" i="5"/>
  <c r="BF82" i="5"/>
  <c r="AE33" i="5"/>
  <c r="AD33" i="5"/>
  <c r="BF33" i="5"/>
  <c r="AD323" i="5"/>
  <c r="BF323" i="5"/>
  <c r="AE323" i="5"/>
  <c r="AE155" i="5"/>
  <c r="AD155" i="5"/>
  <c r="BF155" i="5"/>
  <c r="AD223" i="5"/>
  <c r="BF223" i="5"/>
  <c r="AE223" i="5"/>
  <c r="AE335" i="5"/>
  <c r="BF335" i="5"/>
  <c r="AD335" i="5"/>
  <c r="AD389" i="5"/>
  <c r="AE389" i="5"/>
  <c r="BF389" i="5"/>
  <c r="AD530" i="5"/>
  <c r="AE530" i="5"/>
  <c r="BF530" i="5"/>
  <c r="BF154" i="5"/>
  <c r="AE154" i="5"/>
  <c r="AD154" i="5"/>
  <c r="AD347" i="5"/>
  <c r="BF347" i="5"/>
  <c r="AE347" i="5"/>
  <c r="AD306" i="5"/>
  <c r="BF306" i="5"/>
  <c r="AE306" i="5"/>
  <c r="BF305" i="5"/>
  <c r="AE305" i="5"/>
  <c r="AD305" i="5"/>
  <c r="AD536" i="5"/>
  <c r="BF536" i="5"/>
  <c r="AE536" i="5"/>
  <c r="AE196" i="5"/>
  <c r="AD196" i="5"/>
  <c r="BF196" i="5"/>
  <c r="AD215" i="5"/>
  <c r="AE215" i="5"/>
  <c r="BF215" i="5"/>
  <c r="AE78" i="5"/>
  <c r="BF78" i="5"/>
  <c r="AD78" i="5"/>
  <c r="AE192" i="5"/>
  <c r="BF192" i="5"/>
  <c r="AD192" i="5"/>
  <c r="AE404" i="5"/>
  <c r="AD404" i="5"/>
  <c r="BF404" i="5"/>
  <c r="AD355" i="5"/>
  <c r="AE355" i="5"/>
  <c r="BF355" i="5"/>
  <c r="BF386" i="5"/>
  <c r="AD386" i="5"/>
  <c r="AE386" i="5"/>
  <c r="AD302" i="5"/>
  <c r="AE302" i="5"/>
  <c r="BF302" i="5"/>
  <c r="BF444" i="5"/>
  <c r="AD444" i="5"/>
  <c r="AE444" i="5"/>
  <c r="AO41" i="4"/>
  <c r="BK54" i="5"/>
  <c r="BJ54" i="5"/>
  <c r="AO115" i="4"/>
  <c r="AE304" i="5"/>
  <c r="AD304" i="5"/>
  <c r="BF304" i="5"/>
  <c r="BJ219" i="5"/>
  <c r="BK219" i="5"/>
  <c r="BK13" i="5"/>
  <c r="BJ13" i="5"/>
  <c r="AO14" i="4"/>
  <c r="AE527" i="5"/>
  <c r="BF527" i="5"/>
  <c r="AD527" i="5"/>
  <c r="AD129" i="5"/>
  <c r="BF129" i="5"/>
  <c r="AE129" i="5"/>
  <c r="AO44" i="4"/>
  <c r="AK11" i="5"/>
  <c r="AL11" i="5"/>
  <c r="AP11" i="5"/>
  <c r="AO11" i="5"/>
  <c r="AN11" i="5"/>
  <c r="AO70" i="4"/>
  <c r="AO64" i="4"/>
  <c r="BK159" i="5"/>
  <c r="BJ159" i="5"/>
  <c r="BJ394" i="5"/>
  <c r="BK394" i="5"/>
  <c r="BF46" i="5"/>
  <c r="AD46" i="5"/>
  <c r="AE46" i="5"/>
  <c r="AD405" i="5"/>
  <c r="BF405" i="5"/>
  <c r="AE405" i="5"/>
  <c r="AE62" i="5"/>
  <c r="AD62" i="5"/>
  <c r="BF62" i="5"/>
  <c r="AD466" i="5"/>
  <c r="BF466" i="5"/>
  <c r="AE466" i="5"/>
  <c r="AD34" i="5"/>
  <c r="BF34" i="5"/>
  <c r="AE34" i="5"/>
  <c r="AE149" i="5"/>
  <c r="AD149" i="5"/>
  <c r="BF149" i="5"/>
  <c r="AE350" i="5"/>
  <c r="BF350" i="5"/>
  <c r="AD350" i="5"/>
  <c r="AE123" i="5"/>
  <c r="AD123" i="5"/>
  <c r="BF123" i="5"/>
  <c r="AE442" i="5"/>
  <c r="BF442" i="5"/>
  <c r="AD442" i="5"/>
  <c r="AE13" i="5"/>
  <c r="AD13" i="5"/>
  <c r="BF13" i="5"/>
  <c r="BF438" i="5"/>
  <c r="AE438" i="5"/>
  <c r="AD438" i="5"/>
  <c r="AD451" i="5"/>
  <c r="AE451" i="5"/>
  <c r="BF451" i="5"/>
  <c r="AD276" i="5"/>
  <c r="BF276" i="5"/>
  <c r="AE276" i="5"/>
  <c r="AE379" i="5"/>
  <c r="AD379" i="5"/>
  <c r="BF379" i="5"/>
  <c r="AE30" i="5"/>
  <c r="BF30" i="5"/>
  <c r="AD30" i="5"/>
  <c r="AD489" i="5"/>
  <c r="BF489" i="5"/>
  <c r="AE489" i="5"/>
  <c r="BF113" i="5"/>
  <c r="AE113" i="5"/>
  <c r="AD113" i="5"/>
  <c r="AE380" i="5"/>
  <c r="BF380" i="5"/>
  <c r="AD380" i="5"/>
  <c r="AE84" i="5"/>
  <c r="BF84" i="5"/>
  <c r="AD84" i="5"/>
  <c r="AD108" i="5"/>
  <c r="AE108" i="5"/>
  <c r="BF108" i="5"/>
  <c r="AE463" i="5"/>
  <c r="BF463" i="5"/>
  <c r="AD463" i="5"/>
  <c r="AE80" i="5"/>
  <c r="BF80" i="5"/>
  <c r="AD80" i="5"/>
  <c r="BF550" i="5"/>
  <c r="AD550" i="5"/>
  <c r="AE550" i="5"/>
  <c r="AE226" i="5"/>
  <c r="BF226" i="5"/>
  <c r="AD226" i="5"/>
  <c r="BF338" i="5"/>
  <c r="AE338" i="5"/>
  <c r="AD338" i="5"/>
  <c r="AD390" i="5"/>
  <c r="AE390" i="5"/>
  <c r="BF390" i="5"/>
  <c r="AD375" i="5"/>
  <c r="AE375" i="5"/>
  <c r="BF375" i="5"/>
  <c r="AE131" i="5"/>
  <c r="AD131" i="5"/>
  <c r="BF131" i="5"/>
  <c r="AE257" i="5"/>
  <c r="BF257" i="5"/>
  <c r="AD257" i="5"/>
  <c r="BF24" i="5"/>
  <c r="AE24" i="5"/>
  <c r="AD24" i="5"/>
  <c r="AE224" i="5"/>
  <c r="BF224" i="5"/>
  <c r="AD224" i="5"/>
  <c r="AE313" i="5"/>
  <c r="AD313" i="5"/>
  <c r="BF313" i="5"/>
  <c r="AD363" i="5"/>
  <c r="AE363" i="5"/>
  <c r="BF363" i="5"/>
  <c r="AD382" i="5"/>
  <c r="AE382" i="5"/>
  <c r="BF382" i="5"/>
  <c r="AE9" i="5"/>
  <c r="AD9" i="5"/>
  <c r="BF9" i="5"/>
  <c r="BJ68" i="5"/>
  <c r="BK68" i="5"/>
  <c r="AO104" i="4"/>
  <c r="AE281" i="5"/>
  <c r="BF281" i="5"/>
  <c r="AD281" i="5"/>
  <c r="AD49" i="5"/>
  <c r="AE49" i="5"/>
  <c r="BF49" i="5"/>
  <c r="BF225" i="5"/>
  <c r="AD225" i="5"/>
  <c r="AE225" i="5"/>
  <c r="BF213" i="5"/>
  <c r="AE213" i="5"/>
  <c r="AD213" i="5"/>
  <c r="BF90" i="5"/>
  <c r="AD90" i="5"/>
  <c r="AE90" i="5"/>
  <c r="AE475" i="5"/>
  <c r="AD475" i="5"/>
  <c r="BF475" i="5"/>
  <c r="AD443" i="5"/>
  <c r="BF443" i="5"/>
  <c r="AE443" i="5"/>
  <c r="AD98" i="5"/>
  <c r="BF98" i="5"/>
  <c r="AE98" i="5"/>
  <c r="AE31" i="5"/>
  <c r="AD31" i="5"/>
  <c r="BF31" i="5"/>
  <c r="BF440" i="5"/>
  <c r="AE440" i="5"/>
  <c r="AD440" i="5"/>
  <c r="AE401" i="5"/>
  <c r="BF401" i="5"/>
  <c r="AD401" i="5"/>
  <c r="BF403" i="5"/>
  <c r="AD403" i="5"/>
  <c r="AE403" i="5"/>
  <c r="BF465" i="5"/>
  <c r="AE465" i="5"/>
  <c r="AD465" i="5"/>
  <c r="AD492" i="5"/>
  <c r="AE492" i="5"/>
  <c r="BF492" i="5"/>
  <c r="AD61" i="5"/>
  <c r="AE61" i="5"/>
  <c r="BF61" i="5"/>
  <c r="AD411" i="5"/>
  <c r="AE411" i="5"/>
  <c r="BF411" i="5"/>
  <c r="BF555" i="5"/>
  <c r="AE555" i="5"/>
  <c r="AD555" i="5"/>
  <c r="AD240" i="5"/>
  <c r="AE240" i="5"/>
  <c r="BF240" i="5"/>
  <c r="AD204" i="5"/>
  <c r="AE204" i="5"/>
  <c r="BF204" i="5"/>
  <c r="AE222" i="5"/>
  <c r="AD222" i="5"/>
  <c r="BF222" i="5"/>
  <c r="AE506" i="5"/>
  <c r="AD506" i="5"/>
  <c r="BF506" i="5"/>
  <c r="BF434" i="5"/>
  <c r="AD434" i="5"/>
  <c r="AE434" i="5"/>
  <c r="BF246" i="5"/>
  <c r="AE246" i="5"/>
  <c r="AD246" i="5"/>
  <c r="AE533" i="5"/>
  <c r="BF533" i="5"/>
  <c r="AD533" i="5"/>
  <c r="BF511" i="5"/>
  <c r="AE511" i="5"/>
  <c r="AD511" i="5"/>
  <c r="BF86" i="5"/>
  <c r="AE86" i="5"/>
  <c r="AD86" i="5"/>
  <c r="AD114" i="5"/>
  <c r="AE114" i="5"/>
  <c r="BF114" i="5"/>
  <c r="BF161" i="5"/>
  <c r="AE161" i="5"/>
  <c r="AD161" i="5"/>
  <c r="BF227" i="5"/>
  <c r="AD227" i="5"/>
  <c r="AE227" i="5"/>
  <c r="AD212" i="5"/>
  <c r="BF212" i="5"/>
  <c r="AE212" i="5"/>
  <c r="AD127" i="5"/>
  <c r="BF127" i="5"/>
  <c r="AE127" i="5"/>
  <c r="AE233" i="5"/>
  <c r="AD233" i="5"/>
  <c r="BF233" i="5"/>
  <c r="AO29" i="4"/>
  <c r="AD76" i="5"/>
  <c r="AE76" i="5"/>
  <c r="BF76" i="5"/>
  <c r="BF166" i="5"/>
  <c r="AE166" i="5"/>
  <c r="AD166" i="5"/>
  <c r="BF507" i="5"/>
  <c r="AE507" i="5"/>
  <c r="AD507" i="5"/>
  <c r="BF51" i="5"/>
  <c r="AE51" i="5"/>
  <c r="AD51" i="5"/>
  <c r="AE83" i="5"/>
  <c r="AD83" i="5"/>
  <c r="BF83" i="5"/>
  <c r="AD236" i="5"/>
  <c r="BF236" i="5"/>
  <c r="AE236" i="5"/>
  <c r="AE93" i="5"/>
  <c r="AD93" i="5"/>
  <c r="BF93" i="5"/>
  <c r="AD474" i="5"/>
  <c r="BF474" i="5"/>
  <c r="AE474" i="5"/>
  <c r="BF191" i="5"/>
  <c r="AD191" i="5"/>
  <c r="AE191" i="5"/>
  <c r="AD203" i="5"/>
  <c r="BF203" i="5"/>
  <c r="AE203" i="5"/>
  <c r="AD486" i="5"/>
  <c r="AE486" i="5"/>
  <c r="BF486" i="5"/>
  <c r="BF95" i="5"/>
  <c r="AD95" i="5"/>
  <c r="AE95" i="5"/>
  <c r="AD333" i="5"/>
  <c r="BF333" i="5"/>
  <c r="AE333" i="5"/>
  <c r="AD545" i="5"/>
  <c r="BF545" i="5"/>
  <c r="AE545" i="5"/>
  <c r="BF378" i="5"/>
  <c r="AE378" i="5"/>
  <c r="AD378" i="5"/>
  <c r="AE67" i="5"/>
  <c r="AD67" i="5"/>
  <c r="BF67" i="5"/>
  <c r="BF275" i="5"/>
  <c r="AE275" i="5"/>
  <c r="AD275" i="5"/>
  <c r="BF151" i="5"/>
  <c r="AE151" i="5"/>
  <c r="AD151" i="5"/>
  <c r="BF483" i="5"/>
  <c r="AE483" i="5"/>
  <c r="AD483" i="5"/>
  <c r="AD25" i="5"/>
  <c r="BF25" i="5"/>
  <c r="AE25" i="5"/>
  <c r="AD433" i="5"/>
  <c r="BF433" i="5"/>
  <c r="AE433" i="5"/>
  <c r="AD199" i="5"/>
  <c r="AE199" i="5"/>
  <c r="BF199" i="5"/>
  <c r="BF472" i="5"/>
  <c r="AE472" i="5"/>
  <c r="AD472" i="5"/>
  <c r="AE211" i="5"/>
  <c r="AD211" i="5"/>
  <c r="BF211" i="5"/>
  <c r="AE471" i="5"/>
  <c r="BF471" i="5"/>
  <c r="AD471" i="5"/>
  <c r="BF241" i="5"/>
  <c r="AE241" i="5"/>
  <c r="AD241" i="5"/>
  <c r="AE469" i="5"/>
  <c r="AD469" i="5"/>
  <c r="BF469" i="5"/>
  <c r="BF174" i="5"/>
  <c r="AE174" i="5"/>
  <c r="AD174" i="5"/>
  <c r="AE484" i="5"/>
  <c r="BF484" i="5"/>
  <c r="AD484" i="5"/>
  <c r="AE546" i="5"/>
  <c r="AD546" i="5"/>
  <c r="BF546" i="5"/>
  <c r="AD244" i="5"/>
  <c r="BF244" i="5"/>
  <c r="AE244" i="5"/>
  <c r="BF75" i="5"/>
  <c r="AE75" i="5"/>
  <c r="AD75" i="5"/>
  <c r="AE137" i="5"/>
  <c r="AD137" i="5"/>
  <c r="BF137" i="5"/>
  <c r="AE328" i="5"/>
  <c r="AD328" i="5"/>
  <c r="BF328" i="5"/>
  <c r="BF110" i="5"/>
  <c r="AD110" i="5"/>
  <c r="AE110" i="5"/>
  <c r="BF500" i="5"/>
  <c r="AE500" i="5"/>
  <c r="AD500" i="5"/>
  <c r="AD164" i="5"/>
  <c r="AE164" i="5"/>
  <c r="BF164" i="5"/>
  <c r="BF554" i="5"/>
  <c r="AD554" i="5"/>
  <c r="AE554" i="5"/>
  <c r="AE329" i="5"/>
  <c r="BF329" i="5"/>
  <c r="AD329" i="5"/>
  <c r="AE195" i="5"/>
  <c r="BF195" i="5"/>
  <c r="AD195" i="5"/>
  <c r="AE349" i="5"/>
  <c r="AD349" i="5"/>
  <c r="BF349" i="5"/>
  <c r="AE339" i="5"/>
  <c r="AD339" i="5"/>
  <c r="BF339" i="5"/>
  <c r="BF417" i="5"/>
  <c r="AD417" i="5"/>
  <c r="AE417" i="5"/>
  <c r="BF262" i="5"/>
  <c r="AE262" i="5"/>
  <c r="AD262" i="5"/>
  <c r="AE412" i="5"/>
  <c r="AD412" i="5"/>
  <c r="BF412" i="5"/>
  <c r="BF495" i="5"/>
  <c r="AD495" i="5"/>
  <c r="AE495" i="5"/>
  <c r="AD394" i="5"/>
  <c r="AE394" i="5"/>
  <c r="BF394" i="5"/>
  <c r="AD229" i="5"/>
  <c r="AE229" i="5"/>
  <c r="BF229" i="5"/>
  <c r="AE99" i="5"/>
  <c r="BF99" i="5"/>
  <c r="AD99" i="5"/>
  <c r="AD159" i="5"/>
  <c r="AE159" i="5"/>
  <c r="BF159" i="5"/>
  <c r="AD523" i="5"/>
  <c r="BF523" i="5"/>
  <c r="AE523" i="5"/>
  <c r="AE532" i="5"/>
  <c r="BF532" i="5"/>
  <c r="AD532" i="5"/>
  <c r="AE237" i="5"/>
  <c r="BF237" i="5"/>
  <c r="AD237" i="5"/>
  <c r="BF274" i="5"/>
  <c r="AE274" i="5"/>
  <c r="AD274" i="5"/>
  <c r="AE359" i="5"/>
  <c r="AD359" i="5"/>
  <c r="BF359" i="5"/>
  <c r="AD136" i="5"/>
  <c r="BF136" i="5"/>
  <c r="AE136" i="5"/>
  <c r="BF548" i="5"/>
  <c r="AE548" i="5"/>
  <c r="AD548" i="5"/>
  <c r="AD189" i="5"/>
  <c r="BF189" i="5"/>
  <c r="AE189" i="5"/>
  <c r="AD146" i="5"/>
  <c r="BF146" i="5"/>
  <c r="AE146" i="5"/>
  <c r="AD169" i="5"/>
  <c r="AE169" i="5"/>
  <c r="BF169" i="5"/>
  <c r="AD520" i="5"/>
  <c r="AE520" i="5"/>
  <c r="BF520" i="5"/>
  <c r="AE310" i="5"/>
  <c r="BF310" i="5"/>
  <c r="AD310" i="5"/>
  <c r="AD59" i="5"/>
  <c r="BF59" i="5"/>
  <c r="AE59" i="5"/>
  <c r="AD39" i="5"/>
  <c r="BF39" i="5"/>
  <c r="AE39" i="5"/>
  <c r="AE496" i="5"/>
  <c r="AD496" i="5"/>
  <c r="BF496" i="5"/>
  <c r="AD517" i="5"/>
  <c r="AE517" i="5"/>
  <c r="BF517" i="5"/>
  <c r="BK372" i="5"/>
  <c r="BJ372" i="5"/>
  <c r="AO39" i="4"/>
  <c r="BK452" i="5"/>
  <c r="BJ452" i="5"/>
  <c r="BF525" i="5"/>
  <c r="AE525" i="5"/>
  <c r="AD525" i="5"/>
  <c r="AD170" i="5"/>
  <c r="BF170" i="5"/>
  <c r="AE170" i="5"/>
  <c r="AO83" i="4"/>
  <c r="BK500" i="5"/>
  <c r="BJ500" i="5"/>
  <c r="AX11" i="5"/>
  <c r="AY11" i="5"/>
  <c r="AU11" i="5"/>
  <c r="BC11" i="5"/>
  <c r="AV11" i="5"/>
  <c r="AO119" i="4"/>
  <c r="BJ504" i="5"/>
  <c r="BK504" i="5"/>
  <c r="AP58" i="4" l="1"/>
  <c r="BM418" i="5"/>
  <c r="AC58" i="4"/>
  <c r="AD58" i="4" s="1"/>
  <c r="AC130" i="4"/>
  <c r="AD130" i="4" s="1"/>
  <c r="AQ73" i="4"/>
  <c r="AC126" i="4"/>
  <c r="AD126" i="4" s="1"/>
  <c r="AP126" i="4"/>
  <c r="AQ130" i="4"/>
  <c r="AC123" i="4"/>
  <c r="AD123" i="4" s="1"/>
  <c r="AQ148" i="4"/>
  <c r="AQ123" i="4"/>
  <c r="AC109" i="4"/>
  <c r="AD109" i="4" s="1"/>
  <c r="AQ109" i="4"/>
  <c r="AO131" i="4"/>
  <c r="AC73" i="4"/>
  <c r="AD73" i="4" s="1"/>
  <c r="AC56" i="4"/>
  <c r="AD56" i="4" s="1"/>
  <c r="AP56" i="4"/>
  <c r="AO126" i="4"/>
  <c r="AC148" i="4"/>
  <c r="AD148" i="4" s="1"/>
  <c r="AA74" i="4"/>
  <c r="AP74" i="4" s="1"/>
  <c r="AO58" i="4"/>
  <c r="AO78" i="4"/>
  <c r="AU99" i="4"/>
  <c r="AW99" i="4" s="1"/>
  <c r="AO54" i="4"/>
  <c r="AU120" i="4"/>
  <c r="AW120" i="4" s="1"/>
  <c r="BJ9" i="5"/>
  <c r="AU80" i="4"/>
  <c r="AW80" i="4" s="1"/>
  <c r="AU35" i="4"/>
  <c r="AW35" i="4" s="1"/>
  <c r="AU138" i="4"/>
  <c r="AW138" i="4" s="1"/>
  <c r="AU47" i="4"/>
  <c r="AW47" i="4" s="1"/>
  <c r="AU37" i="4"/>
  <c r="AW37" i="4" s="1"/>
  <c r="AU100" i="4"/>
  <c r="AW100" i="4" s="1"/>
  <c r="AO123" i="4"/>
  <c r="AU26" i="4"/>
  <c r="AW26" i="4" s="1"/>
  <c r="AO105" i="4"/>
  <c r="AO92" i="4"/>
  <c r="AO75" i="4"/>
  <c r="AU41" i="4"/>
  <c r="AW41" i="4" s="1"/>
  <c r="AU87" i="4"/>
  <c r="AW87" i="4" s="1"/>
  <c r="AO154" i="4"/>
  <c r="AU39" i="4"/>
  <c r="AW39" i="4" s="1"/>
  <c r="AU107" i="4"/>
  <c r="AW107" i="4" s="1"/>
  <c r="AU45" i="4"/>
  <c r="AW45" i="4" s="1"/>
  <c r="AO142" i="4"/>
  <c r="AU48" i="4"/>
  <c r="AW48" i="4" s="1"/>
  <c r="AO73" i="4"/>
  <c r="AO56" i="4"/>
  <c r="AO114" i="4"/>
  <c r="AU104" i="4"/>
  <c r="AW104" i="4" s="1"/>
  <c r="AU21" i="4"/>
  <c r="AW21" i="4" s="1"/>
  <c r="AU44" i="4"/>
  <c r="AW44" i="4" s="1"/>
  <c r="AO148" i="4"/>
  <c r="AO140" i="4"/>
  <c r="AU84" i="4"/>
  <c r="AW84" i="4" s="1"/>
  <c r="AU52" i="4"/>
  <c r="AW52" i="4" s="1"/>
  <c r="AU72" i="4"/>
  <c r="AW72" i="4" s="1"/>
  <c r="AU115" i="4"/>
  <c r="AW115" i="4" s="1"/>
  <c r="AO109" i="4"/>
  <c r="AO156" i="4"/>
  <c r="AU53" i="4"/>
  <c r="AW53" i="4" s="1"/>
  <c r="AU31" i="4"/>
  <c r="AW31" i="4" s="1"/>
  <c r="AU71" i="4"/>
  <c r="AW71" i="4" s="1"/>
  <c r="AU68" i="4"/>
  <c r="AW68" i="4" s="1"/>
  <c r="AU42" i="4"/>
  <c r="AW42" i="4" s="1"/>
  <c r="BG418" i="5"/>
  <c r="BL418" i="5" s="1"/>
  <c r="AU64" i="4"/>
  <c r="AW64" i="4" s="1"/>
  <c r="AK106" i="4"/>
  <c r="AL106" i="4" s="1"/>
  <c r="AO106" i="4" s="1"/>
  <c r="AU119" i="4"/>
  <c r="AW119" i="4" s="1"/>
  <c r="AU38" i="4"/>
  <c r="AW38" i="4" s="1"/>
  <c r="AO81" i="4"/>
  <c r="AO60" i="4"/>
  <c r="AU19" i="4"/>
  <c r="AW19" i="4" s="1"/>
  <c r="AO155" i="4"/>
  <c r="AU147" i="4"/>
  <c r="AW147" i="4" s="1"/>
  <c r="AU132" i="4"/>
  <c r="AW132" i="4" s="1"/>
  <c r="AO136" i="4"/>
  <c r="AO133" i="4"/>
  <c r="AK124" i="4"/>
  <c r="AL124" i="4" s="1"/>
  <c r="AO124" i="4" s="1"/>
  <c r="AO57" i="4"/>
  <c r="AK59" i="4"/>
  <c r="AL59" i="4" s="1"/>
  <c r="AO59" i="4" s="1"/>
  <c r="AO108" i="4"/>
  <c r="AQ154" i="4"/>
  <c r="AO127" i="4"/>
  <c r="AO96" i="4"/>
  <c r="AA135" i="4"/>
  <c r="AC135" i="4" s="1"/>
  <c r="AD135" i="4" s="1"/>
  <c r="AU150" i="4"/>
  <c r="AW150" i="4" s="1"/>
  <c r="AC131" i="4"/>
  <c r="AD131" i="4" s="1"/>
  <c r="AK135" i="4"/>
  <c r="AL135" i="4" s="1"/>
  <c r="AO135" i="4" s="1"/>
  <c r="AU27" i="4"/>
  <c r="AW27" i="4" s="1"/>
  <c r="AK137" i="4"/>
  <c r="AL137" i="4" s="1"/>
  <c r="AO137" i="4" s="1"/>
  <c r="AQ131" i="4"/>
  <c r="AA112" i="4"/>
  <c r="AC112" i="4" s="1"/>
  <c r="AD112" i="4" s="1"/>
  <c r="AU29" i="4"/>
  <c r="AW29" i="4" s="1"/>
  <c r="AU40" i="4"/>
  <c r="AW40" i="4" s="1"/>
  <c r="AK79" i="4"/>
  <c r="AL79" i="4" s="1"/>
  <c r="AO79" i="4" s="1"/>
  <c r="AA124" i="4"/>
  <c r="AQ124" i="4" s="1"/>
  <c r="AA149" i="4"/>
  <c r="AQ149" i="4" s="1"/>
  <c r="AO90" i="4"/>
  <c r="AK95" i="4"/>
  <c r="AL95" i="4" s="1"/>
  <c r="AO95" i="4" s="1"/>
  <c r="AO62" i="4"/>
  <c r="AO93" i="4"/>
  <c r="AO55" i="4"/>
  <c r="AU36" i="4"/>
  <c r="AW36" i="4" s="1"/>
  <c r="AU32" i="4"/>
  <c r="AW32" i="4" s="1"/>
  <c r="AU30" i="4"/>
  <c r="AW30" i="4" s="1"/>
  <c r="AU83" i="4"/>
  <c r="AW83" i="4" s="1"/>
  <c r="AK61" i="4"/>
  <c r="AL61" i="4" s="1"/>
  <c r="AO61" i="4" s="1"/>
  <c r="AA79" i="4"/>
  <c r="AC79" i="4" s="1"/>
  <c r="AD79" i="4" s="1"/>
  <c r="AP103" i="4"/>
  <c r="AQ103" i="4"/>
  <c r="AC103" i="4"/>
  <c r="AD103" i="4" s="1"/>
  <c r="AA59" i="4"/>
  <c r="AQ59" i="4" s="1"/>
  <c r="AA98" i="4"/>
  <c r="AP98" i="4" s="1"/>
  <c r="AP154" i="4"/>
  <c r="AQ157" i="4"/>
  <c r="AP157" i="4"/>
  <c r="AC157" i="4"/>
  <c r="AD157" i="4" s="1"/>
  <c r="AP92" i="4"/>
  <c r="AA117" i="4"/>
  <c r="AQ117" i="4" s="1"/>
  <c r="AA141" i="4"/>
  <c r="AQ141" i="4" s="1"/>
  <c r="AU34" i="4"/>
  <c r="AW34" i="4" s="1"/>
  <c r="AC156" i="4"/>
  <c r="AD156" i="4" s="1"/>
  <c r="AA67" i="4"/>
  <c r="AC67" i="4" s="1"/>
  <c r="AD67" i="4" s="1"/>
  <c r="AU70" i="4"/>
  <c r="AW70" i="4" s="1"/>
  <c r="AK125" i="4"/>
  <c r="AL125" i="4" s="1"/>
  <c r="AO125" i="4" s="1"/>
  <c r="AC139" i="4"/>
  <c r="AD139" i="4" s="1"/>
  <c r="AP139" i="4"/>
  <c r="AQ139" i="4"/>
  <c r="AQ155" i="4"/>
  <c r="AA125" i="4"/>
  <c r="AP125" i="4" s="1"/>
  <c r="AK82" i="4"/>
  <c r="AL82" i="4" s="1"/>
  <c r="AO82" i="4" s="1"/>
  <c r="AP28" i="4"/>
  <c r="AC28" i="4"/>
  <c r="AD28" i="4" s="1"/>
  <c r="AQ28" i="4"/>
  <c r="AO102" i="4"/>
  <c r="AC155" i="4"/>
  <c r="AD155" i="4" s="1"/>
  <c r="AP75" i="4"/>
  <c r="AQ75" i="4"/>
  <c r="AC75" i="4"/>
  <c r="AD75" i="4" s="1"/>
  <c r="AO65" i="4"/>
  <c r="AA106" i="4"/>
  <c r="AP106" i="4" s="1"/>
  <c r="AP55" i="4"/>
  <c r="AQ55" i="4"/>
  <c r="AC55" i="4"/>
  <c r="AD55" i="4" s="1"/>
  <c r="AC105" i="4"/>
  <c r="AD105" i="4" s="1"/>
  <c r="AO77" i="4"/>
  <c r="AP142" i="4"/>
  <c r="AC142" i="4"/>
  <c r="AD142" i="4" s="1"/>
  <c r="AQ142" i="4"/>
  <c r="AK122" i="4"/>
  <c r="AL122" i="4" s="1"/>
  <c r="AO122" i="4" s="1"/>
  <c r="AA82" i="4"/>
  <c r="AC82" i="4" s="1"/>
  <c r="AD82" i="4" s="1"/>
  <c r="AP105" i="4"/>
  <c r="AO85" i="4"/>
  <c r="AA122" i="4"/>
  <c r="AO143" i="4"/>
  <c r="AJ145" i="4"/>
  <c r="AK145" i="4"/>
  <c r="AL145" i="4" s="1"/>
  <c r="AO145" i="4" s="1"/>
  <c r="AJ101" i="4"/>
  <c r="AA101" i="4"/>
  <c r="AQ50" i="4"/>
  <c r="AP50" i="4"/>
  <c r="AC50" i="4"/>
  <c r="AD50" i="4" s="1"/>
  <c r="AK97" i="4"/>
  <c r="AL97" i="4" s="1"/>
  <c r="AO97" i="4" s="1"/>
  <c r="AP127" i="4"/>
  <c r="AQ127" i="4"/>
  <c r="AC127" i="4"/>
  <c r="AD127" i="4" s="1"/>
  <c r="AK74" i="4"/>
  <c r="AL74" i="4" s="1"/>
  <c r="AO74" i="4" s="1"/>
  <c r="AC78" i="4"/>
  <c r="AD78" i="4" s="1"/>
  <c r="AP78" i="4"/>
  <c r="AQ78" i="4"/>
  <c r="AJ134" i="4"/>
  <c r="AA134" i="4"/>
  <c r="AJ152" i="4"/>
  <c r="AA152" i="4"/>
  <c r="AK69" i="4"/>
  <c r="AL69" i="4" s="1"/>
  <c r="AO69" i="4" s="1"/>
  <c r="AJ110" i="4"/>
  <c r="AA110" i="4"/>
  <c r="AK134" i="4"/>
  <c r="AL134" i="4" s="1"/>
  <c r="AO134" i="4" s="1"/>
  <c r="AK117" i="4"/>
  <c r="AL117" i="4" s="1"/>
  <c r="AO117" i="4" s="1"/>
  <c r="AK101" i="4"/>
  <c r="AL101" i="4" s="1"/>
  <c r="AO101" i="4" s="1"/>
  <c r="AA94" i="4"/>
  <c r="AJ102" i="4"/>
  <c r="AA102" i="4"/>
  <c r="AC140" i="4"/>
  <c r="AD140" i="4" s="1"/>
  <c r="AQ140" i="4"/>
  <c r="AK149" i="4"/>
  <c r="AL149" i="4" s="1"/>
  <c r="AO149" i="4" s="1"/>
  <c r="AJ151" i="4"/>
  <c r="AA151" i="4"/>
  <c r="AA76" i="4"/>
  <c r="AC92" i="4"/>
  <c r="AD92" i="4" s="1"/>
  <c r="AK76" i="4"/>
  <c r="AL76" i="4" s="1"/>
  <c r="AO76" i="4" s="1"/>
  <c r="AK118" i="4"/>
  <c r="AL118" i="4" s="1"/>
  <c r="AO118" i="4" s="1"/>
  <c r="AA116" i="4"/>
  <c r="AC108" i="4"/>
  <c r="AD108" i="4" s="1"/>
  <c r="AQ108" i="4"/>
  <c r="AA111" i="4"/>
  <c r="AK111" i="4"/>
  <c r="AL111" i="4" s="1"/>
  <c r="AO111" i="4" s="1"/>
  <c r="AK116" i="4"/>
  <c r="AL116" i="4" s="1"/>
  <c r="AO116" i="4" s="1"/>
  <c r="AJ86" i="4"/>
  <c r="AK86" i="4"/>
  <c r="AL86" i="4" s="1"/>
  <c r="AO86" i="4" s="1"/>
  <c r="AJ81" i="4"/>
  <c r="AA81" i="4"/>
  <c r="AJ136" i="4"/>
  <c r="AA136" i="4"/>
  <c r="AJ89" i="4"/>
  <c r="AA89" i="4"/>
  <c r="AJ63" i="4"/>
  <c r="AA63" i="4"/>
  <c r="AA86" i="4"/>
  <c r="AC54" i="4"/>
  <c r="AD54" i="4" s="1"/>
  <c r="AP54" i="4"/>
  <c r="AQ54" i="4"/>
  <c r="AK129" i="4"/>
  <c r="AL129" i="4" s="1"/>
  <c r="AO129" i="4" s="1"/>
  <c r="AK89" i="4"/>
  <c r="AL89" i="4" s="1"/>
  <c r="AO89" i="4" s="1"/>
  <c r="AK63" i="4"/>
  <c r="AL63" i="4" s="1"/>
  <c r="AO63" i="4" s="1"/>
  <c r="AK98" i="4"/>
  <c r="AL98" i="4" s="1"/>
  <c r="AO98" i="4" s="1"/>
  <c r="AA61" i="4"/>
  <c r="AK112" i="4"/>
  <c r="AL112" i="4" s="1"/>
  <c r="AO112" i="4" s="1"/>
  <c r="AJ57" i="4"/>
  <c r="AA57" i="4"/>
  <c r="AJ128" i="4"/>
  <c r="AA128" i="4"/>
  <c r="AJ144" i="4"/>
  <c r="AA144" i="4"/>
  <c r="AJ133" i="4"/>
  <c r="AA133" i="4"/>
  <c r="AJ93" i="4"/>
  <c r="AA93" i="4"/>
  <c r="AA97" i="4"/>
  <c r="AP145" i="4"/>
  <c r="AQ145" i="4"/>
  <c r="AC145" i="4"/>
  <c r="AD145" i="4" s="1"/>
  <c r="AK151" i="4"/>
  <c r="AL151" i="4" s="1"/>
  <c r="AO151" i="4" s="1"/>
  <c r="AA69" i="4"/>
  <c r="AK128" i="4"/>
  <c r="AL128" i="4" s="1"/>
  <c r="AO128" i="4" s="1"/>
  <c r="AK144" i="4"/>
  <c r="AL144" i="4" s="1"/>
  <c r="AO144" i="4" s="1"/>
  <c r="AC114" i="4"/>
  <c r="AD114" i="4" s="1"/>
  <c r="AP114" i="4"/>
  <c r="AQ114" i="4"/>
  <c r="AQ46" i="4"/>
  <c r="AC46" i="4"/>
  <c r="AD46" i="4" s="1"/>
  <c r="AP46" i="4"/>
  <c r="AK67" i="4"/>
  <c r="AL67" i="4" s="1"/>
  <c r="AO67" i="4" s="1"/>
  <c r="AK94" i="4"/>
  <c r="AL94" i="4" s="1"/>
  <c r="AO94" i="4" s="1"/>
  <c r="AJ143" i="4"/>
  <c r="AA143" i="4"/>
  <c r="AA129" i="4"/>
  <c r="AP156" i="4"/>
  <c r="AQ49" i="4"/>
  <c r="AP49" i="4"/>
  <c r="AC49" i="4"/>
  <c r="AD49" i="4" s="1"/>
  <c r="AA118" i="4"/>
  <c r="AJ62" i="4"/>
  <c r="AA62" i="4"/>
  <c r="AJ96" i="4"/>
  <c r="AA96" i="4"/>
  <c r="AK121" i="4"/>
  <c r="AL121" i="4" s="1"/>
  <c r="AO121" i="4" s="1"/>
  <c r="AJ66" i="4"/>
  <c r="AA66" i="4"/>
  <c r="AJ65" i="4"/>
  <c r="AA65" i="4"/>
  <c r="AK152" i="4"/>
  <c r="AL152" i="4" s="1"/>
  <c r="AO152" i="4" s="1"/>
  <c r="AK110" i="4"/>
  <c r="AL110" i="4" s="1"/>
  <c r="AO110" i="4" s="1"/>
  <c r="AP140" i="4"/>
  <c r="AP153" i="4"/>
  <c r="AQ153" i="4"/>
  <c r="AC153" i="4"/>
  <c r="AD153" i="4" s="1"/>
  <c r="AP43" i="4"/>
  <c r="AQ43" i="4"/>
  <c r="AC43" i="4"/>
  <c r="AD43" i="4" s="1"/>
  <c r="AQ51" i="4"/>
  <c r="AP51" i="4"/>
  <c r="AC51" i="4"/>
  <c r="AD51" i="4" s="1"/>
  <c r="AJ113" i="4"/>
  <c r="AA113" i="4"/>
  <c r="AJ60" i="4"/>
  <c r="AA60" i="4"/>
  <c r="AJ90" i="4"/>
  <c r="AA90" i="4"/>
  <c r="AA95" i="4"/>
  <c r="AJ77" i="4"/>
  <c r="AA77" i="4"/>
  <c r="AK141" i="4"/>
  <c r="AL141" i="4" s="1"/>
  <c r="AO141" i="4" s="1"/>
  <c r="AQ146" i="4"/>
  <c r="AP146" i="4"/>
  <c r="AC146" i="4"/>
  <c r="AD146" i="4" s="1"/>
  <c r="AQ88" i="4"/>
  <c r="AP88" i="4"/>
  <c r="AC88" i="4"/>
  <c r="AD88" i="4" s="1"/>
  <c r="AJ85" i="4"/>
  <c r="AA85" i="4"/>
  <c r="AQ91" i="4"/>
  <c r="AC91" i="4"/>
  <c r="AD91" i="4" s="1"/>
  <c r="AP91" i="4"/>
  <c r="AK113" i="4"/>
  <c r="AL113" i="4" s="1"/>
  <c r="AO113" i="4" s="1"/>
  <c r="AA121" i="4"/>
  <c r="AA137" i="4"/>
  <c r="AP33" i="4"/>
  <c r="AQ33" i="4"/>
  <c r="AC33" i="4"/>
  <c r="AD33" i="4" s="1"/>
  <c r="AU14" i="4"/>
  <c r="AW14" i="4" s="1"/>
  <c r="AU11" i="4"/>
  <c r="AW11" i="4" s="1"/>
  <c r="AU13" i="4"/>
  <c r="AW13" i="4" s="1"/>
  <c r="AU10" i="4"/>
  <c r="AW10" i="4" s="1"/>
  <c r="AU25" i="4"/>
  <c r="AW25" i="4" s="1"/>
  <c r="AU24" i="4"/>
  <c r="AW24" i="4" s="1"/>
  <c r="AU12" i="4"/>
  <c r="AW12" i="4" s="1"/>
  <c r="AD11" i="5"/>
  <c r="AU18" i="4"/>
  <c r="AW18" i="4" s="1"/>
  <c r="AU22" i="4"/>
  <c r="AW22" i="4" s="1"/>
  <c r="AU16" i="4"/>
  <c r="AW16" i="4" s="1"/>
  <c r="AU20" i="4"/>
  <c r="AW20" i="4" s="1"/>
  <c r="AU8" i="4"/>
  <c r="AW8" i="4" s="1"/>
  <c r="AO66" i="4"/>
  <c r="AU23" i="4"/>
  <c r="AW23" i="4" s="1"/>
  <c r="AU7" i="4"/>
  <c r="AW7" i="4" s="1"/>
  <c r="AU15" i="4"/>
  <c r="AW15" i="4" s="1"/>
  <c r="AU9" i="4"/>
  <c r="AW9" i="4" s="1"/>
  <c r="BH170" i="5"/>
  <c r="BM170" i="5" s="1"/>
  <c r="BG170" i="5"/>
  <c r="BL170" i="5" s="1"/>
  <c r="BH237" i="5"/>
  <c r="BM237" i="5" s="1"/>
  <c r="BG237" i="5"/>
  <c r="BL237" i="5" s="1"/>
  <c r="BH262" i="5"/>
  <c r="BM262" i="5" s="1"/>
  <c r="BG262" i="5"/>
  <c r="BL262" i="5" s="1"/>
  <c r="BG500" i="5"/>
  <c r="BL500" i="5" s="1"/>
  <c r="BH500" i="5"/>
  <c r="BM500" i="5" s="1"/>
  <c r="BG244" i="5"/>
  <c r="BL244" i="5" s="1"/>
  <c r="BH244" i="5"/>
  <c r="BM244" i="5" s="1"/>
  <c r="BG241" i="5"/>
  <c r="BL241" i="5" s="1"/>
  <c r="BH241" i="5"/>
  <c r="BM241" i="5" s="1"/>
  <c r="BG211" i="5"/>
  <c r="BL211" i="5" s="1"/>
  <c r="BH211" i="5"/>
  <c r="BM211" i="5" s="1"/>
  <c r="BG151" i="5"/>
  <c r="BL151" i="5" s="1"/>
  <c r="BH151" i="5"/>
  <c r="BM151" i="5" s="1"/>
  <c r="BG67" i="5"/>
  <c r="BL67" i="5" s="1"/>
  <c r="BH67" i="5"/>
  <c r="BM67" i="5" s="1"/>
  <c r="BG166" i="5"/>
  <c r="BL166" i="5" s="1"/>
  <c r="BH166" i="5"/>
  <c r="BM166" i="5" s="1"/>
  <c r="BG233" i="5"/>
  <c r="BL233" i="5" s="1"/>
  <c r="BH233" i="5"/>
  <c r="BM233" i="5" s="1"/>
  <c r="BG127" i="5"/>
  <c r="BL127" i="5" s="1"/>
  <c r="BH127" i="5"/>
  <c r="BM127" i="5" s="1"/>
  <c r="BH86" i="5"/>
  <c r="BM86" i="5" s="1"/>
  <c r="BG86" i="5"/>
  <c r="BL86" i="5" s="1"/>
  <c r="BH434" i="5"/>
  <c r="BM434" i="5" s="1"/>
  <c r="BG434" i="5"/>
  <c r="BL434" i="5" s="1"/>
  <c r="BG222" i="5"/>
  <c r="BL222" i="5" s="1"/>
  <c r="BH222" i="5"/>
  <c r="BM222" i="5" s="1"/>
  <c r="BG411" i="5"/>
  <c r="BL411" i="5" s="1"/>
  <c r="BH411" i="5"/>
  <c r="BM411" i="5" s="1"/>
  <c r="BG401" i="5"/>
  <c r="BL401" i="5" s="1"/>
  <c r="BH401" i="5"/>
  <c r="BM401" i="5" s="1"/>
  <c r="BH440" i="5"/>
  <c r="BM440" i="5" s="1"/>
  <c r="BG440" i="5"/>
  <c r="BL440" i="5" s="1"/>
  <c r="BG443" i="5"/>
  <c r="BL443" i="5" s="1"/>
  <c r="BH443" i="5"/>
  <c r="BM443" i="5" s="1"/>
  <c r="BH313" i="5"/>
  <c r="BM313" i="5" s="1"/>
  <c r="BG313" i="5"/>
  <c r="BL313" i="5" s="1"/>
  <c r="BG224" i="5"/>
  <c r="BL224" i="5" s="1"/>
  <c r="BH224" i="5"/>
  <c r="BM224" i="5" s="1"/>
  <c r="BG24" i="5"/>
  <c r="BL24" i="5" s="1"/>
  <c r="BH24" i="5"/>
  <c r="BM24" i="5" s="1"/>
  <c r="BG131" i="5"/>
  <c r="BL131" i="5" s="1"/>
  <c r="BH131" i="5"/>
  <c r="BM131" i="5" s="1"/>
  <c r="BH108" i="5"/>
  <c r="BM108" i="5" s="1"/>
  <c r="BG108" i="5"/>
  <c r="BL108" i="5" s="1"/>
  <c r="BH84" i="5"/>
  <c r="BM84" i="5" s="1"/>
  <c r="BG84" i="5"/>
  <c r="BL84" i="5" s="1"/>
  <c r="BG30" i="5"/>
  <c r="BL30" i="5" s="1"/>
  <c r="BH30" i="5"/>
  <c r="BM30" i="5" s="1"/>
  <c r="BH451" i="5"/>
  <c r="BM451" i="5" s="1"/>
  <c r="BG451" i="5"/>
  <c r="BL451" i="5" s="1"/>
  <c r="BH123" i="5"/>
  <c r="BM123" i="5" s="1"/>
  <c r="BG123" i="5"/>
  <c r="BL123" i="5" s="1"/>
  <c r="BH350" i="5"/>
  <c r="BM350" i="5" s="1"/>
  <c r="BG350" i="5"/>
  <c r="BL350" i="5" s="1"/>
  <c r="BH444" i="5"/>
  <c r="BM444" i="5" s="1"/>
  <c r="BG444" i="5"/>
  <c r="BL444" i="5" s="1"/>
  <c r="BG306" i="5"/>
  <c r="BL306" i="5" s="1"/>
  <c r="BH306" i="5"/>
  <c r="BM306" i="5" s="1"/>
  <c r="BH530" i="5"/>
  <c r="BM530" i="5" s="1"/>
  <c r="BG530" i="5"/>
  <c r="BL530" i="5" s="1"/>
  <c r="BH155" i="5"/>
  <c r="BM155" i="5" s="1"/>
  <c r="BG155" i="5"/>
  <c r="BL155" i="5" s="1"/>
  <c r="BH323" i="5"/>
  <c r="BM323" i="5" s="1"/>
  <c r="BG323" i="5"/>
  <c r="BL323" i="5" s="1"/>
  <c r="BH346" i="5"/>
  <c r="BM346" i="5" s="1"/>
  <c r="BG346" i="5"/>
  <c r="BL346" i="5" s="1"/>
  <c r="BG301" i="5"/>
  <c r="BL301" i="5" s="1"/>
  <c r="BH301" i="5"/>
  <c r="BM301" i="5" s="1"/>
  <c r="BG458" i="5"/>
  <c r="BL458" i="5" s="1"/>
  <c r="BH458" i="5"/>
  <c r="BM458" i="5" s="1"/>
  <c r="BH181" i="5"/>
  <c r="BM181" i="5" s="1"/>
  <c r="BG181" i="5"/>
  <c r="BL181" i="5" s="1"/>
  <c r="BG198" i="5"/>
  <c r="BL198" i="5" s="1"/>
  <c r="BH198" i="5"/>
  <c r="BM198" i="5" s="1"/>
  <c r="BH89" i="5"/>
  <c r="BM89" i="5" s="1"/>
  <c r="BG89" i="5"/>
  <c r="BL89" i="5" s="1"/>
  <c r="BG177" i="5"/>
  <c r="BL177" i="5" s="1"/>
  <c r="BH177" i="5"/>
  <c r="BM177" i="5" s="1"/>
  <c r="BG427" i="5"/>
  <c r="BL427" i="5" s="1"/>
  <c r="BH427" i="5"/>
  <c r="BM427" i="5" s="1"/>
  <c r="BG539" i="5"/>
  <c r="BL539" i="5" s="1"/>
  <c r="BH539" i="5"/>
  <c r="BM539" i="5" s="1"/>
  <c r="BG450" i="5"/>
  <c r="BL450" i="5" s="1"/>
  <c r="BH450" i="5"/>
  <c r="BM450" i="5" s="1"/>
  <c r="BH120" i="5"/>
  <c r="BM120" i="5" s="1"/>
  <c r="BG120" i="5"/>
  <c r="BL120" i="5" s="1"/>
  <c r="BH488" i="5"/>
  <c r="BM488" i="5" s="1"/>
  <c r="BG488" i="5"/>
  <c r="BL488" i="5" s="1"/>
  <c r="BG234" i="5"/>
  <c r="BL234" i="5" s="1"/>
  <c r="BH234" i="5"/>
  <c r="BM234" i="5" s="1"/>
  <c r="BH558" i="5"/>
  <c r="BM558" i="5" s="1"/>
  <c r="BG558" i="5"/>
  <c r="BL558" i="5" s="1"/>
  <c r="BH238" i="5"/>
  <c r="BM238" i="5" s="1"/>
  <c r="BG238" i="5"/>
  <c r="BL238" i="5" s="1"/>
  <c r="BH461" i="5"/>
  <c r="BM461" i="5" s="1"/>
  <c r="BG461" i="5"/>
  <c r="BL461" i="5" s="1"/>
  <c r="BH190" i="5"/>
  <c r="BM190" i="5" s="1"/>
  <c r="BG190" i="5"/>
  <c r="BL190" i="5" s="1"/>
  <c r="BH118" i="5"/>
  <c r="BM118" i="5" s="1"/>
  <c r="BG118" i="5"/>
  <c r="BL118" i="5" s="1"/>
  <c r="BH397" i="5"/>
  <c r="BM397" i="5" s="1"/>
  <c r="BG397" i="5"/>
  <c r="BL397" i="5" s="1"/>
  <c r="BH22" i="5"/>
  <c r="BM22" i="5" s="1"/>
  <c r="BG22" i="5"/>
  <c r="BL22" i="5" s="1"/>
  <c r="BG269" i="5"/>
  <c r="BL269" i="5" s="1"/>
  <c r="BH269" i="5"/>
  <c r="BM269" i="5" s="1"/>
  <c r="BH320" i="5"/>
  <c r="BM320" i="5" s="1"/>
  <c r="BG320" i="5"/>
  <c r="BL320" i="5" s="1"/>
  <c r="BG132" i="5"/>
  <c r="BL132" i="5" s="1"/>
  <c r="BH132" i="5"/>
  <c r="BM132" i="5" s="1"/>
  <c r="BG214" i="5"/>
  <c r="BL214" i="5" s="1"/>
  <c r="BH214" i="5"/>
  <c r="BM214" i="5" s="1"/>
  <c r="BG125" i="5"/>
  <c r="BL125" i="5" s="1"/>
  <c r="BH125" i="5"/>
  <c r="BM125" i="5" s="1"/>
  <c r="BG377" i="5"/>
  <c r="BL377" i="5" s="1"/>
  <c r="BH377" i="5"/>
  <c r="BM377" i="5" s="1"/>
  <c r="BG419" i="5"/>
  <c r="BL419" i="5" s="1"/>
  <c r="BH419" i="5"/>
  <c r="BM419" i="5" s="1"/>
  <c r="BH540" i="5"/>
  <c r="BM540" i="5" s="1"/>
  <c r="BG540" i="5"/>
  <c r="BL540" i="5" s="1"/>
  <c r="BG357" i="5"/>
  <c r="BL357" i="5" s="1"/>
  <c r="BH357" i="5"/>
  <c r="BM357" i="5" s="1"/>
  <c r="BH294" i="5"/>
  <c r="BM294" i="5" s="1"/>
  <c r="BG294" i="5"/>
  <c r="BL294" i="5" s="1"/>
  <c r="BG337" i="5"/>
  <c r="BL337" i="5" s="1"/>
  <c r="BH337" i="5"/>
  <c r="BM337" i="5" s="1"/>
  <c r="BH441" i="5"/>
  <c r="BM441" i="5" s="1"/>
  <c r="BG441" i="5"/>
  <c r="BL441" i="5" s="1"/>
  <c r="BH537" i="5"/>
  <c r="BM537" i="5" s="1"/>
  <c r="BG537" i="5"/>
  <c r="BL537" i="5" s="1"/>
  <c r="BG369" i="5"/>
  <c r="BL369" i="5" s="1"/>
  <c r="BH369" i="5"/>
  <c r="BM369" i="5" s="1"/>
  <c r="BH560" i="5"/>
  <c r="BM560" i="5" s="1"/>
  <c r="BG560" i="5"/>
  <c r="BL560" i="5" s="1"/>
  <c r="BG518" i="5"/>
  <c r="BL518" i="5" s="1"/>
  <c r="BH518" i="5"/>
  <c r="BM518" i="5" s="1"/>
  <c r="BG249" i="5"/>
  <c r="BL249" i="5" s="1"/>
  <c r="BH249" i="5"/>
  <c r="BM249" i="5" s="1"/>
  <c r="BH494" i="5"/>
  <c r="BM494" i="5" s="1"/>
  <c r="BG494" i="5"/>
  <c r="BL494" i="5" s="1"/>
  <c r="BH239" i="5"/>
  <c r="BM239" i="5" s="1"/>
  <c r="BG239" i="5"/>
  <c r="BL239" i="5" s="1"/>
  <c r="BH398" i="5"/>
  <c r="BM398" i="5" s="1"/>
  <c r="BG398" i="5"/>
  <c r="BL398" i="5" s="1"/>
  <c r="BG340" i="5"/>
  <c r="BL340" i="5" s="1"/>
  <c r="BH340" i="5"/>
  <c r="BM340" i="5" s="1"/>
  <c r="BG365" i="5"/>
  <c r="BL365" i="5" s="1"/>
  <c r="BH365" i="5"/>
  <c r="BM365" i="5" s="1"/>
  <c r="BH263" i="5"/>
  <c r="BM263" i="5" s="1"/>
  <c r="BG263" i="5"/>
  <c r="BL263" i="5" s="1"/>
  <c r="BG285" i="5"/>
  <c r="BL285" i="5" s="1"/>
  <c r="BH285" i="5"/>
  <c r="BM285" i="5" s="1"/>
  <c r="BH476" i="5"/>
  <c r="BM476" i="5" s="1"/>
  <c r="BG476" i="5"/>
  <c r="BL476" i="5" s="1"/>
  <c r="BG307" i="5"/>
  <c r="BL307" i="5" s="1"/>
  <c r="BH307" i="5"/>
  <c r="BM307" i="5" s="1"/>
  <c r="BG435" i="5"/>
  <c r="BL435" i="5" s="1"/>
  <c r="BH435" i="5"/>
  <c r="BM435" i="5" s="1"/>
  <c r="BG171" i="5"/>
  <c r="BL171" i="5" s="1"/>
  <c r="BH171" i="5"/>
  <c r="BM171" i="5" s="1"/>
  <c r="BH557" i="5"/>
  <c r="BM557" i="5" s="1"/>
  <c r="BG557" i="5"/>
  <c r="BL557" i="5" s="1"/>
  <c r="BG420" i="5"/>
  <c r="BL420" i="5" s="1"/>
  <c r="BH420" i="5"/>
  <c r="BM420" i="5" s="1"/>
  <c r="BG425" i="5"/>
  <c r="BL425" i="5" s="1"/>
  <c r="BH425" i="5"/>
  <c r="BM425" i="5" s="1"/>
  <c r="BG220" i="5"/>
  <c r="BL220" i="5" s="1"/>
  <c r="BH220" i="5"/>
  <c r="BM220" i="5" s="1"/>
  <c r="BG41" i="5"/>
  <c r="BL41" i="5" s="1"/>
  <c r="BH41" i="5"/>
  <c r="BM41" i="5" s="1"/>
  <c r="BG556" i="5"/>
  <c r="BL556" i="5" s="1"/>
  <c r="BH556" i="5"/>
  <c r="BM556" i="5" s="1"/>
  <c r="BG284" i="5"/>
  <c r="BL284" i="5" s="1"/>
  <c r="BH284" i="5"/>
  <c r="BM284" i="5" s="1"/>
  <c r="BH63" i="5"/>
  <c r="BM63" i="5" s="1"/>
  <c r="BG63" i="5"/>
  <c r="BL63" i="5" s="1"/>
  <c r="BG366" i="5"/>
  <c r="BL366" i="5" s="1"/>
  <c r="BH366" i="5"/>
  <c r="BM366" i="5" s="1"/>
  <c r="BG327" i="5"/>
  <c r="BL327" i="5" s="1"/>
  <c r="BH327" i="5"/>
  <c r="BM327" i="5" s="1"/>
  <c r="BH72" i="5"/>
  <c r="BM72" i="5" s="1"/>
  <c r="BG72" i="5"/>
  <c r="BL72" i="5" s="1"/>
  <c r="BG160" i="5"/>
  <c r="BL160" i="5" s="1"/>
  <c r="BH160" i="5"/>
  <c r="BM160" i="5" s="1"/>
  <c r="BH524" i="5"/>
  <c r="BM524" i="5" s="1"/>
  <c r="BG524" i="5"/>
  <c r="BL524" i="5" s="1"/>
  <c r="BH135" i="5"/>
  <c r="BM135" i="5" s="1"/>
  <c r="BG135" i="5"/>
  <c r="BL135" i="5" s="1"/>
  <c r="BG312" i="5"/>
  <c r="BL312" i="5" s="1"/>
  <c r="BH312" i="5"/>
  <c r="BM312" i="5" s="1"/>
  <c r="BH102" i="5"/>
  <c r="BM102" i="5" s="1"/>
  <c r="BG102" i="5"/>
  <c r="BL102" i="5" s="1"/>
  <c r="BH467" i="5"/>
  <c r="BM467" i="5" s="1"/>
  <c r="BG467" i="5"/>
  <c r="BL467" i="5" s="1"/>
  <c r="BH464" i="5"/>
  <c r="BM464" i="5" s="1"/>
  <c r="BG464" i="5"/>
  <c r="BL464" i="5" s="1"/>
  <c r="BH387" i="5"/>
  <c r="BM387" i="5" s="1"/>
  <c r="BG387" i="5"/>
  <c r="BL387" i="5" s="1"/>
  <c r="BG116" i="5"/>
  <c r="BL116" i="5" s="1"/>
  <c r="BH116" i="5"/>
  <c r="BM116" i="5" s="1"/>
  <c r="BH528" i="5"/>
  <c r="BM528" i="5" s="1"/>
  <c r="BG528" i="5"/>
  <c r="BL528" i="5" s="1"/>
  <c r="BH300" i="5"/>
  <c r="BM300" i="5" s="1"/>
  <c r="BG300" i="5"/>
  <c r="BL300" i="5" s="1"/>
  <c r="BG42" i="5"/>
  <c r="BL42" i="5" s="1"/>
  <c r="BH42" i="5"/>
  <c r="BM42" i="5" s="1"/>
  <c r="BG242" i="5"/>
  <c r="BL242" i="5" s="1"/>
  <c r="BH242" i="5"/>
  <c r="BM242" i="5" s="1"/>
  <c r="BG447" i="5"/>
  <c r="BL447" i="5" s="1"/>
  <c r="BH447" i="5"/>
  <c r="BM447" i="5" s="1"/>
  <c r="BG35" i="5"/>
  <c r="BL35" i="5" s="1"/>
  <c r="BH35" i="5"/>
  <c r="BM35" i="5" s="1"/>
  <c r="BG188" i="5"/>
  <c r="BL188" i="5" s="1"/>
  <c r="BH188" i="5"/>
  <c r="BM188" i="5" s="1"/>
  <c r="BG219" i="5"/>
  <c r="BL219" i="5" s="1"/>
  <c r="BH219" i="5"/>
  <c r="BM219" i="5" s="1"/>
  <c r="BG54" i="5"/>
  <c r="BL54" i="5" s="1"/>
  <c r="BH54" i="5"/>
  <c r="BM54" i="5" s="1"/>
  <c r="BG481" i="5"/>
  <c r="BL481" i="5" s="1"/>
  <c r="BH481" i="5"/>
  <c r="BM481" i="5" s="1"/>
  <c r="BG538" i="5"/>
  <c r="BL538" i="5" s="1"/>
  <c r="BH538" i="5"/>
  <c r="BM538" i="5" s="1"/>
  <c r="BH370" i="5"/>
  <c r="BM370" i="5" s="1"/>
  <c r="BG370" i="5"/>
  <c r="BL370" i="5" s="1"/>
  <c r="BG144" i="5"/>
  <c r="BL144" i="5" s="1"/>
  <c r="BH144" i="5"/>
  <c r="BM144" i="5" s="1"/>
  <c r="BH413" i="5"/>
  <c r="BM413" i="5" s="1"/>
  <c r="BG413" i="5"/>
  <c r="BL413" i="5" s="1"/>
  <c r="BG456" i="5"/>
  <c r="BL456" i="5" s="1"/>
  <c r="BH456" i="5"/>
  <c r="BM456" i="5" s="1"/>
  <c r="BG48" i="5"/>
  <c r="BL48" i="5" s="1"/>
  <c r="BH48" i="5"/>
  <c r="BM48" i="5" s="1"/>
  <c r="BH493" i="5"/>
  <c r="BM493" i="5" s="1"/>
  <c r="BG493" i="5"/>
  <c r="BL493" i="5" s="1"/>
  <c r="BH388" i="5"/>
  <c r="BM388" i="5" s="1"/>
  <c r="BG388" i="5"/>
  <c r="BL388" i="5" s="1"/>
  <c r="BG295" i="5"/>
  <c r="BL295" i="5" s="1"/>
  <c r="BH295" i="5"/>
  <c r="BM295" i="5" s="1"/>
  <c r="BH253" i="5"/>
  <c r="BM253" i="5" s="1"/>
  <c r="BG253" i="5"/>
  <c r="BL253" i="5" s="1"/>
  <c r="BG544" i="5"/>
  <c r="BL544" i="5" s="1"/>
  <c r="BH544" i="5"/>
  <c r="BM544" i="5" s="1"/>
  <c r="BG210" i="5"/>
  <c r="BL210" i="5" s="1"/>
  <c r="BH210" i="5"/>
  <c r="BM210" i="5" s="1"/>
  <c r="BH232" i="5"/>
  <c r="BM232" i="5" s="1"/>
  <c r="BG232" i="5"/>
  <c r="BL232" i="5" s="1"/>
  <c r="BG318" i="5"/>
  <c r="BL318" i="5" s="1"/>
  <c r="BH318" i="5"/>
  <c r="BM318" i="5" s="1"/>
  <c r="BH516" i="5"/>
  <c r="BM516" i="5" s="1"/>
  <c r="BG516" i="5"/>
  <c r="BL516" i="5" s="1"/>
  <c r="BH20" i="5"/>
  <c r="BM20" i="5" s="1"/>
  <c r="BG20" i="5"/>
  <c r="BL20" i="5" s="1"/>
  <c r="BH182" i="5"/>
  <c r="BM182" i="5" s="1"/>
  <c r="BG182" i="5"/>
  <c r="BL182" i="5" s="1"/>
  <c r="BH470" i="5"/>
  <c r="BM470" i="5" s="1"/>
  <c r="BG470" i="5"/>
  <c r="BL470" i="5" s="1"/>
  <c r="BH383" i="5"/>
  <c r="BM383" i="5" s="1"/>
  <c r="BG383" i="5"/>
  <c r="BL383" i="5" s="1"/>
  <c r="BH479" i="5"/>
  <c r="BM479" i="5" s="1"/>
  <c r="BG479" i="5"/>
  <c r="BL479" i="5" s="1"/>
  <c r="BG297" i="5"/>
  <c r="BL297" i="5" s="1"/>
  <c r="BH297" i="5"/>
  <c r="BM297" i="5" s="1"/>
  <c r="BH103" i="5"/>
  <c r="BM103" i="5" s="1"/>
  <c r="BG103" i="5"/>
  <c r="BL103" i="5" s="1"/>
  <c r="BH361" i="5"/>
  <c r="BM361" i="5" s="1"/>
  <c r="BG361" i="5"/>
  <c r="BL361" i="5" s="1"/>
  <c r="BG52" i="5"/>
  <c r="BL52" i="5" s="1"/>
  <c r="BH52" i="5"/>
  <c r="BM52" i="5" s="1"/>
  <c r="BH436" i="5"/>
  <c r="BM436" i="5" s="1"/>
  <c r="BG436" i="5"/>
  <c r="BL436" i="5" s="1"/>
  <c r="BG197" i="5"/>
  <c r="BL197" i="5" s="1"/>
  <c r="BH197" i="5"/>
  <c r="BM197" i="5" s="1"/>
  <c r="BG101" i="5"/>
  <c r="BL101" i="5" s="1"/>
  <c r="BH101" i="5"/>
  <c r="BM101" i="5" s="1"/>
  <c r="BG496" i="5"/>
  <c r="BL496" i="5" s="1"/>
  <c r="BH496" i="5"/>
  <c r="BM496" i="5" s="1"/>
  <c r="BG159" i="5"/>
  <c r="BL159" i="5" s="1"/>
  <c r="BH159" i="5"/>
  <c r="BM159" i="5" s="1"/>
  <c r="BG339" i="5"/>
  <c r="BL339" i="5" s="1"/>
  <c r="BH339" i="5"/>
  <c r="BM339" i="5" s="1"/>
  <c r="BG328" i="5"/>
  <c r="BL328" i="5" s="1"/>
  <c r="BH328" i="5"/>
  <c r="BM328" i="5" s="1"/>
  <c r="BD11" i="5"/>
  <c r="BE11" i="5"/>
  <c r="BG310" i="5"/>
  <c r="BL310" i="5" s="1"/>
  <c r="BH310" i="5"/>
  <c r="BM310" i="5" s="1"/>
  <c r="BG189" i="5"/>
  <c r="BL189" i="5" s="1"/>
  <c r="BH189" i="5"/>
  <c r="BM189" i="5" s="1"/>
  <c r="BG548" i="5"/>
  <c r="BL548" i="5" s="1"/>
  <c r="BH548" i="5"/>
  <c r="BM548" i="5" s="1"/>
  <c r="BG359" i="5"/>
  <c r="BL359" i="5" s="1"/>
  <c r="BH359" i="5"/>
  <c r="BM359" i="5" s="1"/>
  <c r="BG394" i="5"/>
  <c r="BL394" i="5" s="1"/>
  <c r="BH394" i="5"/>
  <c r="BM394" i="5" s="1"/>
  <c r="BG472" i="5"/>
  <c r="BL472" i="5" s="1"/>
  <c r="BH472" i="5"/>
  <c r="BM472" i="5" s="1"/>
  <c r="BG25" i="5"/>
  <c r="BL25" i="5" s="1"/>
  <c r="BH25" i="5"/>
  <c r="BM25" i="5" s="1"/>
  <c r="BG483" i="5"/>
  <c r="BL483" i="5" s="1"/>
  <c r="BH483" i="5"/>
  <c r="BM483" i="5" s="1"/>
  <c r="BH378" i="5"/>
  <c r="BM378" i="5" s="1"/>
  <c r="BG378" i="5"/>
  <c r="BL378" i="5" s="1"/>
  <c r="BH474" i="5"/>
  <c r="BM474" i="5" s="1"/>
  <c r="BG474" i="5"/>
  <c r="BL474" i="5" s="1"/>
  <c r="BH83" i="5"/>
  <c r="BM83" i="5" s="1"/>
  <c r="BG83" i="5"/>
  <c r="BL83" i="5" s="1"/>
  <c r="BH507" i="5"/>
  <c r="BM507" i="5" s="1"/>
  <c r="BG507" i="5"/>
  <c r="BL507" i="5" s="1"/>
  <c r="BG76" i="5"/>
  <c r="BL76" i="5" s="1"/>
  <c r="BH76" i="5"/>
  <c r="BM76" i="5" s="1"/>
  <c r="BH533" i="5"/>
  <c r="BM533" i="5" s="1"/>
  <c r="BG533" i="5"/>
  <c r="BL533" i="5" s="1"/>
  <c r="BG246" i="5"/>
  <c r="BL246" i="5" s="1"/>
  <c r="BH246" i="5"/>
  <c r="BM246" i="5" s="1"/>
  <c r="BG506" i="5"/>
  <c r="BL506" i="5" s="1"/>
  <c r="BH506" i="5"/>
  <c r="BM506" i="5" s="1"/>
  <c r="BG31" i="5"/>
  <c r="BL31" i="5" s="1"/>
  <c r="BH31" i="5"/>
  <c r="BM31" i="5" s="1"/>
  <c r="BG98" i="5"/>
  <c r="BL98" i="5" s="1"/>
  <c r="BH98" i="5"/>
  <c r="BM98" i="5" s="1"/>
  <c r="BG225" i="5"/>
  <c r="BL225" i="5" s="1"/>
  <c r="BH225" i="5"/>
  <c r="BM225" i="5" s="1"/>
  <c r="BH363" i="5"/>
  <c r="BM363" i="5" s="1"/>
  <c r="BG363" i="5"/>
  <c r="BL363" i="5" s="1"/>
  <c r="BH226" i="5"/>
  <c r="BM226" i="5" s="1"/>
  <c r="BG226" i="5"/>
  <c r="BL226" i="5" s="1"/>
  <c r="BG550" i="5"/>
  <c r="BL550" i="5" s="1"/>
  <c r="BH550" i="5"/>
  <c r="BM550" i="5" s="1"/>
  <c r="BH489" i="5"/>
  <c r="BM489" i="5" s="1"/>
  <c r="BG489" i="5"/>
  <c r="BL489" i="5" s="1"/>
  <c r="BH438" i="5"/>
  <c r="BM438" i="5" s="1"/>
  <c r="BG438" i="5"/>
  <c r="BL438" i="5" s="1"/>
  <c r="BH466" i="5"/>
  <c r="BM466" i="5" s="1"/>
  <c r="BG466" i="5"/>
  <c r="BL466" i="5" s="1"/>
  <c r="AQ11" i="5"/>
  <c r="BI11" i="5"/>
  <c r="AR11" i="5"/>
  <c r="BH527" i="5"/>
  <c r="BM527" i="5" s="1"/>
  <c r="BG527" i="5"/>
  <c r="BL527" i="5" s="1"/>
  <c r="BG302" i="5"/>
  <c r="BL302" i="5" s="1"/>
  <c r="BH302" i="5"/>
  <c r="BM302" i="5" s="1"/>
  <c r="BH78" i="5"/>
  <c r="BM78" i="5" s="1"/>
  <c r="BG78" i="5"/>
  <c r="BL78" i="5" s="1"/>
  <c r="BH82" i="5"/>
  <c r="BM82" i="5" s="1"/>
  <c r="BG82" i="5"/>
  <c r="BL82" i="5" s="1"/>
  <c r="BH353" i="5"/>
  <c r="BM353" i="5" s="1"/>
  <c r="BG353" i="5"/>
  <c r="BL353" i="5" s="1"/>
  <c r="BG209" i="5"/>
  <c r="BL209" i="5" s="1"/>
  <c r="BH209" i="5"/>
  <c r="BM209" i="5" s="1"/>
  <c r="BH19" i="5"/>
  <c r="BM19" i="5" s="1"/>
  <c r="BG19" i="5"/>
  <c r="BL19" i="5" s="1"/>
  <c r="BG374" i="5"/>
  <c r="BL374" i="5" s="1"/>
  <c r="BH374" i="5"/>
  <c r="BM374" i="5" s="1"/>
  <c r="BH105" i="5"/>
  <c r="BM105" i="5" s="1"/>
  <c r="BG105" i="5"/>
  <c r="BL105" i="5" s="1"/>
  <c r="BG303" i="5"/>
  <c r="BL303" i="5" s="1"/>
  <c r="BH303" i="5"/>
  <c r="BM303" i="5" s="1"/>
  <c r="BG47" i="5"/>
  <c r="BL47" i="5" s="1"/>
  <c r="BH47" i="5"/>
  <c r="BM47" i="5" s="1"/>
  <c r="BH322" i="5"/>
  <c r="BM322" i="5" s="1"/>
  <c r="BG322" i="5"/>
  <c r="BL322" i="5" s="1"/>
  <c r="BG258" i="5"/>
  <c r="BL258" i="5" s="1"/>
  <c r="BH258" i="5"/>
  <c r="BM258" i="5" s="1"/>
  <c r="BG270" i="5"/>
  <c r="BL270" i="5" s="1"/>
  <c r="BH270" i="5"/>
  <c r="BM270" i="5" s="1"/>
  <c r="BG176" i="5"/>
  <c r="BL176" i="5" s="1"/>
  <c r="BH176" i="5"/>
  <c r="BM176" i="5" s="1"/>
  <c r="BH508" i="5"/>
  <c r="BM508" i="5" s="1"/>
  <c r="BG508" i="5"/>
  <c r="BL508" i="5" s="1"/>
  <c r="BG414" i="5"/>
  <c r="BL414" i="5" s="1"/>
  <c r="BH414" i="5"/>
  <c r="BM414" i="5" s="1"/>
  <c r="BH230" i="5"/>
  <c r="BM230" i="5" s="1"/>
  <c r="BG230" i="5"/>
  <c r="BL230" i="5" s="1"/>
  <c r="BH509" i="5"/>
  <c r="BM509" i="5" s="1"/>
  <c r="BG509" i="5"/>
  <c r="BL509" i="5" s="1"/>
  <c r="BG292" i="5"/>
  <c r="BL292" i="5" s="1"/>
  <c r="BH292" i="5"/>
  <c r="BM292" i="5" s="1"/>
  <c r="BG446" i="5"/>
  <c r="BL446" i="5" s="1"/>
  <c r="BH446" i="5"/>
  <c r="BM446" i="5" s="1"/>
  <c r="BH422" i="5"/>
  <c r="BM422" i="5" s="1"/>
  <c r="BG422" i="5"/>
  <c r="BL422" i="5" s="1"/>
  <c r="BG43" i="5"/>
  <c r="BL43" i="5" s="1"/>
  <c r="BH43" i="5"/>
  <c r="BM43" i="5" s="1"/>
  <c r="BG91" i="5"/>
  <c r="BL91" i="5" s="1"/>
  <c r="BH91" i="5"/>
  <c r="BM91" i="5" s="1"/>
  <c r="BH37" i="5"/>
  <c r="BM37" i="5" s="1"/>
  <c r="BG37" i="5"/>
  <c r="BL37" i="5" s="1"/>
  <c r="BH248" i="5"/>
  <c r="BM248" i="5" s="1"/>
  <c r="BG248" i="5"/>
  <c r="BL248" i="5" s="1"/>
  <c r="BH529" i="5"/>
  <c r="BM529" i="5" s="1"/>
  <c r="BG529" i="5"/>
  <c r="BL529" i="5" s="1"/>
  <c r="BG354" i="5"/>
  <c r="BL354" i="5" s="1"/>
  <c r="BH354" i="5"/>
  <c r="BM354" i="5" s="1"/>
  <c r="BH255" i="5"/>
  <c r="BM255" i="5" s="1"/>
  <c r="BG255" i="5"/>
  <c r="BL255" i="5" s="1"/>
  <c r="BG121" i="5"/>
  <c r="BL121" i="5" s="1"/>
  <c r="BH121" i="5"/>
  <c r="BM121" i="5" s="1"/>
  <c r="BH124" i="5"/>
  <c r="BM124" i="5" s="1"/>
  <c r="BG124" i="5"/>
  <c r="BL124" i="5" s="1"/>
  <c r="BG402" i="5"/>
  <c r="BL402" i="5" s="1"/>
  <c r="BH402" i="5"/>
  <c r="BM402" i="5" s="1"/>
  <c r="BH324" i="5"/>
  <c r="BM324" i="5" s="1"/>
  <c r="BG324" i="5"/>
  <c r="BL324" i="5" s="1"/>
  <c r="BG283" i="5"/>
  <c r="BL283" i="5" s="1"/>
  <c r="BH283" i="5"/>
  <c r="BM283" i="5" s="1"/>
  <c r="BG251" i="5"/>
  <c r="BL251" i="5" s="1"/>
  <c r="BH251" i="5"/>
  <c r="BM251" i="5" s="1"/>
  <c r="BG291" i="5"/>
  <c r="BL291" i="5" s="1"/>
  <c r="BH291" i="5"/>
  <c r="BM291" i="5" s="1"/>
  <c r="BG343" i="5"/>
  <c r="BL343" i="5" s="1"/>
  <c r="BH343" i="5"/>
  <c r="BM343" i="5" s="1"/>
  <c r="BG65" i="5"/>
  <c r="BL65" i="5" s="1"/>
  <c r="BH65" i="5"/>
  <c r="BM65" i="5" s="1"/>
  <c r="BH331" i="5"/>
  <c r="BM331" i="5" s="1"/>
  <c r="BG331" i="5"/>
  <c r="BL331" i="5" s="1"/>
  <c r="BG316" i="5"/>
  <c r="BL316" i="5" s="1"/>
  <c r="BH316" i="5"/>
  <c r="BM316" i="5" s="1"/>
  <c r="BG522" i="5"/>
  <c r="BL522" i="5" s="1"/>
  <c r="BH522" i="5"/>
  <c r="BM522" i="5" s="1"/>
  <c r="BG70" i="5"/>
  <c r="BL70" i="5" s="1"/>
  <c r="BH70" i="5"/>
  <c r="BM70" i="5" s="1"/>
  <c r="BH12" i="5"/>
  <c r="BM12" i="5" s="1"/>
  <c r="BG12" i="5"/>
  <c r="BL12" i="5" s="1"/>
  <c r="BG186" i="5"/>
  <c r="BL186" i="5" s="1"/>
  <c r="BH186" i="5"/>
  <c r="BM186" i="5" s="1"/>
  <c r="BG66" i="5"/>
  <c r="BL66" i="5" s="1"/>
  <c r="BH66" i="5"/>
  <c r="BM66" i="5" s="1"/>
  <c r="BG325" i="5"/>
  <c r="BL325" i="5" s="1"/>
  <c r="BH325" i="5"/>
  <c r="BM325" i="5" s="1"/>
  <c r="BG268" i="5"/>
  <c r="BL268" i="5" s="1"/>
  <c r="BH268" i="5"/>
  <c r="BM268" i="5" s="1"/>
  <c r="BG217" i="5"/>
  <c r="BL217" i="5" s="1"/>
  <c r="BH217" i="5"/>
  <c r="BM217" i="5" s="1"/>
  <c r="BG430" i="5"/>
  <c r="BL430" i="5" s="1"/>
  <c r="BH430" i="5"/>
  <c r="BM430" i="5" s="1"/>
  <c r="BH410" i="5"/>
  <c r="BM410" i="5" s="1"/>
  <c r="BG410" i="5"/>
  <c r="BL410" i="5" s="1"/>
  <c r="BG534" i="5"/>
  <c r="BL534" i="5" s="1"/>
  <c r="BH534" i="5"/>
  <c r="BM534" i="5" s="1"/>
  <c r="BH202" i="5"/>
  <c r="BM202" i="5" s="1"/>
  <c r="BG202" i="5"/>
  <c r="BL202" i="5" s="1"/>
  <c r="BG498" i="5"/>
  <c r="BL498" i="5" s="1"/>
  <c r="BH498" i="5"/>
  <c r="BM498" i="5" s="1"/>
  <c r="BG40" i="5"/>
  <c r="BL40" i="5" s="1"/>
  <c r="BH40" i="5"/>
  <c r="BM40" i="5" s="1"/>
  <c r="BG109" i="5"/>
  <c r="BL109" i="5" s="1"/>
  <c r="BH109" i="5"/>
  <c r="BM109" i="5" s="1"/>
  <c r="BG504" i="5"/>
  <c r="BL504" i="5" s="1"/>
  <c r="BH504" i="5"/>
  <c r="BM504" i="5" s="1"/>
  <c r="BG256" i="5"/>
  <c r="BL256" i="5" s="1"/>
  <c r="BH256" i="5"/>
  <c r="BM256" i="5" s="1"/>
  <c r="BH172" i="5"/>
  <c r="BM172" i="5" s="1"/>
  <c r="BG172" i="5"/>
  <c r="BL172" i="5" s="1"/>
  <c r="BH348" i="5"/>
  <c r="BM348" i="5" s="1"/>
  <c r="BG348" i="5"/>
  <c r="BL348" i="5" s="1"/>
  <c r="BH218" i="5"/>
  <c r="BM218" i="5" s="1"/>
  <c r="BG218" i="5"/>
  <c r="BL218" i="5" s="1"/>
  <c r="BG392" i="5"/>
  <c r="BL392" i="5" s="1"/>
  <c r="BH392" i="5"/>
  <c r="BM392" i="5" s="1"/>
  <c r="BH250" i="5"/>
  <c r="BM250" i="5" s="1"/>
  <c r="BG250" i="5"/>
  <c r="BL250" i="5" s="1"/>
  <c r="BH321" i="5"/>
  <c r="BM321" i="5" s="1"/>
  <c r="BG321" i="5"/>
  <c r="BL321" i="5" s="1"/>
  <c r="BG168" i="5"/>
  <c r="BL168" i="5" s="1"/>
  <c r="BH168" i="5"/>
  <c r="BM168" i="5" s="1"/>
  <c r="BG477" i="5"/>
  <c r="BL477" i="5" s="1"/>
  <c r="BH477" i="5"/>
  <c r="BM477" i="5" s="1"/>
  <c r="BG231" i="5"/>
  <c r="BL231" i="5" s="1"/>
  <c r="BH231" i="5"/>
  <c r="BM231" i="5" s="1"/>
  <c r="BH482" i="5"/>
  <c r="BM482" i="5" s="1"/>
  <c r="BG482" i="5"/>
  <c r="BL482" i="5" s="1"/>
  <c r="BG429" i="5"/>
  <c r="BL429" i="5" s="1"/>
  <c r="BH429" i="5"/>
  <c r="BM429" i="5" s="1"/>
  <c r="BG254" i="5"/>
  <c r="BL254" i="5" s="1"/>
  <c r="BH254" i="5"/>
  <c r="BM254" i="5" s="1"/>
  <c r="BH92" i="5"/>
  <c r="BM92" i="5" s="1"/>
  <c r="BG92" i="5"/>
  <c r="BL92" i="5" s="1"/>
  <c r="BG228" i="5"/>
  <c r="BL228" i="5" s="1"/>
  <c r="BH228" i="5"/>
  <c r="BM228" i="5" s="1"/>
  <c r="BH173" i="5"/>
  <c r="BM173" i="5" s="1"/>
  <c r="BG173" i="5"/>
  <c r="BL173" i="5" s="1"/>
  <c r="BG288" i="5"/>
  <c r="BL288" i="5" s="1"/>
  <c r="BH288" i="5"/>
  <c r="BM288" i="5" s="1"/>
  <c r="BH128" i="5"/>
  <c r="BM128" i="5" s="1"/>
  <c r="BG128" i="5"/>
  <c r="BL128" i="5" s="1"/>
  <c r="BH207" i="5"/>
  <c r="BM207" i="5" s="1"/>
  <c r="BG207" i="5"/>
  <c r="BL207" i="5" s="1"/>
  <c r="BG279" i="5"/>
  <c r="BL279" i="5" s="1"/>
  <c r="BH279" i="5"/>
  <c r="BM279" i="5" s="1"/>
  <c r="BG437" i="5"/>
  <c r="BL437" i="5" s="1"/>
  <c r="BH437" i="5"/>
  <c r="BM437" i="5" s="1"/>
  <c r="BG334" i="5"/>
  <c r="BL334" i="5" s="1"/>
  <c r="BH334" i="5"/>
  <c r="BM334" i="5" s="1"/>
  <c r="BG552" i="5"/>
  <c r="BL552" i="5" s="1"/>
  <c r="BH552" i="5"/>
  <c r="BM552" i="5" s="1"/>
  <c r="BG104" i="5"/>
  <c r="BL104" i="5" s="1"/>
  <c r="BH104" i="5"/>
  <c r="BM104" i="5" s="1"/>
  <c r="BG531" i="5"/>
  <c r="BL531" i="5" s="1"/>
  <c r="BH531" i="5"/>
  <c r="BM531" i="5" s="1"/>
  <c r="BG38" i="5"/>
  <c r="BL38" i="5" s="1"/>
  <c r="BH38" i="5"/>
  <c r="BM38" i="5" s="1"/>
  <c r="BH97" i="5"/>
  <c r="BM97" i="5" s="1"/>
  <c r="BG97" i="5"/>
  <c r="BL97" i="5" s="1"/>
  <c r="BH96" i="5"/>
  <c r="BM96" i="5" s="1"/>
  <c r="BG96" i="5"/>
  <c r="BL96" i="5" s="1"/>
  <c r="BH26" i="5"/>
  <c r="BM26" i="5" s="1"/>
  <c r="BG26" i="5"/>
  <c r="BL26" i="5" s="1"/>
  <c r="BG183" i="5"/>
  <c r="BL183" i="5" s="1"/>
  <c r="BH183" i="5"/>
  <c r="BM183" i="5" s="1"/>
  <c r="BH559" i="5"/>
  <c r="BM559" i="5" s="1"/>
  <c r="BG559" i="5"/>
  <c r="BL559" i="5" s="1"/>
  <c r="BH39" i="5"/>
  <c r="BM39" i="5" s="1"/>
  <c r="BG39" i="5"/>
  <c r="BL39" i="5" s="1"/>
  <c r="BH517" i="5"/>
  <c r="BM517" i="5" s="1"/>
  <c r="BG517" i="5"/>
  <c r="BL517" i="5" s="1"/>
  <c r="BH99" i="5"/>
  <c r="BM99" i="5" s="1"/>
  <c r="BG99" i="5"/>
  <c r="BL99" i="5" s="1"/>
  <c r="BG525" i="5"/>
  <c r="BL525" i="5" s="1"/>
  <c r="BH525" i="5"/>
  <c r="BM525" i="5" s="1"/>
  <c r="BG59" i="5"/>
  <c r="BL59" i="5" s="1"/>
  <c r="BH59" i="5"/>
  <c r="BM59" i="5" s="1"/>
  <c r="BG169" i="5"/>
  <c r="BL169" i="5" s="1"/>
  <c r="BH169" i="5"/>
  <c r="BM169" i="5" s="1"/>
  <c r="BG146" i="5"/>
  <c r="BL146" i="5" s="1"/>
  <c r="BH146" i="5"/>
  <c r="BM146" i="5" s="1"/>
  <c r="BH274" i="5"/>
  <c r="BM274" i="5" s="1"/>
  <c r="BG274" i="5"/>
  <c r="BL274" i="5" s="1"/>
  <c r="BH523" i="5"/>
  <c r="BM523" i="5" s="1"/>
  <c r="BG523" i="5"/>
  <c r="BL523" i="5" s="1"/>
  <c r="BG229" i="5"/>
  <c r="BL229" i="5" s="1"/>
  <c r="BH229" i="5"/>
  <c r="BM229" i="5" s="1"/>
  <c r="BH495" i="5"/>
  <c r="BM495" i="5" s="1"/>
  <c r="BG495" i="5"/>
  <c r="BL495" i="5" s="1"/>
  <c r="BH329" i="5"/>
  <c r="BM329" i="5" s="1"/>
  <c r="BG329" i="5"/>
  <c r="BL329" i="5" s="1"/>
  <c r="BH554" i="5"/>
  <c r="BM554" i="5" s="1"/>
  <c r="BG554" i="5"/>
  <c r="BL554" i="5" s="1"/>
  <c r="BG75" i="5"/>
  <c r="BL75" i="5" s="1"/>
  <c r="BH75" i="5"/>
  <c r="BM75" i="5" s="1"/>
  <c r="BH546" i="5"/>
  <c r="BM546" i="5" s="1"/>
  <c r="BG546" i="5"/>
  <c r="BL546" i="5" s="1"/>
  <c r="BH484" i="5"/>
  <c r="BM484" i="5" s="1"/>
  <c r="BG484" i="5"/>
  <c r="BL484" i="5" s="1"/>
  <c r="BH174" i="5"/>
  <c r="BM174" i="5" s="1"/>
  <c r="BG174" i="5"/>
  <c r="BL174" i="5" s="1"/>
  <c r="BH471" i="5"/>
  <c r="BM471" i="5" s="1"/>
  <c r="BG471" i="5"/>
  <c r="BL471" i="5" s="1"/>
  <c r="BH199" i="5"/>
  <c r="BM199" i="5" s="1"/>
  <c r="BG199" i="5"/>
  <c r="BL199" i="5" s="1"/>
  <c r="BG433" i="5"/>
  <c r="BL433" i="5" s="1"/>
  <c r="BH433" i="5"/>
  <c r="BM433" i="5" s="1"/>
  <c r="BG333" i="5"/>
  <c r="BL333" i="5" s="1"/>
  <c r="BH333" i="5"/>
  <c r="BM333" i="5" s="1"/>
  <c r="BH95" i="5"/>
  <c r="BM95" i="5" s="1"/>
  <c r="BG95" i="5"/>
  <c r="BL95" i="5" s="1"/>
  <c r="BG51" i="5"/>
  <c r="BL51" i="5" s="1"/>
  <c r="BH51" i="5"/>
  <c r="BM51" i="5" s="1"/>
  <c r="BH161" i="5"/>
  <c r="BM161" i="5" s="1"/>
  <c r="BG161" i="5"/>
  <c r="BL161" i="5" s="1"/>
  <c r="BH240" i="5"/>
  <c r="BM240" i="5" s="1"/>
  <c r="BG240" i="5"/>
  <c r="BL240" i="5" s="1"/>
  <c r="BH492" i="5"/>
  <c r="BM492" i="5" s="1"/>
  <c r="BG492" i="5"/>
  <c r="BL492" i="5" s="1"/>
  <c r="BG403" i="5"/>
  <c r="BL403" i="5" s="1"/>
  <c r="BH403" i="5"/>
  <c r="BM403" i="5" s="1"/>
  <c r="BH475" i="5"/>
  <c r="BM475" i="5" s="1"/>
  <c r="BG475" i="5"/>
  <c r="BL475" i="5" s="1"/>
  <c r="BH213" i="5"/>
  <c r="BM213" i="5" s="1"/>
  <c r="BG213" i="5"/>
  <c r="BL213" i="5" s="1"/>
  <c r="BH49" i="5"/>
  <c r="BM49" i="5" s="1"/>
  <c r="BG49" i="5"/>
  <c r="BL49" i="5" s="1"/>
  <c r="BH281" i="5"/>
  <c r="BM281" i="5" s="1"/>
  <c r="BG281" i="5"/>
  <c r="BL281" i="5" s="1"/>
  <c r="BG382" i="5"/>
  <c r="BL382" i="5" s="1"/>
  <c r="BH382" i="5"/>
  <c r="BM382" i="5" s="1"/>
  <c r="BH257" i="5"/>
  <c r="BM257" i="5" s="1"/>
  <c r="BG257" i="5"/>
  <c r="BL257" i="5" s="1"/>
  <c r="BG390" i="5"/>
  <c r="BL390" i="5" s="1"/>
  <c r="BH390" i="5"/>
  <c r="BM390" i="5" s="1"/>
  <c r="BG463" i="5"/>
  <c r="BL463" i="5" s="1"/>
  <c r="BH463" i="5"/>
  <c r="BM463" i="5" s="1"/>
  <c r="BG379" i="5"/>
  <c r="BL379" i="5" s="1"/>
  <c r="BH379" i="5"/>
  <c r="BM379" i="5" s="1"/>
  <c r="BG276" i="5"/>
  <c r="BL276" i="5" s="1"/>
  <c r="BH276" i="5"/>
  <c r="BM276" i="5" s="1"/>
  <c r="BG13" i="5"/>
  <c r="BL13" i="5" s="1"/>
  <c r="BH13" i="5"/>
  <c r="BM13" i="5" s="1"/>
  <c r="BH442" i="5"/>
  <c r="BM442" i="5" s="1"/>
  <c r="BG442" i="5"/>
  <c r="BL442" i="5" s="1"/>
  <c r="BH149" i="5"/>
  <c r="BM149" i="5" s="1"/>
  <c r="BG149" i="5"/>
  <c r="BL149" i="5" s="1"/>
  <c r="BH34" i="5"/>
  <c r="BM34" i="5" s="1"/>
  <c r="BG34" i="5"/>
  <c r="BL34" i="5" s="1"/>
  <c r="BH129" i="5"/>
  <c r="BM129" i="5" s="1"/>
  <c r="BG129" i="5"/>
  <c r="BL129" i="5" s="1"/>
  <c r="BH386" i="5"/>
  <c r="BM386" i="5" s="1"/>
  <c r="BG386" i="5"/>
  <c r="BL386" i="5" s="1"/>
  <c r="BH404" i="5"/>
  <c r="BM404" i="5" s="1"/>
  <c r="BG404" i="5"/>
  <c r="BL404" i="5" s="1"/>
  <c r="BH192" i="5"/>
  <c r="BM192" i="5" s="1"/>
  <c r="BG192" i="5"/>
  <c r="BL192" i="5" s="1"/>
  <c r="BG196" i="5"/>
  <c r="BL196" i="5" s="1"/>
  <c r="BH196" i="5"/>
  <c r="BM196" i="5" s="1"/>
  <c r="BG536" i="5"/>
  <c r="BL536" i="5" s="1"/>
  <c r="BH536" i="5"/>
  <c r="BM536" i="5" s="1"/>
  <c r="BG305" i="5"/>
  <c r="BL305" i="5" s="1"/>
  <c r="BH305" i="5"/>
  <c r="BM305" i="5" s="1"/>
  <c r="BH223" i="5"/>
  <c r="BM223" i="5" s="1"/>
  <c r="BG223" i="5"/>
  <c r="BL223" i="5" s="1"/>
  <c r="BH33" i="5"/>
  <c r="BM33" i="5" s="1"/>
  <c r="BG33" i="5"/>
  <c r="BL33" i="5" s="1"/>
  <c r="BG87" i="5"/>
  <c r="BL87" i="5" s="1"/>
  <c r="BH87" i="5"/>
  <c r="BM87" i="5" s="1"/>
  <c r="BH341" i="5"/>
  <c r="BM341" i="5" s="1"/>
  <c r="BG341" i="5"/>
  <c r="BL341" i="5" s="1"/>
  <c r="BH133" i="5"/>
  <c r="BM133" i="5" s="1"/>
  <c r="BG133" i="5"/>
  <c r="BL133" i="5" s="1"/>
  <c r="BG356" i="5"/>
  <c r="BL356" i="5" s="1"/>
  <c r="BH356" i="5"/>
  <c r="BM356" i="5" s="1"/>
  <c r="BG371" i="5"/>
  <c r="BL371" i="5" s="1"/>
  <c r="BH371" i="5"/>
  <c r="BM371" i="5" s="1"/>
  <c r="BG460" i="5"/>
  <c r="BL460" i="5" s="1"/>
  <c r="BH460" i="5"/>
  <c r="BM460" i="5" s="1"/>
  <c r="BG395" i="5"/>
  <c r="BL395" i="5" s="1"/>
  <c r="BH395" i="5"/>
  <c r="BM395" i="5" s="1"/>
  <c r="BH407" i="5"/>
  <c r="BM407" i="5" s="1"/>
  <c r="BG407" i="5"/>
  <c r="BL407" i="5" s="1"/>
  <c r="BH505" i="5"/>
  <c r="BM505" i="5" s="1"/>
  <c r="BG505" i="5"/>
  <c r="BL505" i="5" s="1"/>
  <c r="BG393" i="5"/>
  <c r="BL393" i="5" s="1"/>
  <c r="BH393" i="5"/>
  <c r="BM393" i="5" s="1"/>
  <c r="BG352" i="5"/>
  <c r="BL352" i="5" s="1"/>
  <c r="BH352" i="5"/>
  <c r="BM352" i="5" s="1"/>
  <c r="BG282" i="5"/>
  <c r="BL282" i="5" s="1"/>
  <c r="BH282" i="5"/>
  <c r="BM282" i="5" s="1"/>
  <c r="BG145" i="5"/>
  <c r="BL145" i="5" s="1"/>
  <c r="BH145" i="5"/>
  <c r="BM145" i="5" s="1"/>
  <c r="BG126" i="5"/>
  <c r="BL126" i="5" s="1"/>
  <c r="BH126" i="5"/>
  <c r="BM126" i="5" s="1"/>
  <c r="BH85" i="5"/>
  <c r="BM85" i="5" s="1"/>
  <c r="BG85" i="5"/>
  <c r="BL85" i="5" s="1"/>
  <c r="BH311" i="5"/>
  <c r="BM311" i="5" s="1"/>
  <c r="BG311" i="5"/>
  <c r="BL311" i="5" s="1"/>
  <c r="BG58" i="5"/>
  <c r="BL58" i="5" s="1"/>
  <c r="BH58" i="5"/>
  <c r="BM58" i="5" s="1"/>
  <c r="BH423" i="5"/>
  <c r="BM423" i="5" s="1"/>
  <c r="BG423" i="5"/>
  <c r="BL423" i="5" s="1"/>
  <c r="BG71" i="5"/>
  <c r="BL71" i="5" s="1"/>
  <c r="BH71" i="5"/>
  <c r="BM71" i="5" s="1"/>
  <c r="BG553" i="5"/>
  <c r="BL553" i="5" s="1"/>
  <c r="BH553" i="5"/>
  <c r="BM553" i="5" s="1"/>
  <c r="BG221" i="5"/>
  <c r="BL221" i="5" s="1"/>
  <c r="BH221" i="5"/>
  <c r="BM221" i="5" s="1"/>
  <c r="BG278" i="5"/>
  <c r="BL278" i="5" s="1"/>
  <c r="BH278" i="5"/>
  <c r="BM278" i="5" s="1"/>
  <c r="BH376" i="5"/>
  <c r="BM376" i="5" s="1"/>
  <c r="BG376" i="5"/>
  <c r="BL376" i="5" s="1"/>
  <c r="BG499" i="5"/>
  <c r="BL499" i="5" s="1"/>
  <c r="BH499" i="5"/>
  <c r="BM499" i="5" s="1"/>
  <c r="BG408" i="5"/>
  <c r="BL408" i="5" s="1"/>
  <c r="BH408" i="5"/>
  <c r="BM408" i="5" s="1"/>
  <c r="BG373" i="5"/>
  <c r="BL373" i="5" s="1"/>
  <c r="BH373" i="5"/>
  <c r="BM373" i="5" s="1"/>
  <c r="BG119" i="5"/>
  <c r="BL119" i="5" s="1"/>
  <c r="BH119" i="5"/>
  <c r="BM119" i="5" s="1"/>
  <c r="BG272" i="5"/>
  <c r="BL272" i="5" s="1"/>
  <c r="BH272" i="5"/>
  <c r="BM272" i="5" s="1"/>
  <c r="BG64" i="5"/>
  <c r="BL64" i="5" s="1"/>
  <c r="BH64" i="5"/>
  <c r="BM64" i="5" s="1"/>
  <c r="BG180" i="5"/>
  <c r="BL180" i="5" s="1"/>
  <c r="BH180" i="5"/>
  <c r="BM180" i="5" s="1"/>
  <c r="BG179" i="5"/>
  <c r="BL179" i="5" s="1"/>
  <c r="BH179" i="5"/>
  <c r="BM179" i="5" s="1"/>
  <c r="BH216" i="5"/>
  <c r="BM216" i="5" s="1"/>
  <c r="BG216" i="5"/>
  <c r="BL216" i="5" s="1"/>
  <c r="BG23" i="5"/>
  <c r="BL23" i="5" s="1"/>
  <c r="BH23" i="5"/>
  <c r="BM23" i="5" s="1"/>
  <c r="BG267" i="5"/>
  <c r="BL267" i="5" s="1"/>
  <c r="BH267" i="5"/>
  <c r="BM267" i="5" s="1"/>
  <c r="BH449" i="5"/>
  <c r="BM449" i="5" s="1"/>
  <c r="BG449" i="5"/>
  <c r="BL449" i="5" s="1"/>
  <c r="BG457" i="5"/>
  <c r="BL457" i="5" s="1"/>
  <c r="BH457" i="5"/>
  <c r="BM457" i="5" s="1"/>
  <c r="BH162" i="5"/>
  <c r="BM162" i="5" s="1"/>
  <c r="BG162" i="5"/>
  <c r="BL162" i="5" s="1"/>
  <c r="BG473" i="5"/>
  <c r="BL473" i="5" s="1"/>
  <c r="BH473" i="5"/>
  <c r="BM473" i="5" s="1"/>
  <c r="BG421" i="5"/>
  <c r="BL421" i="5" s="1"/>
  <c r="BH421" i="5"/>
  <c r="BM421" i="5" s="1"/>
  <c r="BH415" i="5"/>
  <c r="BM415" i="5" s="1"/>
  <c r="BG415" i="5"/>
  <c r="BL415" i="5" s="1"/>
  <c r="BG280" i="5"/>
  <c r="BL280" i="5" s="1"/>
  <c r="BH280" i="5"/>
  <c r="BM280" i="5" s="1"/>
  <c r="BG490" i="5"/>
  <c r="BL490" i="5" s="1"/>
  <c r="BH490" i="5"/>
  <c r="BM490" i="5" s="1"/>
  <c r="BG480" i="5"/>
  <c r="BL480" i="5" s="1"/>
  <c r="BH480" i="5"/>
  <c r="BM480" i="5" s="1"/>
  <c r="BH156" i="5"/>
  <c r="BM156" i="5" s="1"/>
  <c r="BG156" i="5"/>
  <c r="BL156" i="5" s="1"/>
  <c r="BH289" i="5"/>
  <c r="BM289" i="5" s="1"/>
  <c r="BG289" i="5"/>
  <c r="BL289" i="5" s="1"/>
  <c r="BG551" i="5"/>
  <c r="BL551" i="5" s="1"/>
  <c r="BH551" i="5"/>
  <c r="BM551" i="5" s="1"/>
  <c r="BG309" i="5"/>
  <c r="BL309" i="5" s="1"/>
  <c r="BH309" i="5"/>
  <c r="BM309" i="5" s="1"/>
  <c r="BG10" i="5"/>
  <c r="BL10" i="5" s="1"/>
  <c r="BH10" i="5"/>
  <c r="BM10" i="5" s="1"/>
  <c r="BG259" i="5"/>
  <c r="BL259" i="5" s="1"/>
  <c r="BH259" i="5"/>
  <c r="BM259" i="5" s="1"/>
  <c r="BG396" i="5"/>
  <c r="BL396" i="5" s="1"/>
  <c r="BH396" i="5"/>
  <c r="BM396" i="5" s="1"/>
  <c r="BH296" i="5"/>
  <c r="BM296" i="5" s="1"/>
  <c r="BG296" i="5"/>
  <c r="BL296" i="5" s="1"/>
  <c r="BH55" i="5"/>
  <c r="BM55" i="5" s="1"/>
  <c r="BG55" i="5"/>
  <c r="BL55" i="5" s="1"/>
  <c r="BG194" i="5"/>
  <c r="BL194" i="5" s="1"/>
  <c r="BH194" i="5"/>
  <c r="BM194" i="5" s="1"/>
  <c r="BH543" i="5"/>
  <c r="BM543" i="5" s="1"/>
  <c r="BG543" i="5"/>
  <c r="BL543" i="5" s="1"/>
  <c r="BH332" i="5"/>
  <c r="BM332" i="5" s="1"/>
  <c r="BG332" i="5"/>
  <c r="BL332" i="5" s="1"/>
  <c r="BH406" i="5"/>
  <c r="BM406" i="5" s="1"/>
  <c r="BG406" i="5"/>
  <c r="BL406" i="5" s="1"/>
  <c r="BH286" i="5"/>
  <c r="BM286" i="5" s="1"/>
  <c r="BG286" i="5"/>
  <c r="BL286" i="5" s="1"/>
  <c r="BH448" i="5"/>
  <c r="BM448" i="5" s="1"/>
  <c r="BG448" i="5"/>
  <c r="BL448" i="5" s="1"/>
  <c r="BG344" i="5"/>
  <c r="BL344" i="5" s="1"/>
  <c r="BH344" i="5"/>
  <c r="BM344" i="5" s="1"/>
  <c r="BH439" i="5"/>
  <c r="BM439" i="5" s="1"/>
  <c r="BG439" i="5"/>
  <c r="BL439" i="5" s="1"/>
  <c r="BH158" i="5"/>
  <c r="BM158" i="5" s="1"/>
  <c r="BG158" i="5"/>
  <c r="BL158" i="5" s="1"/>
  <c r="BG184" i="5"/>
  <c r="BL184" i="5" s="1"/>
  <c r="BH184" i="5"/>
  <c r="BM184" i="5" s="1"/>
  <c r="BG298" i="5"/>
  <c r="BL298" i="5" s="1"/>
  <c r="BH298" i="5"/>
  <c r="BM298" i="5" s="1"/>
  <c r="BG56" i="5"/>
  <c r="BL56" i="5" s="1"/>
  <c r="BH56" i="5"/>
  <c r="BM56" i="5" s="1"/>
  <c r="BH514" i="5"/>
  <c r="BM514" i="5" s="1"/>
  <c r="BG514" i="5"/>
  <c r="BL514" i="5" s="1"/>
  <c r="BH299" i="5"/>
  <c r="BM299" i="5" s="1"/>
  <c r="BG299" i="5"/>
  <c r="BL299" i="5" s="1"/>
  <c r="BH167" i="5"/>
  <c r="BM167" i="5" s="1"/>
  <c r="BG167" i="5"/>
  <c r="BL167" i="5" s="1"/>
  <c r="BG235" i="5"/>
  <c r="BL235" i="5" s="1"/>
  <c r="BH235" i="5"/>
  <c r="BM235" i="5" s="1"/>
  <c r="BG317" i="5"/>
  <c r="BL317" i="5" s="1"/>
  <c r="BH317" i="5"/>
  <c r="BM317" i="5" s="1"/>
  <c r="BG342" i="5"/>
  <c r="BL342" i="5" s="1"/>
  <c r="BH342" i="5"/>
  <c r="BM342" i="5" s="1"/>
  <c r="BG252" i="5"/>
  <c r="BL252" i="5" s="1"/>
  <c r="BH252" i="5"/>
  <c r="BM252" i="5" s="1"/>
  <c r="BH526" i="5"/>
  <c r="BM526" i="5" s="1"/>
  <c r="BG526" i="5"/>
  <c r="BL526" i="5" s="1"/>
  <c r="BH112" i="5"/>
  <c r="BM112" i="5" s="1"/>
  <c r="BG112" i="5"/>
  <c r="BL112" i="5" s="1"/>
  <c r="BG185" i="5"/>
  <c r="BL185" i="5" s="1"/>
  <c r="BH185" i="5"/>
  <c r="BM185" i="5" s="1"/>
  <c r="BG245" i="5"/>
  <c r="BL245" i="5" s="1"/>
  <c r="BH245" i="5"/>
  <c r="BM245" i="5" s="1"/>
  <c r="BG8" i="5"/>
  <c r="BL8" i="5" s="1"/>
  <c r="BH8" i="5"/>
  <c r="BM8" i="5" s="1"/>
  <c r="BG94" i="5"/>
  <c r="BL94" i="5" s="1"/>
  <c r="BH94" i="5"/>
  <c r="BM94" i="5" s="1"/>
  <c r="BG351" i="5"/>
  <c r="BL351" i="5" s="1"/>
  <c r="BH351" i="5"/>
  <c r="BM351" i="5" s="1"/>
  <c r="BG452" i="5"/>
  <c r="BL452" i="5" s="1"/>
  <c r="BH452" i="5"/>
  <c r="BM452" i="5" s="1"/>
  <c r="BH432" i="5"/>
  <c r="BM432" i="5" s="1"/>
  <c r="BG432" i="5"/>
  <c r="BL432" i="5" s="1"/>
  <c r="BG287" i="5"/>
  <c r="BL287" i="5" s="1"/>
  <c r="BH287" i="5"/>
  <c r="BM287" i="5" s="1"/>
  <c r="BH21" i="5"/>
  <c r="BM21" i="5" s="1"/>
  <c r="BG21" i="5"/>
  <c r="BL21" i="5" s="1"/>
  <c r="BG541" i="5"/>
  <c r="BL541" i="5" s="1"/>
  <c r="BH541" i="5"/>
  <c r="BM541" i="5" s="1"/>
  <c r="BH345" i="5"/>
  <c r="BM345" i="5" s="1"/>
  <c r="BG345" i="5"/>
  <c r="BL345" i="5" s="1"/>
  <c r="BH157" i="5"/>
  <c r="BM157" i="5" s="1"/>
  <c r="BG157" i="5"/>
  <c r="BL157" i="5" s="1"/>
  <c r="BH205" i="5"/>
  <c r="BM205" i="5" s="1"/>
  <c r="BG205" i="5"/>
  <c r="BL205" i="5" s="1"/>
  <c r="BH510" i="5"/>
  <c r="BM510" i="5" s="1"/>
  <c r="BG510" i="5"/>
  <c r="BL510" i="5" s="1"/>
  <c r="BG358" i="5"/>
  <c r="BL358" i="5" s="1"/>
  <c r="BH358" i="5"/>
  <c r="BM358" i="5" s="1"/>
  <c r="BH142" i="5"/>
  <c r="BM142" i="5" s="1"/>
  <c r="BG142" i="5"/>
  <c r="BL142" i="5" s="1"/>
  <c r="BG140" i="5"/>
  <c r="BL140" i="5" s="1"/>
  <c r="BH140" i="5"/>
  <c r="BM140" i="5" s="1"/>
  <c r="BH409" i="5"/>
  <c r="BM409" i="5" s="1"/>
  <c r="BG409" i="5"/>
  <c r="BL409" i="5" s="1"/>
  <c r="BH27" i="5"/>
  <c r="BM27" i="5" s="1"/>
  <c r="BG27" i="5"/>
  <c r="BL27" i="5" s="1"/>
  <c r="BH520" i="5"/>
  <c r="BM520" i="5" s="1"/>
  <c r="BG520" i="5"/>
  <c r="BL520" i="5" s="1"/>
  <c r="BH136" i="5"/>
  <c r="BM136" i="5" s="1"/>
  <c r="BG136" i="5"/>
  <c r="BL136" i="5" s="1"/>
  <c r="BG532" i="5"/>
  <c r="BL532" i="5" s="1"/>
  <c r="BH532" i="5"/>
  <c r="BM532" i="5" s="1"/>
  <c r="BH412" i="5"/>
  <c r="BM412" i="5" s="1"/>
  <c r="BG412" i="5"/>
  <c r="BL412" i="5" s="1"/>
  <c r="BG417" i="5"/>
  <c r="BL417" i="5" s="1"/>
  <c r="BH417" i="5"/>
  <c r="BM417" i="5" s="1"/>
  <c r="BH349" i="5"/>
  <c r="BM349" i="5" s="1"/>
  <c r="BG349" i="5"/>
  <c r="BL349" i="5" s="1"/>
  <c r="BG195" i="5"/>
  <c r="BL195" i="5" s="1"/>
  <c r="BH195" i="5"/>
  <c r="BM195" i="5" s="1"/>
  <c r="BG164" i="5"/>
  <c r="BL164" i="5" s="1"/>
  <c r="BH164" i="5"/>
  <c r="BM164" i="5" s="1"/>
  <c r="BG110" i="5"/>
  <c r="BL110" i="5" s="1"/>
  <c r="BH110" i="5"/>
  <c r="BM110" i="5" s="1"/>
  <c r="BH137" i="5"/>
  <c r="BM137" i="5" s="1"/>
  <c r="BG137" i="5"/>
  <c r="BL137" i="5" s="1"/>
  <c r="BG469" i="5"/>
  <c r="BL469" i="5" s="1"/>
  <c r="BH469" i="5"/>
  <c r="BM469" i="5" s="1"/>
  <c r="BH275" i="5"/>
  <c r="BM275" i="5" s="1"/>
  <c r="BG275" i="5"/>
  <c r="BL275" i="5" s="1"/>
  <c r="BG545" i="5"/>
  <c r="BL545" i="5" s="1"/>
  <c r="BH545" i="5"/>
  <c r="BM545" i="5" s="1"/>
  <c r="BH486" i="5"/>
  <c r="BM486" i="5" s="1"/>
  <c r="BG486" i="5"/>
  <c r="BL486" i="5" s="1"/>
  <c r="BH203" i="5"/>
  <c r="BM203" i="5" s="1"/>
  <c r="BG203" i="5"/>
  <c r="BL203" i="5" s="1"/>
  <c r="BG191" i="5"/>
  <c r="BL191" i="5" s="1"/>
  <c r="BH191" i="5"/>
  <c r="BM191" i="5" s="1"/>
  <c r="BH93" i="5"/>
  <c r="BM93" i="5" s="1"/>
  <c r="BG93" i="5"/>
  <c r="BL93" i="5" s="1"/>
  <c r="BG236" i="5"/>
  <c r="BL236" i="5" s="1"/>
  <c r="BH236" i="5"/>
  <c r="BM236" i="5" s="1"/>
  <c r="BH212" i="5"/>
  <c r="BM212" i="5" s="1"/>
  <c r="BG212" i="5"/>
  <c r="BL212" i="5" s="1"/>
  <c r="BG227" i="5"/>
  <c r="BL227" i="5" s="1"/>
  <c r="BH227" i="5"/>
  <c r="BM227" i="5" s="1"/>
  <c r="BH114" i="5"/>
  <c r="BM114" i="5" s="1"/>
  <c r="BG114" i="5"/>
  <c r="BL114" i="5" s="1"/>
  <c r="BG511" i="5"/>
  <c r="BL511" i="5" s="1"/>
  <c r="BH511" i="5"/>
  <c r="BM511" i="5" s="1"/>
  <c r="BH204" i="5"/>
  <c r="BM204" i="5" s="1"/>
  <c r="BG204" i="5"/>
  <c r="BL204" i="5" s="1"/>
  <c r="BG555" i="5"/>
  <c r="BL555" i="5" s="1"/>
  <c r="BH555" i="5"/>
  <c r="BM555" i="5" s="1"/>
  <c r="BH61" i="5"/>
  <c r="BM61" i="5" s="1"/>
  <c r="BG61" i="5"/>
  <c r="BL61" i="5" s="1"/>
  <c r="BH465" i="5"/>
  <c r="BM465" i="5" s="1"/>
  <c r="BG465" i="5"/>
  <c r="BL465" i="5" s="1"/>
  <c r="BH90" i="5"/>
  <c r="BM90" i="5" s="1"/>
  <c r="BG90" i="5"/>
  <c r="BL90" i="5" s="1"/>
  <c r="BG9" i="5"/>
  <c r="BH9" i="5"/>
  <c r="BM9" i="5" s="1"/>
  <c r="BG375" i="5"/>
  <c r="BL375" i="5" s="1"/>
  <c r="BH375" i="5"/>
  <c r="BM375" i="5" s="1"/>
  <c r="BG338" i="5"/>
  <c r="BL338" i="5" s="1"/>
  <c r="BH338" i="5"/>
  <c r="BM338" i="5" s="1"/>
  <c r="BG80" i="5"/>
  <c r="BL80" i="5" s="1"/>
  <c r="BH80" i="5"/>
  <c r="BM80" i="5" s="1"/>
  <c r="BH380" i="5"/>
  <c r="BM380" i="5" s="1"/>
  <c r="BG380" i="5"/>
  <c r="BL380" i="5" s="1"/>
  <c r="BG113" i="5"/>
  <c r="BL113" i="5" s="1"/>
  <c r="BH113" i="5"/>
  <c r="BM113" i="5" s="1"/>
  <c r="BH62" i="5"/>
  <c r="BM62" i="5" s="1"/>
  <c r="BG62" i="5"/>
  <c r="BL62" i="5" s="1"/>
  <c r="BG405" i="5"/>
  <c r="BL405" i="5" s="1"/>
  <c r="BH405" i="5"/>
  <c r="BM405" i="5" s="1"/>
  <c r="BH46" i="5"/>
  <c r="BM46" i="5" s="1"/>
  <c r="BG46" i="5"/>
  <c r="BL46" i="5" s="1"/>
  <c r="BG304" i="5"/>
  <c r="BL304" i="5" s="1"/>
  <c r="BH304" i="5"/>
  <c r="BM304" i="5" s="1"/>
  <c r="BG355" i="5"/>
  <c r="BL355" i="5" s="1"/>
  <c r="BH355" i="5"/>
  <c r="BM355" i="5" s="1"/>
  <c r="BG215" i="5"/>
  <c r="BL215" i="5" s="1"/>
  <c r="BH215" i="5"/>
  <c r="BM215" i="5" s="1"/>
  <c r="BH347" i="5"/>
  <c r="BM347" i="5" s="1"/>
  <c r="BG347" i="5"/>
  <c r="BL347" i="5" s="1"/>
  <c r="BG154" i="5"/>
  <c r="BL154" i="5" s="1"/>
  <c r="BH154" i="5"/>
  <c r="BM154" i="5" s="1"/>
  <c r="BG389" i="5"/>
  <c r="BL389" i="5" s="1"/>
  <c r="BH389" i="5"/>
  <c r="BM389" i="5" s="1"/>
  <c r="BH335" i="5"/>
  <c r="BM335" i="5" s="1"/>
  <c r="BG335" i="5"/>
  <c r="BL335" i="5" s="1"/>
  <c r="BH399" i="5"/>
  <c r="BM399" i="5" s="1"/>
  <c r="BG399" i="5"/>
  <c r="BL399" i="5" s="1"/>
  <c r="BH74" i="5"/>
  <c r="BM74" i="5" s="1"/>
  <c r="BG74" i="5"/>
  <c r="BL74" i="5" s="1"/>
  <c r="BG153" i="5"/>
  <c r="BL153" i="5" s="1"/>
  <c r="BH153" i="5"/>
  <c r="BM153" i="5" s="1"/>
  <c r="BH193" i="5"/>
  <c r="BM193" i="5" s="1"/>
  <c r="BG193" i="5"/>
  <c r="BL193" i="5" s="1"/>
  <c r="BG57" i="5"/>
  <c r="BL57" i="5" s="1"/>
  <c r="BH57" i="5"/>
  <c r="BM57" i="5" s="1"/>
  <c r="BG264" i="5"/>
  <c r="BL264" i="5" s="1"/>
  <c r="BH264" i="5"/>
  <c r="BM264" i="5" s="1"/>
  <c r="BG314" i="5"/>
  <c r="BL314" i="5" s="1"/>
  <c r="BH314" i="5"/>
  <c r="BM314" i="5" s="1"/>
  <c r="BH453" i="5"/>
  <c r="BM453" i="5" s="1"/>
  <c r="BG453" i="5"/>
  <c r="BL453" i="5" s="1"/>
  <c r="BG424" i="5"/>
  <c r="BL424" i="5" s="1"/>
  <c r="BH424" i="5"/>
  <c r="BM424" i="5" s="1"/>
  <c r="BH187" i="5"/>
  <c r="BM187" i="5" s="1"/>
  <c r="BG187" i="5"/>
  <c r="BL187" i="5" s="1"/>
  <c r="BH501" i="5"/>
  <c r="BM501" i="5" s="1"/>
  <c r="BG501" i="5"/>
  <c r="BL501" i="5" s="1"/>
  <c r="BH247" i="5"/>
  <c r="BM247" i="5" s="1"/>
  <c r="BG247" i="5"/>
  <c r="BL247" i="5" s="1"/>
  <c r="BG201" i="5"/>
  <c r="BL201" i="5" s="1"/>
  <c r="BH201" i="5"/>
  <c r="BM201" i="5" s="1"/>
  <c r="BH178" i="5"/>
  <c r="BM178" i="5" s="1"/>
  <c r="BG178" i="5"/>
  <c r="BL178" i="5" s="1"/>
  <c r="BH79" i="5"/>
  <c r="BM79" i="5" s="1"/>
  <c r="BG79" i="5"/>
  <c r="BL79" i="5" s="1"/>
  <c r="BG36" i="5"/>
  <c r="BL36" i="5" s="1"/>
  <c r="BH36" i="5"/>
  <c r="BM36" i="5" s="1"/>
  <c r="BH362" i="5"/>
  <c r="BM362" i="5" s="1"/>
  <c r="BG362" i="5"/>
  <c r="BL362" i="5" s="1"/>
  <c r="BG445" i="5"/>
  <c r="BL445" i="5" s="1"/>
  <c r="BH445" i="5"/>
  <c r="BM445" i="5" s="1"/>
  <c r="BG326" i="5"/>
  <c r="BL326" i="5" s="1"/>
  <c r="BH326" i="5"/>
  <c r="BM326" i="5" s="1"/>
  <c r="BG455" i="5"/>
  <c r="BL455" i="5" s="1"/>
  <c r="BH455" i="5"/>
  <c r="BM455" i="5" s="1"/>
  <c r="BH111" i="5"/>
  <c r="BM111" i="5" s="1"/>
  <c r="BG111" i="5"/>
  <c r="BL111" i="5" s="1"/>
  <c r="BH273" i="5"/>
  <c r="BM273" i="5" s="1"/>
  <c r="BG273" i="5"/>
  <c r="BL273" i="5" s="1"/>
  <c r="BG165" i="5"/>
  <c r="BL165" i="5" s="1"/>
  <c r="BH165" i="5"/>
  <c r="BM165" i="5" s="1"/>
  <c r="BH148" i="5"/>
  <c r="BM148" i="5" s="1"/>
  <c r="BG148" i="5"/>
  <c r="BL148" i="5" s="1"/>
  <c r="BG175" i="5"/>
  <c r="BL175" i="5" s="1"/>
  <c r="BH175" i="5"/>
  <c r="BM175" i="5" s="1"/>
  <c r="BH416" i="5"/>
  <c r="BM416" i="5" s="1"/>
  <c r="BG416" i="5"/>
  <c r="BL416" i="5" s="1"/>
  <c r="BH319" i="5"/>
  <c r="BM319" i="5" s="1"/>
  <c r="BG319" i="5"/>
  <c r="BL319" i="5" s="1"/>
  <c r="BH462" i="5"/>
  <c r="BM462" i="5" s="1"/>
  <c r="BG462" i="5"/>
  <c r="BL462" i="5" s="1"/>
  <c r="BG468" i="5"/>
  <c r="BL468" i="5" s="1"/>
  <c r="BH468" i="5"/>
  <c r="BM468" i="5" s="1"/>
  <c r="BH315" i="5"/>
  <c r="BM315" i="5" s="1"/>
  <c r="BG315" i="5"/>
  <c r="BL315" i="5" s="1"/>
  <c r="BG367" i="5"/>
  <c r="BL367" i="5" s="1"/>
  <c r="BH367" i="5"/>
  <c r="BM367" i="5" s="1"/>
  <c r="BH138" i="5"/>
  <c r="BM138" i="5" s="1"/>
  <c r="BG138" i="5"/>
  <c r="BL138" i="5" s="1"/>
  <c r="BG266" i="5"/>
  <c r="BL266" i="5" s="1"/>
  <c r="BH266" i="5"/>
  <c r="BM266" i="5" s="1"/>
  <c r="BG535" i="5"/>
  <c r="BL535" i="5" s="1"/>
  <c r="BH535" i="5"/>
  <c r="BM535" i="5" s="1"/>
  <c r="BH277" i="5"/>
  <c r="BM277" i="5" s="1"/>
  <c r="BG277" i="5"/>
  <c r="BL277" i="5" s="1"/>
  <c r="BG542" i="5"/>
  <c r="BL542" i="5" s="1"/>
  <c r="BH542" i="5"/>
  <c r="BM542" i="5" s="1"/>
  <c r="BH28" i="5"/>
  <c r="BM28" i="5" s="1"/>
  <c r="BG28" i="5"/>
  <c r="BL28" i="5" s="1"/>
  <c r="BG454" i="5"/>
  <c r="BL454" i="5" s="1"/>
  <c r="BH454" i="5"/>
  <c r="BM454" i="5" s="1"/>
  <c r="BG336" i="5"/>
  <c r="BL336" i="5" s="1"/>
  <c r="BH336" i="5"/>
  <c r="BM336" i="5" s="1"/>
  <c r="BG152" i="5"/>
  <c r="BL152" i="5" s="1"/>
  <c r="BH152" i="5"/>
  <c r="BM152" i="5" s="1"/>
  <c r="BH143" i="5"/>
  <c r="BM143" i="5" s="1"/>
  <c r="BG143" i="5"/>
  <c r="BL143" i="5" s="1"/>
  <c r="BG497" i="5"/>
  <c r="BL497" i="5" s="1"/>
  <c r="BH497" i="5"/>
  <c r="BM497" i="5" s="1"/>
  <c r="BG130" i="5"/>
  <c r="BL130" i="5" s="1"/>
  <c r="BH130" i="5"/>
  <c r="BM130" i="5" s="1"/>
  <c r="BG100" i="5"/>
  <c r="BL100" i="5" s="1"/>
  <c r="BH100" i="5"/>
  <c r="BM100" i="5" s="1"/>
  <c r="BG68" i="5"/>
  <c r="BL68" i="5" s="1"/>
  <c r="BH68" i="5"/>
  <c r="BM68" i="5" s="1"/>
  <c r="BG271" i="5"/>
  <c r="BL271" i="5" s="1"/>
  <c r="BH271" i="5"/>
  <c r="BM271" i="5" s="1"/>
  <c r="BG487" i="5"/>
  <c r="BL487" i="5" s="1"/>
  <c r="BH487" i="5"/>
  <c r="BM487" i="5" s="1"/>
  <c r="BG381" i="5"/>
  <c r="BL381" i="5" s="1"/>
  <c r="BH381" i="5"/>
  <c r="BM381" i="5" s="1"/>
  <c r="BG29" i="5"/>
  <c r="BL29" i="5" s="1"/>
  <c r="BH29" i="5"/>
  <c r="BM29" i="5" s="1"/>
  <c r="BH32" i="5"/>
  <c r="BM32" i="5" s="1"/>
  <c r="BG32" i="5"/>
  <c r="BL32" i="5" s="1"/>
  <c r="BH293" i="5"/>
  <c r="BM293" i="5" s="1"/>
  <c r="BG293" i="5"/>
  <c r="BL293" i="5" s="1"/>
  <c r="BG73" i="5"/>
  <c r="BL73" i="5" s="1"/>
  <c r="BH73" i="5"/>
  <c r="BM73" i="5" s="1"/>
  <c r="BG515" i="5"/>
  <c r="BL515" i="5" s="1"/>
  <c r="BH515" i="5"/>
  <c r="BM515" i="5" s="1"/>
  <c r="BG485" i="5"/>
  <c r="BL485" i="5" s="1"/>
  <c r="BH485" i="5"/>
  <c r="BM485" i="5" s="1"/>
  <c r="BH81" i="5"/>
  <c r="BM81" i="5" s="1"/>
  <c r="BG81" i="5"/>
  <c r="BL81" i="5" s="1"/>
  <c r="BH330" i="5"/>
  <c r="BM330" i="5" s="1"/>
  <c r="BG330" i="5"/>
  <c r="BL330" i="5" s="1"/>
  <c r="BH147" i="5"/>
  <c r="BM147" i="5" s="1"/>
  <c r="BG147" i="5"/>
  <c r="BL147" i="5" s="1"/>
  <c r="BG400" i="5"/>
  <c r="BL400" i="5" s="1"/>
  <c r="BH400" i="5"/>
  <c r="BM400" i="5" s="1"/>
  <c r="BG502" i="5"/>
  <c r="BL502" i="5" s="1"/>
  <c r="BH502" i="5"/>
  <c r="BM502" i="5" s="1"/>
  <c r="BH107" i="5"/>
  <c r="BM107" i="5" s="1"/>
  <c r="BG107" i="5"/>
  <c r="BL107" i="5" s="1"/>
  <c r="BH360" i="5"/>
  <c r="BM360" i="5" s="1"/>
  <c r="BG360" i="5"/>
  <c r="BL360" i="5" s="1"/>
  <c r="BH521" i="5"/>
  <c r="BM521" i="5" s="1"/>
  <c r="BG521" i="5"/>
  <c r="BL521" i="5" s="1"/>
  <c r="BH115" i="5"/>
  <c r="BM115" i="5" s="1"/>
  <c r="BG115" i="5"/>
  <c r="BL115" i="5" s="1"/>
  <c r="BG77" i="5"/>
  <c r="BL77" i="5" s="1"/>
  <c r="BH77" i="5"/>
  <c r="BM77" i="5" s="1"/>
  <c r="BG364" i="5"/>
  <c r="BL364" i="5" s="1"/>
  <c r="BH364" i="5"/>
  <c r="BM364" i="5" s="1"/>
  <c r="BG60" i="5"/>
  <c r="BL60" i="5" s="1"/>
  <c r="BH60" i="5"/>
  <c r="BM60" i="5" s="1"/>
  <c r="BG200" i="5"/>
  <c r="BL200" i="5" s="1"/>
  <c r="BH200" i="5"/>
  <c r="BM200" i="5" s="1"/>
  <c r="BG163" i="5"/>
  <c r="BL163" i="5" s="1"/>
  <c r="BH163" i="5"/>
  <c r="BM163" i="5" s="1"/>
  <c r="BG491" i="5"/>
  <c r="BL491" i="5" s="1"/>
  <c r="BH491" i="5"/>
  <c r="BM491" i="5" s="1"/>
  <c r="BH426" i="5"/>
  <c r="BM426" i="5" s="1"/>
  <c r="BG426" i="5"/>
  <c r="BL426" i="5" s="1"/>
  <c r="BH290" i="5"/>
  <c r="BM290" i="5" s="1"/>
  <c r="BG290" i="5"/>
  <c r="BL290" i="5" s="1"/>
  <c r="BG243" i="5"/>
  <c r="BL243" i="5" s="1"/>
  <c r="BH243" i="5"/>
  <c r="BM243" i="5" s="1"/>
  <c r="BH88" i="5"/>
  <c r="BM88" i="5" s="1"/>
  <c r="BG88" i="5"/>
  <c r="BL88" i="5" s="1"/>
  <c r="BH431" i="5"/>
  <c r="BM431" i="5" s="1"/>
  <c r="BG431" i="5"/>
  <c r="BL431" i="5" s="1"/>
  <c r="BG44" i="5"/>
  <c r="BL44" i="5" s="1"/>
  <c r="BH44" i="5"/>
  <c r="BM44" i="5" s="1"/>
  <c r="BH117" i="5"/>
  <c r="BM117" i="5" s="1"/>
  <c r="BG117" i="5"/>
  <c r="BL117" i="5" s="1"/>
  <c r="BG428" i="5"/>
  <c r="BL428" i="5" s="1"/>
  <c r="BH428" i="5"/>
  <c r="BM428" i="5" s="1"/>
  <c r="BG547" i="5"/>
  <c r="BL547" i="5" s="1"/>
  <c r="BH547" i="5"/>
  <c r="BM547" i="5" s="1"/>
  <c r="BH53" i="5"/>
  <c r="BM53" i="5" s="1"/>
  <c r="BG53" i="5"/>
  <c r="BL53" i="5" s="1"/>
  <c r="BG512" i="5"/>
  <c r="BL512" i="5" s="1"/>
  <c r="BH512" i="5"/>
  <c r="BM512" i="5" s="1"/>
  <c r="BF11" i="5"/>
  <c r="BG150" i="5"/>
  <c r="BL150" i="5" s="1"/>
  <c r="BH150" i="5"/>
  <c r="BM150" i="5" s="1"/>
  <c r="BG549" i="5"/>
  <c r="BL549" i="5" s="1"/>
  <c r="BH549" i="5"/>
  <c r="BM549" i="5" s="1"/>
  <c r="BH372" i="5"/>
  <c r="BM372" i="5" s="1"/>
  <c r="BG372" i="5"/>
  <c r="BL372" i="5" s="1"/>
  <c r="BH503" i="5"/>
  <c r="BM503" i="5" s="1"/>
  <c r="BG503" i="5"/>
  <c r="BL503" i="5" s="1"/>
  <c r="BG106" i="5"/>
  <c r="BL106" i="5" s="1"/>
  <c r="BH106" i="5"/>
  <c r="BM106" i="5" s="1"/>
  <c r="BG308" i="5"/>
  <c r="BL308" i="5" s="1"/>
  <c r="BH308" i="5"/>
  <c r="BM308" i="5" s="1"/>
  <c r="BG208" i="5"/>
  <c r="BL208" i="5" s="1"/>
  <c r="BH208" i="5"/>
  <c r="BM208" i="5" s="1"/>
  <c r="BG139" i="5"/>
  <c r="BL139" i="5" s="1"/>
  <c r="BH139" i="5"/>
  <c r="BM139" i="5" s="1"/>
  <c r="BG519" i="5"/>
  <c r="BL519" i="5" s="1"/>
  <c r="BH519" i="5"/>
  <c r="BM519" i="5" s="1"/>
  <c r="BG122" i="5"/>
  <c r="BL122" i="5" s="1"/>
  <c r="BH122" i="5"/>
  <c r="BM122" i="5" s="1"/>
  <c r="BG134" i="5"/>
  <c r="BL134" i="5" s="1"/>
  <c r="BH134" i="5"/>
  <c r="BM134" i="5" s="1"/>
  <c r="BH513" i="5"/>
  <c r="BM513" i="5" s="1"/>
  <c r="BG513" i="5"/>
  <c r="BL513" i="5" s="1"/>
  <c r="BG265" i="5"/>
  <c r="BL265" i="5" s="1"/>
  <c r="BH265" i="5"/>
  <c r="BM265" i="5" s="1"/>
  <c r="BH45" i="5"/>
  <c r="BM45" i="5" s="1"/>
  <c r="BG45" i="5"/>
  <c r="BL45" i="5" s="1"/>
  <c r="BG141" i="5"/>
  <c r="BL141" i="5" s="1"/>
  <c r="BH141" i="5"/>
  <c r="BM141" i="5" s="1"/>
  <c r="BH260" i="5"/>
  <c r="BM260" i="5" s="1"/>
  <c r="BG260" i="5"/>
  <c r="BL260" i="5" s="1"/>
  <c r="BH459" i="5"/>
  <c r="BM459" i="5" s="1"/>
  <c r="BG459" i="5"/>
  <c r="BL459" i="5" s="1"/>
  <c r="BG50" i="5"/>
  <c r="BL50" i="5" s="1"/>
  <c r="BH50" i="5"/>
  <c r="BM50" i="5" s="1"/>
  <c r="BG261" i="5"/>
  <c r="BL261" i="5" s="1"/>
  <c r="BH261" i="5"/>
  <c r="BM261" i="5" s="1"/>
  <c r="BH206" i="5"/>
  <c r="BM206" i="5" s="1"/>
  <c r="BG206" i="5"/>
  <c r="BL206" i="5" s="1"/>
  <c r="BH368" i="5"/>
  <c r="BM368" i="5" s="1"/>
  <c r="BG368" i="5"/>
  <c r="BL368" i="5" s="1"/>
  <c r="BH478" i="5"/>
  <c r="BM478" i="5" s="1"/>
  <c r="BG478" i="5"/>
  <c r="BL478" i="5" s="1"/>
  <c r="BH385" i="5"/>
  <c r="BM385" i="5" s="1"/>
  <c r="BG385" i="5"/>
  <c r="BL385" i="5" s="1"/>
  <c r="BG391" i="5"/>
  <c r="BL391" i="5" s="1"/>
  <c r="BH391" i="5"/>
  <c r="BM391" i="5" s="1"/>
  <c r="BG384" i="5"/>
  <c r="BL384" i="5" s="1"/>
  <c r="BH384" i="5"/>
  <c r="BM384" i="5" s="1"/>
  <c r="BG69" i="5"/>
  <c r="BL69" i="5" s="1"/>
  <c r="BH69" i="5"/>
  <c r="BM69" i="5" s="1"/>
  <c r="AU58" i="4" l="1"/>
  <c r="AW58" i="4" s="1"/>
  <c r="AU130" i="4"/>
  <c r="AW130" i="4" s="1"/>
  <c r="AU126" i="4"/>
  <c r="AW126" i="4" s="1"/>
  <c r="AU73" i="4"/>
  <c r="AW73" i="4" s="1"/>
  <c r="AU123" i="4"/>
  <c r="AW123" i="4" s="1"/>
  <c r="AC74" i="4"/>
  <c r="AD74" i="4" s="1"/>
  <c r="AU109" i="4"/>
  <c r="AW109" i="4" s="1"/>
  <c r="AU148" i="4"/>
  <c r="AW148" i="4" s="1"/>
  <c r="AU56" i="4"/>
  <c r="AW56" i="4" s="1"/>
  <c r="AQ74" i="4"/>
  <c r="BL9" i="5"/>
  <c r="AQ135" i="4"/>
  <c r="AP112" i="4"/>
  <c r="AQ112" i="4"/>
  <c r="AP135" i="4"/>
  <c r="AU131" i="4"/>
  <c r="AW131" i="4" s="1"/>
  <c r="AU154" i="4"/>
  <c r="AW154" i="4" s="1"/>
  <c r="AU103" i="4"/>
  <c r="AW103" i="4" s="1"/>
  <c r="AU108" i="4"/>
  <c r="AW108" i="4" s="1"/>
  <c r="AU28" i="4"/>
  <c r="AW28" i="4" s="1"/>
  <c r="AP141" i="4"/>
  <c r="AU55" i="4"/>
  <c r="AW55" i="4" s="1"/>
  <c r="AU105" i="4"/>
  <c r="AW105" i="4" s="1"/>
  <c r="AU139" i="4"/>
  <c r="AW139" i="4" s="1"/>
  <c r="AP149" i="4"/>
  <c r="AC149" i="4"/>
  <c r="AD149" i="4" s="1"/>
  <c r="AC124" i="4"/>
  <c r="AD124" i="4" s="1"/>
  <c r="AP124" i="4"/>
  <c r="AC117" i="4"/>
  <c r="AD117" i="4" s="1"/>
  <c r="AP59" i="4"/>
  <c r="AQ98" i="4"/>
  <c r="AC98" i="4"/>
  <c r="AD98" i="4" s="1"/>
  <c r="AU75" i="4"/>
  <c r="AW75" i="4" s="1"/>
  <c r="AU46" i="4"/>
  <c r="AW46" i="4" s="1"/>
  <c r="AP79" i="4"/>
  <c r="AQ79" i="4"/>
  <c r="AP117" i="4"/>
  <c r="AC59" i="4"/>
  <c r="AD59" i="4" s="1"/>
  <c r="AU157" i="4"/>
  <c r="AW157" i="4" s="1"/>
  <c r="AC141" i="4"/>
  <c r="AD141" i="4" s="1"/>
  <c r="AU50" i="4"/>
  <c r="AW50" i="4" s="1"/>
  <c r="AU156" i="4"/>
  <c r="AW156" i="4" s="1"/>
  <c r="AQ67" i="4"/>
  <c r="AU114" i="4"/>
  <c r="AW114" i="4" s="1"/>
  <c r="AU146" i="4"/>
  <c r="AW146" i="4" s="1"/>
  <c r="AU51" i="4"/>
  <c r="AW51" i="4" s="1"/>
  <c r="AC125" i="4"/>
  <c r="AD125" i="4" s="1"/>
  <c r="AU78" i="4"/>
  <c r="AW78" i="4" s="1"/>
  <c r="AU142" i="4"/>
  <c r="AW142" i="4" s="1"/>
  <c r="AP67" i="4"/>
  <c r="AU92" i="4"/>
  <c r="AW92" i="4" s="1"/>
  <c r="AU155" i="4"/>
  <c r="AW155" i="4" s="1"/>
  <c r="AU127" i="4"/>
  <c r="AW127" i="4" s="1"/>
  <c r="AU153" i="4"/>
  <c r="AW153" i="4" s="1"/>
  <c r="AQ125" i="4"/>
  <c r="AU88" i="4"/>
  <c r="AW88" i="4" s="1"/>
  <c r="AU140" i="4"/>
  <c r="AW140" i="4" s="1"/>
  <c r="AU49" i="4"/>
  <c r="AW49" i="4" s="1"/>
  <c r="AC106" i="4"/>
  <c r="AD106" i="4" s="1"/>
  <c r="AQ106" i="4"/>
  <c r="AP82" i="4"/>
  <c r="AQ122" i="4"/>
  <c r="AP122" i="4"/>
  <c r="AC122" i="4"/>
  <c r="AD122" i="4" s="1"/>
  <c r="AQ82" i="4"/>
  <c r="AU54" i="4"/>
  <c r="AW54" i="4" s="1"/>
  <c r="AU91" i="4"/>
  <c r="AW91" i="4" s="1"/>
  <c r="AU43" i="4"/>
  <c r="AW43" i="4" s="1"/>
  <c r="AQ95" i="4"/>
  <c r="AC95" i="4"/>
  <c r="AD95" i="4" s="1"/>
  <c r="AP95" i="4"/>
  <c r="AQ118" i="4"/>
  <c r="AP118" i="4"/>
  <c r="AC118" i="4"/>
  <c r="AD118" i="4" s="1"/>
  <c r="AP152" i="4"/>
  <c r="AQ152" i="4"/>
  <c r="AC152" i="4"/>
  <c r="AD152" i="4" s="1"/>
  <c r="AQ60" i="4"/>
  <c r="AC60" i="4"/>
  <c r="AD60" i="4" s="1"/>
  <c r="AP60" i="4"/>
  <c r="AQ57" i="4"/>
  <c r="AP57" i="4"/>
  <c r="AC57" i="4"/>
  <c r="AD57" i="4" s="1"/>
  <c r="AQ63" i="4"/>
  <c r="AC63" i="4"/>
  <c r="AD63" i="4" s="1"/>
  <c r="AP63" i="4"/>
  <c r="AP134" i="4"/>
  <c r="AQ134" i="4"/>
  <c r="AC134" i="4"/>
  <c r="AD134" i="4" s="1"/>
  <c r="AU33" i="4"/>
  <c r="AW33" i="4" s="1"/>
  <c r="AP133" i="4"/>
  <c r="AC133" i="4"/>
  <c r="AD133" i="4" s="1"/>
  <c r="AQ133" i="4"/>
  <c r="AQ151" i="4"/>
  <c r="AP151" i="4"/>
  <c r="AC151" i="4"/>
  <c r="AD151" i="4" s="1"/>
  <c r="AP137" i="4"/>
  <c r="AC137" i="4"/>
  <c r="AD137" i="4" s="1"/>
  <c r="AQ137" i="4"/>
  <c r="AQ113" i="4"/>
  <c r="AC113" i="4"/>
  <c r="AD113" i="4" s="1"/>
  <c r="AP113" i="4"/>
  <c r="AQ65" i="4"/>
  <c r="AP65" i="4"/>
  <c r="AC65" i="4"/>
  <c r="AD65" i="4" s="1"/>
  <c r="AP121" i="4"/>
  <c r="AC121" i="4"/>
  <c r="AD121" i="4" s="1"/>
  <c r="AQ121" i="4"/>
  <c r="AC144" i="4"/>
  <c r="AD144" i="4" s="1"/>
  <c r="AP144" i="4"/>
  <c r="AQ144" i="4"/>
  <c r="AC61" i="4"/>
  <c r="AD61" i="4" s="1"/>
  <c r="AP61" i="4"/>
  <c r="AQ61" i="4"/>
  <c r="AQ110" i="4"/>
  <c r="AP110" i="4"/>
  <c r="AC110" i="4"/>
  <c r="AD110" i="4" s="1"/>
  <c r="AQ101" i="4"/>
  <c r="AC101" i="4"/>
  <c r="AD101" i="4" s="1"/>
  <c r="AP101" i="4"/>
  <c r="AQ66" i="4"/>
  <c r="AC66" i="4"/>
  <c r="AD66" i="4" s="1"/>
  <c r="AP66" i="4"/>
  <c r="AQ69" i="4"/>
  <c r="AP69" i="4"/>
  <c r="AC69" i="4"/>
  <c r="AD69" i="4" s="1"/>
  <c r="AQ128" i="4"/>
  <c r="AC128" i="4"/>
  <c r="AD128" i="4" s="1"/>
  <c r="AP128" i="4"/>
  <c r="AQ89" i="4"/>
  <c r="AP89" i="4"/>
  <c r="AC89" i="4"/>
  <c r="AD89" i="4" s="1"/>
  <c r="AP111" i="4"/>
  <c r="AC111" i="4"/>
  <c r="AD111" i="4" s="1"/>
  <c r="AQ111" i="4"/>
  <c r="AU145" i="4"/>
  <c r="AW145" i="4" s="1"/>
  <c r="AP97" i="4"/>
  <c r="AC97" i="4"/>
  <c r="AD97" i="4" s="1"/>
  <c r="AQ97" i="4"/>
  <c r="AC129" i="4"/>
  <c r="AD129" i="4" s="1"/>
  <c r="AP129" i="4"/>
  <c r="AQ129" i="4"/>
  <c r="AQ102" i="4"/>
  <c r="AP102" i="4"/>
  <c r="AC102" i="4"/>
  <c r="AD102" i="4" s="1"/>
  <c r="AQ93" i="4"/>
  <c r="AC93" i="4"/>
  <c r="AD93" i="4" s="1"/>
  <c r="AP93" i="4"/>
  <c r="AQ96" i="4"/>
  <c r="AC96" i="4"/>
  <c r="AD96" i="4" s="1"/>
  <c r="AP96" i="4"/>
  <c r="AQ143" i="4"/>
  <c r="AP143" i="4"/>
  <c r="AC143" i="4"/>
  <c r="AD143" i="4" s="1"/>
  <c r="AC136" i="4"/>
  <c r="AD136" i="4" s="1"/>
  <c r="AQ136" i="4"/>
  <c r="AP136" i="4"/>
  <c r="AC76" i="4"/>
  <c r="AD76" i="4" s="1"/>
  <c r="AQ76" i="4"/>
  <c r="AP76" i="4"/>
  <c r="AP85" i="4"/>
  <c r="AQ85" i="4"/>
  <c r="AC85" i="4"/>
  <c r="AD85" i="4" s="1"/>
  <c r="AC116" i="4"/>
  <c r="AD116" i="4" s="1"/>
  <c r="AP116" i="4"/>
  <c r="AQ116" i="4"/>
  <c r="AQ94" i="4"/>
  <c r="AC94" i="4"/>
  <c r="AD94" i="4" s="1"/>
  <c r="AP94" i="4"/>
  <c r="AC90" i="4"/>
  <c r="AD90" i="4" s="1"/>
  <c r="AQ90" i="4"/>
  <c r="AP90" i="4"/>
  <c r="AQ86" i="4"/>
  <c r="AP86" i="4"/>
  <c r="AC86" i="4"/>
  <c r="AD86" i="4" s="1"/>
  <c r="AC77" i="4"/>
  <c r="AD77" i="4" s="1"/>
  <c r="AQ77" i="4"/>
  <c r="AP77" i="4"/>
  <c r="AP62" i="4"/>
  <c r="AC62" i="4"/>
  <c r="AD62" i="4" s="1"/>
  <c r="AQ62" i="4"/>
  <c r="AP81" i="4"/>
  <c r="AC81" i="4"/>
  <c r="AD81" i="4" s="1"/>
  <c r="AQ81" i="4"/>
  <c r="BK11" i="5"/>
  <c r="BJ11" i="5"/>
  <c r="BG11" i="5"/>
  <c r="BH11" i="5"/>
  <c r="AU74" i="4" l="1"/>
  <c r="AW74" i="4" s="1"/>
  <c r="AU98" i="4"/>
  <c r="AW98" i="4" s="1"/>
  <c r="AU67" i="4"/>
  <c r="AW67" i="4" s="1"/>
  <c r="AU63" i="4"/>
  <c r="AW63" i="4" s="1"/>
  <c r="AU135" i="4"/>
  <c r="AW135" i="4" s="1"/>
  <c r="AU112" i="4"/>
  <c r="AW112" i="4" s="1"/>
  <c r="AU79" i="4"/>
  <c r="AW79" i="4" s="1"/>
  <c r="AU141" i="4"/>
  <c r="AW141" i="4" s="1"/>
  <c r="AU124" i="4"/>
  <c r="AW124" i="4" s="1"/>
  <c r="AU149" i="4"/>
  <c r="AW149" i="4" s="1"/>
  <c r="AU151" i="4"/>
  <c r="AW151" i="4" s="1"/>
  <c r="AU94" i="4"/>
  <c r="AW94" i="4" s="1"/>
  <c r="AU59" i="4"/>
  <c r="AW59" i="4" s="1"/>
  <c r="AU128" i="4"/>
  <c r="AW128" i="4" s="1"/>
  <c r="AU117" i="4"/>
  <c r="AW117" i="4" s="1"/>
  <c r="AU95" i="4"/>
  <c r="AW95" i="4" s="1"/>
  <c r="AU96" i="4"/>
  <c r="AW96" i="4" s="1"/>
  <c r="AU82" i="4"/>
  <c r="AW82" i="4" s="1"/>
  <c r="AU122" i="4"/>
  <c r="AW122" i="4" s="1"/>
  <c r="AU86" i="4"/>
  <c r="AW86" i="4" s="1"/>
  <c r="AU77" i="4"/>
  <c r="AW77" i="4" s="1"/>
  <c r="AU66" i="4"/>
  <c r="AW66" i="4" s="1"/>
  <c r="AU106" i="4"/>
  <c r="AW106" i="4" s="1"/>
  <c r="AU125" i="4"/>
  <c r="AW125" i="4" s="1"/>
  <c r="AU136" i="4"/>
  <c r="AW136" i="4" s="1"/>
  <c r="AU113" i="4"/>
  <c r="AW113" i="4" s="1"/>
  <c r="AU137" i="4"/>
  <c r="AW137" i="4" s="1"/>
  <c r="AU93" i="4"/>
  <c r="AW93" i="4" s="1"/>
  <c r="AU101" i="4"/>
  <c r="AW101" i="4" s="1"/>
  <c r="AU121" i="4"/>
  <c r="AW121" i="4" s="1"/>
  <c r="AU111" i="4"/>
  <c r="AW111" i="4" s="1"/>
  <c r="AU65" i="4"/>
  <c r="AW65" i="4" s="1"/>
  <c r="AU90" i="4"/>
  <c r="AW90" i="4" s="1"/>
  <c r="AU76" i="4"/>
  <c r="AW76" i="4" s="1"/>
  <c r="AU102" i="4"/>
  <c r="AW102" i="4" s="1"/>
  <c r="AU89" i="4"/>
  <c r="AW89" i="4" s="1"/>
  <c r="AU152" i="4"/>
  <c r="AW152" i="4" s="1"/>
  <c r="AU129" i="4"/>
  <c r="AW129" i="4" s="1"/>
  <c r="AU143" i="4"/>
  <c r="AW143" i="4" s="1"/>
  <c r="AU61" i="4"/>
  <c r="AW61" i="4" s="1"/>
  <c r="AU133" i="4"/>
  <c r="AW133" i="4" s="1"/>
  <c r="AU110" i="4"/>
  <c r="AW110" i="4" s="1"/>
  <c r="AU81" i="4"/>
  <c r="AW81" i="4" s="1"/>
  <c r="AU134" i="4"/>
  <c r="AW134" i="4" s="1"/>
  <c r="AU116" i="4"/>
  <c r="AW116" i="4" s="1"/>
  <c r="AU69" i="4"/>
  <c r="AW69" i="4" s="1"/>
  <c r="AU97" i="4"/>
  <c r="AW97" i="4" s="1"/>
  <c r="AU144" i="4"/>
  <c r="AW144" i="4" s="1"/>
  <c r="AU57" i="4"/>
  <c r="AW57" i="4" s="1"/>
  <c r="AU85" i="4"/>
  <c r="AW85" i="4" s="1"/>
  <c r="BM11" i="5"/>
  <c r="AU60" i="4"/>
  <c r="AW60" i="4" s="1"/>
  <c r="AU118" i="4"/>
  <c r="AW118" i="4" s="1"/>
  <c r="AU62" i="4"/>
  <c r="AW62" i="4" s="1"/>
  <c r="BL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A3" authorId="0" shapeId="0" xr:uid="{00000000-0006-0000-0000-000001000000}">
      <text>
        <r>
          <rPr>
            <b/>
            <sz val="11"/>
            <color indexed="10"/>
            <rFont val="Tahoma"/>
            <family val="2"/>
          </rPr>
          <t>Welcome to the LM5127 Design Tool</t>
        </r>
        <r>
          <rPr>
            <sz val="9"/>
            <color indexed="81"/>
            <rFont val="Tahoma"/>
            <family val="2"/>
          </rPr>
          <t xml:space="preserve">
This stand-alone tool facilitates and assists the power supply engineer with design of a DC-DC boost converter based on the LM5127 boost controller. As such, the user can expeditiously arrive at an optimized design by virtue of the following:
- Select components
- Optimize compensation values and pole/zero placement in terms of control loop stability using crossover frquency as a performance metric
- Inspect regulator efficiency and component power dissipation
- Analyze efficiency based on selected MOSFET, inductor and diode parameters
IMPORTANT: You must enable macros if Microsoft Excel asks as the file is being opened. U.S. English notation is used throughout. Make sure to input or select values in all of the yellow shaded cells even if a value already exists in that cell. Do not over write equations in cells, as this may result in calculation errors.
</t>
        </r>
      </text>
    </comment>
    <comment ref="O3" authorId="0" shapeId="0" xr:uid="{00000000-0006-0000-0000-000002000000}">
      <text>
        <r>
          <rPr>
            <sz val="9"/>
            <color indexed="81"/>
            <rFont val="Tahoma"/>
            <family val="2"/>
          </rPr>
          <t xml:space="preserve">
</t>
        </r>
        <r>
          <rPr>
            <sz val="12"/>
            <color indexed="10"/>
            <rFont val="Tahoma"/>
            <family val="2"/>
          </rPr>
          <t>Texas Instruments:</t>
        </r>
        <r>
          <rPr>
            <sz val="9"/>
            <color indexed="81"/>
            <rFont val="Tahoma"/>
            <family val="2"/>
          </rPr>
          <t xml:space="preserve">
Limited Use Policy
You must treat this software and documentation like any other copyrighted material.
You may not: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The most recent version of this excel file can be found in the product folder of the part at TI.com. To activate all functions, Macro should be enabled and 'Analysis Toolpak' should be added in. 
</t>
        </r>
      </text>
    </comment>
    <comment ref="H12" authorId="0" shapeId="0" xr:uid="{00000000-0006-0000-0000-000003000000}">
      <text>
        <r>
          <rPr>
            <b/>
            <sz val="9"/>
            <color indexed="81"/>
            <rFont val="Tahoma"/>
            <family val="2"/>
          </rPr>
          <t xml:space="preserve">Light Load Switching Mode Selection:
</t>
        </r>
        <r>
          <rPr>
            <sz val="9"/>
            <color indexed="81"/>
            <rFont val="Tahoma"/>
            <family val="2"/>
          </rPr>
          <t>FPWM --&gt; MODE pin connected to VCC.
SKIP --&gt; MODE pin floating.
DEM --&gt; MODE pin connect to GND.
See the datasheet for more details on each mode.</t>
        </r>
      </text>
    </comment>
    <comment ref="H20" authorId="0" shapeId="0" xr:uid="{00000000-0006-0000-0000-000004000000}">
      <text>
        <r>
          <rPr>
            <b/>
            <sz val="9"/>
            <color indexed="81"/>
            <rFont val="Tahoma"/>
            <family val="2"/>
          </rPr>
          <t xml:space="preserve">If this cell shows:
CCM: </t>
        </r>
        <r>
          <rPr>
            <sz val="9"/>
            <color indexed="81"/>
            <rFont val="Tahoma"/>
            <family val="2"/>
          </rPr>
          <t>The step up ratio from the minimum supply voltage to the load voltage can be achieved without exceeding the maximum duty cycle. Continous conduction mode is possilbe at the minimum supply voltage.</t>
        </r>
        <r>
          <rPr>
            <b/>
            <sz val="9"/>
            <color indexed="81"/>
            <rFont val="Tahoma"/>
            <family val="2"/>
          </rPr>
          <t xml:space="preserve">
DCM: </t>
        </r>
        <r>
          <rPr>
            <sz val="9"/>
            <color indexed="81"/>
            <rFont val="Tahoma"/>
            <family val="2"/>
          </rPr>
          <t>Discontinous conduction mode at the minimum supply voltage must be used as the duty cycle exceeds the maximum of the IC. This will result in higher peak inductor currents and lower efficiency. If this occurs, it is possible to decrease the switching frequency to increase the maximum duty cycle.</t>
        </r>
      </text>
    </comment>
    <comment ref="H57" authorId="0" shapeId="0" xr:uid="{00000000-0006-0000-0000-000005000000}">
      <text>
        <r>
          <rPr>
            <b/>
            <sz val="9"/>
            <color indexed="81"/>
            <rFont val="Tahoma"/>
            <family val="2"/>
          </rPr>
          <t xml:space="preserve">TRK Pin Voltage:
</t>
        </r>
        <r>
          <rPr>
            <sz val="9"/>
            <color indexed="81"/>
            <rFont val="Tahoma"/>
            <family val="2"/>
          </rPr>
          <t xml:space="preserve">
This is the voltage seen at the TRK pin when regulation to the load voltage. The TRK pin can be driven from an external voltage source or it can be supplied through a resistor divider from the REF pin. 
</t>
        </r>
      </text>
    </comment>
    <comment ref="H60" authorId="0" shapeId="0" xr:uid="{00000000-0006-0000-0000-000006000000}">
      <text>
        <r>
          <rPr>
            <b/>
            <sz val="9"/>
            <color indexed="81"/>
            <rFont val="Tahoma"/>
            <family val="2"/>
          </rPr>
          <t xml:space="preserve">RVREFT selection
</t>
        </r>
        <r>
          <rPr>
            <sz val="9"/>
            <color indexed="81"/>
            <rFont val="Tahoma"/>
            <family val="2"/>
          </rPr>
          <t xml:space="preserve">Select the a resistor value between RVREFT_min and VREFT_max. This will set the LM5123 to be in the correct output voltage range for the application.
</t>
        </r>
      </text>
    </comment>
    <comment ref="H62" authorId="0" shapeId="0" xr:uid="{00000000-0006-0000-0000-000007000000}">
      <text>
        <r>
          <rPr>
            <b/>
            <sz val="9"/>
            <color indexed="81"/>
            <rFont val="Tahoma"/>
            <family val="2"/>
          </rPr>
          <t xml:space="preserve">RVREFB Selection
</t>
        </r>
        <r>
          <rPr>
            <sz val="9"/>
            <color indexed="81"/>
            <rFont val="Tahoma"/>
            <family val="2"/>
          </rPr>
          <t xml:space="preserve">This value should be the same value as the VREFB_calc value. This sets the load voltage of the boost controler 
</t>
        </r>
      </text>
    </comment>
    <comment ref="H65" authorId="0" shapeId="0" xr:uid="{00000000-0006-0000-0000-000008000000}">
      <text>
        <r>
          <rPr>
            <b/>
            <sz val="9"/>
            <color indexed="81"/>
            <rFont val="Tahoma"/>
            <family val="2"/>
          </rPr>
          <t>Control Loop Bandwidth</t>
        </r>
        <r>
          <rPr>
            <sz val="9"/>
            <color indexed="81"/>
            <rFont val="Tahoma"/>
            <family val="2"/>
          </rPr>
          <t xml:space="preserve">
This sets the bandwidth of the control loop. In a boost controler the RHP zero of the plant transfer function limits the maximum value of the control loop bandwidth. It is recommended to not exceed 1/5th the RHP zero frequency. The FCO_calc value calculates the 1/5th the RHP zero frequency. It is recommend to not exceed the FCO_calc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K93" authorId="0" shapeId="0" xr:uid="{00000000-0006-0000-0100-000001000000}">
      <text>
        <r>
          <rPr>
            <b/>
            <sz val="9"/>
            <color indexed="81"/>
            <rFont val="Tahoma"/>
            <family val="2"/>
          </rPr>
          <t xml:space="preserve">Slope Compensation flag. If this flag is tripped there is not enough slope compensation. Double check the calculated values. 
</t>
        </r>
        <r>
          <rPr>
            <sz val="9"/>
            <color indexed="81"/>
            <rFont val="Tahoma"/>
            <family val="2"/>
          </rPr>
          <t xml:space="preserve">
</t>
        </r>
      </text>
    </comment>
    <comment ref="K94" authorId="0" shapeId="0" xr:uid="{00000000-0006-0000-0100-000002000000}">
      <text>
        <r>
          <rPr>
            <sz val="9"/>
            <color indexed="81"/>
            <rFont val="Tahoma"/>
            <family val="2"/>
          </rPr>
          <t xml:space="preserve">Tripped if the current sense resistor results in a lower current limit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V6" authorId="0" shapeId="0" xr:uid="{00000000-0006-0000-0200-000001000000}">
      <text>
        <r>
          <rPr>
            <b/>
            <sz val="9"/>
            <color indexed="81"/>
            <rFont val="Tahoma"/>
            <family val="2"/>
          </rPr>
          <t xml:space="preserve">1 = DCM operation
2 = CCM operation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O18" authorId="0" shapeId="0" xr:uid="{00000000-0006-0000-0300-000001000000}">
      <text>
        <r>
          <rPr>
            <b/>
            <sz val="9"/>
            <color indexed="81"/>
            <rFont val="Tahoma"/>
            <family val="2"/>
          </rPr>
          <t>BMC-BCS:</t>
        </r>
        <r>
          <rPr>
            <sz val="9"/>
            <color indexed="81"/>
            <rFont val="Tahoma"/>
            <family val="2"/>
          </rPr>
          <t xml:space="preserve">
Need to make this log not linear at some point
</t>
        </r>
      </text>
    </comment>
  </commentList>
</comments>
</file>

<file path=xl/sharedStrings.xml><?xml version="1.0" encoding="utf-8"?>
<sst xmlns="http://schemas.openxmlformats.org/spreadsheetml/2006/main" count="1065" uniqueCount="610">
  <si>
    <t>TERMS OF USE</t>
  </si>
  <si>
    <t>ABOUT</t>
  </si>
  <si>
    <t>=Input Box</t>
  </si>
  <si>
    <t>Step 1: Design Specifications</t>
  </si>
  <si>
    <r>
      <t>Minimum Input Supply Voltage , V</t>
    </r>
    <r>
      <rPr>
        <vertAlign val="subscript"/>
        <sz val="10"/>
        <color theme="1"/>
        <rFont val="Calibri"/>
        <family val="2"/>
        <scheme val="minor"/>
      </rPr>
      <t>SUPPLY(min)</t>
    </r>
    <r>
      <rPr>
        <sz val="10"/>
        <color theme="1"/>
        <rFont val="Calibri"/>
        <family val="2"/>
        <scheme val="minor"/>
      </rPr>
      <t xml:space="preserve"> </t>
    </r>
  </si>
  <si>
    <r>
      <t>Typical Input Supply Voltage, V</t>
    </r>
    <r>
      <rPr>
        <vertAlign val="subscript"/>
        <sz val="10"/>
        <color theme="1"/>
        <rFont val="Calibri"/>
        <family val="2"/>
        <scheme val="minor"/>
      </rPr>
      <t>SUPPLY(typ)</t>
    </r>
    <r>
      <rPr>
        <sz val="10"/>
        <color theme="1"/>
        <rFont val="Calibri"/>
        <family val="2"/>
        <scheme val="minor"/>
      </rPr>
      <t xml:space="preserve"> </t>
    </r>
  </si>
  <si>
    <r>
      <t>Maximum Input Supply Voltage , V</t>
    </r>
    <r>
      <rPr>
        <vertAlign val="subscript"/>
        <sz val="10"/>
        <color theme="1"/>
        <rFont val="Calibri"/>
        <family val="2"/>
        <scheme val="minor"/>
      </rPr>
      <t>SUPPLY(max)</t>
    </r>
    <r>
      <rPr>
        <sz val="10"/>
        <color theme="1"/>
        <rFont val="Calibri"/>
        <family val="2"/>
        <scheme val="minor"/>
      </rPr>
      <t xml:space="preserve"> </t>
    </r>
  </si>
  <si>
    <r>
      <t>Output Target Voltage, V</t>
    </r>
    <r>
      <rPr>
        <vertAlign val="subscript"/>
        <sz val="10"/>
        <color theme="1"/>
        <rFont val="Calibri"/>
        <family val="2"/>
        <scheme val="minor"/>
      </rPr>
      <t>LOAD</t>
    </r>
    <r>
      <rPr>
        <sz val="10"/>
        <color theme="1"/>
        <rFont val="Calibri"/>
        <family val="2"/>
        <scheme val="minor"/>
      </rPr>
      <t xml:space="preserve"> </t>
    </r>
  </si>
  <si>
    <r>
      <t>Maximum Output Current , I</t>
    </r>
    <r>
      <rPr>
        <vertAlign val="subscript"/>
        <sz val="10"/>
        <color theme="1"/>
        <rFont val="Calibri"/>
        <family val="2"/>
        <scheme val="minor"/>
      </rPr>
      <t>LOAD</t>
    </r>
    <r>
      <rPr>
        <sz val="10"/>
        <color theme="1"/>
        <rFont val="Calibri"/>
        <family val="2"/>
        <scheme val="minor"/>
      </rPr>
      <t xml:space="preserve"> </t>
    </r>
  </si>
  <si>
    <r>
      <t>Free Running Switching Frequency, F</t>
    </r>
    <r>
      <rPr>
        <vertAlign val="subscript"/>
        <sz val="10"/>
        <color theme="1"/>
        <rFont val="Calibri"/>
        <family val="2"/>
        <scheme val="minor"/>
      </rPr>
      <t>SW</t>
    </r>
  </si>
  <si>
    <t>V</t>
  </si>
  <si>
    <t>A</t>
  </si>
  <si>
    <t>kHz</t>
  </si>
  <si>
    <t>%</t>
  </si>
  <si>
    <r>
      <t>Output Power, P</t>
    </r>
    <r>
      <rPr>
        <vertAlign val="subscript"/>
        <sz val="10"/>
        <color theme="1"/>
        <rFont val="Calibri"/>
        <family val="2"/>
        <scheme val="minor"/>
      </rPr>
      <t>OUT</t>
    </r>
    <r>
      <rPr>
        <sz val="10"/>
        <color theme="1"/>
        <rFont val="Calibri"/>
        <family val="2"/>
        <scheme val="minor"/>
      </rPr>
      <t xml:space="preserve"> </t>
    </r>
  </si>
  <si>
    <t>EXCEL Variables Names/Calculations</t>
  </si>
  <si>
    <t>Input from user =</t>
  </si>
  <si>
    <t>Output =</t>
  </si>
  <si>
    <t>Constant</t>
  </si>
  <si>
    <t>Variable Name</t>
  </si>
  <si>
    <t>Value</t>
  </si>
  <si>
    <t>STD Units</t>
  </si>
  <si>
    <t>Notes</t>
  </si>
  <si>
    <t>Iteration</t>
  </si>
  <si>
    <t>Step 1: Operational Specs</t>
  </si>
  <si>
    <t>VIN_min</t>
  </si>
  <si>
    <t>VIN_nom</t>
  </si>
  <si>
    <t>VIN_max</t>
  </si>
  <si>
    <t>Minimum input voltage</t>
  </si>
  <si>
    <t>Nominal input voltage</t>
  </si>
  <si>
    <t>Maximum input voltage</t>
  </si>
  <si>
    <t>VOUT</t>
  </si>
  <si>
    <t>Target Output Voltage</t>
  </si>
  <si>
    <t>IOUT</t>
  </si>
  <si>
    <t>Maximum Output current</t>
  </si>
  <si>
    <t>ROUT</t>
  </si>
  <si>
    <t>Ω</t>
  </si>
  <si>
    <t>POUT</t>
  </si>
  <si>
    <t>W</t>
  </si>
  <si>
    <t>EFF_est</t>
  </si>
  <si>
    <t>Total output power</t>
  </si>
  <si>
    <t>Minimum load resistance</t>
  </si>
  <si>
    <t>Dc_max_ideal</t>
  </si>
  <si>
    <t>Dc_max_IC</t>
  </si>
  <si>
    <t>D_2p2_min</t>
  </si>
  <si>
    <t>D_2p2_nom</t>
  </si>
  <si>
    <t>D_2p2_max</t>
  </si>
  <si>
    <t>Minimum max duty cycle at 2p2MHZ operation</t>
  </si>
  <si>
    <t>t_off_max</t>
  </si>
  <si>
    <t>T_off_nom</t>
  </si>
  <si>
    <t>T_off_min</t>
  </si>
  <si>
    <t>s</t>
  </si>
  <si>
    <t>Minimum forced off time</t>
  </si>
  <si>
    <t>nominal forced off time</t>
  </si>
  <si>
    <t>Maximum forced off time</t>
  </si>
  <si>
    <t xml:space="preserve">IC Duty Cycle Limitation: </t>
  </si>
  <si>
    <t>D_limit_min</t>
  </si>
  <si>
    <t>D_limit_nom</t>
  </si>
  <si>
    <t>D_limit_max</t>
  </si>
  <si>
    <t>Nomminal max duty cycle at low frequency</t>
  </si>
  <si>
    <t xml:space="preserve">Base Calculations of </t>
  </si>
  <si>
    <t>Spec conditions</t>
  </si>
  <si>
    <t>Min max duty cycle at low frequency</t>
  </si>
  <si>
    <t>Maximum max duty cycle at low frequency</t>
  </si>
  <si>
    <t>Fsw</t>
  </si>
  <si>
    <t>Hz</t>
  </si>
  <si>
    <t xml:space="preserve">Switching frequnecy </t>
  </si>
  <si>
    <t>Flag</t>
  </si>
  <si>
    <t>RT</t>
  </si>
  <si>
    <t>Oscillator Set resistor. Based on the datasheet equation</t>
  </si>
  <si>
    <r>
      <t>Free running Oscillator Set Resistor, R</t>
    </r>
    <r>
      <rPr>
        <vertAlign val="subscript"/>
        <sz val="10"/>
        <color theme="1"/>
        <rFont val="Calibri"/>
        <family val="2"/>
        <scheme val="minor"/>
      </rPr>
      <t>T</t>
    </r>
  </si>
  <si>
    <r>
      <t>k</t>
    </r>
    <r>
      <rPr>
        <sz val="11"/>
        <color theme="1"/>
        <rFont val="Calibri"/>
        <family val="2"/>
      </rPr>
      <t>Ω</t>
    </r>
  </si>
  <si>
    <t>Step 2: Filter Inductor</t>
  </si>
  <si>
    <t>Dc_Limit</t>
  </si>
  <si>
    <t>Max duty cycle of LM5155 at Fsw</t>
  </si>
  <si>
    <t>EXCEL Constants / Values / IC Limits</t>
  </si>
  <si>
    <r>
      <t>Max Inductor DCR, R</t>
    </r>
    <r>
      <rPr>
        <vertAlign val="subscript"/>
        <sz val="10"/>
        <color theme="1"/>
        <rFont val="Calibri"/>
        <family val="2"/>
        <scheme val="minor"/>
      </rPr>
      <t>DCR</t>
    </r>
  </si>
  <si>
    <t>Dc_VIN_min</t>
  </si>
  <si>
    <t>Dc_VIN_nom</t>
  </si>
  <si>
    <t>Dc_VIN_max</t>
  </si>
  <si>
    <t>ton_min</t>
  </si>
  <si>
    <t>Typical Ton minimum value</t>
  </si>
  <si>
    <t>IL_avg_VIN_min</t>
  </si>
  <si>
    <t>IL_avg_VIN_nom</t>
  </si>
  <si>
    <t>Average input current at minimum input voltage. 100% Eff assumed</t>
  </si>
  <si>
    <t>Average input current at nominal input voltage. 100% Eff assumed</t>
  </si>
  <si>
    <t>Average input current at maximum input voltage. 100% Eff assumed</t>
  </si>
  <si>
    <t>H</t>
  </si>
  <si>
    <t>ILrip</t>
  </si>
  <si>
    <t>Lm</t>
  </si>
  <si>
    <t>Selected filter inductor</t>
  </si>
  <si>
    <t>Rdcr</t>
  </si>
  <si>
    <r>
      <t>m</t>
    </r>
    <r>
      <rPr>
        <sz val="11"/>
        <color theme="1"/>
        <rFont val="Calibri"/>
        <family val="2"/>
      </rPr>
      <t>Ω</t>
    </r>
  </si>
  <si>
    <r>
      <t>Peak inductor current, IL</t>
    </r>
    <r>
      <rPr>
        <vertAlign val="subscript"/>
        <sz val="10"/>
        <color theme="1"/>
        <rFont val="Calibri"/>
        <family val="2"/>
        <scheme val="minor"/>
      </rPr>
      <t>PK</t>
    </r>
  </si>
  <si>
    <t>VIN_33</t>
  </si>
  <si>
    <t>IIN_33</t>
  </si>
  <si>
    <t>Lopt_2</t>
  </si>
  <si>
    <t>.</t>
  </si>
  <si>
    <t>ILp_VINmin</t>
  </si>
  <si>
    <t>Peak inductor current at VIN min. Including estimated efficiency</t>
  </si>
  <si>
    <t>ILrip_VINmin</t>
  </si>
  <si>
    <t xml:space="preserve">Inductor ripple current at VIN min. </t>
  </si>
  <si>
    <t>ILrip_VINnom</t>
  </si>
  <si>
    <t>ILp_VINnom</t>
  </si>
  <si>
    <t>ILrip_VINmax</t>
  </si>
  <si>
    <t>ILp_VINmax</t>
  </si>
  <si>
    <t>Step 3: Current Sense Resistor</t>
  </si>
  <si>
    <t>Selected indutor ripple ratio. Will be changed later to a standard value just to keep things simple</t>
  </si>
  <si>
    <t xml:space="preserve">Inductor ripple current at VIN nom. </t>
  </si>
  <si>
    <t>Peak inductor current at VIN nom. Including estimated efficiency</t>
  </si>
  <si>
    <t xml:space="preserve">Inductor ripple current at VIN max. </t>
  </si>
  <si>
    <t>Peak inductor current at VIN max. Including estimated efficiency</t>
  </si>
  <si>
    <t>Step 3: Current Sense Resistor Selection</t>
  </si>
  <si>
    <t>Ipk_margin</t>
  </si>
  <si>
    <t>Peak current limit margin. 20% is a typical value</t>
  </si>
  <si>
    <t>Ipk_selected</t>
  </si>
  <si>
    <t>Selected peak current limit based on margin selection</t>
  </si>
  <si>
    <t>Peak ripple ratio: Boost this happens at 33%</t>
  </si>
  <si>
    <t>Dc_rip_max</t>
  </si>
  <si>
    <t>Input current at maximum ripple duty cycle</t>
  </si>
  <si>
    <t>Input voltage at maximum ripple duty cycle. If maximum input voltage Dc is &gt;.33 this value will be used</t>
  </si>
  <si>
    <t>Filter inductor DCR</t>
  </si>
  <si>
    <t>Ltol</t>
  </si>
  <si>
    <t>Assumed inductor tolerance. Constant to help simplify the user experience</t>
  </si>
  <si>
    <t>Rcs_max</t>
  </si>
  <si>
    <t>Maximum Rcs based on internal slope compensation. Assuming slope ratio of 1/2</t>
  </si>
  <si>
    <t>Rcs_sl_ratio</t>
  </si>
  <si>
    <t>Isl</t>
  </si>
  <si>
    <t>Internal slope compensation ramp</t>
  </si>
  <si>
    <t>Rsl_int</t>
  </si>
  <si>
    <t>Internal Slope compensation resistor</t>
  </si>
  <si>
    <t>Rcs_wo_sl</t>
  </si>
  <si>
    <t>Vcl</t>
  </si>
  <si>
    <t>Current Limit Value. See datsheet for Parameters</t>
  </si>
  <si>
    <t>Flag_ext_sl</t>
  </si>
  <si>
    <t>R_cs_calc</t>
  </si>
  <si>
    <t>R_sl_calc</t>
  </si>
  <si>
    <t>R_cs</t>
  </si>
  <si>
    <t>R_sl</t>
  </si>
  <si>
    <t>Selected current sense Resistor</t>
  </si>
  <si>
    <t>Check to make sure that slope compensation is high enough at the minimum input voltage</t>
  </si>
  <si>
    <t>Slope Compensation</t>
  </si>
  <si>
    <t>sl_vin_min</t>
  </si>
  <si>
    <t>Actual inductor peak current limit</t>
  </si>
  <si>
    <t>IL_pk</t>
  </si>
  <si>
    <t>IL_pk_max</t>
  </si>
  <si>
    <t>Peak current limit at the minimum input voltage</t>
  </si>
  <si>
    <t>Peak inductor current limit for saturation rating.  VIN max due to the possibility of external slope comp</t>
  </si>
  <si>
    <t>sat_mar</t>
  </si>
  <si>
    <t>Margin for saturation current of the inductor</t>
  </si>
  <si>
    <t>V/V</t>
  </si>
  <si>
    <t>IL_sat</t>
  </si>
  <si>
    <t>Recommended Saturation current rating of the selected inductor</t>
  </si>
  <si>
    <t>COMP voltage Limit checks</t>
  </si>
  <si>
    <t>Step 4: Output Capacitor Selection</t>
  </si>
  <si>
    <t>mV</t>
  </si>
  <si>
    <t xml:space="preserve">Minimum output capacitance </t>
  </si>
  <si>
    <t>uF</t>
  </si>
  <si>
    <r>
      <t>Selected Output Capacitance (C</t>
    </r>
    <r>
      <rPr>
        <vertAlign val="subscript"/>
        <sz val="11"/>
        <color theme="1"/>
        <rFont val="Calibri"/>
        <family val="2"/>
        <scheme val="minor"/>
      </rPr>
      <t>OUT</t>
    </r>
    <r>
      <rPr>
        <sz val="11"/>
        <color theme="1"/>
        <rFont val="Calibri"/>
        <family val="2"/>
        <scheme val="minor"/>
      </rPr>
      <t>)</t>
    </r>
  </si>
  <si>
    <t>Desired output ripple</t>
  </si>
  <si>
    <t>Vout_rip_sel</t>
  </si>
  <si>
    <t>Cout_min</t>
  </si>
  <si>
    <t>F</t>
  </si>
  <si>
    <t>Calculate minimum capacitance based simply on the capacitive ripple</t>
  </si>
  <si>
    <t>IRMS_COUT</t>
  </si>
  <si>
    <r>
      <t>Equivalent  COUT ESR (R</t>
    </r>
    <r>
      <rPr>
        <vertAlign val="subscript"/>
        <sz val="11"/>
        <color theme="1"/>
        <rFont val="Calibri"/>
        <family val="2"/>
        <scheme val="minor"/>
      </rPr>
      <t>ESR</t>
    </r>
    <r>
      <rPr>
        <sz val="11"/>
        <color theme="1"/>
        <rFont val="Calibri"/>
        <family val="2"/>
        <scheme val="minor"/>
      </rPr>
      <t>)</t>
    </r>
  </si>
  <si>
    <t>Resr</t>
  </si>
  <si>
    <t>Selected Output Capacitance</t>
  </si>
  <si>
    <t>Selected output capacitance ESR</t>
  </si>
  <si>
    <t>Cout</t>
  </si>
  <si>
    <r>
      <t>Selected Peak Current limit(IL</t>
    </r>
    <r>
      <rPr>
        <vertAlign val="subscript"/>
        <sz val="11"/>
        <color theme="1"/>
        <rFont val="Calibri"/>
        <family val="2"/>
        <scheme val="minor"/>
      </rPr>
      <t>PK_select</t>
    </r>
    <r>
      <rPr>
        <sz val="11"/>
        <color theme="1"/>
        <rFont val="Calibri"/>
        <family val="2"/>
        <scheme val="minor"/>
      </rPr>
      <t>)</t>
    </r>
  </si>
  <si>
    <t>Step 5: Loop Compensation</t>
  </si>
  <si>
    <t>Input Parameters</t>
  </si>
  <si>
    <t>Output Voltage</t>
  </si>
  <si>
    <t>Component Selection</t>
  </si>
  <si>
    <t>LM</t>
  </si>
  <si>
    <t>filter Inductor</t>
  </si>
  <si>
    <t>Current sense resi</t>
  </si>
  <si>
    <t>Interanl Slope Compesnation Resistor</t>
  </si>
  <si>
    <t>Interanl Slope Compesnation current</t>
  </si>
  <si>
    <t>RCOMP</t>
  </si>
  <si>
    <t>kΩ</t>
  </si>
  <si>
    <t>pF</t>
  </si>
  <si>
    <t>nF</t>
  </si>
  <si>
    <t>CCOMP</t>
  </si>
  <si>
    <t>CHF</t>
  </si>
  <si>
    <t>Type II compensation Resistort</t>
  </si>
  <si>
    <t>Type II compensation Capacitor</t>
  </si>
  <si>
    <t>Type II high frequency capacitor</t>
  </si>
  <si>
    <t>RFBT</t>
  </si>
  <si>
    <t>RFBB</t>
  </si>
  <si>
    <t>Compensation Components</t>
  </si>
  <si>
    <t>Top feedback resistor</t>
  </si>
  <si>
    <t>Bottom feedback resistor</t>
  </si>
  <si>
    <t>Calculations</t>
  </si>
  <si>
    <t>Frequency</t>
  </si>
  <si>
    <t>Selected VIN</t>
  </si>
  <si>
    <t>VIN_var</t>
  </si>
  <si>
    <t>VIN_VAR</t>
  </si>
  <si>
    <t>Variable input voltage</t>
  </si>
  <si>
    <t>ADC</t>
  </si>
  <si>
    <t>Gcomp</t>
  </si>
  <si>
    <t>Scale down factor of the interal comp voltage divider</t>
  </si>
  <si>
    <t>Intenal step down of the divider</t>
  </si>
  <si>
    <t>DC gain of the plant function</t>
  </si>
  <si>
    <t>Acs</t>
  </si>
  <si>
    <t>Current sense Amplifier Gain (1 for this device)</t>
  </si>
  <si>
    <t>Low Frequency Pole</t>
  </si>
  <si>
    <t>RHPz zero of boost converter</t>
  </si>
  <si>
    <t>ESR zero cause by output capacitance</t>
  </si>
  <si>
    <t>wsl</t>
  </si>
  <si>
    <t>Q</t>
  </si>
  <si>
    <t>Se</t>
  </si>
  <si>
    <t xml:space="preserve">Slope compensation </t>
  </si>
  <si>
    <t>Down slope at the selected input voltage</t>
  </si>
  <si>
    <t>Sn</t>
  </si>
  <si>
    <t>Rad</t>
  </si>
  <si>
    <t>wp_lf</t>
  </si>
  <si>
    <t>wz_rhp</t>
  </si>
  <si>
    <t>wz_esr</t>
  </si>
  <si>
    <t>Gain</t>
  </si>
  <si>
    <t>Phase</t>
  </si>
  <si>
    <t>Sampling</t>
  </si>
  <si>
    <t>Complex</t>
  </si>
  <si>
    <t>Total</t>
  </si>
  <si>
    <t>Error Amplifier</t>
  </si>
  <si>
    <t>wz_ea</t>
  </si>
  <si>
    <t>Adc_ea</t>
  </si>
  <si>
    <t>gm_ea</t>
  </si>
  <si>
    <t>Error Amplifier Gain</t>
  </si>
  <si>
    <t>A/V</t>
  </si>
  <si>
    <t>wp0_ea</t>
  </si>
  <si>
    <t>wp1_ea</t>
  </si>
  <si>
    <t>ADC_ea</t>
  </si>
  <si>
    <t xml:space="preserve">Gain </t>
  </si>
  <si>
    <t>COMPLEX</t>
  </si>
  <si>
    <t>Gain of open loop at wp_Lf</t>
  </si>
  <si>
    <t>dB</t>
  </si>
  <si>
    <r>
      <t xml:space="preserve">Variable input voltage to model the loop. </t>
    </r>
    <r>
      <rPr>
        <b/>
        <sz val="11"/>
        <color theme="1"/>
        <rFont val="Calibri"/>
        <family val="2"/>
        <scheme val="minor"/>
      </rPr>
      <t>Currently not used. Will be updated in next rev</t>
    </r>
  </si>
  <si>
    <t>Selected by user. Feedback resistor should be &gt;100uA to help reject noise</t>
  </si>
  <si>
    <t>Error Amplifier Zero</t>
  </si>
  <si>
    <t>Error Amplifier pole at the origin</t>
  </si>
  <si>
    <t>Error Amplifier pole at high frequencies</t>
  </si>
  <si>
    <t>RFBB_CALC</t>
  </si>
  <si>
    <t>Vref</t>
  </si>
  <si>
    <t>Reference voltage</t>
  </si>
  <si>
    <t>Estimated bottom feedback resistor</t>
  </si>
  <si>
    <t>Selected botton feedback resistor</t>
  </si>
  <si>
    <t>Ifb</t>
  </si>
  <si>
    <r>
      <t xml:space="preserve">Plant low frequency pole. </t>
    </r>
    <r>
      <rPr>
        <b/>
        <sz val="11"/>
        <color theme="1"/>
        <rFont val="Calibri"/>
        <family val="2"/>
        <scheme val="minor"/>
      </rPr>
      <t>IN Hz!!!</t>
    </r>
  </si>
  <si>
    <r>
      <t xml:space="preserve">Plant RHP Zero, </t>
    </r>
    <r>
      <rPr>
        <b/>
        <sz val="11"/>
        <color theme="1"/>
        <rFont val="Calibri"/>
        <family val="2"/>
        <scheme val="minor"/>
      </rPr>
      <t>(IN Hz)</t>
    </r>
  </si>
  <si>
    <r>
      <t xml:space="preserve">Plant capacitor ESR zero </t>
    </r>
    <r>
      <rPr>
        <b/>
        <sz val="11"/>
        <color theme="1"/>
        <rFont val="Calibri"/>
        <family val="2"/>
        <scheme val="minor"/>
      </rPr>
      <t>(In Hz)</t>
    </r>
  </si>
  <si>
    <t>Feedback resistor selection</t>
  </si>
  <si>
    <t>Crossover Frequency Selection</t>
  </si>
  <si>
    <t>fcross</t>
  </si>
  <si>
    <t>Desired Crossover frequency</t>
  </si>
  <si>
    <t>1/10 the swictching frequency</t>
  </si>
  <si>
    <t>Select the lower crossover frequency</t>
  </si>
  <si>
    <t>wz_RHP</t>
  </si>
  <si>
    <t>Rcomp_Calc</t>
  </si>
  <si>
    <t>Calculate on based on the desired Mid-band gain needed to set the crossover frequency</t>
  </si>
  <si>
    <t>fz_ea_est</t>
  </si>
  <si>
    <t>CCOMP_calc</t>
  </si>
  <si>
    <t>fp_ea_est</t>
  </si>
  <si>
    <t>Efficiency / Power Loss Analyzer</t>
  </si>
  <si>
    <r>
      <t>R</t>
    </r>
    <r>
      <rPr>
        <vertAlign val="subscript"/>
        <sz val="11"/>
        <color theme="1"/>
        <rFont val="Calibri"/>
        <family val="2"/>
        <scheme val="minor"/>
      </rPr>
      <t>COMP</t>
    </r>
  </si>
  <si>
    <t>Calculated</t>
  </si>
  <si>
    <t>Selected</t>
  </si>
  <si>
    <t>Steps</t>
  </si>
  <si>
    <t>Step size</t>
  </si>
  <si>
    <t>VIN</t>
  </si>
  <si>
    <t>DCM/CCM</t>
  </si>
  <si>
    <t>DC</t>
  </si>
  <si>
    <t>IIN</t>
  </si>
  <si>
    <t>Icrms_min</t>
  </si>
  <si>
    <t>Minimum required RMS current rating for the output capacitor bank</t>
  </si>
  <si>
    <t>On-time of the switch</t>
  </si>
  <si>
    <t>Soft-Start</t>
  </si>
  <si>
    <t>Iss</t>
  </si>
  <si>
    <t>Soft-start capacitor charge current</t>
  </si>
  <si>
    <t>Soft-Start Charge current</t>
  </si>
  <si>
    <t>Css_min</t>
  </si>
  <si>
    <t>Suggested minimum SS capacitor to minize the over shoot.</t>
  </si>
  <si>
    <t>tss</t>
  </si>
  <si>
    <t>Desired Soft-Start Capacitor</t>
  </si>
  <si>
    <r>
      <t>Suggested minimum soft-start capacitor (C</t>
    </r>
    <r>
      <rPr>
        <vertAlign val="subscript"/>
        <sz val="11"/>
        <color theme="1"/>
        <rFont val="Calibri"/>
        <family val="2"/>
        <scheme val="minor"/>
      </rPr>
      <t>SS_MIN</t>
    </r>
    <r>
      <rPr>
        <sz val="11"/>
        <color theme="1"/>
        <rFont val="Calibri"/>
        <family val="2"/>
        <scheme val="minor"/>
      </rPr>
      <t>)</t>
    </r>
  </si>
  <si>
    <t>ms</t>
  </si>
  <si>
    <t>Css_calc</t>
  </si>
  <si>
    <t>Calcualted Soft-start capacitor</t>
  </si>
  <si>
    <r>
      <t>Calculated soft-start capacitor (C</t>
    </r>
    <r>
      <rPr>
        <vertAlign val="subscript"/>
        <sz val="11"/>
        <color theme="1"/>
        <rFont val="Calibri"/>
        <family val="2"/>
        <scheme val="minor"/>
      </rPr>
      <t>SS</t>
    </r>
    <r>
      <rPr>
        <sz val="11"/>
        <color theme="1"/>
        <rFont val="Calibri"/>
        <family val="2"/>
        <scheme val="minor"/>
      </rPr>
      <t>)</t>
    </r>
  </si>
  <si>
    <r>
      <t>Desied soft-start time at minimum input voltage (T</t>
    </r>
    <r>
      <rPr>
        <vertAlign val="subscript"/>
        <sz val="11"/>
        <color theme="1"/>
        <rFont val="Calibri"/>
        <family val="2"/>
        <scheme val="minor"/>
      </rPr>
      <t>SS</t>
    </r>
    <r>
      <rPr>
        <sz val="11"/>
        <color theme="1"/>
        <rFont val="Calibri"/>
        <family val="2"/>
        <scheme val="minor"/>
      </rPr>
      <t>)</t>
    </r>
  </si>
  <si>
    <t>Step 6: UVLO Resistor Selection</t>
  </si>
  <si>
    <t>Step 5: Soft-start Capacitor selection</t>
  </si>
  <si>
    <t>Vuvlo_on</t>
  </si>
  <si>
    <t>Vuvlo_off</t>
  </si>
  <si>
    <t>Desired turn on voltage</t>
  </si>
  <si>
    <t>Desired turn off voltage</t>
  </si>
  <si>
    <t>UVLO Thresholds</t>
  </si>
  <si>
    <t>UV_rise</t>
  </si>
  <si>
    <t>UV_fall</t>
  </si>
  <si>
    <t>Falling threshold (See datasheet for more details)</t>
  </si>
  <si>
    <t>Rising Threshold (See datasheet for more details)</t>
  </si>
  <si>
    <t>Rising UV threshold</t>
  </si>
  <si>
    <t>Falling  UV threshold</t>
  </si>
  <si>
    <t>UV_I_hyst</t>
  </si>
  <si>
    <t>UVLO current hysteresis</t>
  </si>
  <si>
    <t>UVLO circuit current hysteresis</t>
  </si>
  <si>
    <t>Ruvlo_top_calc</t>
  </si>
  <si>
    <t>Ruvlo_bottom_calc</t>
  </si>
  <si>
    <t>Vuvlo_on_act</t>
  </si>
  <si>
    <t>Vuvlo_off_act</t>
  </si>
  <si>
    <t>Actual turn on voltage</t>
  </si>
  <si>
    <t>Actual turn off voltage</t>
  </si>
  <si>
    <t>Step  7: Loop Compensation</t>
  </si>
  <si>
    <t>Operation Variables</t>
  </si>
  <si>
    <t>Duty Cycle</t>
  </si>
  <si>
    <t>dIL</t>
  </si>
  <si>
    <r>
      <t>IL</t>
    </r>
    <r>
      <rPr>
        <vertAlign val="subscript"/>
        <sz val="11"/>
        <color theme="1"/>
        <rFont val="Calibri"/>
        <family val="2"/>
        <scheme val="minor"/>
      </rPr>
      <t>RMS</t>
    </r>
  </si>
  <si>
    <r>
      <t>IL</t>
    </r>
    <r>
      <rPr>
        <vertAlign val="subscript"/>
        <sz val="11"/>
        <color theme="1"/>
        <rFont val="Calibri"/>
        <family val="2"/>
        <scheme val="minor"/>
      </rPr>
      <t>PEAK</t>
    </r>
  </si>
  <si>
    <t>DC_off</t>
  </si>
  <si>
    <t>Step 7: Component Selection</t>
  </si>
  <si>
    <t>Vd_rect</t>
  </si>
  <si>
    <r>
      <t>ID</t>
    </r>
    <r>
      <rPr>
        <vertAlign val="subscript"/>
        <sz val="11"/>
        <color theme="1"/>
        <rFont val="Calibri"/>
        <family val="2"/>
        <scheme val="minor"/>
      </rPr>
      <t xml:space="preserve">AVG </t>
    </r>
    <r>
      <rPr>
        <sz val="11"/>
        <color theme="1"/>
        <rFont val="Calibri"/>
        <family val="2"/>
        <scheme val="minor"/>
      </rPr>
      <t>(A)</t>
    </r>
  </si>
  <si>
    <r>
      <t>P</t>
    </r>
    <r>
      <rPr>
        <vertAlign val="subscript"/>
        <sz val="11"/>
        <color theme="1"/>
        <rFont val="Calibri"/>
        <family val="2"/>
        <scheme val="minor"/>
      </rPr>
      <t>Lac</t>
    </r>
    <r>
      <rPr>
        <sz val="11"/>
        <color theme="1"/>
        <rFont val="Calibri"/>
        <family val="2"/>
        <scheme val="minor"/>
      </rPr>
      <t xml:space="preserve"> (W)</t>
    </r>
  </si>
  <si>
    <r>
      <t>P</t>
    </r>
    <r>
      <rPr>
        <vertAlign val="subscript"/>
        <sz val="11"/>
        <color theme="1"/>
        <rFont val="Calibri"/>
        <family val="2"/>
        <scheme val="minor"/>
      </rPr>
      <t>L_DCR</t>
    </r>
    <r>
      <rPr>
        <sz val="11"/>
        <color theme="1"/>
        <rFont val="Calibri"/>
        <family val="2"/>
        <scheme val="minor"/>
      </rPr>
      <t xml:space="preserve"> (W)</t>
    </r>
  </si>
  <si>
    <r>
      <t>P</t>
    </r>
    <r>
      <rPr>
        <vertAlign val="subscript"/>
        <sz val="11"/>
        <color theme="1"/>
        <rFont val="Calibri"/>
        <family val="2"/>
        <scheme val="minor"/>
      </rPr>
      <t xml:space="preserve">D_COND </t>
    </r>
    <r>
      <rPr>
        <sz val="11"/>
        <color theme="1"/>
        <rFont val="Calibri"/>
        <family val="2"/>
        <scheme val="minor"/>
      </rPr>
      <t>(W)</t>
    </r>
  </si>
  <si>
    <r>
      <t>P</t>
    </r>
    <r>
      <rPr>
        <vertAlign val="subscript"/>
        <sz val="11"/>
        <color theme="1"/>
        <rFont val="Calibri"/>
        <family val="2"/>
        <scheme val="minor"/>
      </rPr>
      <t xml:space="preserve">D_SW </t>
    </r>
    <r>
      <rPr>
        <sz val="11"/>
        <color theme="1"/>
        <rFont val="Calibri"/>
        <family val="2"/>
        <scheme val="minor"/>
      </rPr>
      <t>(W)</t>
    </r>
  </si>
  <si>
    <r>
      <t>On-State Resistance, R</t>
    </r>
    <r>
      <rPr>
        <vertAlign val="subscript"/>
        <sz val="10"/>
        <rFont val="Arial"/>
        <family val="2"/>
      </rPr>
      <t>DS(on)</t>
    </r>
    <r>
      <rPr>
        <sz val="10"/>
        <rFont val="Arial"/>
        <family val="2"/>
      </rPr>
      <t xml:space="preserve"> </t>
    </r>
  </si>
  <si>
    <r>
      <t>Total Gate Charge, Q</t>
    </r>
    <r>
      <rPr>
        <vertAlign val="subscript"/>
        <sz val="10"/>
        <rFont val="Arial"/>
        <family val="2"/>
      </rPr>
      <t>G</t>
    </r>
    <r>
      <rPr>
        <sz val="10"/>
        <rFont val="Arial"/>
        <family val="2"/>
      </rPr>
      <t xml:space="preserve"> </t>
    </r>
  </si>
  <si>
    <r>
      <t>Gate-Drain Charge, Q</t>
    </r>
    <r>
      <rPr>
        <vertAlign val="subscript"/>
        <sz val="10"/>
        <rFont val="Arial"/>
        <family val="2"/>
      </rPr>
      <t>GD</t>
    </r>
    <r>
      <rPr>
        <sz val="10"/>
        <rFont val="Arial"/>
        <family val="2"/>
      </rPr>
      <t xml:space="preserve"> </t>
    </r>
  </si>
  <si>
    <r>
      <t>Gate-Source Charge, Q</t>
    </r>
    <r>
      <rPr>
        <vertAlign val="subscript"/>
        <sz val="10"/>
        <rFont val="Arial"/>
        <family val="2"/>
      </rPr>
      <t>GS</t>
    </r>
    <r>
      <rPr>
        <sz val="10"/>
        <rFont val="Arial"/>
        <family val="2"/>
      </rPr>
      <t xml:space="preserve"> </t>
    </r>
  </si>
  <si>
    <r>
      <t>Gate Resistance, R</t>
    </r>
    <r>
      <rPr>
        <vertAlign val="subscript"/>
        <sz val="10"/>
        <rFont val="Arial"/>
        <family val="2"/>
      </rPr>
      <t>G</t>
    </r>
    <r>
      <rPr>
        <sz val="10"/>
        <rFont val="Arial"/>
        <family val="2"/>
      </rPr>
      <t xml:space="preserve"> </t>
    </r>
  </si>
  <si>
    <r>
      <t>Transconductance, g</t>
    </r>
    <r>
      <rPr>
        <vertAlign val="subscript"/>
        <sz val="10"/>
        <rFont val="Arial"/>
        <family val="2"/>
      </rPr>
      <t>FS</t>
    </r>
    <r>
      <rPr>
        <sz val="10"/>
        <rFont val="Arial"/>
        <family val="2"/>
      </rPr>
      <t xml:space="preserve"> </t>
    </r>
  </si>
  <si>
    <r>
      <t>Gate-Source Threshold Voltage, V</t>
    </r>
    <r>
      <rPr>
        <vertAlign val="subscript"/>
        <sz val="10"/>
        <rFont val="Arial"/>
        <family val="2"/>
      </rPr>
      <t>TH</t>
    </r>
    <r>
      <rPr>
        <sz val="10"/>
        <rFont val="Arial"/>
        <family val="2"/>
      </rPr>
      <t xml:space="preserve"> </t>
    </r>
  </si>
  <si>
    <t>mΩ</t>
  </si>
  <si>
    <t>nC</t>
  </si>
  <si>
    <t>Ω</t>
  </si>
  <si>
    <t>S</t>
  </si>
  <si>
    <t>Diode Parameters</t>
  </si>
  <si>
    <t>Qg_tot</t>
  </si>
  <si>
    <t>Qgs</t>
  </si>
  <si>
    <t>Qgd</t>
  </si>
  <si>
    <t>Rgate</t>
  </si>
  <si>
    <t>gfs</t>
  </si>
  <si>
    <t>Vth</t>
  </si>
  <si>
    <t>C</t>
  </si>
  <si>
    <t>Qrr</t>
  </si>
  <si>
    <t>RDS_on</t>
  </si>
  <si>
    <t>Rgate_int</t>
  </si>
  <si>
    <t>Internal Gate resistance of the MOSFET driver.</t>
  </si>
  <si>
    <t>Vsp</t>
  </si>
  <si>
    <t>Gate voltage when MOSFET begins conducting current</t>
  </si>
  <si>
    <t>Rise time of the switch node</t>
  </si>
  <si>
    <t>Fall time of the switch node</t>
  </si>
  <si>
    <t>VCC</t>
  </si>
  <si>
    <t>VCC regulator</t>
  </si>
  <si>
    <t>Vcc</t>
  </si>
  <si>
    <t>Regulated output voltage of internal LDO. Can change if this is externally biased.</t>
  </si>
  <si>
    <t>Need to double check this value</t>
  </si>
  <si>
    <t xml:space="preserve">VCC voltage. Can be changed with external bias. </t>
  </si>
  <si>
    <t>tr_sw</t>
  </si>
  <si>
    <t>tf_sw</t>
  </si>
  <si>
    <r>
      <t>ISW</t>
    </r>
    <r>
      <rPr>
        <vertAlign val="subscript"/>
        <sz val="11"/>
        <color theme="1"/>
        <rFont val="Calibri"/>
        <family val="2"/>
        <scheme val="minor"/>
      </rPr>
      <t xml:space="preserve">AVG </t>
    </r>
    <r>
      <rPr>
        <sz val="11"/>
        <color theme="1"/>
        <rFont val="Calibri"/>
        <family val="2"/>
        <scheme val="minor"/>
      </rPr>
      <t>(A)</t>
    </r>
  </si>
  <si>
    <r>
      <t>ISW</t>
    </r>
    <r>
      <rPr>
        <vertAlign val="subscript"/>
        <sz val="11"/>
        <color theme="1"/>
        <rFont val="Calibri"/>
        <family val="2"/>
        <scheme val="minor"/>
      </rPr>
      <t>RMS</t>
    </r>
  </si>
  <si>
    <r>
      <t>P</t>
    </r>
    <r>
      <rPr>
        <vertAlign val="subscript"/>
        <sz val="11"/>
        <color theme="1"/>
        <rFont val="Calibri"/>
        <family val="2"/>
        <scheme val="minor"/>
      </rPr>
      <t xml:space="preserve">Q_SW </t>
    </r>
    <r>
      <rPr>
        <sz val="11"/>
        <color theme="1"/>
        <rFont val="Calibri"/>
        <family val="2"/>
        <scheme val="minor"/>
      </rPr>
      <t>(W)</t>
    </r>
  </si>
  <si>
    <r>
      <t>P</t>
    </r>
    <r>
      <rPr>
        <vertAlign val="subscript"/>
        <sz val="11"/>
        <color theme="1"/>
        <rFont val="Calibri"/>
        <family val="2"/>
        <scheme val="minor"/>
      </rPr>
      <t xml:space="preserve">Q_COND </t>
    </r>
    <r>
      <rPr>
        <sz val="11"/>
        <color theme="1"/>
        <rFont val="Calibri"/>
        <family val="2"/>
        <scheme val="minor"/>
      </rPr>
      <t>(W)</t>
    </r>
  </si>
  <si>
    <r>
      <t>P</t>
    </r>
    <r>
      <rPr>
        <vertAlign val="subscript"/>
        <sz val="11"/>
        <color theme="1"/>
        <rFont val="Calibri"/>
        <family val="2"/>
        <scheme val="minor"/>
      </rPr>
      <t xml:space="preserve">Q_tot </t>
    </r>
    <r>
      <rPr>
        <sz val="11"/>
        <color theme="1"/>
        <rFont val="Calibri"/>
        <family val="2"/>
        <scheme val="minor"/>
      </rPr>
      <t>(W)</t>
    </r>
  </si>
  <si>
    <r>
      <t>P</t>
    </r>
    <r>
      <rPr>
        <vertAlign val="subscript"/>
        <sz val="11"/>
        <color theme="1"/>
        <rFont val="Calibri"/>
        <family val="2"/>
        <scheme val="minor"/>
      </rPr>
      <t>L_tot</t>
    </r>
    <r>
      <rPr>
        <sz val="11"/>
        <color theme="1"/>
        <rFont val="Calibri"/>
        <family val="2"/>
        <scheme val="minor"/>
      </rPr>
      <t xml:space="preserve"> (W)</t>
    </r>
  </si>
  <si>
    <r>
      <t>P</t>
    </r>
    <r>
      <rPr>
        <vertAlign val="subscript"/>
        <sz val="11"/>
        <color theme="1"/>
        <rFont val="Calibri"/>
        <family val="2"/>
        <scheme val="minor"/>
      </rPr>
      <t>RCS</t>
    </r>
    <r>
      <rPr>
        <sz val="11"/>
        <color theme="1"/>
        <rFont val="Calibri"/>
        <family val="2"/>
        <scheme val="minor"/>
      </rPr>
      <t xml:space="preserve"> (W)</t>
    </r>
  </si>
  <si>
    <t>Total Losses</t>
  </si>
  <si>
    <r>
      <t>P</t>
    </r>
    <r>
      <rPr>
        <vertAlign val="subscript"/>
        <sz val="11"/>
        <color theme="1"/>
        <rFont val="Calibri"/>
        <family val="2"/>
        <scheme val="minor"/>
      </rPr>
      <t>TOTAL</t>
    </r>
    <r>
      <rPr>
        <sz val="11"/>
        <color theme="1"/>
        <rFont val="Calibri"/>
        <family val="2"/>
        <scheme val="minor"/>
      </rPr>
      <t xml:space="preserve"> (W)</t>
    </r>
  </si>
  <si>
    <r>
      <t>P</t>
    </r>
    <r>
      <rPr>
        <vertAlign val="subscript"/>
        <sz val="11"/>
        <color theme="1"/>
        <rFont val="Calibri"/>
        <family val="2"/>
        <scheme val="minor"/>
      </rPr>
      <t>G_drv</t>
    </r>
    <r>
      <rPr>
        <sz val="11"/>
        <color theme="1"/>
        <rFont val="Calibri"/>
        <family val="2"/>
        <scheme val="minor"/>
      </rPr>
      <t xml:space="preserve"> (W)</t>
    </r>
  </si>
  <si>
    <r>
      <t>P</t>
    </r>
    <r>
      <rPr>
        <vertAlign val="subscript"/>
        <sz val="11"/>
        <color theme="1"/>
        <rFont val="Calibri"/>
        <family val="2"/>
        <scheme val="minor"/>
      </rPr>
      <t>IQ</t>
    </r>
    <r>
      <rPr>
        <sz val="11"/>
        <color theme="1"/>
        <rFont val="Calibri"/>
        <family val="2"/>
        <scheme val="minor"/>
      </rPr>
      <t xml:space="preserve"> (W)</t>
    </r>
  </si>
  <si>
    <t>IQ current</t>
  </si>
  <si>
    <t xml:space="preserve">IQ </t>
  </si>
  <si>
    <t>Non-switching IQ current</t>
  </si>
  <si>
    <t>Other Losses</t>
  </si>
  <si>
    <t>Eff</t>
  </si>
  <si>
    <r>
      <t>P</t>
    </r>
    <r>
      <rPr>
        <vertAlign val="subscript"/>
        <sz val="11"/>
        <color theme="1"/>
        <rFont val="Calibri"/>
        <family val="2"/>
        <scheme val="minor"/>
      </rPr>
      <t>OUT</t>
    </r>
    <r>
      <rPr>
        <sz val="11"/>
        <color theme="1"/>
        <rFont val="Calibri"/>
        <family val="2"/>
        <scheme val="minor"/>
      </rPr>
      <t xml:space="preserve"> (W)</t>
    </r>
  </si>
  <si>
    <t>Inductor</t>
  </si>
  <si>
    <r>
      <t>C</t>
    </r>
    <r>
      <rPr>
        <vertAlign val="subscript"/>
        <sz val="11"/>
        <color theme="1"/>
        <rFont val="Calibri"/>
        <family val="2"/>
        <scheme val="minor"/>
      </rPr>
      <t>COMP</t>
    </r>
  </si>
  <si>
    <r>
      <t>C</t>
    </r>
    <r>
      <rPr>
        <vertAlign val="subscript"/>
        <sz val="11"/>
        <color theme="1"/>
        <rFont val="Calibri"/>
        <family val="2"/>
        <scheme val="minor"/>
      </rPr>
      <t>HF</t>
    </r>
  </si>
  <si>
    <t>IOUT_VAR</t>
  </si>
  <si>
    <t>RHP_zero location based on the minimum input voltage</t>
  </si>
  <si>
    <t>Low frequency pole based on the minimum input voltage</t>
  </si>
  <si>
    <t>rad</t>
  </si>
  <si>
    <t>raf</t>
  </si>
  <si>
    <t>ESR zero based on the minimum input voltage</t>
  </si>
  <si>
    <t>This is based on the minimum input voltage. T</t>
  </si>
  <si>
    <t>Input Voltage</t>
  </si>
  <si>
    <r>
      <t>Recommended Inductance (L</t>
    </r>
    <r>
      <rPr>
        <vertAlign val="subscript"/>
        <sz val="10"/>
        <color theme="1"/>
        <rFont val="Calibri"/>
        <family val="2"/>
        <scheme val="minor"/>
      </rPr>
      <t>M_CALC</t>
    </r>
    <r>
      <rPr>
        <sz val="10"/>
        <color theme="1"/>
        <rFont val="Calibri"/>
        <family val="2"/>
        <scheme val="minor"/>
      </rPr>
      <t>)</t>
    </r>
  </si>
  <si>
    <r>
      <t>User Selection. Inductance, (L</t>
    </r>
    <r>
      <rPr>
        <vertAlign val="subscript"/>
        <sz val="10"/>
        <color theme="1"/>
        <rFont val="Calibri"/>
        <family val="2"/>
        <scheme val="minor"/>
      </rPr>
      <t>M</t>
    </r>
    <r>
      <rPr>
        <sz val="10"/>
        <color theme="1"/>
        <rFont val="Calibri"/>
        <family val="2"/>
        <scheme val="minor"/>
      </rPr>
      <t>)</t>
    </r>
  </si>
  <si>
    <t>Id_AVG</t>
  </si>
  <si>
    <t xml:space="preserve">Suggested average current rating of diode. </t>
  </si>
  <si>
    <t>Calcualted top UVLO resistor</t>
  </si>
  <si>
    <t>Selected top UVLO resistor</t>
  </si>
  <si>
    <t>Calcualted Bottom UBLO Resistor</t>
  </si>
  <si>
    <t>Frcoss (VIN)min</t>
  </si>
  <si>
    <t>ADC_VINmin</t>
  </si>
  <si>
    <t>wp_lf_VINmin</t>
  </si>
  <si>
    <t>fp_lf_VINmin</t>
  </si>
  <si>
    <t>wz_esr_VINmin</t>
  </si>
  <si>
    <t>fz_esr_VINmin</t>
  </si>
  <si>
    <t>wz_RHP_VINmin</t>
  </si>
  <si>
    <t>fz_rhp_VINmin</t>
  </si>
  <si>
    <t>Se_VINmin</t>
  </si>
  <si>
    <t>Sn_VINmin</t>
  </si>
  <si>
    <t>wsl_VINmin</t>
  </si>
  <si>
    <t>Q_VINmin</t>
  </si>
  <si>
    <t>Operation Raange</t>
  </si>
  <si>
    <t>Vin_op_min</t>
  </si>
  <si>
    <t>Minimum operating voltage</t>
  </si>
  <si>
    <t>Maximum BIAS pin operating voltage</t>
  </si>
  <si>
    <t>Vin_op_max</t>
  </si>
  <si>
    <r>
      <t>Ideal Duty Cycle at V</t>
    </r>
    <r>
      <rPr>
        <vertAlign val="subscript"/>
        <sz val="10"/>
        <color theme="1"/>
        <rFont val="Calibri"/>
        <family val="2"/>
        <scheme val="minor"/>
      </rPr>
      <t xml:space="preserve">SUPPLY(MIN) </t>
    </r>
  </si>
  <si>
    <t>Peak Current Limit Margin</t>
  </si>
  <si>
    <r>
      <t>Voltage selected (V</t>
    </r>
    <r>
      <rPr>
        <vertAlign val="subscript"/>
        <sz val="11"/>
        <rFont val="Calibri"/>
        <family val="2"/>
        <scheme val="minor"/>
      </rPr>
      <t>IN_VAR</t>
    </r>
    <r>
      <rPr>
        <sz val="11"/>
        <rFont val="Calibri"/>
        <family val="2"/>
        <scheme val="minor"/>
      </rPr>
      <t>)</t>
    </r>
  </si>
  <si>
    <t>This should be set at or near the lowest RHP zero Frequency</t>
  </si>
  <si>
    <r>
      <t>Recommended current sense Resistor (R</t>
    </r>
    <r>
      <rPr>
        <vertAlign val="subscript"/>
        <sz val="11"/>
        <color theme="1"/>
        <rFont val="Calibri"/>
        <family val="2"/>
        <scheme val="minor"/>
      </rPr>
      <t>S</t>
    </r>
    <r>
      <rPr>
        <sz val="11"/>
        <color theme="1"/>
        <rFont val="Calibri"/>
        <family val="2"/>
        <scheme val="minor"/>
      </rPr>
      <t>)</t>
    </r>
  </si>
  <si>
    <r>
      <t>Selected current sense Resistor (R</t>
    </r>
    <r>
      <rPr>
        <vertAlign val="subscript"/>
        <sz val="11"/>
        <color theme="1"/>
        <rFont val="Calibri"/>
        <family val="2"/>
        <scheme val="minor"/>
      </rPr>
      <t>S</t>
    </r>
    <r>
      <rPr>
        <sz val="11"/>
        <color theme="1"/>
        <rFont val="Calibri"/>
        <family val="2"/>
        <scheme val="minor"/>
      </rPr>
      <t>)</t>
    </r>
  </si>
  <si>
    <t>Maximum duty cycle at the minimum input voltage. Includes estimated efficiency for margin</t>
  </si>
  <si>
    <t>Duty cycle at the mimum input voltage (CCM). (First order/ ideal equation)</t>
  </si>
  <si>
    <t>Duty cycle at the nominal input voltage (CCM) (First order/ ideal equation)</t>
  </si>
  <si>
    <t>Duty cycle at the maximum input voltage (CCM) (First order/ ideal equation)</t>
  </si>
  <si>
    <t>DCM_Flag</t>
  </si>
  <si>
    <t>DC_rip</t>
  </si>
  <si>
    <t>CCM Operation calculations</t>
  </si>
  <si>
    <t>Select DCM duty cycle to be 70%. This will keep the ripple current fairly low and allow for efficiency drops.</t>
  </si>
  <si>
    <t>L_DCM_DC</t>
  </si>
  <si>
    <t>DC_DCM_max</t>
  </si>
  <si>
    <t>Maximum duty cycle for DCM operation. 70% is a good starting point. Could be related to the switching frequency</t>
  </si>
  <si>
    <t>M_L_DCM</t>
  </si>
  <si>
    <t>Margin to allow for inductor ripple current to be greater than the average input current</t>
  </si>
  <si>
    <t>L_DCM_M</t>
  </si>
  <si>
    <t xml:space="preserve">Inductor value that ensures the ripple current is larger than the average input current </t>
  </si>
  <si>
    <t>L_DCM</t>
  </si>
  <si>
    <t>Select the lowest of the two inductor value calculations</t>
  </si>
  <si>
    <t>If DCM is required (high step-up ratio) output L_DCM. Otherwise output the CCM inductor value</t>
  </si>
  <si>
    <r>
      <t xml:space="preserve">Forced off time limit? [2 True, 1 False]. </t>
    </r>
    <r>
      <rPr>
        <b/>
        <sz val="11"/>
        <color theme="1"/>
        <rFont val="Calibri"/>
        <family val="2"/>
        <scheme val="minor"/>
      </rPr>
      <t>Note this is calcualting for the minimum duty cycle limit of the datasheet.</t>
    </r>
  </si>
  <si>
    <t>Lm_calc</t>
  </si>
  <si>
    <t>This value used to make the selection for CCM calculations</t>
  </si>
  <si>
    <t>Duty Cycle Calculations</t>
  </si>
  <si>
    <t>Minium input voltage</t>
  </si>
  <si>
    <t>DCc_mode_VIN_min</t>
  </si>
  <si>
    <t>DCc_mode_VIN_nom</t>
  </si>
  <si>
    <t>DCc_mode_VIN_max</t>
  </si>
  <si>
    <t>IL_avg_VIN_max</t>
  </si>
  <si>
    <t>Current Sense Resistor calculated, id DCM this is going to be the value calculated without slope compensation</t>
  </si>
  <si>
    <t>External Compensation? (0-no, 1-yes), Only accurate for CCM as DCM doesn't need slope compensation</t>
  </si>
  <si>
    <t>fcross_estimate</t>
  </si>
  <si>
    <t>Itrans</t>
  </si>
  <si>
    <r>
      <t>Desired load step ripple voltage (</t>
    </r>
    <r>
      <rPr>
        <sz val="11"/>
        <color theme="1"/>
        <rFont val="Calibri"/>
        <family val="2"/>
      </rPr>
      <t>Δv</t>
    </r>
    <r>
      <rPr>
        <vertAlign val="subscript"/>
        <sz val="11"/>
        <color theme="1"/>
        <rFont val="Calibri"/>
        <family val="2"/>
      </rPr>
      <t>OUT</t>
    </r>
    <r>
      <rPr>
        <sz val="11"/>
        <color theme="1"/>
        <rFont val="Calibri"/>
        <family val="2"/>
      </rPr>
      <t>)</t>
    </r>
  </si>
  <si>
    <t>CCM Calculations</t>
  </si>
  <si>
    <t>DCM Selections</t>
  </si>
  <si>
    <t>CCM Plant Transfer Function</t>
  </si>
  <si>
    <t>DCM Plant Transfer Function</t>
  </si>
  <si>
    <t xml:space="preserve"> CCMPlant Parameters</t>
  </si>
  <si>
    <t xml:space="preserve"> DCMPlant Parameters</t>
  </si>
  <si>
    <t>ADC_VIN_min_DCM</t>
  </si>
  <si>
    <t>Fm_DCM</t>
  </si>
  <si>
    <t>wp_dcm</t>
  </si>
  <si>
    <t>wz1_dcm</t>
  </si>
  <si>
    <t>wz2_dcm</t>
  </si>
  <si>
    <t>fcross_DCM</t>
  </si>
  <si>
    <r>
      <t xml:space="preserve">Conservative. Set Fcross to be 1/5th the RHP zero frequency or 1/10th SW: whichever is lower. </t>
    </r>
    <r>
      <rPr>
        <b/>
        <sz val="11"/>
        <color theme="1"/>
        <rFont val="Calibri"/>
        <family val="2"/>
        <scheme val="minor"/>
      </rPr>
      <t>Note this is just for CCM operation</t>
    </r>
  </si>
  <si>
    <t>General Loop Selections</t>
  </si>
  <si>
    <t>Rcomp_Calc_DCM</t>
  </si>
  <si>
    <t>Calcualted based on the desired Zero frequency. Set at the geometric mean between the crossover frequency and the load pole</t>
  </si>
  <si>
    <t>Calcualted based on the RHP zero frequency</t>
  </si>
  <si>
    <t>Ohm</t>
  </si>
  <si>
    <t>CCOMP_Calc_DCM</t>
  </si>
  <si>
    <t>CHF_Calc_DCM</t>
  </si>
  <si>
    <t>Rcomp_Calc_CCM</t>
  </si>
  <si>
    <t>CCOMP_calc_CCM</t>
  </si>
  <si>
    <t>CHF_Calc_CCM</t>
  </si>
  <si>
    <t>CHF_calc</t>
  </si>
  <si>
    <t>CCM Plan Parameters</t>
  </si>
  <si>
    <t>Variable output current (Can add this a different revision, not needed right now)</t>
  </si>
  <si>
    <t>RHP zero location</t>
  </si>
  <si>
    <t>Modulator gain of the PWM comparator</t>
  </si>
  <si>
    <t>DC_VIN_var_DCM</t>
  </si>
  <si>
    <t>Operating mode</t>
  </si>
  <si>
    <t>0 - DCM operation, 1- CCM opertaion</t>
  </si>
  <si>
    <t>wp_lf_DCM</t>
  </si>
  <si>
    <t>CCM Open Loop Response</t>
  </si>
  <si>
    <t>DCM Open Loop Response</t>
  </si>
  <si>
    <t>Displayed Loop Calclation</t>
  </si>
  <si>
    <t>Gain(dB)</t>
  </si>
  <si>
    <t>Phase (deg)</t>
  </si>
  <si>
    <t>RAD</t>
  </si>
  <si>
    <t>This sets the error amp zero at the geometric mean between the load pole and the crossover frequency</t>
  </si>
  <si>
    <t>Vsl</t>
  </si>
  <si>
    <r>
      <t xml:space="preserve">Current sense resistor without slope compensation </t>
    </r>
    <r>
      <rPr>
        <b/>
        <sz val="11"/>
        <color theme="1"/>
        <rFont val="Calibri"/>
        <family val="2"/>
        <scheme val="minor"/>
      </rPr>
      <t>(No variable slope compensation of the LM5127)</t>
    </r>
  </si>
  <si>
    <r>
      <t>External Slope Compensation Resistor</t>
    </r>
    <r>
      <rPr>
        <b/>
        <sz val="11"/>
        <color theme="1"/>
        <rFont val="Calibri"/>
        <family val="2"/>
        <scheme val="minor"/>
      </rPr>
      <t xml:space="preserve"> (No external Slope Comp for LM5127)</t>
    </r>
  </si>
  <si>
    <t>Kex</t>
  </si>
  <si>
    <t>Km</t>
  </si>
  <si>
    <t>Kd</t>
  </si>
  <si>
    <t>Slope compensation parameters. Will change pole and DC gain equation</t>
  </si>
  <si>
    <t>Sampling pole</t>
  </si>
  <si>
    <t>Q factor of the inductor sampling curve</t>
  </si>
  <si>
    <t>Always set to 1 right now for initial revision. Will only operate in CCM</t>
  </si>
  <si>
    <t>Kex_VINmin</t>
  </si>
  <si>
    <t>Km_VINmin</t>
  </si>
  <si>
    <t>Kd_VINmin</t>
  </si>
  <si>
    <t>Calculated at the minimum input voltage</t>
  </si>
  <si>
    <t>Slope compensation (VSL is refered to the current sense resistor)</t>
  </si>
  <si>
    <t>Uses the felxible equations used in my mathcad file.</t>
  </si>
  <si>
    <t>ae</t>
  </si>
  <si>
    <t>be</t>
  </si>
  <si>
    <t>Gfc</t>
  </si>
  <si>
    <r>
      <t>On-State Resistance, R</t>
    </r>
    <r>
      <rPr>
        <vertAlign val="subscript"/>
        <sz val="10"/>
        <color theme="2" tint="-0.89999084444715716"/>
        <rFont val="Arial"/>
        <family val="2"/>
      </rPr>
      <t>DS(on)</t>
    </r>
    <r>
      <rPr>
        <sz val="10"/>
        <color theme="2" tint="-0.89999084444715716"/>
        <rFont val="Arial"/>
        <family val="2"/>
      </rPr>
      <t xml:space="preserve"> </t>
    </r>
  </si>
  <si>
    <r>
      <t>Total Gate Charge, Q</t>
    </r>
    <r>
      <rPr>
        <vertAlign val="subscript"/>
        <sz val="10"/>
        <color theme="2" tint="-0.89999084444715716"/>
        <rFont val="Arial"/>
        <family val="2"/>
      </rPr>
      <t>G</t>
    </r>
    <r>
      <rPr>
        <sz val="10"/>
        <color theme="2" tint="-0.89999084444715716"/>
        <rFont val="Arial"/>
        <family val="2"/>
      </rPr>
      <t xml:space="preserve"> </t>
    </r>
  </si>
  <si>
    <r>
      <t>Gate-Drain Charge, Q</t>
    </r>
    <r>
      <rPr>
        <vertAlign val="subscript"/>
        <sz val="10"/>
        <color theme="2" tint="-0.89999084444715716"/>
        <rFont val="Arial"/>
        <family val="2"/>
      </rPr>
      <t>GD</t>
    </r>
    <r>
      <rPr>
        <sz val="10"/>
        <color theme="2" tint="-0.89999084444715716"/>
        <rFont val="Arial"/>
        <family val="2"/>
      </rPr>
      <t xml:space="preserve"> </t>
    </r>
  </si>
  <si>
    <r>
      <t>Gate-Source Charge, Q</t>
    </r>
    <r>
      <rPr>
        <vertAlign val="subscript"/>
        <sz val="10"/>
        <color theme="2" tint="-0.89999084444715716"/>
        <rFont val="Arial"/>
        <family val="2"/>
      </rPr>
      <t>GS</t>
    </r>
    <r>
      <rPr>
        <sz val="10"/>
        <color theme="2" tint="-0.89999084444715716"/>
        <rFont val="Arial"/>
        <family val="2"/>
      </rPr>
      <t xml:space="preserve"> </t>
    </r>
  </si>
  <si>
    <r>
      <t>Gate Resistance, R</t>
    </r>
    <r>
      <rPr>
        <vertAlign val="subscript"/>
        <sz val="10"/>
        <color theme="2" tint="-0.89999084444715716"/>
        <rFont val="Arial"/>
        <family val="2"/>
      </rPr>
      <t>G</t>
    </r>
    <r>
      <rPr>
        <sz val="10"/>
        <color theme="2" tint="-0.89999084444715716"/>
        <rFont val="Arial"/>
        <family val="2"/>
      </rPr>
      <t xml:space="preserve"> </t>
    </r>
  </si>
  <si>
    <r>
      <t>Gate-Source Threshold Voltage, V</t>
    </r>
    <r>
      <rPr>
        <vertAlign val="subscript"/>
        <sz val="10"/>
        <color theme="2" tint="-0.89999084444715716"/>
        <rFont val="Arial"/>
        <family val="2"/>
      </rPr>
      <t>TH</t>
    </r>
    <r>
      <rPr>
        <sz val="10"/>
        <color theme="2" tint="-0.89999084444715716"/>
        <rFont val="Arial"/>
        <family val="2"/>
      </rPr>
      <t xml:space="preserve"> </t>
    </r>
  </si>
  <si>
    <r>
      <t>Boost Converter Duty Cycle Limit of LM5123 at V</t>
    </r>
    <r>
      <rPr>
        <vertAlign val="subscript"/>
        <sz val="10"/>
        <color theme="1"/>
        <rFont val="Calibri"/>
        <family val="2"/>
        <scheme val="minor"/>
      </rPr>
      <t>SUPPLY(MIN)</t>
    </r>
  </si>
  <si>
    <t>LM5123 BOOST Controller Design Tool</t>
  </si>
  <si>
    <t>VOUT_range</t>
  </si>
  <si>
    <t>Suggested output voltage range</t>
  </si>
  <si>
    <t xml:space="preserve">Sets the feedback divider. Unique to the LM5123 topology (1 = low voltage &lt;=15V, 2 = high voltage &gt;15V) </t>
  </si>
  <si>
    <t>Light load operation switching mode</t>
  </si>
  <si>
    <t>SW_mode</t>
  </si>
  <si>
    <t>selected switching mode (1 = SKIP, 2 = DEM, 3 =FPWM) Will change the effieciency calculations accordingly</t>
  </si>
  <si>
    <r>
      <t>Switching mode at V</t>
    </r>
    <r>
      <rPr>
        <vertAlign val="subscript"/>
        <sz val="11"/>
        <color theme="1"/>
        <rFont val="Calibri"/>
        <family val="2"/>
        <scheme val="minor"/>
      </rPr>
      <t>SUPPLY(min)</t>
    </r>
  </si>
  <si>
    <t xml:space="preserve">Estimated efficiency. Assuming 100% simplify the calculations </t>
  </si>
  <si>
    <t xml:space="preserve">1: DCM operation required at VINmin to achieve the step-up ratio. 
</t>
  </si>
  <si>
    <t>2: CCM operation can achieve step-up ratio with out violating the maximum duty cycle</t>
  </si>
  <si>
    <t>Maximum IC duty cycle. Based on the forced off time and frequency. Give the equation about 2% margin to allow for losses in the controller</t>
  </si>
  <si>
    <t>DCM Operation calculations</t>
  </si>
  <si>
    <t>Indicates if the regulator is operating in CCM or DCM at full load (1 = CCM, 0 = DCM)</t>
  </si>
  <si>
    <t>Np</t>
  </si>
  <si>
    <t>number of phases in operation (For the LM5123 only one phase is possilbe with out external circuts)</t>
  </si>
  <si>
    <t>Normal</t>
  </si>
  <si>
    <t>Indicates if the regulator is operating in CCM or DCM at full load (1 = CCM, 0 = DCM). If FPWM mode is selected always picks CCM operation</t>
  </si>
  <si>
    <t>ratio of down slope to slope compensation. This helps to prevent sub-harmonic oscillation in conditions where the duty cycle is &gt; 50%</t>
  </si>
  <si>
    <r>
      <t>External slope compensation resistor, if DCM operation the external slope compensation is not needed. Should b 0 Ohm (</t>
    </r>
    <r>
      <rPr>
        <b/>
        <sz val="11"/>
        <color theme="1"/>
        <rFont val="Calibri"/>
        <family val="2"/>
        <scheme val="minor"/>
      </rPr>
      <t>No external slope comp in LM5123)</t>
    </r>
  </si>
  <si>
    <r>
      <t>Selected external slope compensation (</t>
    </r>
    <r>
      <rPr>
        <b/>
        <sz val="11"/>
        <color theme="1"/>
        <rFont val="Calibri"/>
        <family val="2"/>
        <scheme val="minor"/>
      </rPr>
      <t>No varialbe slope compenstiaon for the LM5123)</t>
    </r>
  </si>
  <si>
    <t>Can add this in later to make sure the dynamic range of the error amplifier is not violated</t>
  </si>
  <si>
    <t>HZ</t>
  </si>
  <si>
    <t>Estimate to be 1.5 the RHP zero frequency. Pick based on DCM or CCM operation.</t>
  </si>
  <si>
    <t>RMS current of the output capacitor at VIN min IOUT max. RMS current rating should be larger than this. Need to update for DCM</t>
  </si>
  <si>
    <r>
      <t>Desired voltage On (V</t>
    </r>
    <r>
      <rPr>
        <vertAlign val="subscript"/>
        <sz val="11"/>
        <color theme="1"/>
        <rFont val="Calibri"/>
        <family val="2"/>
        <scheme val="minor"/>
      </rPr>
      <t>UVLO_ON</t>
    </r>
    <r>
      <rPr>
        <sz val="11"/>
        <color theme="1"/>
        <rFont val="Calibri"/>
        <family val="2"/>
        <scheme val="minor"/>
      </rPr>
      <t>)</t>
    </r>
  </si>
  <si>
    <r>
      <t>Desired voltage OFF (V</t>
    </r>
    <r>
      <rPr>
        <vertAlign val="subscript"/>
        <sz val="11"/>
        <color theme="1"/>
        <rFont val="Calibri"/>
        <family val="2"/>
        <scheme val="minor"/>
      </rPr>
      <t>UVLO_OFF</t>
    </r>
    <r>
      <rPr>
        <sz val="11"/>
        <color theme="1"/>
        <rFont val="Calibri"/>
        <family val="2"/>
        <scheme val="minor"/>
      </rPr>
      <t>)</t>
    </r>
  </si>
  <si>
    <r>
      <t>Calculated top UVLO resistor value (R</t>
    </r>
    <r>
      <rPr>
        <vertAlign val="subscript"/>
        <sz val="11"/>
        <color theme="1"/>
        <rFont val="Calibri"/>
        <family val="2"/>
        <scheme val="minor"/>
      </rPr>
      <t>UVT_CALC</t>
    </r>
    <r>
      <rPr>
        <sz val="11"/>
        <color theme="1"/>
        <rFont val="Calibri"/>
        <family val="2"/>
        <scheme val="minor"/>
      </rPr>
      <t>)</t>
    </r>
  </si>
  <si>
    <r>
      <t>Selected top UVLO resistor value (R</t>
    </r>
    <r>
      <rPr>
        <vertAlign val="subscript"/>
        <sz val="11"/>
        <color theme="1"/>
        <rFont val="Calibri"/>
        <family val="2"/>
        <scheme val="minor"/>
      </rPr>
      <t>UVT</t>
    </r>
    <r>
      <rPr>
        <sz val="11"/>
        <color theme="1"/>
        <rFont val="Calibri"/>
        <family val="2"/>
        <scheme val="minor"/>
      </rPr>
      <t>)</t>
    </r>
  </si>
  <si>
    <r>
      <t>Bottom UVLO Resistor (R</t>
    </r>
    <r>
      <rPr>
        <vertAlign val="subscript"/>
        <sz val="11"/>
        <color theme="1"/>
        <rFont val="Calibri"/>
        <family val="2"/>
        <scheme val="minor"/>
      </rPr>
      <t>UVB</t>
    </r>
    <r>
      <rPr>
        <sz val="11"/>
        <color theme="1"/>
        <rFont val="Calibri"/>
        <family val="2"/>
        <scheme val="minor"/>
      </rPr>
      <t>)</t>
    </r>
  </si>
  <si>
    <t>Step 5: UVLO Resistor Divider Selection</t>
  </si>
  <si>
    <t>Step 6: Soft-Start Capacitor Selection</t>
  </si>
  <si>
    <t>*The output capcitance is based on the load transient specification. Similar to the fylback converter</t>
  </si>
  <si>
    <t>Vout_Range</t>
  </si>
  <si>
    <t>KFB</t>
  </si>
  <si>
    <t>Kfb_low</t>
  </si>
  <si>
    <t>Kfb_high</t>
  </si>
  <si>
    <t>Rmax_low</t>
  </si>
  <si>
    <t>Rmax_high</t>
  </si>
  <si>
    <t>Rmin_low</t>
  </si>
  <si>
    <t>Rmin_high</t>
  </si>
  <si>
    <t>Rmax</t>
  </si>
  <si>
    <t>Rmin</t>
  </si>
  <si>
    <t>RFBT_max</t>
  </si>
  <si>
    <t>RFBT_min</t>
  </si>
  <si>
    <t>VTRK</t>
  </si>
  <si>
    <t>TRK pin voltage to set the correct output voltage</t>
  </si>
  <si>
    <t>VREF Resistor Selection</t>
  </si>
  <si>
    <r>
      <t>Calculated bottom feedback resistor (R</t>
    </r>
    <r>
      <rPr>
        <vertAlign val="subscript"/>
        <sz val="11"/>
        <color theme="1"/>
        <rFont val="Calibri"/>
        <family val="2"/>
        <scheme val="minor"/>
      </rPr>
      <t>VREFB_calc</t>
    </r>
    <r>
      <rPr>
        <sz val="11"/>
        <color theme="1"/>
        <rFont val="Calibri"/>
        <family val="2"/>
        <scheme val="minor"/>
      </rPr>
      <t>)</t>
    </r>
  </si>
  <si>
    <r>
      <t>Track pin voltage to set the output voltage (V</t>
    </r>
    <r>
      <rPr>
        <vertAlign val="subscript"/>
        <sz val="11"/>
        <color theme="1"/>
        <rFont val="Calibri"/>
        <family val="2"/>
        <scheme val="minor"/>
      </rPr>
      <t>TRK</t>
    </r>
    <r>
      <rPr>
        <sz val="11"/>
        <color theme="1"/>
        <rFont val="Calibri"/>
        <family val="2"/>
        <scheme val="minor"/>
      </rPr>
      <t>)</t>
    </r>
  </si>
  <si>
    <r>
      <rPr>
        <b/>
        <sz val="11"/>
        <color theme="1"/>
        <rFont val="Calibri"/>
        <family val="2"/>
        <scheme val="minor"/>
      </rPr>
      <t xml:space="preserve">Not used for the LM5123 or the LM5152. </t>
    </r>
    <r>
      <rPr>
        <sz val="11"/>
        <color theme="1"/>
        <rFont val="Calibri"/>
        <family val="2"/>
        <scheme val="minor"/>
      </rPr>
      <t>Current Drawn from the feedback resistors (Typically higher than 100uA to help w/ noise)</t>
    </r>
  </si>
  <si>
    <t>This is the output to the user based on the mode of operation when VIN is the minimum. Changes based on DCM or CCM operation</t>
  </si>
  <si>
    <r>
      <t>Crossover frequnecy of the</t>
    </r>
    <r>
      <rPr>
        <b/>
        <sz val="11"/>
        <color theme="1"/>
        <rFont val="Calibri"/>
        <family val="2"/>
        <scheme val="minor"/>
      </rPr>
      <t xml:space="preserve"> DCM control loop</t>
    </r>
    <r>
      <rPr>
        <sz val="11"/>
        <color theme="1"/>
        <rFont val="Calibri"/>
        <family val="2"/>
        <scheme val="minor"/>
      </rPr>
      <t>. (1/5th the RHPzero frequency), or 10th the switching frequency which ever is lower</t>
    </r>
  </si>
  <si>
    <t>Selected crossover</t>
  </si>
  <si>
    <t>DCM Operation Loop Model</t>
  </si>
  <si>
    <t>Fcross (VINvar)</t>
  </si>
  <si>
    <t>Low-Side MOSFET</t>
  </si>
  <si>
    <t>High-Side MOSFET Losses</t>
  </si>
  <si>
    <t>LOW Side MOSFET Parameters</t>
  </si>
  <si>
    <t>High Side MOSFET Parameters</t>
  </si>
  <si>
    <t>Body Diode Reverse recovery charge</t>
  </si>
  <si>
    <t>Body Diode Forward drop</t>
  </si>
  <si>
    <r>
      <t>Body Diode Reverse Recovery Charge (Q</t>
    </r>
    <r>
      <rPr>
        <vertAlign val="subscript"/>
        <sz val="11"/>
        <color theme="2" tint="-0.89996032593768116"/>
        <rFont val="Calibri"/>
        <family val="2"/>
        <scheme val="minor"/>
      </rPr>
      <t>RR</t>
    </r>
    <r>
      <rPr>
        <sz val="11"/>
        <color theme="2" tint="-0.89999084444715716"/>
        <rFont val="Calibri"/>
        <family val="2"/>
        <scheme val="minor"/>
      </rPr>
      <t>)</t>
    </r>
  </si>
  <si>
    <r>
      <t>Body Diode Forward Voltage Drop (V</t>
    </r>
    <r>
      <rPr>
        <vertAlign val="subscript"/>
        <sz val="11"/>
        <color theme="2" tint="-0.89996032593768116"/>
        <rFont val="Calibri"/>
        <family val="2"/>
        <scheme val="minor"/>
      </rPr>
      <t>D_BD</t>
    </r>
    <r>
      <rPr>
        <sz val="11"/>
        <color theme="2" tint="-0.89999084444715716"/>
        <rFont val="Calibri"/>
        <family val="2"/>
        <scheme val="minor"/>
      </rPr>
      <t>)</t>
    </r>
  </si>
  <si>
    <r>
      <t>Gate-Source Threshold Voltage, (V</t>
    </r>
    <r>
      <rPr>
        <vertAlign val="subscript"/>
        <sz val="10"/>
        <color theme="2" tint="-0.89999084444715716"/>
        <rFont val="Arial"/>
        <family val="2"/>
      </rPr>
      <t>TH</t>
    </r>
    <r>
      <rPr>
        <sz val="10"/>
        <color theme="2" tint="-0.89999084444715716"/>
        <rFont val="Arial"/>
        <family val="2"/>
      </rPr>
      <t>)</t>
    </r>
  </si>
  <si>
    <r>
      <t>Gate Resistance, (R</t>
    </r>
    <r>
      <rPr>
        <vertAlign val="subscript"/>
        <sz val="10"/>
        <color theme="2" tint="-0.89999084444715716"/>
        <rFont val="Arial"/>
        <family val="2"/>
      </rPr>
      <t>G</t>
    </r>
    <r>
      <rPr>
        <sz val="10"/>
        <color theme="2" tint="-0.89999084444715716"/>
        <rFont val="Arial"/>
        <family val="2"/>
      </rPr>
      <t>)</t>
    </r>
  </si>
  <si>
    <r>
      <t>On-State Resistance, (R</t>
    </r>
    <r>
      <rPr>
        <vertAlign val="subscript"/>
        <sz val="10"/>
        <color theme="2" tint="-0.89999084444715716"/>
        <rFont val="Arial"/>
        <family val="2"/>
      </rPr>
      <t>DS(on)</t>
    </r>
    <r>
      <rPr>
        <sz val="10"/>
        <color theme="2" tint="-0.89999084444715716"/>
        <rFont val="Arial"/>
        <family val="2"/>
      </rPr>
      <t>)</t>
    </r>
  </si>
  <si>
    <r>
      <t>Total Gate Charge, (Q</t>
    </r>
    <r>
      <rPr>
        <vertAlign val="subscript"/>
        <sz val="10"/>
        <color theme="2" tint="-0.89999084444715716"/>
        <rFont val="Arial"/>
        <family val="2"/>
      </rPr>
      <t>G</t>
    </r>
    <r>
      <rPr>
        <sz val="10"/>
        <color theme="2" tint="-0.89999084444715716"/>
        <rFont val="Arial"/>
        <family val="2"/>
      </rPr>
      <t>)</t>
    </r>
  </si>
  <si>
    <r>
      <t>Gate-Drain Charge, (Q</t>
    </r>
    <r>
      <rPr>
        <vertAlign val="subscript"/>
        <sz val="10"/>
        <color theme="2" tint="-0.89999084444715716"/>
        <rFont val="Arial"/>
        <family val="2"/>
      </rPr>
      <t>GD</t>
    </r>
    <r>
      <rPr>
        <sz val="10"/>
        <color theme="2" tint="-0.89999084444715716"/>
        <rFont val="Arial"/>
        <family val="2"/>
      </rPr>
      <t>)</t>
    </r>
  </si>
  <si>
    <r>
      <t>Gate-Source Charge, (Q</t>
    </r>
    <r>
      <rPr>
        <vertAlign val="subscript"/>
        <sz val="10"/>
        <color theme="2" tint="-0.89999084444715716"/>
        <rFont val="Arial"/>
        <family val="2"/>
      </rPr>
      <t>GS</t>
    </r>
    <r>
      <rPr>
        <sz val="10"/>
        <color theme="2" tint="-0.89999084444715716"/>
        <rFont val="Arial"/>
        <family val="2"/>
      </rPr>
      <t>)</t>
    </r>
  </si>
  <si>
    <r>
      <t>IHS</t>
    </r>
    <r>
      <rPr>
        <vertAlign val="subscript"/>
        <sz val="11"/>
        <color theme="1"/>
        <rFont val="Calibri"/>
        <family val="2"/>
        <scheme val="minor"/>
      </rPr>
      <t>RMS</t>
    </r>
  </si>
  <si>
    <t>Dead Time losses</t>
  </si>
  <si>
    <t>Dead time losses (Sync Controller)</t>
  </si>
  <si>
    <t>t_dead</t>
  </si>
  <si>
    <r>
      <t>P</t>
    </r>
    <r>
      <rPr>
        <vertAlign val="subscript"/>
        <sz val="11"/>
        <color theme="1"/>
        <rFont val="Calibri"/>
        <family val="2"/>
        <scheme val="minor"/>
      </rPr>
      <t xml:space="preserve">HS_tot </t>
    </r>
    <r>
      <rPr>
        <sz val="11"/>
        <color theme="1"/>
        <rFont val="Calibri"/>
        <family val="2"/>
        <scheme val="minor"/>
      </rPr>
      <t>(W)</t>
    </r>
  </si>
  <si>
    <r>
      <t>Select a top VREF resistor between R</t>
    </r>
    <r>
      <rPr>
        <vertAlign val="subscript"/>
        <sz val="11"/>
        <color theme="1"/>
        <rFont val="Calibri"/>
        <family val="2"/>
        <scheme val="minor"/>
      </rPr>
      <t>VREFT_min</t>
    </r>
    <r>
      <rPr>
        <sz val="11"/>
        <color theme="1"/>
        <rFont val="Calibri"/>
        <family val="2"/>
        <scheme val="minor"/>
      </rPr>
      <t xml:space="preserve"> and R</t>
    </r>
    <r>
      <rPr>
        <vertAlign val="subscript"/>
        <sz val="11"/>
        <color theme="1"/>
        <rFont val="Calibri"/>
        <family val="2"/>
        <scheme val="minor"/>
      </rPr>
      <t>VREFT_max</t>
    </r>
    <r>
      <rPr>
        <sz val="11"/>
        <color theme="1"/>
        <rFont val="Calibri"/>
        <family val="2"/>
        <scheme val="minor"/>
      </rPr>
      <t xml:space="preserve"> (R</t>
    </r>
    <r>
      <rPr>
        <vertAlign val="subscript"/>
        <sz val="11"/>
        <color theme="1"/>
        <rFont val="Calibri"/>
        <family val="2"/>
        <scheme val="minor"/>
      </rPr>
      <t>VREFT</t>
    </r>
    <r>
      <rPr>
        <sz val="11"/>
        <color theme="1"/>
        <rFont val="Calibri"/>
        <family val="2"/>
        <scheme val="minor"/>
      </rPr>
      <t>)</t>
    </r>
  </si>
  <si>
    <r>
      <t>P</t>
    </r>
    <r>
      <rPr>
        <vertAlign val="subscript"/>
        <sz val="11"/>
        <color theme="1"/>
        <rFont val="Calibri"/>
        <family val="2"/>
        <scheme val="minor"/>
      </rPr>
      <t>L_CORE</t>
    </r>
    <r>
      <rPr>
        <sz val="11"/>
        <color theme="1"/>
        <rFont val="Calibri"/>
        <family val="2"/>
        <scheme val="minor"/>
      </rPr>
      <t xml:space="preserve"> (W)</t>
    </r>
  </si>
  <si>
    <r>
      <t>Low-Side MOSFET Parameters (Q</t>
    </r>
    <r>
      <rPr>
        <b/>
        <vertAlign val="subscript"/>
        <sz val="11"/>
        <color theme="2" tint="-0.89996032593768116"/>
        <rFont val="Calibri"/>
        <family val="2"/>
        <scheme val="minor"/>
      </rPr>
      <t>LS</t>
    </r>
    <r>
      <rPr>
        <b/>
        <sz val="11"/>
        <color theme="2" tint="-0.89999084444715716"/>
        <rFont val="Calibri"/>
        <family val="2"/>
        <scheme val="minor"/>
      </rPr>
      <t>)</t>
    </r>
  </si>
  <si>
    <r>
      <t>High-Side MOSFET Parameters (Q</t>
    </r>
    <r>
      <rPr>
        <b/>
        <vertAlign val="subscript"/>
        <sz val="11"/>
        <color theme="2" tint="-0.89996032593768116"/>
        <rFont val="Calibri"/>
        <family val="2"/>
        <scheme val="minor"/>
      </rPr>
      <t>HS</t>
    </r>
    <r>
      <rPr>
        <b/>
        <sz val="11"/>
        <color theme="2" tint="-0.89999084444715716"/>
        <rFont val="Calibri"/>
        <family val="2"/>
        <scheme val="minor"/>
      </rPr>
      <t>)</t>
    </r>
  </si>
  <si>
    <r>
      <t>Select a bottomresistor based on calculated balue(R</t>
    </r>
    <r>
      <rPr>
        <vertAlign val="subscript"/>
        <sz val="11"/>
        <color theme="1"/>
        <rFont val="Calibri"/>
        <family val="2"/>
        <scheme val="minor"/>
      </rPr>
      <t>VREFB</t>
    </r>
    <r>
      <rPr>
        <sz val="11"/>
        <color theme="1"/>
        <rFont val="Calibri"/>
        <family val="2"/>
        <scheme val="minor"/>
      </rPr>
      <t>)</t>
    </r>
  </si>
  <si>
    <r>
      <t>Selected bandwidth (F</t>
    </r>
    <r>
      <rPr>
        <vertAlign val="subscript"/>
        <sz val="11"/>
        <color theme="1"/>
        <rFont val="Calibri"/>
        <family val="2"/>
        <scheme val="minor"/>
      </rPr>
      <t>CO</t>
    </r>
    <r>
      <rPr>
        <sz val="11"/>
        <color theme="1"/>
        <rFont val="Calibri"/>
        <family val="2"/>
        <scheme val="minor"/>
      </rPr>
      <t>)</t>
    </r>
  </si>
  <si>
    <r>
      <t>Suggested bandwidth (F</t>
    </r>
    <r>
      <rPr>
        <vertAlign val="subscript"/>
        <sz val="11"/>
        <color theme="1"/>
        <rFont val="Calibri"/>
        <family val="2"/>
        <scheme val="minor"/>
      </rPr>
      <t>CO_calc</t>
    </r>
    <r>
      <rPr>
        <sz val="11"/>
        <color theme="1"/>
        <rFont val="Calibri"/>
        <family val="2"/>
        <scheme val="minor"/>
      </rPr>
      <t>)</t>
    </r>
  </si>
  <si>
    <r>
      <t>Minimum value for (R</t>
    </r>
    <r>
      <rPr>
        <vertAlign val="subscript"/>
        <sz val="11"/>
        <color theme="1"/>
        <rFont val="Calibri"/>
        <family val="2"/>
        <scheme val="minor"/>
      </rPr>
      <t>VREFT_min</t>
    </r>
    <r>
      <rPr>
        <sz val="11"/>
        <color theme="1"/>
        <rFont val="Calibri"/>
        <family val="2"/>
        <scheme val="minor"/>
      </rPr>
      <t>)</t>
    </r>
  </si>
  <si>
    <r>
      <t>Maximum value for (R</t>
    </r>
    <r>
      <rPr>
        <vertAlign val="subscript"/>
        <sz val="11"/>
        <color theme="1"/>
        <rFont val="Calibri"/>
        <family val="2"/>
        <scheme val="minor"/>
      </rPr>
      <t>VREFT_max</t>
    </r>
    <r>
      <rPr>
        <sz val="11"/>
        <color theme="1"/>
        <rFont val="Calibri"/>
        <family val="2"/>
        <scheme val="minor"/>
      </rPr>
      <t>)</t>
    </r>
  </si>
  <si>
    <t>nest</t>
  </si>
  <si>
    <t>estimated efficiency at the peak current limit. Keep at ~95% for SYNC boost controllers</t>
  </si>
  <si>
    <t xml:space="preserve"> </t>
  </si>
  <si>
    <t>SCH_1 = SKIP</t>
  </si>
  <si>
    <t>SCH_2 = DEM</t>
  </si>
  <si>
    <t>SCH_3 = FPWM</t>
  </si>
  <si>
    <t>DEM</t>
  </si>
  <si>
    <t>Rev 0.2</t>
  </si>
  <si>
    <t>December-2021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</si>
</sst>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
    <numFmt numFmtId="166" formatCode="0.000E+00"/>
    <numFmt numFmtId="167" formatCode="0.0000"/>
    <numFmt numFmtId="168" formatCode="0.0"/>
    <numFmt numFmtId="169" formatCode="0.0E+00"/>
    <numFmt numFmtId="170" formatCode="0.00000"/>
  </numFmts>
  <fonts count="40"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name val="Arial"/>
      <family val="2"/>
    </font>
    <font>
      <b/>
      <sz val="10"/>
      <name val="Arial"/>
      <family val="2"/>
    </font>
    <font>
      <b/>
      <sz val="22"/>
      <color indexed="44"/>
      <name val="Arial"/>
      <family val="2"/>
    </font>
    <font>
      <b/>
      <sz val="9"/>
      <color indexed="81"/>
      <name val="Tahoma"/>
      <family val="2"/>
    </font>
    <font>
      <sz val="9"/>
      <color indexed="81"/>
      <name val="Tahoma"/>
      <family val="2"/>
    </font>
    <font>
      <b/>
      <sz val="12"/>
      <color rgb="FF0000FF"/>
      <name val="Arial"/>
      <family val="2"/>
    </font>
    <font>
      <sz val="28"/>
      <color theme="0"/>
      <name val="Calibri"/>
      <family val="2"/>
      <scheme val="minor"/>
    </font>
    <font>
      <b/>
      <sz val="11"/>
      <color indexed="10"/>
      <name val="Tahoma"/>
      <family val="2"/>
    </font>
    <font>
      <sz val="12"/>
      <color indexed="10"/>
      <name val="Tahoma"/>
      <family val="2"/>
    </font>
    <font>
      <sz val="10"/>
      <color theme="1"/>
      <name val="Calibri"/>
      <family val="2"/>
      <scheme val="minor"/>
    </font>
    <font>
      <vertAlign val="subscript"/>
      <sz val="10"/>
      <color theme="1"/>
      <name val="Calibri"/>
      <family val="2"/>
      <scheme val="minor"/>
    </font>
    <font>
      <sz val="11"/>
      <name val="Calibri"/>
      <family val="2"/>
      <scheme val="minor"/>
    </font>
    <font>
      <b/>
      <sz val="11"/>
      <color rgb="FF0070C0"/>
      <name val="Calibri"/>
      <family val="2"/>
      <scheme val="minor"/>
    </font>
    <font>
      <sz val="11"/>
      <color theme="1"/>
      <name val="Calibri"/>
      <family val="2"/>
    </font>
    <font>
      <u/>
      <sz val="11"/>
      <color theme="1"/>
      <name val="Calibri"/>
      <family val="2"/>
      <scheme val="minor"/>
    </font>
    <font>
      <vertAlign val="subscript"/>
      <sz val="11"/>
      <color theme="1"/>
      <name val="Calibri"/>
      <family val="2"/>
      <scheme val="minor"/>
    </font>
    <font>
      <b/>
      <sz val="12"/>
      <color theme="1"/>
      <name val="Calibri"/>
      <family val="2"/>
      <scheme val="minor"/>
    </font>
    <font>
      <vertAlign val="subscript"/>
      <sz val="11"/>
      <color theme="1"/>
      <name val="Calibri"/>
      <family val="2"/>
    </font>
    <font>
      <b/>
      <sz val="11"/>
      <color theme="3" tint="0.39997558519241921"/>
      <name val="Calibri"/>
      <family val="2"/>
      <scheme val="minor"/>
    </font>
    <font>
      <b/>
      <sz val="11"/>
      <color theme="1"/>
      <name val="Calibri"/>
      <family val="2"/>
      <scheme val="minor"/>
    </font>
    <font>
      <sz val="10"/>
      <name val="Calibri"/>
      <family val="2"/>
      <scheme val="minor"/>
    </font>
    <font>
      <b/>
      <sz val="12"/>
      <color rgb="FF00B0F0"/>
      <name val="Calibri"/>
      <family val="2"/>
      <scheme val="minor"/>
    </font>
    <font>
      <b/>
      <sz val="11"/>
      <color rgb="FF00B0F0"/>
      <name val="Calibri"/>
      <family val="2"/>
      <scheme val="minor"/>
    </font>
    <font>
      <b/>
      <sz val="10"/>
      <color rgb="FF00B0F0"/>
      <name val="Arial"/>
      <family val="2"/>
    </font>
    <font>
      <vertAlign val="subscript"/>
      <sz val="10"/>
      <name val="Arial"/>
      <family val="2"/>
    </font>
    <font>
      <vertAlign val="subscript"/>
      <sz val="11"/>
      <name val="Calibri"/>
      <family val="2"/>
      <scheme val="minor"/>
    </font>
    <font>
      <sz val="11"/>
      <color rgb="FF0070C0"/>
      <name val="Calibri"/>
      <family val="2"/>
      <scheme val="minor"/>
    </font>
    <font>
      <b/>
      <u/>
      <sz val="11"/>
      <color theme="1"/>
      <name val="Calibri"/>
      <family val="2"/>
      <scheme val="minor"/>
    </font>
    <font>
      <sz val="18"/>
      <color theme="2" tint="-0.89999084444715716"/>
      <name val="Calibri"/>
      <family val="2"/>
      <scheme val="minor"/>
    </font>
    <font>
      <sz val="11"/>
      <color theme="2" tint="-0.89999084444715716"/>
      <name val="Calibri"/>
      <family val="2"/>
      <scheme val="minor"/>
    </font>
    <font>
      <b/>
      <sz val="11"/>
      <color theme="2" tint="-0.89999084444715716"/>
      <name val="Calibri"/>
      <family val="2"/>
      <scheme val="minor"/>
    </font>
    <font>
      <sz val="10"/>
      <color theme="2" tint="-0.89999084444715716"/>
      <name val="Arial"/>
      <family val="2"/>
    </font>
    <font>
      <vertAlign val="subscript"/>
      <sz val="10"/>
      <color theme="2" tint="-0.89999084444715716"/>
      <name val="Arial"/>
      <family val="2"/>
    </font>
    <font>
      <sz val="11"/>
      <color theme="1" tint="0.14999847407452621"/>
      <name val="Calibri"/>
      <family val="2"/>
      <scheme val="minor"/>
    </font>
    <font>
      <vertAlign val="subscript"/>
      <sz val="11"/>
      <color theme="2" tint="-0.89996032593768116"/>
      <name val="Calibri"/>
      <family val="2"/>
      <scheme val="minor"/>
    </font>
    <font>
      <b/>
      <vertAlign val="subscript"/>
      <sz val="11"/>
      <color theme="2" tint="-0.89996032593768116"/>
      <name val="Calibri"/>
      <family val="2"/>
      <scheme val="minor"/>
    </font>
  </fonts>
  <fills count="17">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52"/>
        <bgColor indexed="64"/>
      </patternFill>
    </fill>
    <fill>
      <patternFill patternType="solid">
        <fgColor indexed="50"/>
        <bgColor indexed="64"/>
      </patternFill>
    </fill>
    <fill>
      <patternFill patternType="solid">
        <fgColor rgb="FFFF000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2" tint="-0.89999084444715716"/>
        <bgColor indexed="64"/>
      </patternFill>
    </fill>
    <fill>
      <patternFill patternType="solid">
        <fgColor theme="0"/>
        <bgColor indexed="64"/>
      </patternFill>
    </fill>
    <fill>
      <patternFill patternType="solid">
        <fgColor rgb="FF00B050"/>
        <bgColor indexed="64"/>
      </patternFill>
    </fill>
  </fills>
  <borders count="3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3" fillId="0" borderId="0"/>
    <xf numFmtId="164" fontId="4"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0" fontId="4" fillId="0" borderId="0"/>
    <xf numFmtId="0" fontId="4" fillId="0" borderId="0"/>
    <xf numFmtId="164" fontId="3" fillId="0" borderId="0" applyFont="0" applyFill="0" applyBorder="0" applyAlignment="0" applyProtection="0"/>
    <xf numFmtId="0" fontId="3" fillId="0" borderId="0"/>
    <xf numFmtId="0" fontId="3" fillId="0" borderId="0"/>
    <xf numFmtId="0" fontId="3" fillId="0" borderId="0"/>
  </cellStyleXfs>
  <cellXfs count="235">
    <xf numFmtId="0" fontId="0" fillId="0" borderId="0" xfId="0"/>
    <xf numFmtId="0" fontId="0" fillId="9" borderId="0" xfId="0" applyFill="1"/>
    <xf numFmtId="0" fontId="17" fillId="0" borderId="0" xfId="0" applyFont="1"/>
    <xf numFmtId="0" fontId="0" fillId="10" borderId="0" xfId="0" applyFill="1"/>
    <xf numFmtId="0" fontId="4" fillId="0" borderId="0" xfId="3"/>
    <xf numFmtId="0" fontId="5" fillId="0" borderId="0" xfId="3" applyFont="1" applyAlignment="1">
      <alignment horizontal="center"/>
    </xf>
    <xf numFmtId="0" fontId="5" fillId="3" borderId="0" xfId="3" applyFont="1" applyFill="1" applyAlignment="1">
      <alignment horizontal="center"/>
    </xf>
    <xf numFmtId="0" fontId="5" fillId="4" borderId="0" xfId="3" applyFont="1" applyFill="1" applyAlignment="1">
      <alignment horizontal="center"/>
    </xf>
    <xf numFmtId="0" fontId="5" fillId="5" borderId="0" xfId="3" applyFont="1" applyFill="1" applyAlignment="1">
      <alignment horizontal="center"/>
    </xf>
    <xf numFmtId="0" fontId="5" fillId="0" borderId="0" xfId="3" applyFont="1"/>
    <xf numFmtId="0" fontId="9" fillId="0" borderId="0" xfId="3" applyFont="1"/>
    <xf numFmtId="2" fontId="0" fillId="10" borderId="0" xfId="0" applyNumberFormat="1" applyFill="1"/>
    <xf numFmtId="0" fontId="0" fillId="11" borderId="0" xfId="0" applyFill="1"/>
    <xf numFmtId="166" fontId="0" fillId="9" borderId="0" xfId="0" applyNumberFormat="1" applyFill="1"/>
    <xf numFmtId="0" fontId="5" fillId="0" borderId="0" xfId="3" applyFont="1" applyAlignment="1">
      <alignment horizontal="right"/>
    </xf>
    <xf numFmtId="0" fontId="4" fillId="0" borderId="0" xfId="3" applyAlignment="1">
      <alignment horizontal="center"/>
    </xf>
    <xf numFmtId="165" fontId="0" fillId="9" borderId="0" xfId="0" applyNumberFormat="1" applyFill="1"/>
    <xf numFmtId="2" fontId="0" fillId="9" borderId="0" xfId="0" applyNumberFormat="1" applyFill="1"/>
    <xf numFmtId="1" fontId="0" fillId="9" borderId="0" xfId="0" applyNumberFormat="1" applyFill="1"/>
    <xf numFmtId="0" fontId="16" fillId="0" borderId="0" xfId="0" applyFont="1"/>
    <xf numFmtId="165" fontId="0" fillId="0" borderId="0" xfId="0" applyNumberFormat="1"/>
    <xf numFmtId="11" fontId="15" fillId="10" borderId="0" xfId="0" applyNumberFormat="1" applyFont="1" applyFill="1"/>
    <xf numFmtId="0" fontId="18" fillId="0" borderId="0" xfId="0" applyFont="1"/>
    <xf numFmtId="11" fontId="0" fillId="9" borderId="0" xfId="0" applyNumberFormat="1" applyFill="1"/>
    <xf numFmtId="0" fontId="5" fillId="0" borderId="0" xfId="3" applyFont="1" applyAlignment="1">
      <alignment horizontal="left"/>
    </xf>
    <xf numFmtId="167" fontId="0" fillId="9" borderId="0" xfId="0" applyNumberFormat="1" applyFill="1"/>
    <xf numFmtId="0" fontId="15" fillId="10" borderId="0" xfId="0" applyFont="1" applyFill="1"/>
    <xf numFmtId="0" fontId="20" fillId="0" borderId="0" xfId="0" applyFont="1"/>
    <xf numFmtId="0" fontId="22" fillId="0" borderId="0" xfId="0" applyFont="1"/>
    <xf numFmtId="0" fontId="0" fillId="12" borderId="0" xfId="0" applyFill="1"/>
    <xf numFmtId="1" fontId="0" fillId="0" borderId="0" xfId="0" applyNumberFormat="1"/>
    <xf numFmtId="0" fontId="23" fillId="0" borderId="0" xfId="0" applyFont="1"/>
    <xf numFmtId="0" fontId="24" fillId="0" borderId="0" xfId="0" applyFont="1"/>
    <xf numFmtId="165" fontId="4" fillId="0" borderId="0" xfId="3" applyNumberFormat="1"/>
    <xf numFmtId="2" fontId="0" fillId="0" borderId="0" xfId="0" applyNumberFormat="1"/>
    <xf numFmtId="0" fontId="25" fillId="0" borderId="0" xfId="0" applyFont="1"/>
    <xf numFmtId="2" fontId="0" fillId="0" borderId="5" xfId="0" applyNumberFormat="1" applyBorder="1"/>
    <xf numFmtId="2" fontId="0" fillId="0" borderId="7" xfId="0" applyNumberFormat="1" applyBorder="1"/>
    <xf numFmtId="0" fontId="4" fillId="0" borderId="8" xfId="3" applyBorder="1"/>
    <xf numFmtId="0" fontId="0" fillId="0" borderId="8" xfId="0" applyBorder="1"/>
    <xf numFmtId="0" fontId="4" fillId="0" borderId="9" xfId="3" applyBorder="1"/>
    <xf numFmtId="0" fontId="0" fillId="0" borderId="5" xfId="0" applyBorder="1"/>
    <xf numFmtId="0" fontId="4" fillId="0" borderId="7" xfId="3" applyBorder="1"/>
    <xf numFmtId="0" fontId="0" fillId="0" borderId="6" xfId="0" applyBorder="1"/>
    <xf numFmtId="0" fontId="0" fillId="0" borderId="7" xfId="0" applyBorder="1"/>
    <xf numFmtId="0" fontId="0" fillId="0" borderId="9" xfId="0" applyBorder="1"/>
    <xf numFmtId="165" fontId="0" fillId="0" borderId="8" xfId="0" applyNumberFormat="1" applyBorder="1"/>
    <xf numFmtId="0" fontId="4" fillId="0" borderId="5" xfId="3" applyBorder="1"/>
    <xf numFmtId="2" fontId="0" fillId="0" borderId="10" xfId="0" applyNumberFormat="1" applyBorder="1"/>
    <xf numFmtId="0" fontId="26" fillId="0" borderId="0" xfId="0" applyFont="1"/>
    <xf numFmtId="0" fontId="27" fillId="0" borderId="0" xfId="3" applyFont="1"/>
    <xf numFmtId="168" fontId="0" fillId="0" borderId="0" xfId="0" applyNumberFormat="1"/>
    <xf numFmtId="0" fontId="0" fillId="0" borderId="2" xfId="0" applyBorder="1"/>
    <xf numFmtId="165" fontId="4" fillId="0" borderId="3" xfId="3" applyNumberFormat="1" applyBorder="1"/>
    <xf numFmtId="0" fontId="4" fillId="0" borderId="3" xfId="3" applyBorder="1"/>
    <xf numFmtId="0" fontId="0" fillId="0" borderId="3" xfId="0" applyBorder="1"/>
    <xf numFmtId="0" fontId="4" fillId="0" borderId="2" xfId="3" applyBorder="1"/>
    <xf numFmtId="165" fontId="0" fillId="0" borderId="3" xfId="0" applyNumberFormat="1" applyBorder="1"/>
    <xf numFmtId="0" fontId="0" fillId="0" borderId="4" xfId="0" applyBorder="1"/>
    <xf numFmtId="165" fontId="4" fillId="0" borderId="8" xfId="3" applyNumberFormat="1" applyBorder="1"/>
    <xf numFmtId="0" fontId="4" fillId="0" borderId="6" xfId="3" applyBorder="1"/>
    <xf numFmtId="0" fontId="0" fillId="0" borderId="10" xfId="0" applyBorder="1"/>
    <xf numFmtId="0" fontId="0" fillId="0" borderId="11" xfId="0" applyBorder="1"/>
    <xf numFmtId="165" fontId="4" fillId="0" borderId="11" xfId="3" applyNumberFormat="1" applyBorder="1"/>
    <xf numFmtId="0" fontId="4" fillId="0" borderId="11" xfId="3" applyBorder="1"/>
    <xf numFmtId="0" fontId="4" fillId="0" borderId="10" xfId="3" applyBorder="1"/>
    <xf numFmtId="165" fontId="0" fillId="0" borderId="11" xfId="0" applyNumberFormat="1" applyBorder="1"/>
    <xf numFmtId="0" fontId="0" fillId="0" borderId="12" xfId="0" applyBorder="1"/>
    <xf numFmtId="1" fontId="0" fillId="0" borderId="4" xfId="0" applyNumberFormat="1" applyBorder="1"/>
    <xf numFmtId="1" fontId="0" fillId="0" borderId="6" xfId="0" applyNumberFormat="1" applyBorder="1"/>
    <xf numFmtId="1" fontId="0" fillId="0" borderId="9" xfId="0" applyNumberFormat="1" applyBorder="1"/>
    <xf numFmtId="0" fontId="0" fillId="0" borderId="13" xfId="0" applyBorder="1"/>
    <xf numFmtId="0" fontId="0" fillId="13" borderId="0" xfId="0" applyFill="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4" fillId="0" borderId="0" xfId="3" applyAlignment="1">
      <alignment horizontal="left"/>
    </xf>
    <xf numFmtId="0" fontId="4" fillId="0" borderId="8" xfId="3" applyBorder="1" applyAlignment="1">
      <alignment horizontal="left"/>
    </xf>
    <xf numFmtId="0" fontId="0" fillId="13" borderId="13" xfId="0" applyFill="1" applyBorder="1"/>
    <xf numFmtId="0" fontId="0" fillId="0" borderId="19" xfId="0" applyBorder="1"/>
    <xf numFmtId="0" fontId="0" fillId="13" borderId="15" xfId="0" applyFill="1" applyBorder="1"/>
    <xf numFmtId="0" fontId="0" fillId="0" borderId="20" xfId="0" applyBorder="1" applyAlignment="1">
      <alignment horizontal="center" wrapText="1"/>
    </xf>
    <xf numFmtId="0" fontId="0" fillId="0" borderId="21" xfId="0" applyBorder="1"/>
    <xf numFmtId="0" fontId="0" fillId="0" borderId="22" xfId="0" applyBorder="1"/>
    <xf numFmtId="0" fontId="15" fillId="0" borderId="0" xfId="0" applyFont="1"/>
    <xf numFmtId="0" fontId="0" fillId="6" borderId="0" xfId="0" applyFill="1" applyProtection="1">
      <protection hidden="1"/>
    </xf>
    <xf numFmtId="0" fontId="10" fillId="6" borderId="0" xfId="0" applyFont="1" applyFill="1" applyAlignment="1" applyProtection="1">
      <alignment horizontal="left" vertical="center"/>
      <protection hidden="1"/>
    </xf>
    <xf numFmtId="0" fontId="0" fillId="6" borderId="0" xfId="0" applyFill="1" applyAlignment="1" applyProtection="1">
      <alignment horizontal="right"/>
      <protection hidden="1"/>
    </xf>
    <xf numFmtId="0" fontId="15" fillId="8" borderId="0" xfId="0" applyFont="1" applyFill="1" applyProtection="1">
      <protection hidden="1"/>
    </xf>
    <xf numFmtId="0" fontId="0" fillId="14" borderId="0" xfId="0" applyFill="1" applyProtection="1">
      <protection hidden="1"/>
    </xf>
    <xf numFmtId="0" fontId="0" fillId="8" borderId="0" xfId="0" applyFill="1" applyProtection="1">
      <protection hidden="1"/>
    </xf>
    <xf numFmtId="0" fontId="0" fillId="8" borderId="0" xfId="0" applyFill="1" applyAlignment="1" applyProtection="1">
      <alignment horizontal="right"/>
      <protection hidden="1"/>
    </xf>
    <xf numFmtId="0" fontId="2" fillId="8" borderId="0" xfId="0" applyFont="1" applyFill="1" applyProtection="1">
      <protection hidden="1"/>
    </xf>
    <xf numFmtId="0" fontId="0" fillId="7" borderId="0" xfId="0" applyFill="1" applyProtection="1">
      <protection hidden="1"/>
    </xf>
    <xf numFmtId="0" fontId="2" fillId="8" borderId="0" xfId="0" quotePrefix="1" applyFont="1" applyFill="1" applyProtection="1">
      <protection hidden="1"/>
    </xf>
    <xf numFmtId="0" fontId="2" fillId="8" borderId="0" xfId="0" applyFont="1" applyFill="1" applyAlignment="1" applyProtection="1">
      <alignment horizontal="right"/>
      <protection hidden="1"/>
    </xf>
    <xf numFmtId="0" fontId="0" fillId="8" borderId="1" xfId="0" applyFill="1" applyBorder="1" applyProtection="1">
      <protection hidden="1"/>
    </xf>
    <xf numFmtId="0" fontId="0" fillId="8" borderId="1" xfId="0" applyFill="1" applyBorder="1" applyAlignment="1" applyProtection="1">
      <alignment horizontal="right"/>
      <protection hidden="1"/>
    </xf>
    <xf numFmtId="0" fontId="15" fillId="8" borderId="1" xfId="0" applyFont="1" applyFill="1" applyBorder="1" applyProtection="1">
      <protection hidden="1"/>
    </xf>
    <xf numFmtId="0" fontId="0" fillId="14" borderId="1" xfId="0" applyFill="1" applyBorder="1" applyProtection="1">
      <protection hidden="1"/>
    </xf>
    <xf numFmtId="0" fontId="0" fillId="15" borderId="0" xfId="0" applyFill="1" applyProtection="1">
      <protection hidden="1"/>
    </xf>
    <xf numFmtId="0" fontId="0" fillId="15" borderId="0" xfId="0" applyFill="1" applyAlignment="1" applyProtection="1">
      <alignment horizontal="right"/>
      <protection hidden="1"/>
    </xf>
    <xf numFmtId="49" fontId="0" fillId="15" borderId="0" xfId="0" applyNumberFormat="1" applyFill="1" applyProtection="1">
      <protection hidden="1"/>
    </xf>
    <xf numFmtId="0" fontId="0" fillId="15" borderId="2" xfId="0" applyFill="1" applyBorder="1" applyProtection="1">
      <protection hidden="1"/>
    </xf>
    <xf numFmtId="0" fontId="0" fillId="15" borderId="3" xfId="0" applyFill="1" applyBorder="1" applyProtection="1">
      <protection hidden="1"/>
    </xf>
    <xf numFmtId="0" fontId="13" fillId="15" borderId="3" xfId="3" applyFont="1" applyFill="1" applyBorder="1" applyAlignment="1" applyProtection="1">
      <alignment horizontal="right"/>
      <protection hidden="1"/>
    </xf>
    <xf numFmtId="0" fontId="0" fillId="15" borderId="4" xfId="0" applyFill="1" applyBorder="1" applyProtection="1">
      <protection hidden="1"/>
    </xf>
    <xf numFmtId="0" fontId="0" fillId="15" borderId="5" xfId="0" applyFill="1" applyBorder="1" applyProtection="1">
      <protection hidden="1"/>
    </xf>
    <xf numFmtId="0" fontId="13" fillId="15" borderId="0" xfId="3" applyFont="1" applyFill="1" applyAlignment="1" applyProtection="1">
      <alignment horizontal="right"/>
      <protection hidden="1"/>
    </xf>
    <xf numFmtId="0" fontId="0" fillId="15" borderId="6" xfId="0" applyFill="1" applyBorder="1" applyProtection="1">
      <protection hidden="1"/>
    </xf>
    <xf numFmtId="0" fontId="13" fillId="15" borderId="5" xfId="0" applyFont="1" applyFill="1" applyBorder="1" applyProtection="1">
      <protection hidden="1"/>
    </xf>
    <xf numFmtId="0" fontId="13" fillId="15" borderId="0" xfId="0" applyFont="1" applyFill="1" applyProtection="1">
      <protection hidden="1"/>
    </xf>
    <xf numFmtId="0" fontId="13" fillId="15" borderId="0" xfId="0" applyFont="1" applyFill="1" applyAlignment="1" applyProtection="1">
      <alignment horizontal="right"/>
      <protection hidden="1"/>
    </xf>
    <xf numFmtId="0" fontId="0" fillId="15" borderId="8" xfId="0" applyFill="1" applyBorder="1" applyProtection="1">
      <protection hidden="1"/>
    </xf>
    <xf numFmtId="0" fontId="0" fillId="15" borderId="9" xfId="0" applyFill="1" applyBorder="1" applyProtection="1">
      <protection hidden="1"/>
    </xf>
    <xf numFmtId="0" fontId="16" fillId="15" borderId="0" xfId="0" applyFont="1" applyFill="1" applyProtection="1">
      <protection hidden="1"/>
    </xf>
    <xf numFmtId="0" fontId="13" fillId="15" borderId="3" xfId="0" applyFont="1" applyFill="1" applyBorder="1" applyProtection="1">
      <protection hidden="1"/>
    </xf>
    <xf numFmtId="0" fontId="0" fillId="15" borderId="7" xfId="0" applyFill="1" applyBorder="1" applyProtection="1">
      <protection hidden="1"/>
    </xf>
    <xf numFmtId="0" fontId="13" fillId="15" borderId="8" xfId="3" applyFont="1" applyFill="1" applyBorder="1" applyAlignment="1" applyProtection="1">
      <alignment horizontal="right"/>
      <protection hidden="1"/>
    </xf>
    <xf numFmtId="0" fontId="17" fillId="15" borderId="6" xfId="0" applyFont="1" applyFill="1" applyBorder="1" applyProtection="1">
      <protection hidden="1"/>
    </xf>
    <xf numFmtId="0" fontId="0" fillId="15" borderId="8" xfId="0" applyFill="1" applyBorder="1" applyAlignment="1" applyProtection="1">
      <alignment horizontal="right"/>
      <protection hidden="1"/>
    </xf>
    <xf numFmtId="0" fontId="17" fillId="15" borderId="9" xfId="0" applyFont="1" applyFill="1" applyBorder="1" applyProtection="1">
      <protection hidden="1"/>
    </xf>
    <xf numFmtId="0" fontId="0" fillId="15" borderId="3" xfId="0" applyFill="1" applyBorder="1" applyAlignment="1" applyProtection="1">
      <alignment horizontal="right"/>
      <protection hidden="1"/>
    </xf>
    <xf numFmtId="0" fontId="16" fillId="15" borderId="2" xfId="0" applyFont="1" applyFill="1" applyBorder="1" applyProtection="1">
      <protection hidden="1"/>
    </xf>
    <xf numFmtId="0" fontId="15" fillId="15" borderId="3" xfId="0" applyFont="1" applyFill="1" applyBorder="1" applyAlignment="1" applyProtection="1">
      <alignment horizontal="right"/>
      <protection hidden="1"/>
    </xf>
    <xf numFmtId="0" fontId="16" fillId="15" borderId="5" xfId="0" applyFont="1" applyFill="1" applyBorder="1" applyProtection="1">
      <protection hidden="1"/>
    </xf>
    <xf numFmtId="0" fontId="23" fillId="15" borderId="0" xfId="0" applyFont="1" applyFill="1" applyAlignment="1" applyProtection="1">
      <alignment horizontal="right"/>
      <protection hidden="1"/>
    </xf>
    <xf numFmtId="0" fontId="0" fillId="15" borderId="0" xfId="0" applyFill="1" applyAlignment="1" applyProtection="1">
      <alignment horizontal="center"/>
      <protection hidden="1"/>
    </xf>
    <xf numFmtId="0" fontId="0" fillId="15" borderId="6" xfId="0" applyFill="1" applyBorder="1" applyAlignment="1" applyProtection="1">
      <alignment horizontal="center"/>
      <protection hidden="1"/>
    </xf>
    <xf numFmtId="0" fontId="0" fillId="14" borderId="0" xfId="0" applyFill="1" applyAlignment="1" applyProtection="1">
      <alignment horizontal="right"/>
      <protection hidden="1"/>
    </xf>
    <xf numFmtId="0" fontId="15" fillId="14" borderId="0" xfId="0" applyFont="1" applyFill="1" applyProtection="1">
      <protection hidden="1"/>
    </xf>
    <xf numFmtId="0" fontId="0" fillId="7" borderId="24" xfId="0" applyFill="1" applyBorder="1" applyProtection="1">
      <protection locked="0" hidden="1"/>
    </xf>
    <xf numFmtId="0" fontId="0" fillId="7" borderId="25" xfId="0" applyFill="1" applyBorder="1" applyProtection="1">
      <protection locked="0" hidden="1"/>
    </xf>
    <xf numFmtId="2" fontId="0" fillId="15" borderId="25" xfId="0" applyNumberFormat="1" applyFill="1" applyBorder="1" applyProtection="1">
      <protection hidden="1"/>
    </xf>
    <xf numFmtId="0" fontId="0" fillId="15" borderId="25" xfId="0" applyFill="1" applyBorder="1" applyProtection="1">
      <protection hidden="1"/>
    </xf>
    <xf numFmtId="165" fontId="0" fillId="0" borderId="25" xfId="0" applyNumberFormat="1" applyBorder="1" applyProtection="1">
      <protection hidden="1"/>
    </xf>
    <xf numFmtId="2" fontId="0" fillId="0" borderId="26" xfId="0" applyNumberFormat="1" applyBorder="1" applyProtection="1">
      <protection hidden="1"/>
    </xf>
    <xf numFmtId="2" fontId="0" fillId="15" borderId="26" xfId="0" applyNumberFormat="1" applyFill="1" applyBorder="1" applyProtection="1">
      <protection hidden="1"/>
    </xf>
    <xf numFmtId="0" fontId="0" fillId="7" borderId="26" xfId="0" applyFill="1" applyBorder="1" applyProtection="1">
      <protection locked="0" hidden="1"/>
    </xf>
    <xf numFmtId="2" fontId="0" fillId="0" borderId="25" xfId="0" applyNumberFormat="1" applyBorder="1" applyProtection="1">
      <protection hidden="1"/>
    </xf>
    <xf numFmtId="2" fontId="0" fillId="0" borderId="24" xfId="0" applyNumberFormat="1" applyBorder="1" applyProtection="1">
      <protection hidden="1"/>
    </xf>
    <xf numFmtId="1" fontId="0" fillId="0" borderId="26" xfId="0" applyNumberFormat="1" applyBorder="1" applyProtection="1">
      <protection hidden="1"/>
    </xf>
    <xf numFmtId="0" fontId="0" fillId="7" borderId="24" xfId="0" applyFill="1" applyBorder="1" applyAlignment="1" applyProtection="1">
      <alignment vertical="top"/>
      <protection hidden="1"/>
    </xf>
    <xf numFmtId="0" fontId="0" fillId="0" borderId="25" xfId="0" applyBorder="1" applyAlignment="1" applyProtection="1">
      <alignment vertical="top"/>
      <protection hidden="1"/>
    </xf>
    <xf numFmtId="165" fontId="0" fillId="15" borderId="25" xfId="0" applyNumberFormat="1" applyFill="1" applyBorder="1" applyProtection="1">
      <protection hidden="1"/>
    </xf>
    <xf numFmtId="0" fontId="0" fillId="15" borderId="25" xfId="0" applyFill="1" applyBorder="1" applyAlignment="1" applyProtection="1">
      <alignment horizontal="center"/>
      <protection hidden="1"/>
    </xf>
    <xf numFmtId="1" fontId="0" fillId="15" borderId="7" xfId="0" applyNumberFormat="1" applyFill="1" applyBorder="1" applyProtection="1">
      <protection hidden="1"/>
    </xf>
    <xf numFmtId="0" fontId="0" fillId="7" borderId="23" xfId="0" applyFill="1" applyBorder="1" applyProtection="1">
      <protection locked="0" hidden="1"/>
    </xf>
    <xf numFmtId="0" fontId="0" fillId="7" borderId="0" xfId="0" applyFill="1"/>
    <xf numFmtId="0" fontId="30" fillId="0" borderId="0" xfId="0" applyFont="1"/>
    <xf numFmtId="0" fontId="31" fillId="0" borderId="0" xfId="0" applyFont="1"/>
    <xf numFmtId="0" fontId="0" fillId="0" borderId="0" xfId="0" applyAlignment="1">
      <alignment horizontal="center"/>
    </xf>
    <xf numFmtId="11" fontId="0" fillId="0" borderId="0" xfId="0" applyNumberFormat="1"/>
    <xf numFmtId="169" fontId="0" fillId="9" borderId="0" xfId="0" applyNumberFormat="1" applyFill="1"/>
    <xf numFmtId="0" fontId="3" fillId="0" borderId="8" xfId="3" applyFont="1" applyBorder="1"/>
    <xf numFmtId="0" fontId="23" fillId="15" borderId="24" xfId="0" applyFont="1" applyFill="1" applyBorder="1" applyAlignment="1" applyProtection="1">
      <alignment horizontal="center"/>
      <protection hidden="1"/>
    </xf>
    <xf numFmtId="0" fontId="23" fillId="0" borderId="0" xfId="0" quotePrefix="1" applyFont="1"/>
    <xf numFmtId="0" fontId="37" fillId="14" borderId="0" xfId="0" applyFont="1" applyFill="1" applyProtection="1">
      <protection hidden="1"/>
    </xf>
    <xf numFmtId="0" fontId="0" fillId="15" borderId="0" xfId="0" applyFill="1"/>
    <xf numFmtId="0" fontId="13" fillId="15" borderId="7" xfId="0" applyFont="1" applyFill="1" applyBorder="1" applyProtection="1">
      <protection hidden="1"/>
    </xf>
    <xf numFmtId="0" fontId="13" fillId="15" borderId="8" xfId="0" applyFont="1" applyFill="1" applyBorder="1" applyProtection="1">
      <protection hidden="1"/>
    </xf>
    <xf numFmtId="168" fontId="0" fillId="15" borderId="25" xfId="0" applyNumberFormat="1" applyFill="1" applyBorder="1" applyProtection="1">
      <protection hidden="1"/>
    </xf>
    <xf numFmtId="0" fontId="23" fillId="13" borderId="0" xfId="0" applyFont="1" applyFill="1"/>
    <xf numFmtId="165" fontId="0" fillId="6" borderId="0" xfId="0" applyNumberFormat="1" applyFill="1"/>
    <xf numFmtId="0" fontId="0" fillId="6" borderId="0" xfId="0" applyFill="1"/>
    <xf numFmtId="165" fontId="0" fillId="0" borderId="26" xfId="0" applyNumberFormat="1" applyBorder="1" applyProtection="1">
      <protection hidden="1"/>
    </xf>
    <xf numFmtId="170" fontId="0" fillId="0" borderId="0" xfId="0" applyNumberFormat="1"/>
    <xf numFmtId="0" fontId="17" fillId="15" borderId="10" xfId="0" applyFont="1" applyFill="1" applyBorder="1" applyAlignment="1" applyProtection="1">
      <alignment horizontal="left"/>
      <protection hidden="1"/>
    </xf>
    <xf numFmtId="0" fontId="0" fillId="15" borderId="7" xfId="0" applyFill="1" applyBorder="1" applyAlignment="1" applyProtection="1">
      <alignment horizontal="left"/>
      <protection hidden="1"/>
    </xf>
    <xf numFmtId="0" fontId="32" fillId="15" borderId="0" xfId="0" applyFont="1" applyFill="1" applyProtection="1">
      <protection hidden="1"/>
    </xf>
    <xf numFmtId="0" fontId="33" fillId="15" borderId="0" xfId="0" applyFont="1" applyFill="1" applyProtection="1">
      <protection hidden="1"/>
    </xf>
    <xf numFmtId="0" fontId="33" fillId="15" borderId="0" xfId="0" applyFont="1" applyFill="1" applyAlignment="1" applyProtection="1">
      <alignment horizontal="right"/>
      <protection hidden="1"/>
    </xf>
    <xf numFmtId="0" fontId="37" fillId="15" borderId="0" xfId="0" applyFont="1" applyFill="1" applyProtection="1">
      <protection hidden="1"/>
    </xf>
    <xf numFmtId="0" fontId="34" fillId="15" borderId="0" xfId="0" applyFont="1" applyFill="1" applyAlignment="1" applyProtection="1">
      <alignment horizontal="left"/>
      <protection hidden="1"/>
    </xf>
    <xf numFmtId="0" fontId="35" fillId="15" borderId="0" xfId="3" applyFont="1" applyFill="1" applyAlignment="1" applyProtection="1">
      <alignment horizontal="right"/>
      <protection hidden="1"/>
    </xf>
    <xf numFmtId="0" fontId="0" fillId="0" borderId="23" xfId="0" applyBorder="1"/>
    <xf numFmtId="0" fontId="0" fillId="0" borderId="25" xfId="0" applyBorder="1"/>
    <xf numFmtId="0" fontId="0" fillId="0" borderId="24" xfId="0" applyBorder="1"/>
    <xf numFmtId="0" fontId="0" fillId="0" borderId="26" xfId="0" applyBorder="1"/>
    <xf numFmtId="0" fontId="4" fillId="0" borderId="12" xfId="3" applyBorder="1"/>
    <xf numFmtId="0" fontId="3" fillId="0" borderId="10" xfId="3" applyFont="1" applyBorder="1"/>
    <xf numFmtId="0" fontId="3" fillId="0" borderId="11" xfId="3" applyFont="1" applyBorder="1"/>
    <xf numFmtId="1" fontId="0" fillId="8" borderId="0" xfId="0" applyNumberFormat="1" applyFill="1" applyProtection="1">
      <protection hidden="1"/>
    </xf>
    <xf numFmtId="168" fontId="0" fillId="0" borderId="25" xfId="0" applyNumberFormat="1" applyBorder="1" applyProtection="1">
      <protection hidden="1"/>
    </xf>
    <xf numFmtId="168" fontId="0" fillId="15" borderId="10" xfId="0" applyNumberFormat="1" applyFill="1" applyBorder="1" applyProtection="1">
      <protection hidden="1"/>
    </xf>
    <xf numFmtId="0" fontId="0" fillId="16" borderId="0" xfId="0" applyFill="1"/>
    <xf numFmtId="0" fontId="0" fillId="0" borderId="28" xfId="0" applyBorder="1"/>
    <xf numFmtId="0" fontId="37" fillId="8" borderId="0" xfId="0" applyFont="1" applyFill="1" applyProtection="1">
      <protection hidden="1"/>
    </xf>
    <xf numFmtId="0" fontId="33" fillId="15" borderId="2" xfId="0" applyFont="1" applyFill="1" applyBorder="1" applyProtection="1">
      <protection hidden="1"/>
    </xf>
    <xf numFmtId="0" fontId="33" fillId="15" borderId="3" xfId="0" applyFont="1" applyFill="1" applyBorder="1" applyProtection="1">
      <protection hidden="1"/>
    </xf>
    <xf numFmtId="0" fontId="35" fillId="15" borderId="3" xfId="3" applyFont="1" applyFill="1" applyBorder="1" applyAlignment="1" applyProtection="1">
      <alignment horizontal="right"/>
      <protection hidden="1"/>
    </xf>
    <xf numFmtId="0" fontId="35" fillId="15" borderId="4" xfId="3" applyFont="1" applyFill="1" applyBorder="1" applyProtection="1">
      <protection hidden="1"/>
    </xf>
    <xf numFmtId="0" fontId="34" fillId="15" borderId="5" xfId="0" applyFont="1" applyFill="1" applyBorder="1" applyProtection="1">
      <protection hidden="1"/>
    </xf>
    <xf numFmtId="0" fontId="35" fillId="15" borderId="6" xfId="3" applyFont="1" applyFill="1" applyBorder="1" applyProtection="1">
      <protection hidden="1"/>
    </xf>
    <xf numFmtId="0" fontId="33" fillId="15" borderId="5" xfId="0" applyFont="1" applyFill="1" applyBorder="1" applyProtection="1">
      <protection hidden="1"/>
    </xf>
    <xf numFmtId="0" fontId="33" fillId="15" borderId="7" xfId="0" applyFont="1" applyFill="1" applyBorder="1" applyProtection="1">
      <protection hidden="1"/>
    </xf>
    <xf numFmtId="0" fontId="33" fillId="15" borderId="8" xfId="0" applyFont="1" applyFill="1" applyBorder="1" applyProtection="1">
      <protection hidden="1"/>
    </xf>
    <xf numFmtId="0" fontId="35" fillId="15" borderId="8" xfId="3" applyFont="1" applyFill="1" applyBorder="1" applyAlignment="1" applyProtection="1">
      <alignment horizontal="right"/>
      <protection hidden="1"/>
    </xf>
    <xf numFmtId="0" fontId="35" fillId="15" borderId="9" xfId="3" applyFont="1" applyFill="1" applyBorder="1" applyProtection="1">
      <protection hidden="1"/>
    </xf>
    <xf numFmtId="0" fontId="33" fillId="15" borderId="6" xfId="0" applyFont="1" applyFill="1" applyBorder="1" applyProtection="1">
      <protection hidden="1"/>
    </xf>
    <xf numFmtId="0" fontId="33" fillId="15" borderId="8" xfId="0" applyFont="1" applyFill="1" applyBorder="1" applyAlignment="1" applyProtection="1">
      <alignment horizontal="right"/>
      <protection hidden="1"/>
    </xf>
    <xf numFmtId="0" fontId="33" fillId="15" borderId="9" xfId="0" applyFont="1" applyFill="1" applyBorder="1" applyProtection="1">
      <protection hidden="1"/>
    </xf>
    <xf numFmtId="0" fontId="13" fillId="15" borderId="8" xfId="0" applyFont="1" applyFill="1" applyBorder="1" applyAlignment="1" applyProtection="1">
      <alignment horizontal="right"/>
      <protection hidden="1"/>
    </xf>
    <xf numFmtId="168" fontId="0" fillId="15" borderId="26" xfId="0" applyNumberFormat="1" applyFill="1" applyBorder="1" applyProtection="1">
      <protection hidden="1"/>
    </xf>
    <xf numFmtId="0" fontId="0" fillId="0" borderId="30" xfId="0" applyBorder="1"/>
    <xf numFmtId="0" fontId="33" fillId="7" borderId="24" xfId="0" applyFont="1" applyFill="1" applyBorder="1" applyProtection="1">
      <protection locked="0" hidden="1"/>
    </xf>
    <xf numFmtId="0" fontId="33" fillId="7" borderId="25" xfId="0" applyFont="1" applyFill="1" applyBorder="1" applyProtection="1">
      <protection locked="0" hidden="1"/>
    </xf>
    <xf numFmtId="0" fontId="33" fillId="7" borderId="26" xfId="0" applyFont="1" applyFill="1" applyBorder="1" applyProtection="1">
      <protection locked="0" hidden="1"/>
    </xf>
    <xf numFmtId="2" fontId="0" fillId="7" borderId="25" xfId="0" applyNumberFormat="1" applyFill="1" applyBorder="1" applyProtection="1">
      <protection locked="0" hidden="1"/>
    </xf>
    <xf numFmtId="0" fontId="0" fillId="7" borderId="5" xfId="0" applyFill="1" applyBorder="1" applyAlignment="1" applyProtection="1">
      <alignment horizontal="center"/>
      <protection locked="0" hidden="1"/>
    </xf>
    <xf numFmtId="0" fontId="0" fillId="0" borderId="25" xfId="0" applyBorder="1" applyProtection="1">
      <protection hidden="1"/>
    </xf>
    <xf numFmtId="0" fontId="6" fillId="2" borderId="0" xfId="3" applyFont="1" applyFill="1" applyAlignment="1">
      <alignment horizontal="center"/>
    </xf>
    <xf numFmtId="0" fontId="5" fillId="0" borderId="0" xfId="3" applyFont="1" applyAlignment="1">
      <alignment horizontal="center"/>
    </xf>
    <xf numFmtId="0" fontId="0" fillId="0" borderId="20" xfId="0" applyBorder="1" applyAlignment="1">
      <alignment horizontal="center" wrapText="1"/>
    </xf>
    <xf numFmtId="0" fontId="0" fillId="0" borderId="29"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7" xfId="0" applyBorder="1" applyAlignment="1">
      <alignment horizontal="center"/>
    </xf>
    <xf numFmtId="0" fontId="0" fillId="0" borderId="0" xfId="0" applyAlignment="1">
      <alignment horizont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4" fillId="0" borderId="0" xfId="3"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3" fillId="0" borderId="2" xfId="0" applyFont="1" applyBorder="1" applyAlignment="1">
      <alignment horizontal="center"/>
    </xf>
    <xf numFmtId="0" fontId="23" fillId="0" borderId="4" xfId="0" applyFont="1" applyBorder="1" applyAlignment="1">
      <alignment horizontal="center"/>
    </xf>
  </cellXfs>
  <cellStyles count="12">
    <cellStyle name="Comma 2" xfId="5" xr:uid="{00000000-0005-0000-0000-000000000000}"/>
    <cellStyle name="Comma 3" xfId="2" xr:uid="{00000000-0005-0000-0000-000001000000}"/>
    <cellStyle name="Comma 3 2" xfId="8" xr:uid="{00000000-0005-0000-0000-000001000000}"/>
    <cellStyle name="Normal 2" xfId="3" xr:uid="{00000000-0005-0000-0000-000003000000}"/>
    <cellStyle name="Normal 2 2" xfId="9" xr:uid="{00000000-0005-0000-0000-000003000000}"/>
    <cellStyle name="Normal 3" xfId="4" xr:uid="{00000000-0005-0000-0000-000004000000}"/>
    <cellStyle name="Normal 4" xfId="1" xr:uid="{00000000-0005-0000-0000-000005000000}"/>
    <cellStyle name="Normal 4 2" xfId="7" xr:uid="{00000000-0005-0000-0000-000006000000}"/>
    <cellStyle name="Normal 4 2 2" xfId="11" xr:uid="{00000000-0005-0000-0000-000006000000}"/>
    <cellStyle name="Normal 4 3" xfId="6" xr:uid="{00000000-0005-0000-0000-000007000000}"/>
    <cellStyle name="Normal 4 3 2" xfId="10" xr:uid="{00000000-0005-0000-0000-000007000000}"/>
    <cellStyle name="Normale"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t>Bode Plot</a:t>
            </a:r>
          </a:p>
        </c:rich>
      </c:tx>
      <c:layout>
        <c:manualLayout>
          <c:xMode val="edge"/>
          <c:yMode val="edge"/>
          <c:x val="9.4354157174953393E-2"/>
          <c:y val="3.9916010498687662E-3"/>
        </c:manualLayout>
      </c:layout>
      <c:overlay val="0"/>
    </c:title>
    <c:autoTitleDeleted val="0"/>
    <c:plotArea>
      <c:layout>
        <c:manualLayout>
          <c:layoutTarget val="inner"/>
          <c:xMode val="edge"/>
          <c:yMode val="edge"/>
          <c:x val="9.0594052720499751E-2"/>
          <c:y val="8.9158108013693851E-2"/>
          <c:w val="0.80965876742891785"/>
          <c:h val="0.76159168715027026"/>
        </c:manualLayout>
      </c:layout>
      <c:scatterChart>
        <c:scatterStyle val="smoothMarker"/>
        <c:varyColors val="0"/>
        <c:ser>
          <c:idx val="0"/>
          <c:order val="0"/>
          <c:tx>
            <c:v>Gain (dB)</c:v>
          </c:tx>
          <c:spPr>
            <a:ln w="28575">
              <a:solidFill>
                <a:srgbClr val="FF0000"/>
              </a:solidFill>
            </a:ln>
          </c:spPr>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Loop_Modeling!$BL$19:$BL$560</c:f>
              <c:numCache>
                <c:formatCode>General</c:formatCode>
                <c:ptCount val="542"/>
                <c:pt idx="0">
                  <c:v>35.874400160425068</c:v>
                </c:pt>
                <c:pt idx="1">
                  <c:v>35.635576502047051</c:v>
                </c:pt>
                <c:pt idx="2">
                  <c:v>35.395313374944614</c:v>
                </c:pt>
                <c:pt idx="3">
                  <c:v>35.153572485957966</c:v>
                </c:pt>
                <c:pt idx="4">
                  <c:v>34.910315655096475</c:v>
                </c:pt>
                <c:pt idx="5">
                  <c:v>34.665504909334601</c:v>
                </c:pt>
                <c:pt idx="6">
                  <c:v>34.419102581009902</c:v>
                </c:pt>
                <c:pt idx="7">
                  <c:v>34.1710714105755</c:v>
                </c:pt>
                <c:pt idx="8">
                  <c:v>33.921374653402523</c:v>
                </c:pt>
                <c:pt idx="9">
                  <c:v>33.669976190278895</c:v>
                </c:pt>
                <c:pt idx="10">
                  <c:v>33.41684064119594</c:v>
                </c:pt>
                <c:pt idx="11">
                  <c:v>33.161933481963061</c:v>
                </c:pt>
                <c:pt idx="12">
                  <c:v>32.905221163138314</c:v>
                </c:pt>
                <c:pt idx="13">
                  <c:v>32.646671230715945</c:v>
                </c:pt>
                <c:pt idx="14">
                  <c:v>32.38625244796328</c:v>
                </c:pt>
                <c:pt idx="15">
                  <c:v>32.123934917760053</c:v>
                </c:pt>
                <c:pt idx="16">
                  <c:v>31.859690204754976</c:v>
                </c:pt>
                <c:pt idx="17">
                  <c:v>31.593491456623006</c:v>
                </c:pt>
                <c:pt idx="18">
                  <c:v>31.32531352368304</c:v>
                </c:pt>
                <c:pt idx="19">
                  <c:v>31.0551330761167</c:v>
                </c:pt>
                <c:pt idx="20">
                  <c:v>30.782928718022475</c:v>
                </c:pt>
                <c:pt idx="21">
                  <c:v>30.508681097535259</c:v>
                </c:pt>
                <c:pt idx="22">
                  <c:v>30.23237301225285</c:v>
                </c:pt>
                <c:pt idx="23">
                  <c:v>29.953989509227398</c:v>
                </c:pt>
                <c:pt idx="24">
                  <c:v>29.67351797880681</c:v>
                </c:pt>
                <c:pt idx="25">
                  <c:v>29.390948241649216</c:v>
                </c:pt>
                <c:pt idx="26">
                  <c:v>29.106272628278095</c:v>
                </c:pt>
                <c:pt idx="27">
                  <c:v>28.819486050602077</c:v>
                </c:pt>
                <c:pt idx="28">
                  <c:v>28.530586064885377</c:v>
                </c:pt>
                <c:pt idx="29">
                  <c:v>28.2395729257256</c:v>
                </c:pt>
                <c:pt idx="30">
                  <c:v>27.946449630672944</c:v>
                </c:pt>
                <c:pt idx="31">
                  <c:v>27.651221955207589</c:v>
                </c:pt>
                <c:pt idx="32">
                  <c:v>27.353898477876413</c:v>
                </c:pt>
                <c:pt idx="33">
                  <c:v>27.054490595483131</c:v>
                </c:pt>
                <c:pt idx="34">
                  <c:v>26.753012528312951</c:v>
                </c:pt>
                <c:pt idx="35">
                  <c:v>26.449481315466358</c:v>
                </c:pt>
                <c:pt idx="36">
                  <c:v>26.143916800463842</c:v>
                </c:pt>
                <c:pt idx="37">
                  <c:v>25.836341607372301</c:v>
                </c:pt>
                <c:pt idx="38">
                  <c:v>25.526781107782401</c:v>
                </c:pt>
                <c:pt idx="39">
                  <c:v>25.215263379047151</c:v>
                </c:pt>
                <c:pt idx="40">
                  <c:v>24.901819154257737</c:v>
                </c:pt>
                <c:pt idx="41">
                  <c:v>24.586481764499769</c:v>
                </c:pt>
                <c:pt idx="42">
                  <c:v>24.269287073981758</c:v>
                </c:pt>
                <c:pt idx="43">
                  <c:v>23.950273408678157</c:v>
                </c:pt>
                <c:pt idx="44">
                  <c:v>23.629481479160329</c:v>
                </c:pt>
                <c:pt idx="45">
                  <c:v>23.306954298316395</c:v>
                </c:pt>
                <c:pt idx="46">
                  <c:v>22.982737094676501</c:v>
                </c:pt>
                <c:pt idx="47">
                  <c:v>22.656877222065667</c:v>
                </c:pt>
                <c:pt idx="48">
                  <c:v>22.32942406630109</c:v>
                </c:pt>
                <c:pt idx="49">
                  <c:v>22.000428949640831</c:v>
                </c:pt>
                <c:pt idx="50">
                  <c:v>21.669945033666373</c:v>
                </c:pt>
                <c:pt idx="51">
                  <c:v>21.338027221253775</c:v>
                </c:pt>
                <c:pt idx="52">
                  <c:v>21.004732058250646</c:v>
                </c:pt>
                <c:pt idx="53">
                  <c:v>20.670117635433098</c:v>
                </c:pt>
                <c:pt idx="54">
                  <c:v>20.334243491270556</c:v>
                </c:pt>
                <c:pt idx="55">
                  <c:v>19.997170515969476</c:v>
                </c:pt>
                <c:pt idx="56">
                  <c:v>19.658960857215064</c:v>
                </c:pt>
                <c:pt idx="57">
                  <c:v>19.319677827967816</c:v>
                </c:pt>
                <c:pt idx="58">
                  <c:v>18.979385816612783</c:v>
                </c:pt>
                <c:pt idx="59">
                  <c:v>18.638150199698231</c:v>
                </c:pt>
                <c:pt idx="60">
                  <c:v>18.296037257436954</c:v>
                </c:pt>
                <c:pt idx="61">
                  <c:v>17.953114092086125</c:v>
                </c:pt>
                <c:pt idx="62">
                  <c:v>17.609448549259149</c:v>
                </c:pt>
                <c:pt idx="63">
                  <c:v>17.265109142168743</c:v>
                </c:pt>
                <c:pt idx="64">
                  <c:v>16.92016497874404</c:v>
                </c:pt>
                <c:pt idx="65">
                  <c:v>16.574685691516436</c:v>
                </c:pt>
                <c:pt idx="66">
                  <c:v>16.228741370117987</c:v>
                </c:pt>
                <c:pt idx="67">
                  <c:v>15.882402496195558</c:v>
                </c:pt>
                <c:pt idx="68">
                  <c:v>15.535739880505627</c:v>
                </c:pt>
                <c:pt idx="69">
                  <c:v>15.188824601916497</c:v>
                </c:pt>
                <c:pt idx="70">
                  <c:v>14.841727948021529</c:v>
                </c:pt>
                <c:pt idx="71">
                  <c:v>14.494521357035911</c:v>
                </c:pt>
                <c:pt idx="72">
                  <c:v>14.147276360637049</c:v>
                </c:pt>
                <c:pt idx="73">
                  <c:v>13.800064527388313</c:v>
                </c:pt>
                <c:pt idx="74">
                  <c:v>13.452957406383831</c:v>
                </c:pt>
                <c:pt idx="75">
                  <c:v>13.106026470744238</c:v>
                </c:pt>
                <c:pt idx="76">
                  <c:v>12.759343060596821</c:v>
                </c:pt>
                <c:pt idx="77">
                  <c:v>12.412978325183015</c:v>
                </c:pt>
                <c:pt idx="78">
                  <c:v>12.067003163747444</c:v>
                </c:pt>
                <c:pt idx="79">
                  <c:v>11.721488164881711</c:v>
                </c:pt>
                <c:pt idx="80">
                  <c:v>11.376503544019101</c:v>
                </c:pt>
                <c:pt idx="81">
                  <c:v>11.03211907880652</c:v>
                </c:pt>
                <c:pt idx="82">
                  <c:v>10.688404042113163</c:v>
                </c:pt>
                <c:pt idx="83">
                  <c:v>10.345427132470601</c:v>
                </c:pt>
                <c:pt idx="84">
                  <c:v>10.003256401787661</c:v>
                </c:pt>
                <c:pt idx="85">
                  <c:v>9.6619591802239917</c:v>
                </c:pt>
                <c:pt idx="86">
                  <c:v>9.3216019981610145</c:v>
                </c:pt>
                <c:pt idx="87">
                  <c:v>8.9822505052613657</c:v>
                </c:pt>
                <c:pt idx="88">
                  <c:v>8.6439693866625582</c:v>
                </c:pt>
                <c:pt idx="89">
                  <c:v>8.306822276414799</c:v>
                </c:pt>
                <c:pt idx="90">
                  <c:v>7.9708716683265894</c:v>
                </c:pt>
                <c:pt idx="91">
                  <c:v>7.6361788244482964</c:v>
                </c:pt>
                <c:pt idx="92">
                  <c:v>7.302803681483093</c:v>
                </c:pt>
                <c:pt idx="93">
                  <c:v>6.9708047554765438</c:v>
                </c:pt>
                <c:pt idx="94">
                  <c:v>6.6402390451935256</c:v>
                </c:pt>
                <c:pt idx="95">
                  <c:v>6.3111619346505083</c:v>
                </c:pt>
                <c:pt idx="96">
                  <c:v>5.983627095323155</c:v>
                </c:pt>
                <c:pt idx="97">
                  <c:v>5.6576863885983393</c:v>
                </c:pt>
                <c:pt idx="98">
                  <c:v>5.3333897690834071</c:v>
                </c:pt>
                <c:pt idx="99">
                  <c:v>5.0107851894241087</c:v>
                </c:pt>
                <c:pt idx="100">
                  <c:v>4.6899185073123633</c:v>
                </c:pt>
                <c:pt idx="101">
                  <c:v>4.3708333953871099</c:v>
                </c:pt>
                <c:pt idx="102">
                  <c:v>4.0535712547481042</c:v>
                </c:pt>
                <c:pt idx="103">
                  <c:v>3.738171132804351</c:v>
                </c:pt>
                <c:pt idx="104">
                  <c:v>3.4246696461781765</c:v>
                </c:pt>
                <c:pt idx="105">
                  <c:v>3.1131009093680162</c:v>
                </c:pt>
                <c:pt idx="106">
                  <c:v>2.8034964698527212</c:v>
                </c:pt>
                <c:pt idx="107">
                  <c:v>2.4958852502821811</c:v>
                </c:pt>
                <c:pt idx="108">
                  <c:v>2.1902934983595319</c:v>
                </c:pt>
                <c:pt idx="109">
                  <c:v>1.8867447449641614</c:v>
                </c:pt>
                <c:pt idx="110">
                  <c:v>1.5852597710053669</c:v>
                </c:pt>
                <c:pt idx="111">
                  <c:v>1.285856583426912</c:v>
                </c:pt>
                <c:pt idx="112">
                  <c:v>0.98855040070704459</c:v>
                </c:pt>
                <c:pt idx="113">
                  <c:v>0.69335364811677613</c:v>
                </c:pt>
                <c:pt idx="114">
                  <c:v>0.40027596291426126</c:v>
                </c:pt>
                <c:pt idx="115">
                  <c:v>0.10932420956336483</c:v>
                </c:pt>
                <c:pt idx="116">
                  <c:v>-0.17949749502566756</c:v>
                </c:pt>
                <c:pt idx="117">
                  <c:v>-0.46618774632554921</c:v>
                </c:pt>
                <c:pt idx="118">
                  <c:v>-0.75074780727438994</c:v>
                </c:pt>
                <c:pt idx="119">
                  <c:v>-1.0331815538796996</c:v>
                </c:pt>
                <c:pt idx="120">
                  <c:v>-1.3134954116960806</c:v>
                </c:pt>
                <c:pt idx="121">
                  <c:v>-1.5916982836059881</c:v>
                </c:pt>
                <c:pt idx="122">
                  <c:v>-1.8678014694053313</c:v>
                </c:pt>
                <c:pt idx="123">
                  <c:v>-2.1418185777573671</c:v>
                </c:pt>
                <c:pt idx="124">
                  <c:v>-2.4137654311374237</c:v>
                </c:pt>
                <c:pt idx="125">
                  <c:v>-2.6836599644349439</c:v>
                </c:pt>
                <c:pt idx="126">
                  <c:v>-2.9515221179199722</c:v>
                </c:pt>
                <c:pt idx="127">
                  <c:v>-3.2173737253074881</c:v>
                </c:pt>
                <c:pt idx="128">
                  <c:v>-3.4812383976739691</c:v>
                </c:pt>
                <c:pt idx="129">
                  <c:v>-3.7431414039883144</c:v>
                </c:pt>
                <c:pt idx="130">
                  <c:v>-4.0031095490211026</c:v>
                </c:pt>
                <c:pt idx="131">
                  <c:v>-4.2611710493866086</c:v>
                </c:pt>
                <c:pt idx="132">
                  <c:v>-4.5173554084576875</c:v>
                </c:pt>
                <c:pt idx="133">
                  <c:v>-4.7716932908660779</c:v>
                </c:pt>
                <c:pt idx="134">
                  <c:v>-5.0242163972756559</c:v>
                </c:pt>
                <c:pt idx="135">
                  <c:v>-5.2749573400720777</c:v>
                </c:pt>
                <c:pt idx="136">
                  <c:v>-5.5239495205797766</c:v>
                </c:pt>
                <c:pt idx="137">
                  <c:v>-5.7712270083638471</c:v>
                </c:pt>
                <c:pt idx="138">
                  <c:v>-6.0168244231311698</c:v>
                </c:pt>
                <c:pt idx="139">
                  <c:v>-6.2607768196889859</c:v>
                </c:pt>
                <c:pt idx="140">
                  <c:v>-6.5031195763745444</c:v>
                </c:pt>
                <c:pt idx="141">
                  <c:v>-6.7438882873056478</c:v>
                </c:pt>
                <c:pt idx="142">
                  <c:v>-6.983118658759726</c:v>
                </c:pt>
                <c:pt idx="143">
                  <c:v>-7.2208464099288685</c:v>
                </c:pt>
                <c:pt idx="144">
                  <c:v>-7.4571071782517393</c:v>
                </c:pt>
                <c:pt idx="145">
                  <c:v>-7.6919364294734436</c:v>
                </c:pt>
                <c:pt idx="146">
                  <c:v>-7.9253693725365171</c:v>
                </c:pt>
                <c:pt idx="147">
                  <c:v>-8.1574408793654118</c:v>
                </c:pt>
                <c:pt idx="148">
                  <c:v>-8.3881854095614319</c:v>
                </c:pt>
                <c:pt idx="149">
                  <c:v>-8.6176369399941226</c:v>
                </c:pt>
                <c:pt idx="150">
                  <c:v>-8.8458288992329006</c:v>
                </c:pt>
                <c:pt idx="151">
                  <c:v>-9.0727941067394209</c:v>
                </c:pt>
                <c:pt idx="152">
                  <c:v>-9.2985647167087961</c:v>
                </c:pt>
                <c:pt idx="153">
                  <c:v>-9.5231721664264803</c:v>
                </c:pt>
                <c:pt idx="154">
                  <c:v>-9.7466471289852379</c:v>
                </c:pt>
                <c:pt idx="155">
                  <c:v>-9.9690194701921335</c:v>
                </c:pt>
                <c:pt idx="156">
                  <c:v>-10.190318209477363</c:v>
                </c:pt>
                <c:pt idx="157">
                  <c:v>-10.410571484609733</c:v>
                </c:pt>
                <c:pt idx="158">
                  <c:v>-10.629806520011103</c:v>
                </c:pt>
                <c:pt idx="159">
                  <c:v>-10.848049598459561</c:v>
                </c:pt>
                <c:pt idx="160">
                  <c:v>-11.065326035964718</c:v>
                </c:pt>
                <c:pt idx="161">
                  <c:v>-11.281660159598697</c:v>
                </c:pt>
                <c:pt idx="162">
                  <c:v>-11.497075288066975</c:v>
                </c:pt>
                <c:pt idx="163">
                  <c:v>-11.711593714803177</c:v>
                </c:pt>
                <c:pt idx="164">
                  <c:v>-11.925236693378995</c:v>
                </c:pt>
                <c:pt idx="165">
                  <c:v>-12.138024425022326</c:v>
                </c:pt>
                <c:pt idx="166">
                  <c:v>-12.349976048044891</c:v>
                </c:pt>
                <c:pt idx="167">
                  <c:v>-12.561109628987456</c:v>
                </c:pt>
                <c:pt idx="168">
                  <c:v>-12.771442155297326</c:v>
                </c:pt>
                <c:pt idx="169">
                  <c:v>-12.980989529364908</c:v>
                </c:pt>
                <c:pt idx="170">
                  <c:v>-13.189766563750965</c:v>
                </c:pt>
                <c:pt idx="171">
                  <c:v>-13.397786977450536</c:v>
                </c:pt>
                <c:pt idx="172">
                  <c:v>-13.605063393046997</c:v>
                </c:pt>
                <c:pt idx="173">
                  <c:v>-13.811607334620303</c:v>
                </c:pt>
                <c:pt idx="174">
                  <c:v>-14.017429226285685</c:v>
                </c:pt>
                <c:pt idx="175">
                  <c:v>-14.22253839124928</c:v>
                </c:pt>
                <c:pt idx="176">
                  <c:v>-14.426943051277362</c:v>
                </c:pt>
                <c:pt idx="177">
                  <c:v>-14.630650326488341</c:v>
                </c:pt>
                <c:pt idx="178">
                  <c:v>-14.833666235386929</c:v>
                </c:pt>
                <c:pt idx="179">
                  <c:v>-15.0359956950713</c:v>
                </c:pt>
                <c:pt idx="180">
                  <c:v>-15.237642521555415</c:v>
                </c:pt>
                <c:pt idx="181">
                  <c:v>-15.438609430159534</c:v>
                </c:pt>
                <c:pt idx="182">
                  <c:v>-15.638898035933259</c:v>
                </c:pt>
                <c:pt idx="183">
                  <c:v>-15.838508854086646</c:v>
                </c:pt>
                <c:pt idx="184">
                  <c:v>-16.037441300415509</c:v>
                </c:pt>
                <c:pt idx="185">
                  <c:v>-16.235693691719739</c:v>
                </c:pt>
                <c:pt idx="186">
                  <c:v>-16.43326324622198</c:v>
                </c:pt>
                <c:pt idx="187">
                  <c:v>-16.630146084007183</c:v>
                </c:pt>
                <c:pt idx="188">
                  <c:v>-16.826337227515353</c:v>
                </c:pt>
                <c:pt idx="189">
                  <c:v>-17.021830602126858</c:v>
                </c:pt>
                <c:pt idx="190">
                  <c:v>-17.216619036896919</c:v>
                </c:pt>
                <c:pt idx="191">
                  <c:v>-17.410694265500879</c:v>
                </c:pt>
                <c:pt idx="192">
                  <c:v>-17.604046927469096</c:v>
                </c:pt>
                <c:pt idx="193">
                  <c:v>-17.796666569794727</c:v>
                </c:pt>
                <c:pt idx="194">
                  <c:v>-17.988541649016099</c:v>
                </c:pt>
                <c:pt idx="195">
                  <c:v>-18.179659533880393</c:v>
                </c:pt>
                <c:pt idx="196">
                  <c:v>-18.370006508709483</c:v>
                </c:pt>
                <c:pt idx="197">
                  <c:v>-18.559567777600051</c:v>
                </c:pt>
                <c:pt idx="198">
                  <c:v>-18.748327469598028</c:v>
                </c:pt>
                <c:pt idx="199">
                  <c:v>-18.936268645001185</c:v>
                </c:pt>
                <c:pt idx="200">
                  <c:v>-19.123373302951343</c:v>
                </c:pt>
                <c:pt idx="201">
                  <c:v>-19.309622390488105</c:v>
                </c:pt>
                <c:pt idx="202">
                  <c:v>-19.494995813247098</c:v>
                </c:pt>
                <c:pt idx="203">
                  <c:v>-19.679472447989834</c:v>
                </c:pt>
                <c:pt idx="204">
                  <c:v>-19.863030157164893</c:v>
                </c:pt>
                <c:pt idx="205">
                  <c:v>-20.045645805704659</c:v>
                </c:pt>
                <c:pt idx="206">
                  <c:v>-20.227295280266127</c:v>
                </c:pt>
                <c:pt idx="207">
                  <c:v>-20.407953511133066</c:v>
                </c:pt>
                <c:pt idx="208">
                  <c:v>-20.587594496995681</c:v>
                </c:pt>
                <c:pt idx="209">
                  <c:v>-20.766191332827361</c:v>
                </c:pt>
                <c:pt idx="210">
                  <c:v>-20.943716241078786</c:v>
                </c:pt>
                <c:pt idx="211">
                  <c:v>-21.12014060640492</c:v>
                </c:pt>
                <c:pt idx="212">
                  <c:v>-21.295435014137709</c:v>
                </c:pt>
                <c:pt idx="213">
                  <c:v>-21.469569292709924</c:v>
                </c:pt>
                <c:pt idx="214">
                  <c:v>-21.64251256022558</c:v>
                </c:pt>
                <c:pt idx="215">
                  <c:v>-21.814233275360323</c:v>
                </c:pt>
                <c:pt idx="216">
                  <c:v>-21.98469929276007</c:v>
                </c:pt>
                <c:pt idx="217">
                  <c:v>-22.153877923085741</c:v>
                </c:pt>
                <c:pt idx="218">
                  <c:v>-22.321735997833887</c:v>
                </c:pt>
                <c:pt idx="219">
                  <c:v>-22.488239939032585</c:v>
                </c:pt>
                <c:pt idx="220">
                  <c:v>-22.653355833888611</c:v>
                </c:pt>
                <c:pt idx="221">
                  <c:v>-22.817049514424575</c:v>
                </c:pt>
                <c:pt idx="222">
                  <c:v>-22.979286642114545</c:v>
                </c:pt>
                <c:pt idx="223">
                  <c:v>-23.140032797481819</c:v>
                </c:pt>
                <c:pt idx="224">
                  <c:v>-23.299253574586466</c:v>
                </c:pt>
                <c:pt idx="225">
                  <c:v>-23.45691468028037</c:v>
                </c:pt>
                <c:pt idx="226">
                  <c:v>-23.612982038063002</c:v>
                </c:pt>
                <c:pt idx="227">
                  <c:v>-23.76742189632089</c:v>
                </c:pt>
                <c:pt idx="228">
                  <c:v>-23.92020094068101</c:v>
                </c:pt>
                <c:pt idx="229">
                  <c:v>-24.071286410157935</c:v>
                </c:pt>
                <c:pt idx="230">
                  <c:v>-24.220646216719221</c:v>
                </c:pt>
                <c:pt idx="231">
                  <c:v>-24.368249067843145</c:v>
                </c:pt>
                <c:pt idx="232">
                  <c:v>-24.514064591589033</c:v>
                </c:pt>
                <c:pt idx="233">
                  <c:v>-24.658063463650471</c:v>
                </c:pt>
                <c:pt idx="234">
                  <c:v>-24.800217535816579</c:v>
                </c:pt>
                <c:pt idx="235">
                  <c:v>-24.940499965219168</c:v>
                </c:pt>
                <c:pt idx="236">
                  <c:v>-25.078885343706542</c:v>
                </c:pt>
                <c:pt idx="237">
                  <c:v>-25.215349826651096</c:v>
                </c:pt>
                <c:pt idx="238">
                  <c:v>-25.34987126046726</c:v>
                </c:pt>
                <c:pt idx="239">
                  <c:v>-25.48242930809861</c:v>
                </c:pt>
                <c:pt idx="240">
                  <c:v>-25.613005571718567</c:v>
                </c:pt>
                <c:pt idx="241">
                  <c:v>-25.741583711882679</c:v>
                </c:pt>
                <c:pt idx="242">
                  <c:v>-25.868149562379571</c:v>
                </c:pt>
                <c:pt idx="243">
                  <c:v>-25.9926912400344</c:v>
                </c:pt>
                <c:pt idx="244">
                  <c:v>-26.11519924874743</c:v>
                </c:pt>
                <c:pt idx="245">
                  <c:v>-26.235666577080046</c:v>
                </c:pt>
                <c:pt idx="246">
                  <c:v>-26.354088788740757</c:v>
                </c:pt>
                <c:pt idx="247">
                  <c:v>-26.470464105378003</c:v>
                </c:pt>
                <c:pt idx="248">
                  <c:v>-26.584793481143425</c:v>
                </c:pt>
                <c:pt idx="249">
                  <c:v>-26.697080668555273</c:v>
                </c:pt>
                <c:pt idx="250">
                  <c:v>-26.807332275267697</c:v>
                </c:pt>
                <c:pt idx="251">
                  <c:v>-26.915557811430233</c:v>
                </c:pt>
                <c:pt idx="252">
                  <c:v>-27.021769727405108</c:v>
                </c:pt>
                <c:pt idx="253">
                  <c:v>-27.125983441697944</c:v>
                </c:pt>
                <c:pt idx="254">
                  <c:v>-27.228217359048767</c:v>
                </c:pt>
                <c:pt idx="255">
                  <c:v>-27.328492878716638</c:v>
                </c:pt>
                <c:pt idx="256">
                  <c:v>-27.426834393084029</c:v>
                </c:pt>
                <c:pt idx="257">
                  <c:v>-27.523269276791108</c:v>
                </c:pt>
                <c:pt idx="258">
                  <c:v>-27.61782786669507</c:v>
                </c:pt>
                <c:pt idx="259">
                  <c:v>-27.710543433025979</c:v>
                </c:pt>
                <c:pt idx="260">
                  <c:v>-27.80145214218448</c:v>
                </c:pt>
                <c:pt idx="261">
                  <c:v>-27.890593011688143</c:v>
                </c:pt>
                <c:pt idx="262">
                  <c:v>-27.978007857833987</c:v>
                </c:pt>
                <c:pt idx="263">
                  <c:v>-28.063741236687004</c:v>
                </c:pt>
                <c:pt idx="264">
                  <c:v>-28.147840379047175</c:v>
                </c:pt>
                <c:pt idx="265">
                  <c:v>-28.230355120071422</c:v>
                </c:pt>
                <c:pt idx="266">
                  <c:v>-28.311337824249193</c:v>
                </c:pt>
                <c:pt idx="267">
                  <c:v>-28.390843306434128</c:v>
                </c:pt>
                <c:pt idx="268">
                  <c:v>-28.468928749636365</c:v>
                </c:pt>
                <c:pt idx="269">
                  <c:v>-28.545653620266318</c:v>
                </c:pt>
                <c:pt idx="270">
                  <c:v>-28.621079581502137</c:v>
                </c:pt>
                <c:pt idx="271">
                  <c:v>-28.695270405423805</c:v>
                </c:pt>
                <c:pt idx="272">
                  <c:v>-28.768291884522373</c:v>
                </c:pt>
                <c:pt idx="273">
                  <c:v>-28.840211743147037</c:v>
                </c:pt>
                <c:pt idx="274">
                  <c:v>-28.911099549408842</c:v>
                </c:pt>
                <c:pt idx="275">
                  <c:v>-28.981026628002397</c:v>
                </c:pt>
                <c:pt idx="276">
                  <c:v>-29.05006597435198</c:v>
                </c:pt>
                <c:pt idx="277">
                  <c:v>-29.118292170427257</c:v>
                </c:pt>
                <c:pt idx="278">
                  <c:v>-29.185781302512133</c:v>
                </c:pt>
                <c:pt idx="279">
                  <c:v>-29.252610881145891</c:v>
                </c:pt>
                <c:pt idx="280">
                  <c:v>-29.318859763394194</c:v>
                </c:pt>
                <c:pt idx="281">
                  <c:v>-29.384608077541539</c:v>
                </c:pt>
                <c:pt idx="282">
                  <c:v>-29.449937150238462</c:v>
                </c:pt>
                <c:pt idx="283">
                  <c:v>-29.514929436074482</c:v>
                </c:pt>
                <c:pt idx="284">
                  <c:v>-29.579668449493401</c:v>
                </c:pt>
                <c:pt idx="285">
                  <c:v>-29.644238698910716</c:v>
                </c:pt>
                <c:pt idx="286">
                  <c:v>-29.708725622848643</c:v>
                </c:pt>
                <c:pt idx="287">
                  <c:v>-29.77321552785147</c:v>
                </c:pt>
                <c:pt idx="288">
                  <c:v>-29.837795527910927</c:v>
                </c:pt>
                <c:pt idx="289">
                  <c:v>-29.902553485087662</c:v>
                </c:pt>
                <c:pt idx="290">
                  <c:v>-29.967577950990901</c:v>
                </c:pt>
                <c:pt idx="291">
                  <c:v>-30.032958108747781</c:v>
                </c:pt>
                <c:pt idx="292">
                  <c:v>-30.098783715076976</c:v>
                </c:pt>
                <c:pt idx="293">
                  <c:v>-30.165145042065159</c:v>
                </c:pt>
                <c:pt idx="294">
                  <c:v>-30.23213281823805</c:v>
                </c:pt>
                <c:pt idx="295">
                  <c:v>-30.29983816851303</c:v>
                </c:pt>
                <c:pt idx="296">
                  <c:v>-30.368352552624486</c:v>
                </c:pt>
                <c:pt idx="297">
                  <c:v>-30.437767701621215</c:v>
                </c:pt>
                <c:pt idx="298">
                  <c:v>-30.508175552049135</c:v>
                </c:pt>
                <c:pt idx="299">
                  <c:v>-30.579668177453087</c:v>
                </c:pt>
                <c:pt idx="300">
                  <c:v>-30.652337716853335</c:v>
                </c:pt>
                <c:pt idx="301">
                  <c:v>-30.726276299886596</c:v>
                </c:pt>
                <c:pt idx="302">
                  <c:v>-30.80157596833288</c:v>
                </c:pt>
                <c:pt idx="303">
                  <c:v>-30.878328593787622</c:v>
                </c:pt>
                <c:pt idx="304">
                  <c:v>-30.956625791284594</c:v>
                </c:pt>
                <c:pt idx="305">
                  <c:v>-31.036558828719272</c:v>
                </c:pt>
                <c:pt idx="306">
                  <c:v>-31.118218531972133</c:v>
                </c:pt>
                <c:pt idx="307">
                  <c:v>-31.20169518568343</c:v>
                </c:pt>
                <c:pt idx="308">
                  <c:v>-31.287078429685998</c:v>
                </c:pt>
                <c:pt idx="309">
                  <c:v>-31.374457151156502</c:v>
                </c:pt>
                <c:pt idx="310">
                  <c:v>-31.463919372600969</c:v>
                </c:pt>
                <c:pt idx="311">
                  <c:v>-31.555552135848792</c:v>
                </c:pt>
                <c:pt idx="312">
                  <c:v>-31.6494413822792</c:v>
                </c:pt>
                <c:pt idx="313">
                  <c:v>-31.745671829562589</c:v>
                </c:pt>
                <c:pt idx="314">
                  <c:v>-31.844326845244872</c:v>
                </c:pt>
                <c:pt idx="315">
                  <c:v>-31.945488317552847</c:v>
                </c:pt>
                <c:pt idx="316">
                  <c:v>-32.049236523841529</c:v>
                </c:pt>
                <c:pt idx="317">
                  <c:v>-32.155649997141978</c:v>
                </c:pt>
                <c:pt idx="318">
                  <c:v>-32.264805391302865</c:v>
                </c:pt>
                <c:pt idx="319">
                  <c:v>-32.376777345246325</c:v>
                </c:pt>
                <c:pt idx="320">
                  <c:v>-32.491638346880841</c:v>
                </c:pt>
                <c:pt idx="321">
                  <c:v>-32.609458597228311</c:v>
                </c:pt>
                <c:pt idx="322">
                  <c:v>-32.730305875333322</c:v>
                </c:pt>
                <c:pt idx="323">
                  <c:v>-32.854245404522317</c:v>
                </c:pt>
                <c:pt idx="324">
                  <c:v>-32.981339720580792</c:v>
                </c:pt>
                <c:pt idx="325">
                  <c:v>-33.111648542401525</c:v>
                </c:pt>
                <c:pt idx="326">
                  <c:v>-33.245228645645945</c:v>
                </c:pt>
                <c:pt idx="327">
                  <c:v>-33.382133739937579</c:v>
                </c:pt>
                <c:pt idx="328">
                  <c:v>-33.522414350082073</c:v>
                </c:pt>
                <c:pt idx="329">
                  <c:v>-33.666117701780401</c:v>
                </c:pt>
                <c:pt idx="330">
                  <c:v>-33.813287612269832</c:v>
                </c:pt>
                <c:pt idx="331">
                  <c:v>-33.963964386292062</c:v>
                </c:pt>
                <c:pt idx="332">
                  <c:v>-34.118184717758567</c:v>
                </c:pt>
                <c:pt idx="333">
                  <c:v>-34.275981597441572</c:v>
                </c:pt>
                <c:pt idx="334">
                  <c:v>-34.437384226990631</c:v>
                </c:pt>
                <c:pt idx="335">
                  <c:v>-34.60241793953918</c:v>
                </c:pt>
                <c:pt idx="336">
                  <c:v>-34.771104127135501</c:v>
                </c:pt>
                <c:pt idx="337">
                  <c:v>-34.943460175204372</c:v>
                </c:pt>
                <c:pt idx="338">
                  <c:v>-35.119499404220896</c:v>
                </c:pt>
                <c:pt idx="339">
                  <c:v>-35.299231018752849</c:v>
                </c:pt>
                <c:pt idx="340">
                  <c:v>-35.482660064016073</c:v>
                </c:pt>
                <c:pt idx="341">
                  <c:v>-35.66978739006062</c:v>
                </c:pt>
                <c:pt idx="342">
                  <c:v>-35.860609623705393</c:v>
                </c:pt>
                <c:pt idx="343">
                  <c:v>-36.055119148315249</c:v>
                </c:pt>
                <c:pt idx="344">
                  <c:v>-36.253304091518224</c:v>
                </c:pt>
                <c:pt idx="345">
                  <c:v>-36.455148320944716</c:v>
                </c:pt>
                <c:pt idx="346">
                  <c:v>-36.66063144806742</c:v>
                </c:pt>
                <c:pt idx="347">
                  <c:v>-36.869728840215679</c:v>
                </c:pt>
                <c:pt idx="348">
                  <c:v>-37.082411640829768</c:v>
                </c:pt>
                <c:pt idx="349">
                  <c:v>-37.298646798011333</c:v>
                </c:pt>
                <c:pt idx="350">
                  <c:v>-37.518397101419147</c:v>
                </c:pt>
                <c:pt idx="351">
                  <c:v>-37.741621227545117</c:v>
                </c:pt>
                <c:pt idx="352">
                  <c:v>-37.968273793391361</c:v>
                </c:pt>
                <c:pt idx="353">
                  <c:v>-38.198305418551236</c:v>
                </c:pt>
                <c:pt idx="354">
                  <c:v>-38.431662795676232</c:v>
                </c:pt>
                <c:pt idx="355">
                  <c:v>-38.668288769287265</c:v>
                </c:pt>
                <c:pt idx="356">
                  <c:v>-38.908122422862952</c:v>
                </c:pt>
                <c:pt idx="357">
                  <c:v>-39.151099174105248</c:v>
                </c:pt>
                <c:pt idx="358">
                  <c:v>-39.397150878258202</c:v>
                </c:pt>
                <c:pt idx="359">
                  <c:v>-39.646205939314058</c:v>
                </c:pt>
                <c:pt idx="360">
                  <c:v>-39.898189428918236</c:v>
                </c:pt>
                <c:pt idx="361">
                  <c:v>-40.153023212741218</c:v>
                </c:pt>
                <c:pt idx="362">
                  <c:v>-40.410626084059771</c:v>
                </c:pt>
                <c:pt idx="363">
                  <c:v>-40.670913904254547</c:v>
                </c:pt>
                <c:pt idx="364">
                  <c:v>-40.933799749903095</c:v>
                </c:pt>
                <c:pt idx="365">
                  <c:v>-41.199194066117279</c:v>
                </c:pt>
                <c:pt idx="366">
                  <c:v>-41.467004825755005</c:v>
                </c:pt>
                <c:pt idx="367">
                  <c:v>-41.737137694109457</c:v>
                </c:pt>
                <c:pt idx="368">
                  <c:v>-42.009496198664458</c:v>
                </c:pt>
                <c:pt idx="369">
                  <c:v>-42.2839819034916</c:v>
                </c:pt>
                <c:pt idx="370">
                  <c:v>-42.560494587853917</c:v>
                </c:pt>
                <c:pt idx="371">
                  <c:v>-42.838932428573706</c:v>
                </c:pt>
                <c:pt idx="372">
                  <c:v>-43.119192185721602</c:v>
                </c:pt>
                <c:pt idx="373">
                  <c:v>-43.401169391182499</c:v>
                </c:pt>
                <c:pt idx="374">
                  <c:v>-43.684758539656798</c:v>
                </c:pt>
                <c:pt idx="375">
                  <c:v>-43.969853281660448</c:v>
                </c:pt>
                <c:pt idx="376">
                  <c:v>-44.25634661809363</c:v>
                </c:pt>
                <c:pt idx="377">
                  <c:v>-44.544131095953887</c:v>
                </c:pt>
                <c:pt idx="378">
                  <c:v>-44.83309900477613</c:v>
                </c:pt>
                <c:pt idx="379">
                  <c:v>-45.123142573390723</c:v>
                </c:pt>
                <c:pt idx="380">
                  <c:v>-45.414154166592269</c:v>
                </c:pt>
                <c:pt idx="381">
                  <c:v>-45.706026481317856</c:v>
                </c:pt>
                <c:pt idx="382">
                  <c:v>-45.998652741936041</c:v>
                </c:pt>
                <c:pt idx="383">
                  <c:v>-46.29192689424351</c:v>
                </c:pt>
                <c:pt idx="384">
                  <c:v>-46.585743797766085</c:v>
                </c:pt>
                <c:pt idx="385">
                  <c:v>-46.87999941595362</c:v>
                </c:pt>
                <c:pt idx="386">
                  <c:v>-47.174591003851283</c:v>
                </c:pt>
                <c:pt idx="387">
                  <c:v>-47.469417292815535</c:v>
                </c:pt>
                <c:pt idx="388">
                  <c:v>-47.764378671834862</c:v>
                </c:pt>
                <c:pt idx="389">
                  <c:v>-48.059377364997822</c:v>
                </c:pt>
                <c:pt idx="390">
                  <c:v>-48.354317604636464</c:v>
                </c:pt>
                <c:pt idx="391">
                  <c:v>-48.649105799661243</c:v>
                </c:pt>
                <c:pt idx="392">
                  <c:v>-48.943650698583092</c:v>
                </c:pt>
                <c:pt idx="393">
                  <c:v>-49.237863546710813</c:v>
                </c:pt>
                <c:pt idx="394">
                  <c:v>-49.531658236998595</c:v>
                </c:pt>
                <c:pt idx="395">
                  <c:v>-49.824951454011213</c:v>
                </c:pt>
                <c:pt idx="396">
                  <c:v>-50.117662810472481</c:v>
                </c:pt>
                <c:pt idx="397">
                  <c:v>-50.409714975863018</c:v>
                </c:pt>
                <c:pt idx="398">
                  <c:v>-50.701033796542099</c:v>
                </c:pt>
                <c:pt idx="399">
                  <c:v>-50.99154840688221</c:v>
                </c:pt>
                <c:pt idx="400">
                  <c:v>-51.28119133092477</c:v>
                </c:pt>
                <c:pt idx="401">
                  <c:v>-51.569898574094864</c:v>
                </c:pt>
                <c:pt idx="402">
                  <c:v>-51.857609704550669</c:v>
                </c:pt>
                <c:pt idx="403">
                  <c:v>-52.144267923779346</c:v>
                </c:pt>
                <c:pt idx="404">
                  <c:v>-52.429820126112077</c:v>
                </c:pt>
                <c:pt idx="405">
                  <c:v>-52.714216946880448</c:v>
                </c:pt>
                <c:pt idx="406">
                  <c:v>-52.997412799002916</c:v>
                </c:pt>
                <c:pt idx="407">
                  <c:v>-53.279365897861823</c:v>
                </c:pt>
                <c:pt idx="408">
                  <c:v>-53.560038274403666</c:v>
                </c:pt>
                <c:pt idx="409">
                  <c:v>-53.839395776474426</c:v>
                </c:pt>
                <c:pt idx="410">
                  <c:v>-54.117408058483285</c:v>
                </c:pt>
                <c:pt idx="411">
                  <c:v>-54.394048559569882</c:v>
                </c:pt>
                <c:pt idx="412">
                  <c:v>-54.669294470533131</c:v>
                </c:pt>
                <c:pt idx="413">
                  <c:v>-54.94312668986236</c:v>
                </c:pt>
                <c:pt idx="414">
                  <c:v>-55.215529769286029</c:v>
                </c:pt>
                <c:pt idx="415">
                  <c:v>-55.486491849334499</c:v>
                </c:pt>
                <c:pt idx="416">
                  <c:v>-55.756004585480213</c:v>
                </c:pt>
                <c:pt idx="417">
                  <c:v>-56.024063065479808</c:v>
                </c:pt>
                <c:pt idx="418">
                  <c:v>-56.290665718607855</c:v>
                </c:pt>
                <c:pt idx="419">
                  <c:v>-56.555814217511973</c:v>
                </c:pt>
                <c:pt idx="420">
                  <c:v>-56.81951337346878</c:v>
                </c:pt>
                <c:pt idx="421">
                  <c:v>-57.081771025842983</c:v>
                </c:pt>
                <c:pt idx="422">
                  <c:v>-57.342597926585519</c:v>
                </c:pt>
                <c:pt idx="423">
                  <c:v>-57.602007620608966</c:v>
                </c:pt>
                <c:pt idx="424">
                  <c:v>-57.860016322892385</c:v>
                </c:pt>
                <c:pt idx="425">
                  <c:v>-58.116642793157006</c:v>
                </c:pt>
                <c:pt idx="426">
                  <c:v>-58.371908208943481</c:v>
                </c:pt>
                <c:pt idx="427">
                  <c:v>-58.625836037901557</c:v>
                </c:pt>
                <c:pt idx="428">
                  <c:v>-58.878451910068677</c:v>
                </c:pt>
                <c:pt idx="429">
                  <c:v>-59.129783490888734</c:v>
                </c:pt>
                <c:pt idx="430">
                  <c:v>-59.379860355669109</c:v>
                </c:pt>
                <c:pt idx="431">
                  <c:v>-59.628713866137062</c:v>
                </c:pt>
                <c:pt idx="432">
                  <c:v>-59.876377049703031</c:v>
                </c:pt>
                <c:pt idx="433">
                  <c:v>-60.12288448198202</c:v>
                </c:pt>
                <c:pt idx="434">
                  <c:v>-60.368272173072896</c:v>
                </c:pt>
                <c:pt idx="435">
                  <c:v>-60.612577458033883</c:v>
                </c:pt>
                <c:pt idx="436">
                  <c:v>-60.855838891936436</c:v>
                </c:pt>
                <c:pt idx="437">
                  <c:v>-61.098096149818375</c:v>
                </c:pt>
                <c:pt idx="438">
                  <c:v>-61.339389931804348</c:v>
                </c:pt>
                <c:pt idx="439">
                  <c:v>-61.579761873595558</c:v>
                </c:pt>
                <c:pt idx="440">
                  <c:v>-61.81925446248858</c:v>
                </c:pt>
                <c:pt idx="441">
                  <c:v>-62.05791095901634</c:v>
                </c:pt>
                <c:pt idx="442">
                  <c:v>-62.295775324265776</c:v>
                </c:pt>
                <c:pt idx="443">
                  <c:v>-62.532892152870815</c:v>
                </c:pt>
                <c:pt idx="444">
                  <c:v>-62.769306611637681</c:v>
                </c:pt>
                <c:pt idx="445">
                  <c:v>-63.005064383722441</c:v>
                </c:pt>
                <c:pt idx="446">
                  <c:v>-63.240211618230518</c:v>
                </c:pt>
                <c:pt idx="447">
                  <c:v>-63.474794885088535</c:v>
                </c:pt>
                <c:pt idx="448">
                  <c:v>-63.708861134992816</c:v>
                </c:pt>
                <c:pt idx="449">
                  <c:v>-63.942457664220001</c:v>
                </c:pt>
                <c:pt idx="450">
                  <c:v>-64.17563208405366</c:v>
                </c:pt>
                <c:pt idx="451">
                  <c:v>-64.408432294561194</c:v>
                </c:pt>
                <c:pt idx="452">
                  <c:v>-64.640906462433236</c:v>
                </c:pt>
                <c:pt idx="453">
                  <c:v>-64.873103002582042</c:v>
                </c:pt>
                <c:pt idx="454">
                  <c:v>-65.10507056317779</c:v>
                </c:pt>
                <c:pt idx="455">
                  <c:v>-65.336858013791797</c:v>
                </c:pt>
                <c:pt idx="456">
                  <c:v>-65.568514436300006</c:v>
                </c:pt>
                <c:pt idx="457">
                  <c:v>-65.800089118197491</c:v>
                </c:pt>
                <c:pt idx="458">
                  <c:v>-66.031631547961751</c:v>
                </c:pt>
                <c:pt idx="459">
                  <c:v>-66.263191412097541</c:v>
                </c:pt>
                <c:pt idx="460">
                  <c:v>-66.494818593495609</c:v>
                </c:pt>
                <c:pt idx="461">
                  <c:v>-66.726563170728383</c:v>
                </c:pt>
                <c:pt idx="462">
                  <c:v>-66.958475417911544</c:v>
                </c:pt>
                <c:pt idx="463">
                  <c:v>-67.190605804750277</c:v>
                </c:pt>
                <c:pt idx="464">
                  <c:v>-67.423004996400863</c:v>
                </c:pt>
                <c:pt idx="465">
                  <c:v>-67.655723852769384</c:v>
                </c:pt>
                <c:pt idx="466">
                  <c:v>-67.888813426881967</c:v>
                </c:pt>
                <c:pt idx="467">
                  <c:v>-68.122324961957489</c:v>
                </c:pt>
                <c:pt idx="468">
                  <c:v>-68.356309886827205</c:v>
                </c:pt>
                <c:pt idx="469">
                  <c:v>-68.590819809346229</c:v>
                </c:pt>
                <c:pt idx="470">
                  <c:v>-68.825906507455528</c:v>
                </c:pt>
                <c:pt idx="471">
                  <c:v>-69.061621917564295</c:v>
                </c:pt>
                <c:pt idx="472">
                  <c:v>-69.298018119930944</c:v>
                </c:pt>
                <c:pt idx="473">
                  <c:v>-69.535147320741203</c:v>
                </c:pt>
                <c:pt idx="474">
                  <c:v>-69.773061830595239</c:v>
                </c:pt>
                <c:pt idx="475">
                  <c:v>-70.01181403913877</c:v>
                </c:pt>
                <c:pt idx="476">
                  <c:v>-70.251456385591567</c:v>
                </c:pt>
                <c:pt idx="477">
                  <c:v>-70.492041324955608</c:v>
                </c:pt>
                <c:pt idx="478">
                  <c:v>-70.73362128971047</c:v>
                </c:pt>
                <c:pt idx="479">
                  <c:v>-70.976248646835757</c:v>
                </c:pt>
                <c:pt idx="480">
                  <c:v>-71.219975650034371</c:v>
                </c:pt>
                <c:pt idx="481">
                  <c:v>-71.464854387066097</c:v>
                </c:pt>
                <c:pt idx="482">
                  <c:v>-71.710936722144737</c:v>
                </c:pt>
                <c:pt idx="483">
                  <c:v>-71.958274233388764</c:v>
                </c:pt>
                <c:pt idx="484">
                  <c:v>-72.206918145370253</c:v>
                </c:pt>
                <c:pt idx="485">
                  <c:v>-72.456919256846078</c:v>
                </c:pt>
                <c:pt idx="486">
                  <c:v>-72.708327863813892</c:v>
                </c:pt>
                <c:pt idx="487">
                  <c:v>-72.961193678084385</c:v>
                </c:pt>
                <c:pt idx="488">
                  <c:v>-73.215565741616743</c:v>
                </c:pt>
                <c:pt idx="489">
                  <c:v>-73.47149233691988</c:v>
                </c:pt>
                <c:pt idx="490">
                  <c:v>-73.729020893877347</c:v>
                </c:pt>
                <c:pt idx="491">
                  <c:v>-73.988197893412632</c:v>
                </c:pt>
                <c:pt idx="492">
                  <c:v>-74.249068768460134</c:v>
                </c:pt>
                <c:pt idx="493">
                  <c:v>-74.511677802765647</c:v>
                </c:pt>
                <c:pt idx="494">
                  <c:v>-74.77606802808981</c:v>
                </c:pt>
                <c:pt idx="495">
                  <c:v>-75.042281120430545</c:v>
                </c:pt>
                <c:pt idx="496">
                  <c:v>-75.310357295927759</c:v>
                </c:pt>
                <c:pt idx="497">
                  <c:v>-75.580335207148423</c:v>
                </c:pt>
                <c:pt idx="498">
                  <c:v>-75.852251840480733</c:v>
                </c:pt>
                <c:pt idx="499">
                  <c:v>-76.126142415391143</c:v>
                </c:pt>
                <c:pt idx="500">
                  <c:v>-76.40204028631328</c:v>
                </c:pt>
                <c:pt idx="501">
                  <c:v>-76.679976847945866</c:v>
                </c:pt>
                <c:pt idx="502">
                  <c:v>-76.959981444735405</c:v>
                </c:pt>
                <c:pt idx="503">
                  <c:v>-77.242081285310363</c:v>
                </c:pt>
                <c:pt idx="504">
                  <c:v>-77.526301362609303</c:v>
                </c:pt>
                <c:pt idx="505">
                  <c:v>-77.812664380423172</c:v>
                </c:pt>
                <c:pt idx="506">
                  <c:v>-78.101190687022196</c:v>
                </c:pt>
                <c:pt idx="507">
                  <c:v>-78.391898216499555</c:v>
                </c:pt>
                <c:pt idx="508">
                  <c:v>-78.684802438399245</c:v>
                </c:pt>
                <c:pt idx="509">
                  <c:v>-78.979916316132929</c:v>
                </c:pt>
                <c:pt idx="510">
                  <c:v>-79.277250274617117</c:v>
                </c:pt>
                <c:pt idx="511">
                  <c:v>-79.576812177480193</c:v>
                </c:pt>
                <c:pt idx="512">
                  <c:v>-79.87860731410899</c:v>
                </c:pt>
                <c:pt idx="513">
                  <c:v>-80.182638396709905</c:v>
                </c:pt>
                <c:pt idx="514">
                  <c:v>-80.488905567472784</c:v>
                </c:pt>
                <c:pt idx="515">
                  <c:v>-80.797406415829727</c:v>
                </c:pt>
                <c:pt idx="516">
                  <c:v>-81.108136005711799</c:v>
                </c:pt>
                <c:pt idx="517">
                  <c:v>-81.421086912610576</c:v>
                </c:pt>
                <c:pt idx="518">
                  <c:v>-81.736249270171584</c:v>
                </c:pt>
                <c:pt idx="519">
                  <c:v>-82.053610825952305</c:v>
                </c:pt>
                <c:pt idx="520">
                  <c:v>-82.373157005910457</c:v>
                </c:pt>
                <c:pt idx="521">
                  <c:v>-82.69487098710654</c:v>
                </c:pt>
                <c:pt idx="522">
                  <c:v>-83.018733778049679</c:v>
                </c:pt>
                <c:pt idx="523">
                  <c:v>-83.344724306052157</c:v>
                </c:pt>
                <c:pt idx="524">
                  <c:v>-83.672819510917961</c:v>
                </c:pt>
                <c:pt idx="525">
                  <c:v>-84.002994444247946</c:v>
                </c:pt>
                <c:pt idx="526">
                  <c:v>-84.335222373620269</c:v>
                </c:pt>
                <c:pt idx="527">
                  <c:v>-84.669474890883976</c:v>
                </c:pt>
                <c:pt idx="528">
                  <c:v>-85.0057220237953</c:v>
                </c:pt>
                <c:pt idx="529">
                  <c:v>-85.343932350229395</c:v>
                </c:pt>
                <c:pt idx="530">
                  <c:v>-85.684073114202448</c:v>
                </c:pt>
                <c:pt idx="531">
                  <c:v>-86.026110342964586</c:v>
                </c:pt>
                <c:pt idx="532">
                  <c:v>-86.370008964442007</c:v>
                </c:pt>
                <c:pt idx="533">
                  <c:v>-86.715732924341324</c:v>
                </c:pt>
                <c:pt idx="534">
                  <c:v>-87.063245302263951</c:v>
                </c:pt>
                <c:pt idx="535">
                  <c:v>-87.412508426222288</c:v>
                </c:pt>
                <c:pt idx="536">
                  <c:v>-87.763483984992519</c:v>
                </c:pt>
                <c:pt idx="537">
                  <c:v>-88.116133137790655</c:v>
                </c:pt>
                <c:pt idx="538">
                  <c:v>-88.470416620807868</c:v>
                </c:pt>
                <c:pt idx="539">
                  <c:v>-88.826294850191729</c:v>
                </c:pt>
                <c:pt idx="540">
                  <c:v>-89.183728021117616</c:v>
                </c:pt>
                <c:pt idx="541">
                  <c:v>-89.542676202642127</c:v>
                </c:pt>
              </c:numCache>
            </c:numRef>
          </c:yVal>
          <c:smooth val="1"/>
          <c:extLst>
            <c:ext xmlns:c16="http://schemas.microsoft.com/office/drawing/2014/chart" uri="{C3380CC4-5D6E-409C-BE32-E72D297353CC}">
              <c16:uniqueId val="{00000000-ECAC-4E20-B866-0DB1B3DE6FE8}"/>
            </c:ext>
          </c:extLst>
        </c:ser>
        <c:ser>
          <c:idx val="2"/>
          <c:order val="2"/>
          <c:tx>
            <c:v>f_LP</c:v>
          </c:tx>
          <c:spPr>
            <a:ln w="38100" cmpd="sng"/>
          </c:spPr>
          <c:marker>
            <c:symbol val="x"/>
            <c:size val="7"/>
            <c:spPr>
              <a:noFill/>
            </c:spPr>
          </c:marker>
          <c:dPt>
            <c:idx val="0"/>
            <c:marker>
              <c:spPr>
                <a:noFill/>
                <a:ln w="19050">
                  <a:solidFill>
                    <a:schemeClr val="tx1"/>
                  </a:solidFill>
                </a:ln>
              </c:spPr>
            </c:marker>
            <c:bubble3D val="0"/>
            <c:extLst>
              <c:ext xmlns:c16="http://schemas.microsoft.com/office/drawing/2014/chart" uri="{C3380CC4-5D6E-409C-BE32-E72D297353CC}">
                <c16:uniqueId val="{00000001-ECAC-4E20-B866-0DB1B3DE6FE8}"/>
              </c:ext>
            </c:extLst>
          </c:dPt>
          <c:dLbls>
            <c:dLbl>
              <c:idx val="0"/>
              <c:tx>
                <c:rich>
                  <a:bodyPr/>
                  <a:lstStyle/>
                  <a:p>
                    <a:r>
                      <a:rPr lang="en-US" sz="1100" b="1"/>
                      <a:t>f</a:t>
                    </a:r>
                    <a:r>
                      <a:rPr lang="en-US" sz="1100" b="1" baseline="-25000"/>
                      <a:t>LP</a:t>
                    </a:r>
                    <a:endParaRPr lang="en-US" b="1" baseline="-25000"/>
                  </a:p>
                </c:rich>
              </c:tx>
              <c:dLblPos val="b"/>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CAC-4E20-B866-0DB1B3DE6FE8}"/>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Loop_Modeling!$O$11</c:f>
              <c:numCache>
                <c:formatCode>0</c:formatCode>
                <c:ptCount val="1"/>
                <c:pt idx="0">
                  <c:v>20.713329510905005</c:v>
                </c:pt>
              </c:numCache>
            </c:numRef>
          </c:xVal>
          <c:yVal>
            <c:numRef>
              <c:f>Loop_Modeling!$BL$11</c:f>
              <c:numCache>
                <c:formatCode>General</c:formatCode>
                <c:ptCount val="1"/>
                <c:pt idx="0">
                  <c:v>27.762180997031891</c:v>
                </c:pt>
              </c:numCache>
            </c:numRef>
          </c:yVal>
          <c:smooth val="0"/>
          <c:extLst>
            <c:ext xmlns:c16="http://schemas.microsoft.com/office/drawing/2014/chart" uri="{C3380CC4-5D6E-409C-BE32-E72D297353CC}">
              <c16:uniqueId val="{00000002-ECAC-4E20-B866-0DB1B3DE6FE8}"/>
            </c:ext>
          </c:extLst>
        </c:ser>
        <c:ser>
          <c:idx val="3"/>
          <c:order val="3"/>
          <c:tx>
            <c:v>fz_rhp</c:v>
          </c:tx>
          <c:spPr>
            <a:ln>
              <a:solidFill>
                <a:schemeClr val="tx1"/>
              </a:solidFill>
            </a:ln>
          </c:spPr>
          <c:marker>
            <c:symbol val="circle"/>
            <c:size val="7"/>
            <c:spPr>
              <a:noFill/>
              <a:ln w="19050">
                <a:solidFill>
                  <a:schemeClr val="tx1"/>
                </a:solidFill>
              </a:ln>
            </c:spPr>
          </c:marker>
          <c:dLbls>
            <c:dLbl>
              <c:idx val="0"/>
              <c:layout>
                <c:manualLayout>
                  <c:x val="8.0501209561423519E-3"/>
                  <c:y val="-1.54936672785041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ECAC-4E20-B866-0DB1B3DE6FE8}"/>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Loop_Modeling!$O$9</c:f>
              <c:numCache>
                <c:formatCode>0</c:formatCode>
                <c:ptCount val="1"/>
                <c:pt idx="0">
                  <c:v>3315.7279810811533</c:v>
                </c:pt>
              </c:numCache>
            </c:numRef>
          </c:xVal>
          <c:yVal>
            <c:numRef>
              <c:f>Loop_Modeling!$BL$9</c:f>
              <c:numCache>
                <c:formatCode>General</c:formatCode>
                <c:ptCount val="1"/>
                <c:pt idx="0">
                  <c:v>-26.921761133637517</c:v>
                </c:pt>
              </c:numCache>
            </c:numRef>
          </c:yVal>
          <c:smooth val="1"/>
          <c:extLst>
            <c:ext xmlns:c16="http://schemas.microsoft.com/office/drawing/2014/chart" uri="{C3380CC4-5D6E-409C-BE32-E72D297353CC}">
              <c16:uniqueId val="{00000004-ECAC-4E20-B866-0DB1B3DE6FE8}"/>
            </c:ext>
          </c:extLst>
        </c:ser>
        <c:ser>
          <c:idx val="4"/>
          <c:order val="4"/>
          <c:tx>
            <c:v>f_esr</c:v>
          </c:tx>
          <c:spPr>
            <a:ln>
              <a:noFill/>
            </a:ln>
          </c:spPr>
          <c:marker>
            <c:symbol val="circle"/>
            <c:size val="5"/>
            <c:spPr>
              <a:noFill/>
              <a:ln w="19050">
                <a:solidFill>
                  <a:schemeClr val="tx1"/>
                </a:solidFill>
              </a:ln>
            </c:spPr>
          </c:marker>
          <c:dPt>
            <c:idx val="0"/>
            <c:marker>
              <c:symbol val="circle"/>
              <c:size val="7"/>
            </c:marker>
            <c:bubble3D val="0"/>
            <c:extLst>
              <c:ext xmlns:c16="http://schemas.microsoft.com/office/drawing/2014/chart" uri="{C3380CC4-5D6E-409C-BE32-E72D297353CC}">
                <c16:uniqueId val="{00000005-ECAC-4E20-B866-0DB1B3DE6FE8}"/>
              </c:ext>
            </c:extLst>
          </c:dPt>
          <c:dLbls>
            <c:dLbl>
              <c:idx val="0"/>
              <c:layout>
                <c:manualLayout>
                  <c:x val="-5.990474489899654E-2"/>
                  <c:y val="-1.245719349008710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ECAC-4E20-B866-0DB1B3DE6FE8}"/>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Loop_Modeling!$O$10</c:f>
              <c:numCache>
                <c:formatCode>0</c:formatCode>
                <c:ptCount val="1"/>
                <c:pt idx="0">
                  <c:v>122426.87930145796</c:v>
                </c:pt>
              </c:numCache>
            </c:numRef>
          </c:xVal>
          <c:yVal>
            <c:numRef>
              <c:f>Loop_Modeling!$BL$10</c:f>
              <c:numCache>
                <c:formatCode>General</c:formatCode>
                <c:ptCount val="1"/>
                <c:pt idx="0">
                  <c:v>-53.50055418966793</c:v>
                </c:pt>
              </c:numCache>
            </c:numRef>
          </c:yVal>
          <c:smooth val="1"/>
          <c:extLst>
            <c:ext xmlns:c16="http://schemas.microsoft.com/office/drawing/2014/chart" uri="{C3380CC4-5D6E-409C-BE32-E72D297353CC}">
              <c16:uniqueId val="{00000006-ECAC-4E20-B866-0DB1B3DE6FE8}"/>
            </c:ext>
          </c:extLst>
        </c:ser>
        <c:ser>
          <c:idx val="5"/>
          <c:order val="5"/>
          <c:tx>
            <c:v>fz_ea</c:v>
          </c:tx>
          <c:marker>
            <c:symbol val="circle"/>
            <c:size val="8"/>
            <c:spPr>
              <a:noFill/>
              <a:ln w="25400">
                <a:solidFill>
                  <a:srgbClr val="00B0F0"/>
                </a:solidFill>
              </a:ln>
            </c:spPr>
          </c:marker>
          <c:dLbls>
            <c:dLbl>
              <c:idx val="0"/>
              <c:spPr/>
              <c:txPr>
                <a:bodyPr/>
                <a:lstStyle/>
                <a:p>
                  <a:pPr>
                    <a:defRPr b="1"/>
                  </a:pPr>
                  <a:endParaRPr lang="en-US"/>
                </a:p>
              </c:txPr>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ECAC-4E20-B866-0DB1B3DE6F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Loop_Modeling!$O$12</c:f>
              <c:numCache>
                <c:formatCode>General</c:formatCode>
                <c:ptCount val="1"/>
                <c:pt idx="0">
                  <c:v>136.49652066200284</c:v>
                </c:pt>
              </c:numCache>
            </c:numRef>
          </c:xVal>
          <c:yVal>
            <c:numRef>
              <c:f>Loop_Modeling!$BL$12</c:f>
              <c:numCache>
                <c:formatCode>General</c:formatCode>
                <c:ptCount val="1"/>
                <c:pt idx="0">
                  <c:v>0.83709879143162869</c:v>
                </c:pt>
              </c:numCache>
            </c:numRef>
          </c:yVal>
          <c:smooth val="1"/>
          <c:extLst>
            <c:ext xmlns:c16="http://schemas.microsoft.com/office/drawing/2014/chart" uri="{C3380CC4-5D6E-409C-BE32-E72D297353CC}">
              <c16:uniqueId val="{00000008-ECAC-4E20-B866-0DB1B3DE6FE8}"/>
            </c:ext>
          </c:extLst>
        </c:ser>
        <c:ser>
          <c:idx val="6"/>
          <c:order val="6"/>
          <c:tx>
            <c:v>fp_ea</c:v>
          </c:tx>
          <c:marker>
            <c:symbol val="x"/>
            <c:size val="7"/>
            <c:spPr>
              <a:noFill/>
              <a:ln w="25400">
                <a:solidFill>
                  <a:srgbClr val="00B0F0"/>
                </a:solidFill>
              </a:ln>
            </c:spPr>
          </c:marker>
          <c:dLbls>
            <c:dLbl>
              <c:idx val="0"/>
              <c:layout>
                <c:manualLayout>
                  <c:x val="-5.3995739911983948E-2"/>
                  <c:y val="3.3712510009006609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CAC-4E20-B866-0DB1B3DE6FE8}"/>
                </c:ext>
              </c:extLst>
            </c:dLbl>
            <c:spPr>
              <a:noFill/>
              <a:ln>
                <a:noFill/>
              </a:ln>
              <a:effectLst/>
            </c:spPr>
            <c:txPr>
              <a:bodyPr/>
              <a:lstStyle/>
              <a:p>
                <a:pPr>
                  <a:defRPr b="1"/>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Loop_Modeling!$O$13</c:f>
              <c:numCache>
                <c:formatCode>General</c:formatCode>
                <c:ptCount val="1"/>
                <c:pt idx="0">
                  <c:v>20155.986217755755</c:v>
                </c:pt>
              </c:numCache>
            </c:numRef>
          </c:xVal>
          <c:yVal>
            <c:numRef>
              <c:f>Loop_Modeling!$BL$13</c:f>
              <c:numCache>
                <c:formatCode>General</c:formatCode>
                <c:ptCount val="1"/>
                <c:pt idx="0">
                  <c:v>-33.730502475458351</c:v>
                </c:pt>
              </c:numCache>
            </c:numRef>
          </c:yVal>
          <c:smooth val="1"/>
          <c:extLst>
            <c:ext xmlns:c16="http://schemas.microsoft.com/office/drawing/2014/chart" uri="{C3380CC4-5D6E-409C-BE32-E72D297353CC}">
              <c16:uniqueId val="{0000000A-ECAC-4E20-B866-0DB1B3DE6FE8}"/>
            </c:ext>
          </c:extLst>
        </c:ser>
        <c:dLbls>
          <c:showLegendKey val="0"/>
          <c:showVal val="0"/>
          <c:showCatName val="0"/>
          <c:showSerName val="0"/>
          <c:showPercent val="0"/>
          <c:showBubbleSize val="0"/>
        </c:dLbls>
        <c:axId val="357835904"/>
        <c:axId val="364477056"/>
      </c:scatterChart>
      <c:scatterChart>
        <c:scatterStyle val="smoothMarker"/>
        <c:varyColors val="0"/>
        <c:ser>
          <c:idx val="1"/>
          <c:order val="1"/>
          <c:tx>
            <c:v>Phase (deg)</c:v>
          </c:tx>
          <c:spPr>
            <a:ln w="28575">
              <a:solidFill>
                <a:schemeClr val="tx1">
                  <a:lumMod val="95000"/>
                  <a:lumOff val="5000"/>
                </a:schemeClr>
              </a:solidFill>
              <a:prstDash val="sysDash"/>
            </a:ln>
          </c:spPr>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Loop_Modeling!$BM$19:$BM$560</c:f>
              <c:numCache>
                <c:formatCode>General</c:formatCode>
                <c:ptCount val="542"/>
                <c:pt idx="0">
                  <c:v>67.779102965800888</c:v>
                </c:pt>
                <c:pt idx="1">
                  <c:v>67.345962740834011</c:v>
                </c:pt>
                <c:pt idx="2">
                  <c:v>66.907743173226123</c:v>
                </c:pt>
                <c:pt idx="3">
                  <c:v>66.464582148216095</c:v>
                </c:pt>
                <c:pt idx="4">
                  <c:v>66.016629923638504</c:v>
                </c:pt>
                <c:pt idx="5">
                  <c:v>65.564049381231129</c:v>
                </c:pt>
                <c:pt idx="6">
                  <c:v>65.107016245663374</c:v>
                </c:pt>
                <c:pt idx="7">
                  <c:v>64.645719268080043</c:v>
                </c:pt>
                <c:pt idx="8">
                  <c:v>64.180360371010408</c:v>
                </c:pt>
                <c:pt idx="9">
                  <c:v>63.711154751582832</c:v>
                </c:pt>
                <c:pt idx="10">
                  <c:v>63.238330940118807</c:v>
                </c:pt>
                <c:pt idx="11">
                  <c:v>62.762130811353842</c:v>
                </c:pt>
                <c:pt idx="12">
                  <c:v>62.282809545751675</c:v>
                </c:pt>
                <c:pt idx="13">
                  <c:v>61.800635538637266</c:v>
                </c:pt>
                <c:pt idx="14">
                  <c:v>61.31589025517561</c:v>
                </c:pt>
                <c:pt idx="15">
                  <c:v>60.828868029572249</c:v>
                </c:pt>
                <c:pt idx="16">
                  <c:v>60.339875807250657</c:v>
                </c:pt>
                <c:pt idx="17">
                  <c:v>59.849232829184011</c:v>
                </c:pt>
                <c:pt idx="18">
                  <c:v>59.357270258009564</c:v>
                </c:pt>
                <c:pt idx="19">
                  <c:v>58.864330746035051</c:v>
                </c:pt>
                <c:pt idx="20">
                  <c:v>58.370767945745058</c:v>
                </c:pt>
                <c:pt idx="21">
                  <c:v>57.876945963934133</c:v>
                </c:pt>
                <c:pt idx="22">
                  <c:v>57.383238761116999</c:v>
                </c:pt>
                <c:pt idx="23">
                  <c:v>56.890029498385225</c:v>
                </c:pt>
                <c:pt idx="24">
                  <c:v>56.397709834410506</c:v>
                </c:pt>
                <c:pt idx="25">
                  <c:v>55.906679175774968</c:v>
                </c:pt>
                <c:pt idx="26">
                  <c:v>55.417343884303733</c:v>
                </c:pt>
                <c:pt idx="27">
                  <c:v>54.930116445504801</c:v>
                </c:pt>
                <c:pt idx="28">
                  <c:v>54.445414602629057</c:v>
                </c:pt>
                <c:pt idx="29">
                  <c:v>53.963660461218069</c:v>
                </c:pt>
                <c:pt idx="30">
                  <c:v>53.485279569298385</c:v>
                </c:pt>
                <c:pt idx="31">
                  <c:v>53.010699978630861</c:v>
                </c:pt>
                <c:pt idx="32">
                  <c:v>52.540351292587047</c:v>
                </c:pt>
                <c:pt idx="33">
                  <c:v>52.074663706332139</c:v>
                </c:pt>
                <c:pt idx="34">
                  <c:v>51.614067045027255</c:v>
                </c:pt>
                <c:pt idx="35">
                  <c:v>51.158989805729</c:v>
                </c:pt>
                <c:pt idx="36">
                  <c:v>50.709858208543913</c:v>
                </c:pt>
                <c:pt idx="37">
                  <c:v>50.267095262432797</c:v>
                </c:pt>
                <c:pt idx="38">
                  <c:v>49.8311198507987</c:v>
                </c:pt>
                <c:pt idx="39">
                  <c:v>49.40234584169805</c:v>
                </c:pt>
                <c:pt idx="40">
                  <c:v>48.981181227150778</c:v>
                </c:pt>
                <c:pt idx="41">
                  <c:v>48.568027295608118</c:v>
                </c:pt>
                <c:pt idx="42">
                  <c:v>48.163277841192595</c:v>
                </c:pt>
                <c:pt idx="43">
                  <c:v>47.767318412833255</c:v>
                </c:pt>
                <c:pt idx="44">
                  <c:v>47.380525605911096</c:v>
                </c:pt>
                <c:pt idx="45">
                  <c:v>47.003266398497949</c:v>
                </c:pt>
                <c:pt idx="46">
                  <c:v>46.635897533736809</c:v>
                </c:pt>
                <c:pt idx="47">
                  <c:v>46.278764949383991</c:v>
                </c:pt>
                <c:pt idx="48">
                  <c:v>45.932203254985083</c:v>
                </c:pt>
                <c:pt idx="49">
                  <c:v>45.596535256674287</c:v>
                </c:pt>
                <c:pt idx="50">
                  <c:v>45.272071529072647</c:v>
                </c:pt>
                <c:pt idx="51">
                  <c:v>44.959110033316719</c:v>
                </c:pt>
                <c:pt idx="52">
                  <c:v>44.657935779821869</c:v>
                </c:pt>
                <c:pt idx="53">
                  <c:v>44.368820533994729</c:v>
                </c:pt>
                <c:pt idx="54">
                  <c:v>44.092022562776677</c:v>
                </c:pt>
                <c:pt idx="55">
                  <c:v>43.827786419592215</c:v>
                </c:pt>
                <c:pt idx="56">
                  <c:v>43.576342765040792</c:v>
                </c:pt>
                <c:pt idx="57">
                  <c:v>43.337908220459532</c:v>
                </c:pt>
                <c:pt idx="58">
                  <c:v>43.112685251338419</c:v>
                </c:pt>
                <c:pt idx="59">
                  <c:v>42.900862077472425</c:v>
                </c:pt>
                <c:pt idx="60">
                  <c:v>42.702612606667145</c:v>
                </c:pt>
                <c:pt idx="61">
                  <c:v>42.518096388824262</c:v>
                </c:pt>
                <c:pt idx="62">
                  <c:v>42.347458587249065</c:v>
                </c:pt>
                <c:pt idx="63">
                  <c:v>42.190829964119004</c:v>
                </c:pt>
                <c:pt idx="64">
                  <c:v>42.048326877151119</c:v>
                </c:pt>
                <c:pt idx="65">
                  <c:v>41.920051284668745</c:v>
                </c:pt>
                <c:pt idx="66">
                  <c:v>41.806090756451681</c:v>
                </c:pt>
                <c:pt idx="67">
                  <c:v>41.706518487960821</c:v>
                </c:pt>
                <c:pt idx="68">
                  <c:v>41.621393315776729</c:v>
                </c:pt>
                <c:pt idx="69">
                  <c:v>41.550759732351644</c:v>
                </c:pt>
                <c:pt idx="70">
                  <c:v>41.494647898454026</c:v>
                </c:pt>
                <c:pt idx="71">
                  <c:v>41.453073651991751</c:v>
                </c:pt>
                <c:pt idx="72">
                  <c:v>41.426038512198964</c:v>
                </c:pt>
                <c:pt idx="73">
                  <c:v>41.413529678510244</c:v>
                </c:pt>
                <c:pt idx="74">
                  <c:v>41.415520023755917</c:v>
                </c:pt>
                <c:pt idx="75">
                  <c:v>41.431968081658098</c:v>
                </c:pt>
                <c:pt idx="76">
                  <c:v>41.462818028930108</c:v>
                </c:pt>
                <c:pt idx="77">
                  <c:v>41.507999662615767</c:v>
                </c:pt>
                <c:pt idx="78">
                  <c:v>41.567428373624757</c:v>
                </c:pt>
                <c:pt idx="79">
                  <c:v>41.641005117732597</c:v>
                </c:pt>
                <c:pt idx="80">
                  <c:v>41.728616385620583</c:v>
                </c:pt>
                <c:pt idx="81">
                  <c:v>41.830134173809931</c:v>
                </c:pt>
                <c:pt idx="82">
                  <c:v>41.945415958609559</c:v>
                </c:pt>
                <c:pt idx="83">
                  <c:v>42.074304675451508</c:v>
                </c:pt>
                <c:pt idx="84">
                  <c:v>42.216628706187969</c:v>
                </c:pt>
                <c:pt idx="85">
                  <c:v>42.372201877131779</c:v>
                </c:pt>
                <c:pt idx="86">
                  <c:v>42.540823470762653</c:v>
                </c:pt>
                <c:pt idx="87">
                  <c:v>42.722278254154105</c:v>
                </c:pt>
                <c:pt idx="88">
                  <c:v>42.916336527253506</c:v>
                </c:pt>
                <c:pt idx="89">
                  <c:v>43.122754194186811</c:v>
                </c:pt>
                <c:pt idx="90">
                  <c:v>43.341272860764228</c:v>
                </c:pt>
                <c:pt idx="91">
                  <c:v>43.571619961310759</c:v>
                </c:pt>
                <c:pt idx="92">
                  <c:v>43.813508917847514</c:v>
                </c:pt>
                <c:pt idx="93">
                  <c:v>44.066639334513596</c:v>
                </c:pt>
                <c:pt idx="94">
                  <c:v>44.330697229917227</c:v>
                </c:pt>
                <c:pt idx="95">
                  <c:v>44.605355309868521</c:v>
                </c:pt>
                <c:pt idx="96">
                  <c:v>44.890273282653553</c:v>
                </c:pt>
                <c:pt idx="97">
                  <c:v>45.1850982186754</c:v>
                </c:pt>
                <c:pt idx="98">
                  <c:v>45.489464955910449</c:v>
                </c:pt>
                <c:pt idx="99">
                  <c:v>45.802996552201094</c:v>
                </c:pt>
                <c:pt idx="100">
                  <c:v>46.125304784964705</c:v>
                </c:pt>
                <c:pt idx="101">
                  <c:v>46.45599069840253</c:v>
                </c:pt>
                <c:pt idx="102">
                  <c:v>46.794645197791766</c:v>
                </c:pt>
                <c:pt idx="103">
                  <c:v>47.140849689912208</c:v>
                </c:pt>
                <c:pt idx="104">
                  <c:v>47.494176768129556</c:v>
                </c:pt>
                <c:pt idx="105">
                  <c:v>47.854190940117945</c:v>
                </c:pt>
                <c:pt idx="106">
                  <c:v>48.220449395674528</c:v>
                </c:pt>
                <c:pt idx="107">
                  <c:v>48.592502811566696</c:v>
                </c:pt>
                <c:pt idx="108">
                  <c:v>48.969896189860094</c:v>
                </c:pt>
                <c:pt idx="109">
                  <c:v>49.352169725721403</c:v>
                </c:pt>
                <c:pt idx="110">
                  <c:v>49.738859700269053</c:v>
                </c:pt>
                <c:pt idx="111">
                  <c:v>50.129499393682359</c:v>
                </c:pt>
                <c:pt idx="112">
                  <c:v>50.52362001345891</c:v>
                </c:pt>
                <c:pt idx="113">
                  <c:v>50.920751632463343</c:v>
                </c:pt>
                <c:pt idx="114">
                  <c:v>51.320424131220413</c:v>
                </c:pt>
                <c:pt idx="115">
                  <c:v>51.722168138785115</c:v>
                </c:pt>
                <c:pt idx="116">
                  <c:v>52.125515966476911</c:v>
                </c:pt>
                <c:pt idx="117">
                  <c:v>52.530002528791215</c:v>
                </c:pt>
                <c:pt idx="118">
                  <c:v>52.935166245887274</c:v>
                </c:pt>
                <c:pt idx="119">
                  <c:v>53.3405499222307</c:v>
                </c:pt>
                <c:pt idx="120">
                  <c:v>53.745701596181334</c:v>
                </c:pt>
                <c:pt idx="121">
                  <c:v>54.15017535562712</c:v>
                </c:pt>
                <c:pt idx="122">
                  <c:v>54.553532115092572</c:v>
                </c:pt>
                <c:pt idx="123">
                  <c:v>54.955340350167788</c:v>
                </c:pt>
                <c:pt idx="124">
                  <c:v>55.355176785522183</c:v>
                </c:pt>
                <c:pt idx="125">
                  <c:v>55.752627033253461</c:v>
                </c:pt>
                <c:pt idx="126">
                  <c:v>56.147286178819364</c:v>
                </c:pt>
                <c:pt idx="127">
                  <c:v>56.538759312305352</c:v>
                </c:pt>
                <c:pt idx="128">
                  <c:v>56.926662003319542</c:v>
                </c:pt>
                <c:pt idx="129">
                  <c:v>57.310620718326319</c:v>
                </c:pt>
                <c:pt idx="130">
                  <c:v>57.690273179743642</c:v>
                </c:pt>
                <c:pt idx="131">
                  <c:v>58.065268666647853</c:v>
                </c:pt>
                <c:pt idx="132">
                  <c:v>58.435268257395172</c:v>
                </c:pt>
                <c:pt idx="133">
                  <c:v>58.799945014949337</c:v>
                </c:pt>
                <c:pt idx="134">
                  <c:v>59.158984116105522</c:v>
                </c:pt>
                <c:pt idx="135">
                  <c:v>59.512082926217118</c:v>
                </c:pt>
                <c:pt idx="136">
                  <c:v>59.858951021363666</c:v>
                </c:pt>
                <c:pt idx="137">
                  <c:v>60.199310160219149</c:v>
                </c:pt>
                <c:pt idx="138">
                  <c:v>60.532894208146779</c:v>
                </c:pt>
                <c:pt idx="139">
                  <c:v>60.859449016272876</c:v>
                </c:pt>
                <c:pt idx="140">
                  <c:v>61.178732258469239</c:v>
                </c:pt>
                <c:pt idx="141">
                  <c:v>61.490513229325138</c:v>
                </c:pt>
                <c:pt idx="142">
                  <c:v>61.794572606278834</c:v>
                </c:pt>
                <c:pt idx="143">
                  <c:v>62.090702179149176</c:v>
                </c:pt>
                <c:pt idx="144">
                  <c:v>62.378704550333325</c:v>
                </c:pt>
                <c:pt idx="145">
                  <c:v>62.658392808923502</c:v>
                </c:pt>
                <c:pt idx="146">
                  <c:v>62.929590181969637</c:v>
                </c:pt>
                <c:pt idx="147">
                  <c:v>63.192129666042142</c:v>
                </c:pt>
                <c:pt idx="148">
                  <c:v>63.44585364216838</c:v>
                </c:pt>
                <c:pt idx="149">
                  <c:v>63.690613477109103</c:v>
                </c:pt>
                <c:pt idx="150">
                  <c:v>63.926269113812801</c:v>
                </c:pt>
                <c:pt idx="151">
                  <c:v>64.152688653757238</c:v>
                </c:pt>
                <c:pt idx="152">
                  <c:v>64.369747933733095</c:v>
                </c:pt>
                <c:pt idx="153">
                  <c:v>64.577330099472263</c:v>
                </c:pt>
                <c:pt idx="154">
                  <c:v>64.775325178363033</c:v>
                </c:pt>
                <c:pt idx="155">
                  <c:v>64.963629653331324</c:v>
                </c:pt>
                <c:pt idx="156">
                  <c:v>65.142146039803578</c:v>
                </c:pt>
                <c:pt idx="157">
                  <c:v>65.310782467505135</c:v>
                </c:pt>
                <c:pt idx="158">
                  <c:v>65.469452268690119</c:v>
                </c:pt>
                <c:pt idx="159">
                  <c:v>65.618073574244633</c:v>
                </c:pt>
                <c:pt idx="160">
                  <c:v>65.756568918953775</c:v>
                </c:pt>
                <c:pt idx="161">
                  <c:v>65.884864857088488</c:v>
                </c:pt>
                <c:pt idx="162">
                  <c:v>66.00289158932604</c:v>
                </c:pt>
                <c:pt idx="163">
                  <c:v>66.110582601901726</c:v>
                </c:pt>
                <c:pt idx="164">
                  <c:v>66.207874318762094</c:v>
                </c:pt>
                <c:pt idx="165">
                  <c:v>66.294705767392145</c:v>
                </c:pt>
                <c:pt idx="166">
                  <c:v>66.371018258881207</c:v>
                </c:pt>
                <c:pt idx="167">
                  <c:v>66.436755082710761</c:v>
                </c:pt>
                <c:pt idx="168">
                  <c:v>66.491861216657284</c:v>
                </c:pt>
                <c:pt idx="169">
                  <c:v>66.536283052137364</c:v>
                </c:pt>
                <c:pt idx="170">
                  <c:v>66.569968135256929</c:v>
                </c:pt>
                <c:pt idx="171">
                  <c:v>66.592864923768659</c:v>
                </c:pt>
                <c:pt idx="172">
                  <c:v>66.604922560093286</c:v>
                </c:pt>
                <c:pt idx="173">
                  <c:v>66.606090660522781</c:v>
                </c:pt>
                <c:pt idx="174">
                  <c:v>66.596319120684626</c:v>
                </c:pt>
                <c:pt idx="175">
                  <c:v>66.57555793732061</c:v>
                </c:pt>
                <c:pt idx="176">
                  <c:v>66.543757046410917</c:v>
                </c:pt>
                <c:pt idx="177">
                  <c:v>66.500866177656476</c:v>
                </c:pt>
                <c:pt idx="178">
                  <c:v>66.446834725318595</c:v>
                </c:pt>
                <c:pt idx="179">
                  <c:v>66.381611635409683</c:v>
                </c:pt>
                <c:pt idx="180">
                  <c:v>66.305145309219739</c:v>
                </c:pt>
                <c:pt idx="181">
                  <c:v>66.217383523162468</c:v>
                </c:pt>
                <c:pt idx="182">
                  <c:v>66.118273364928044</c:v>
                </c:pt>
                <c:pt idx="183">
                  <c:v>66.007761185924252</c:v>
                </c:pt>
                <c:pt idx="184">
                  <c:v>65.885792570002295</c:v>
                </c:pt>
                <c:pt idx="185">
                  <c:v>65.752312318451629</c:v>
                </c:pt>
                <c:pt idx="186">
                  <c:v>65.607264451272655</c:v>
                </c:pt>
                <c:pt idx="187">
                  <c:v>65.450592224720083</c:v>
                </c:pt>
                <c:pt idx="188">
                  <c:v>65.282238165126827</c:v>
                </c:pt>
                <c:pt idx="189">
                  <c:v>65.102144119013005</c:v>
                </c:pt>
                <c:pt idx="190">
                  <c:v>64.910251319485738</c:v>
                </c:pt>
                <c:pt idx="191">
                  <c:v>64.706500468935758</c:v>
                </c:pt>
                <c:pt idx="192">
                  <c:v>64.490831838020512</c:v>
                </c:pt>
                <c:pt idx="193">
                  <c:v>64.263185380930011</c:v>
                </c:pt>
                <c:pt idx="194">
                  <c:v>64.023500866900093</c:v>
                </c:pt>
                <c:pt idx="195">
                  <c:v>63.771718027933659</c:v>
                </c:pt>
                <c:pt idx="196">
                  <c:v>63.507776722655919</c:v>
                </c:pt>
                <c:pt idx="197">
                  <c:v>63.231617116203935</c:v>
                </c:pt>
                <c:pt idx="198">
                  <c:v>62.943179876019492</c:v>
                </c:pt>
                <c:pt idx="199">
                  <c:v>62.642406383360516</c:v>
                </c:pt>
                <c:pt idx="200">
                  <c:v>62.329238960303961</c:v>
                </c:pt>
                <c:pt idx="201">
                  <c:v>62.003621111955489</c:v>
                </c:pt>
                <c:pt idx="202">
                  <c:v>61.665497783507448</c:v>
                </c:pt>
                <c:pt idx="203">
                  <c:v>61.314815631723164</c:v>
                </c:pt>
                <c:pt idx="204">
                  <c:v>60.951523310331865</c:v>
                </c:pt>
                <c:pt idx="205">
                  <c:v>60.575571768734463</c:v>
                </c:pt>
                <c:pt idx="206">
                  <c:v>60.186914563316037</c:v>
                </c:pt>
                <c:pt idx="207">
                  <c:v>59.785508180550977</c:v>
                </c:pt>
                <c:pt idx="208">
                  <c:v>59.371312370970415</c:v>
                </c:pt>
                <c:pt idx="209">
                  <c:v>58.94429049293506</c:v>
                </c:pt>
                <c:pt idx="210">
                  <c:v>58.504409865019923</c:v>
                </c:pt>
                <c:pt idx="211">
                  <c:v>58.051642125678264</c:v>
                </c:pt>
                <c:pt idx="212">
                  <c:v>57.585963598706876</c:v>
                </c:pt>
                <c:pt idx="213">
                  <c:v>57.107355662874653</c:v>
                </c:pt>
                <c:pt idx="214">
                  <c:v>56.615805123929178</c:v>
                </c:pt>
                <c:pt idx="215">
                  <c:v>56.111304587031306</c:v>
                </c:pt>
                <c:pt idx="216">
                  <c:v>55.593852827511093</c:v>
                </c:pt>
                <c:pt idx="217">
                  <c:v>55.063455157680544</c:v>
                </c:pt>
                <c:pt idx="218">
                  <c:v>54.520123787286209</c:v>
                </c:pt>
                <c:pt idx="219">
                  <c:v>53.963878175036477</c:v>
                </c:pt>
                <c:pt idx="220">
                  <c:v>53.394745368500686</c:v>
                </c:pt>
                <c:pt idx="221">
                  <c:v>52.812760329555672</c:v>
                </c:pt>
                <c:pt idx="222">
                  <c:v>52.217966242437306</c:v>
                </c:pt>
                <c:pt idx="223">
                  <c:v>51.610414801372741</c:v>
                </c:pt>
                <c:pt idx="224">
                  <c:v>50.990166474693289</c:v>
                </c:pt>
                <c:pt idx="225">
                  <c:v>50.357290742283958</c:v>
                </c:pt>
                <c:pt idx="226">
                  <c:v>49.711866303211842</c:v>
                </c:pt>
                <c:pt idx="227">
                  <c:v>49.053981250394997</c:v>
                </c:pt>
                <c:pt idx="228">
                  <c:v>48.38373320921562</c:v>
                </c:pt>
                <c:pt idx="229">
                  <c:v>47.701229437075988</c:v>
                </c:pt>
                <c:pt idx="230">
                  <c:v>47.006586881028042</c:v>
                </c:pt>
                <c:pt idx="231">
                  <c:v>46.299932190763805</c:v>
                </c:pt>
                <c:pt idx="232">
                  <c:v>45.581401684484476</c:v>
                </c:pt>
                <c:pt idx="233">
                  <c:v>44.851141265404195</c:v>
                </c:pt>
                <c:pt idx="234">
                  <c:v>44.109306286963161</c:v>
                </c:pt>
                <c:pt idx="235">
                  <c:v>43.356061365151049</c:v>
                </c:pt>
                <c:pt idx="236">
                  <c:v>42.59158013673499</c:v>
                </c:pt>
                <c:pt idx="237">
                  <c:v>41.816044962608544</c:v>
                </c:pt>
                <c:pt idx="238">
                  <c:v>41.02964657592559</c:v>
                </c:pt>
                <c:pt idx="239">
                  <c:v>40.232583675182539</c:v>
                </c:pt>
                <c:pt idx="240">
                  <c:v>39.425062462915875</c:v>
                </c:pt>
                <c:pt idx="241">
                  <c:v>38.607296131208997</c:v>
                </c:pt>
                <c:pt idx="242">
                  <c:v>37.779504295760006</c:v>
                </c:pt>
                <c:pt idx="243">
                  <c:v>36.941912380790683</c:v>
                </c:pt>
                <c:pt idx="244">
                  <c:v>36.094750957632989</c:v>
                </c:pt>
                <c:pt idx="245">
                  <c:v>35.238255040353756</c:v>
                </c:pt>
                <c:pt idx="246">
                  <c:v>34.372663342296512</c:v>
                </c:pt>
                <c:pt idx="247">
                  <c:v>33.498217497892554</c:v>
                </c:pt>
                <c:pt idx="248">
                  <c:v>32.615161254547502</c:v>
                </c:pt>
                <c:pt idx="249">
                  <c:v>31.723739639808414</c:v>
                </c:pt>
                <c:pt idx="250">
                  <c:v>30.824198109361522</c:v>
                </c:pt>
                <c:pt idx="251">
                  <c:v>29.916781681713204</c:v>
                </c:pt>
                <c:pt idx="252">
                  <c:v>29.001734065623541</c:v>
                </c:pt>
                <c:pt idx="253">
                  <c:v>28.079296786534051</c:v>
                </c:pt>
                <c:pt idx="254">
                  <c:v>27.149708318316158</c:v>
                </c:pt>
                <c:pt idx="255">
                  <c:v>26.213203226694475</c:v>
                </c:pt>
                <c:pt idx="256">
                  <c:v>25.270011330643733</c:v>
                </c:pt>
                <c:pt idx="257">
                  <c:v>24.320356887931748</c:v>
                </c:pt>
                <c:pt idx="258">
                  <c:v>23.364457810806936</c:v>
                </c:pt>
                <c:pt idx="259">
                  <c:v>22.402524917557642</c:v>
                </c:pt>
                <c:pt idx="260">
                  <c:v>21.434761225372398</c:v>
                </c:pt>
                <c:pt idx="261">
                  <c:v>20.461361289552158</c:v>
                </c:pt>
                <c:pt idx="262">
                  <c:v>19.482510593722914</c:v>
                </c:pt>
                <c:pt idx="263">
                  <c:v>18.498384995237803</c:v>
                </c:pt>
                <c:pt idx="264">
                  <c:v>17.509150229479214</c:v>
                </c:pt>
                <c:pt idx="265">
                  <c:v>16.514961476258783</c:v>
                </c:pt>
                <c:pt idx="266">
                  <c:v>15.515962991000274</c:v>
                </c:pt>
                <c:pt idx="267">
                  <c:v>14.51228780284772</c:v>
                </c:pt>
                <c:pt idx="268">
                  <c:v>13.504057481326749</c:v>
                </c:pt>
                <c:pt idx="269">
                  <c:v>12.491381972653214</c:v>
                </c:pt>
                <c:pt idx="270">
                  <c:v>11.474359506284523</c:v>
                </c:pt>
                <c:pt idx="271">
                  <c:v>10.45307657181608</c:v>
                </c:pt>
                <c:pt idx="272">
                  <c:v>9.4276079658716103</c:v>
                </c:pt>
                <c:pt idx="273">
                  <c:v>8.3980169081846601</c:v>
                </c:pt>
                <c:pt idx="274">
                  <c:v>7.3643552256983309</c:v>
                </c:pt>
                <c:pt idx="275">
                  <c:v>6.3266636031083738</c:v>
                </c:pt>
                <c:pt idx="276">
                  <c:v>5.2849718979752005</c:v>
                </c:pt>
                <c:pt idx="277">
                  <c:v>4.2392995182194149</c:v>
                </c:pt>
                <c:pt idx="278">
                  <c:v>3.1896558595627709</c:v>
                </c:pt>
                <c:pt idx="279">
                  <c:v>2.1360408002576223</c:v>
                </c:pt>
                <c:pt idx="280">
                  <c:v>1.0784452502536261</c:v>
                </c:pt>
                <c:pt idx="281">
                  <c:v>1.6851751801557707E-2</c:v>
                </c:pt>
                <c:pt idx="282">
                  <c:v>-1.0487648716442473</c:v>
                </c:pt>
                <c:pt idx="283">
                  <c:v>-2.1184368214542726</c:v>
                </c:pt>
                <c:pt idx="284">
                  <c:v>-3.1922025881001272</c:v>
                </c:pt>
                <c:pt idx="285">
                  <c:v>-4.2701061770548199</c:v>
                </c:pt>
                <c:pt idx="286">
                  <c:v>-5.3521962997273862</c:v>
                </c:pt>
                <c:pt idx="287">
                  <c:v>-6.4385255328929389</c:v>
                </c:pt>
                <c:pt idx="288">
                  <c:v>-7.5291494500762788</c:v>
                </c:pt>
                <c:pt idx="289">
                  <c:v>-8.6241257283811521</c:v>
                </c:pt>
                <c:pt idx="290">
                  <c:v>-9.7235132342591886</c:v>
                </c:pt>
                <c:pt idx="291">
                  <c:v>-10.827371091716531</c:v>
                </c:pt>
                <c:pt idx="292">
                  <c:v>-11.935757736475212</c:v>
                </c:pt>
                <c:pt idx="293">
                  <c:v>-13.048729959601634</c:v>
                </c:pt>
                <c:pt idx="294">
                  <c:v>-14.166341944140225</c:v>
                </c:pt>
                <c:pt idx="295">
                  <c:v>-15.288644298288293</c:v>
                </c:pt>
                <c:pt idx="296">
                  <c:v>-16.415683088680559</c:v>
                </c:pt>
                <c:pt idx="297">
                  <c:v>-17.547498877356556</c:v>
                </c:pt>
                <c:pt idx="298">
                  <c:v>-18.684125766015981</c:v>
                </c:pt>
                <c:pt idx="299">
                  <c:v>-19.825590451174161</c:v>
                </c:pt>
                <c:pt idx="300">
                  <c:v>-20.971911293864402</c:v>
                </c:pt>
                <c:pt idx="301">
                  <c:v>-22.12309740753226</c:v>
                </c:pt>
                <c:pt idx="302">
                  <c:v>-23.279147767784327</c:v>
                </c:pt>
                <c:pt idx="303">
                  <c:v>-24.440050347657383</c:v>
                </c:pt>
                <c:pt idx="304">
                  <c:v>-25.605781282050554</c:v>
                </c:pt>
                <c:pt idx="305">
                  <c:v>-26.776304064949873</c:v>
                </c:pt>
                <c:pt idx="306">
                  <c:v>-27.951568783024392</c:v>
                </c:pt>
                <c:pt idx="307">
                  <c:v>-29.131511389117829</c:v>
                </c:pt>
                <c:pt idx="308">
                  <c:v>-30.316053019068935</c:v>
                </c:pt>
                <c:pt idx="309">
                  <c:v>-31.5050993551936</c:v>
                </c:pt>
                <c:pt idx="310">
                  <c:v>-32.698540039625783</c:v>
                </c:pt>
                <c:pt idx="311">
                  <c:v>-33.896248140547733</c:v>
                </c:pt>
                <c:pt idx="312">
                  <c:v>-35.098079674167522</c:v>
                </c:pt>
                <c:pt idx="313">
                  <c:v>-36.303873185069698</c:v>
                </c:pt>
                <c:pt idx="314">
                  <c:v>-37.513449387328038</c:v>
                </c:pt>
                <c:pt idx="315">
                  <c:v>-38.726610868502583</c:v>
                </c:pt>
                <c:pt idx="316">
                  <c:v>-39.943141858349023</c:v>
                </c:pt>
                <c:pt idx="317">
                  <c:v>-41.162808063741174</c:v>
                </c:pt>
                <c:pt idx="318">
                  <c:v>-42.385356570995711</c:v>
                </c:pt>
                <c:pt idx="319">
                  <c:v>-43.610515816416275</c:v>
                </c:pt>
                <c:pt idx="320">
                  <c:v>-44.837995625532962</c:v>
                </c:pt>
                <c:pt idx="321">
                  <c:v>-46.067487321145776</c:v>
                </c:pt>
                <c:pt idx="322">
                  <c:v>-47.298663899905392</c:v>
                </c:pt>
                <c:pt idx="323">
                  <c:v>-48.531180276830156</c:v>
                </c:pt>
                <c:pt idx="324">
                  <c:v>-49.764673596789699</c:v>
                </c:pt>
                <c:pt idx="325">
                  <c:v>-50.998763611665716</c:v>
                </c:pt>
                <c:pt idx="326">
                  <c:v>-52.233053121584177</c:v>
                </c:pt>
                <c:pt idx="327">
                  <c:v>-53.467128478338118</c:v>
                </c:pt>
                <c:pt idx="328">
                  <c:v>-54.700560148850698</c:v>
                </c:pt>
                <c:pt idx="329">
                  <c:v>-55.932903336316144</c:v>
                </c:pt>
                <c:pt idx="330">
                  <c:v>-57.163698656454962</c:v>
                </c:pt>
                <c:pt idx="331">
                  <c:v>-58.392472866174806</c:v>
                </c:pt>
                <c:pt idx="332">
                  <c:v>-59.618739641797902</c:v>
                </c:pt>
                <c:pt idx="333">
                  <c:v>-60.84200040394326</c:v>
                </c:pt>
                <c:pt idx="334">
                  <c:v>-62.061745186073402</c:v>
                </c:pt>
                <c:pt idx="335">
                  <c:v>-63.277453543728065</c:v>
                </c:pt>
                <c:pt idx="336">
                  <c:v>-64.488595501420789</c:v>
                </c:pt>
                <c:pt idx="337">
                  <c:v>-65.694632534242842</c:v>
                </c:pt>
                <c:pt idx="338">
                  <c:v>-66.895018581225912</c:v>
                </c:pt>
                <c:pt idx="339">
                  <c:v>-68.089201087573628</c:v>
                </c:pt>
                <c:pt idx="340">
                  <c:v>-69.276622072932355</c:v>
                </c:pt>
                <c:pt idx="341">
                  <c:v>-70.456719222929209</c:v>
                </c:pt>
                <c:pt idx="342">
                  <c:v>-71.628927001247902</c:v>
                </c:pt>
                <c:pt idx="343">
                  <c:v>-72.792677779575982</c:v>
                </c:pt>
                <c:pt idx="344">
                  <c:v>-73.94740298277668</c:v>
                </c:pt>
                <c:pt idx="345">
                  <c:v>-75.09253424667429</c:v>
                </c:pt>
                <c:pt idx="346">
                  <c:v>-76.22750458583694</c:v>
                </c:pt>
                <c:pt idx="347">
                  <c:v>-77.351749568730654</c:v>
                </c:pt>
                <c:pt idx="348">
                  <c:v>-78.464708497613998</c:v>
                </c:pt>
                <c:pt idx="349">
                  <c:v>-79.565825590469288</c:v>
                </c:pt>
                <c:pt idx="350">
                  <c:v>-80.654551162244573</c:v>
                </c:pt>
                <c:pt idx="351">
                  <c:v>-81.730342802604838</c:v>
                </c:pt>
                <c:pt idx="352">
                  <c:v>-82.792666547331038</c:v>
                </c:pt>
                <c:pt idx="353">
                  <c:v>-83.840998040432225</c:v>
                </c:pt>
                <c:pt idx="354">
                  <c:v>-84.87482368399003</c:v>
                </c:pt>
                <c:pt idx="355">
                  <c:v>-85.89364177266998</c:v>
                </c:pt>
                <c:pt idx="356">
                  <c:v>-86.896963609824496</c:v>
                </c:pt>
                <c:pt idx="357">
                  <c:v>-87.884314602060599</c:v>
                </c:pt>
                <c:pt idx="358">
                  <c:v>-88.855235329146538</c:v>
                </c:pt>
                <c:pt idx="359">
                  <c:v>-89.809282586150346</c:v>
                </c:pt>
                <c:pt idx="360">
                  <c:v>-90.74603039473898</c:v>
                </c:pt>
                <c:pt idx="361">
                  <c:v>-91.665070980629125</c:v>
                </c:pt>
                <c:pt idx="362">
                  <c:v>-92.566015714275451</c:v>
                </c:pt>
                <c:pt idx="363">
                  <c:v>-93.448496012000362</c:v>
                </c:pt>
                <c:pt idx="364">
                  <c:v>-94.312164194900078</c:v>
                </c:pt>
                <c:pt idx="365">
                  <c:v>-95.156694303029411</c:v>
                </c:pt>
                <c:pt idx="366">
                  <c:v>-95.98178286254452</c:v>
                </c:pt>
                <c:pt idx="367">
                  <c:v>-96.787149603666265</c:v>
                </c:pt>
                <c:pt idx="368">
                  <c:v>-97.572538127544206</c:v>
                </c:pt>
                <c:pt idx="369">
                  <c:v>-98.337716520289803</c:v>
                </c:pt>
                <c:pt idx="370">
                  <c:v>-99.082477912672758</c:v>
                </c:pt>
                <c:pt idx="371">
                  <c:v>-99.806640984163835</c:v>
                </c:pt>
                <c:pt idx="372">
                  <c:v>-100.51005041022094</c:v>
                </c:pt>
                <c:pt idx="373">
                  <c:v>-101.19257725188422</c:v>
                </c:pt>
                <c:pt idx="374">
                  <c:v>-101.85411928693725</c:v>
                </c:pt>
                <c:pt idx="375">
                  <c:v>-102.49460128203239</c:v>
                </c:pt>
                <c:pt idx="376">
                  <c:v>-103.11397520532822</c:v>
                </c:pt>
                <c:pt idx="377">
                  <c:v>-103.71222037930313</c:v>
                </c:pt>
                <c:pt idx="378">
                  <c:v>-104.28934357351403</c:v>
                </c:pt>
                <c:pt idx="379">
                  <c:v>-104.84537903715386</c:v>
                </c:pt>
                <c:pt idx="380">
                  <c:v>-105.38038847133531</c:v>
                </c:pt>
                <c:pt idx="381">
                  <c:v>-105.89446094108494</c:v>
                </c:pt>
                <c:pt idx="382">
                  <c:v>-106.38771272708266</c:v>
                </c:pt>
                <c:pt idx="383">
                  <c:v>-106.8602871172278</c:v>
                </c:pt>
                <c:pt idx="384">
                  <c:v>-107.31235413815544</c:v>
                </c:pt>
                <c:pt idx="385">
                  <c:v>-107.74411022687922</c:v>
                </c:pt>
                <c:pt idx="386">
                  <c:v>-108.15577784278214</c:v>
                </c:pt>
                <c:pt idx="387">
                  <c:v>-108.54760502026494</c:v>
                </c:pt>
                <c:pt idx="388">
                  <c:v>-108.91986486243066</c:v>
                </c:pt>
                <c:pt idx="389">
                  <c:v>-109.27285497630021</c:v>
                </c:pt>
                <c:pt idx="390">
                  <c:v>-109.60689685018946</c:v>
                </c:pt>
                <c:pt idx="391">
                  <c:v>-109.92233517402749</c:v>
                </c:pt>
                <c:pt idx="392">
                  <c:v>-110.219537103599</c:v>
                </c:pt>
                <c:pt idx="393">
                  <c:v>-110.49889146989236</c:v>
                </c:pt>
                <c:pt idx="394">
                  <c:v>-110.76080793500311</c:v>
                </c:pt>
                <c:pt idx="395">
                  <c:v>-111.00571609630472</c:v>
                </c:pt>
                <c:pt idx="396">
                  <c:v>-111.23406454090113</c:v>
                </c:pt>
                <c:pt idx="397">
                  <c:v>-111.44631985270497</c:v>
                </c:pt>
                <c:pt idx="398">
                  <c:v>-111.64296557482322</c:v>
                </c:pt>
                <c:pt idx="399">
                  <c:v>-111.82450113028351</c:v>
                </c:pt>
                <c:pt idx="400">
                  <c:v>-111.99144070450582</c:v>
                </c:pt>
                <c:pt idx="401">
                  <c:v>-112.14431209326536</c:v>
                </c:pt>
                <c:pt idx="402">
                  <c:v>-112.28365552026804</c:v>
                </c:pt>
                <c:pt idx="403">
                  <c:v>-112.41002242877822</c:v>
                </c:pt>
                <c:pt idx="404">
                  <c:v>-112.52397425206208</c:v>
                </c:pt>
                <c:pt idx="405">
                  <c:v>-112.62608116769196</c:v>
                </c:pt>
                <c:pt idx="406">
                  <c:v>-112.71692084100123</c:v>
                </c:pt>
                <c:pt idx="407">
                  <c:v>-112.79707716318255</c:v>
                </c:pt>
                <c:pt idx="408">
                  <c:v>-112.86713898967183</c:v>
                </c:pt>
                <c:pt idx="409">
                  <c:v>-112.9276988845577</c:v>
                </c:pt>
                <c:pt idx="410">
                  <c:v>-112.97935187679094</c:v>
                </c:pt>
                <c:pt idx="411">
                  <c:v>-113.02269423394551</c:v>
                </c:pt>
                <c:pt idx="412">
                  <c:v>-113.05832225918877</c:v>
                </c:pt>
                <c:pt idx="413">
                  <c:v>-113.08683111697769</c:v>
                </c:pt>
                <c:pt idx="414">
                  <c:v>-113.10881369276696</c:v>
                </c:pt>
                <c:pt idx="415">
                  <c:v>-113.12485949175569</c:v>
                </c:pt>
                <c:pt idx="416">
                  <c:v>-113.1355535813648</c:v>
                </c:pt>
                <c:pt idx="417">
                  <c:v>-113.14147558175165</c:v>
                </c:pt>
                <c:pt idx="418">
                  <c:v>-113.14319870824797</c:v>
                </c:pt>
                <c:pt idx="419">
                  <c:v>-113.1412888691393</c:v>
                </c:pt>
                <c:pt idx="420">
                  <c:v>-113.13630382171462</c:v>
                </c:pt>
                <c:pt idx="421">
                  <c:v>-113.12879238897946</c:v>
                </c:pt>
                <c:pt idx="422">
                  <c:v>-113.11929373891279</c:v>
                </c:pt>
                <c:pt idx="423">
                  <c:v>-113.10833672758359</c:v>
                </c:pt>
                <c:pt idx="424">
                  <c:v>-113.09643930691475</c:v>
                </c:pt>
                <c:pt idx="425">
                  <c:v>-113.08410799734155</c:v>
                </c:pt>
                <c:pt idx="426">
                  <c:v>-113.07183742508838</c:v>
                </c:pt>
                <c:pt idx="427">
                  <c:v>-113.06010992329929</c:v>
                </c:pt>
                <c:pt idx="428">
                  <c:v>-113.04939519576671</c:v>
                </c:pt>
                <c:pt idx="429">
                  <c:v>-113.0401500415887</c:v>
                </c:pt>
                <c:pt idx="430">
                  <c:v>-113.03281813865607</c:v>
                </c:pt>
                <c:pt idx="431">
                  <c:v>-113.02782988351906</c:v>
                </c:pt>
                <c:pt idx="432">
                  <c:v>-113.02560228486365</c:v>
                </c:pt>
                <c:pt idx="433">
                  <c:v>-113.0265389075329</c:v>
                </c:pt>
                <c:pt idx="434">
                  <c:v>-113.03102986380866</c:v>
                </c:pt>
                <c:pt idx="435">
                  <c:v>-113.03945184846455</c:v>
                </c:pt>
                <c:pt idx="436">
                  <c:v>-113.0521682139604</c:v>
                </c:pt>
                <c:pt idx="437">
                  <c:v>-113.0695290820332</c:v>
                </c:pt>
                <c:pt idx="438">
                  <c:v>-113.09187148787662</c:v>
                </c:pt>
                <c:pt idx="439">
                  <c:v>-113.11951955306665</c:v>
                </c:pt>
                <c:pt idx="440">
                  <c:v>-113.15278468339787</c:v>
                </c:pt>
                <c:pt idx="441">
                  <c:v>-113.19196578782692</c:v>
                </c:pt>
                <c:pt idx="442">
                  <c:v>-113.23734951478549</c:v>
                </c:pt>
                <c:pt idx="443">
                  <c:v>-113.28921050221828</c:v>
                </c:pt>
                <c:pt idx="444">
                  <c:v>-113.34781163779988</c:v>
                </c:pt>
                <c:pt idx="445">
                  <c:v>-113.41340432594161</c:v>
                </c:pt>
                <c:pt idx="446">
                  <c:v>-113.48622875831033</c:v>
                </c:pt>
                <c:pt idx="447">
                  <c:v>-113.56651418478249</c:v>
                </c:pt>
                <c:pt idx="448">
                  <c:v>-113.6544791818913</c:v>
                </c:pt>
                <c:pt idx="449">
                  <c:v>-113.75033191603194</c:v>
                </c:pt>
                <c:pt idx="450">
                  <c:v>-113.85427039886335</c:v>
                </c:pt>
                <c:pt idx="451">
                  <c:v>-113.96648273253354</c:v>
                </c:pt>
                <c:pt idx="452">
                  <c:v>-114.08714734255962</c:v>
                </c:pt>
                <c:pt idx="453">
                  <c:v>-114.21643319637727</c:v>
                </c:pt>
                <c:pt idx="454">
                  <c:v>-114.35450000577779</c:v>
                </c:pt>
                <c:pt idx="455">
                  <c:v>-114.50149841163673</c:v>
                </c:pt>
                <c:pt idx="456">
                  <c:v>-114.6575701495416</c:v>
                </c:pt>
                <c:pt idx="457">
                  <c:v>-114.82284819510916</c:v>
                </c:pt>
                <c:pt idx="458">
                  <c:v>-114.99745688797665</c:v>
                </c:pt>
                <c:pt idx="459">
                  <c:v>-115.18151203364079</c:v>
                </c:pt>
                <c:pt idx="460">
                  <c:v>-115.37512098249934</c:v>
                </c:pt>
                <c:pt idx="461">
                  <c:v>-115.57838268564281</c:v>
                </c:pt>
                <c:pt idx="462">
                  <c:v>-115.79138772712018</c:v>
                </c:pt>
                <c:pt idx="463">
                  <c:v>-116.01421833259015</c:v>
                </c:pt>
                <c:pt idx="464">
                  <c:v>-116.24694835445271</c:v>
                </c:pt>
                <c:pt idx="465">
                  <c:v>-116.48964323373069</c:v>
                </c:pt>
                <c:pt idx="466">
                  <c:v>-116.74235993916793</c:v>
                </c:pt>
                <c:pt idx="467">
                  <c:v>-117.00514688418129</c:v>
                </c:pt>
                <c:pt idx="468">
                  <c:v>-117.27804382249302</c:v>
                </c:pt>
                <c:pt idx="469">
                  <c:v>-117.56108172346326</c:v>
                </c:pt>
                <c:pt idx="470">
                  <c:v>-117.8542826283133</c:v>
                </c:pt>
                <c:pt idx="471">
                  <c:v>-118.1576594886388</c:v>
                </c:pt>
                <c:pt idx="472">
                  <c:v>-118.47121598877868</c:v>
                </c:pt>
                <c:pt idx="473">
                  <c:v>-118.79494635381407</c:v>
                </c:pt>
                <c:pt idx="474">
                  <c:v>-119.12883514514326</c:v>
                </c:pt>
                <c:pt idx="475">
                  <c:v>-119.47285704577818</c:v>
                </c:pt>
                <c:pt idx="476">
                  <c:v>-119.82697663767452</c:v>
                </c:pt>
                <c:pt idx="477">
                  <c:v>-120.19114817360304</c:v>
                </c:pt>
                <c:pt idx="478">
                  <c:v>-120.56531534622822</c:v>
                </c:pt>
                <c:pt idx="479">
                  <c:v>-120.94941105722336</c:v>
                </c:pt>
                <c:pt idx="480">
                  <c:v>-121.34335718941531</c:v>
                </c:pt>
                <c:pt idx="481">
                  <c:v>-121.74706438507012</c:v>
                </c:pt>
                <c:pt idx="482">
                  <c:v>-122.1604318335706</c:v>
                </c:pt>
                <c:pt idx="483">
                  <c:v>-122.58334707182678</c:v>
                </c:pt>
                <c:pt idx="484">
                  <c:v>-123.01568580084442</c:v>
                </c:pt>
                <c:pt idx="485">
                  <c:v>-123.45731172193557</c:v>
                </c:pt>
                <c:pt idx="486">
                  <c:v>-123.90807639606746</c:v>
                </c:pt>
                <c:pt idx="487">
                  <c:v>-124.36781912985707</c:v>
                </c:pt>
                <c:pt idx="488">
                  <c:v>-124.83636689166354</c:v>
                </c:pt>
                <c:pt idx="489">
                  <c:v>-125.31353426116338</c:v>
                </c:pt>
                <c:pt idx="490">
                  <c:v>-125.79912341566838</c:v>
                </c:pt>
                <c:pt idx="491">
                  <c:v>-126.29292415629308</c:v>
                </c:pt>
                <c:pt idx="492">
                  <c:v>-126.79471397687988</c:v>
                </c:pt>
                <c:pt idx="493">
                  <c:v>-127.30425817833201</c:v>
                </c:pt>
                <c:pt idx="494">
                  <c:v>-127.82131003073599</c:v>
                </c:pt>
                <c:pt idx="495">
                  <c:v>-128.34561098531125</c:v>
                </c:pt>
                <c:pt idx="496">
                  <c:v>-128.8768909378565</c:v>
                </c:pt>
                <c:pt idx="497">
                  <c:v>-129.41486854495145</c:v>
                </c:pt>
                <c:pt idx="498">
                  <c:v>-129.95925159373056</c:v>
                </c:pt>
                <c:pt idx="499">
                  <c:v>-130.50973742556678</c:v>
                </c:pt>
                <c:pt idx="500">
                  <c:v>-131.06601341349341</c:v>
                </c:pt>
                <c:pt idx="501">
                  <c:v>-131.62775749268278</c:v>
                </c:pt>
                <c:pt idx="502">
                  <c:v>-132.19463874275198</c:v>
                </c:pt>
                <c:pt idx="503">
                  <c:v>-132.76631802013443</c:v>
                </c:pt>
                <c:pt idx="504">
                  <c:v>-133.34244863820015</c:v>
                </c:pt>
                <c:pt idx="505">
                  <c:v>-133.9226770922979</c:v>
                </c:pt>
                <c:pt idx="506">
                  <c:v>-134.50664382636057</c:v>
                </c:pt>
                <c:pt idx="507">
                  <c:v>-135.09398403724043</c:v>
                </c:pt>
                <c:pt idx="508">
                  <c:v>-135.68432851249455</c:v>
                </c:pt>
                <c:pt idx="509">
                  <c:v>-136.27730449691643</c:v>
                </c:pt>
                <c:pt idx="510">
                  <c:v>-136.8725365827751</c:v>
                </c:pt>
                <c:pt idx="511">
                  <c:v>-137.46964761840172</c:v>
                </c:pt>
                <c:pt idx="512">
                  <c:v>-138.06825962954048</c:v>
                </c:pt>
                <c:pt idx="513">
                  <c:v>-138.66799474769826</c:v>
                </c:pt>
                <c:pt idx="514">
                  <c:v>-139.26847613963028</c:v>
                </c:pt>
                <c:pt idx="515">
                  <c:v>-139.86932893206526</c:v>
                </c:pt>
                <c:pt idx="516">
                  <c:v>-140.47018112581537</c:v>
                </c:pt>
                <c:pt idx="517">
                  <c:v>-141.07066449352786</c:v>
                </c:pt>
                <c:pt idx="518">
                  <c:v>-141.67041545551521</c:v>
                </c:pt>
                <c:pt idx="519">
                  <c:v>-142.26907592834695</c:v>
                </c:pt>
                <c:pt idx="520">
                  <c:v>-142.86629414119358</c:v>
                </c:pt>
                <c:pt idx="521">
                  <c:v>-143.46172541527113</c:v>
                </c:pt>
                <c:pt idx="522">
                  <c:v>-144.05503290214841</c:v>
                </c:pt>
                <c:pt idx="523">
                  <c:v>-144.64588827712379</c:v>
                </c:pt>
                <c:pt idx="524">
                  <c:v>-145.23397238436777</c:v>
                </c:pt>
                <c:pt idx="525">
                  <c:v>-145.81897583102534</c:v>
                </c:pt>
                <c:pt idx="526">
                  <c:v>-146.40059952800277</c:v>
                </c:pt>
                <c:pt idx="527">
                  <c:v>-146.97855517569192</c:v>
                </c:pt>
                <c:pt idx="528">
                  <c:v>-147.55256569340912</c:v>
                </c:pt>
                <c:pt idx="529">
                  <c:v>-148.12236559186212</c:v>
                </c:pt>
                <c:pt idx="530">
                  <c:v>-148.68770128843988</c:v>
                </c:pt>
                <c:pt idx="531">
                  <c:v>-149.24833136563475</c:v>
                </c:pt>
                <c:pt idx="532">
                  <c:v>-149.80402677333581</c:v>
                </c:pt>
                <c:pt idx="533">
                  <c:v>-150.35457097617541</c:v>
                </c:pt>
                <c:pt idx="534">
                  <c:v>-150.89976004748488</c:v>
                </c:pt>
                <c:pt idx="535">
                  <c:v>-151.43940271177632</c:v>
                </c:pt>
                <c:pt idx="536">
                  <c:v>-151.97332033795996</c:v>
                </c:pt>
                <c:pt idx="537">
                  <c:v>-152.50134688578657</c:v>
                </c:pt>
                <c:pt idx="538">
                  <c:v>-153.0233288082087</c:v>
                </c:pt>
                <c:pt idx="539">
                  <c:v>-153.53912491254039</c:v>
                </c:pt>
                <c:pt idx="540">
                  <c:v>-154.04860618343366</c:v>
                </c:pt>
                <c:pt idx="541">
                  <c:v>-154.5516555707753</c:v>
                </c:pt>
              </c:numCache>
            </c:numRef>
          </c:yVal>
          <c:smooth val="1"/>
          <c:extLst>
            <c:ext xmlns:c16="http://schemas.microsoft.com/office/drawing/2014/chart" uri="{C3380CC4-5D6E-409C-BE32-E72D297353CC}">
              <c16:uniqueId val="{0000000B-ECAC-4E20-B866-0DB1B3DE6FE8}"/>
            </c:ext>
          </c:extLst>
        </c:ser>
        <c:dLbls>
          <c:showLegendKey val="0"/>
          <c:showVal val="0"/>
          <c:showCatName val="0"/>
          <c:showSerName val="0"/>
          <c:showPercent val="0"/>
          <c:showBubbleSize val="0"/>
        </c:dLbls>
        <c:axId val="387647744"/>
        <c:axId val="364517248"/>
      </c:scatterChart>
      <c:valAx>
        <c:axId val="357835904"/>
        <c:scaling>
          <c:logBase val="10"/>
          <c:orientation val="minMax"/>
          <c:max val="20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txPr>
          <a:bodyPr/>
          <a:lstStyle/>
          <a:p>
            <a:pPr>
              <a:defRPr b="1"/>
            </a:pPr>
            <a:endParaRPr lang="en-US"/>
          </a:p>
        </c:txPr>
        <c:crossAx val="364477056"/>
        <c:crosses val="autoZero"/>
        <c:crossBetween val="midCat"/>
      </c:valAx>
      <c:valAx>
        <c:axId val="364477056"/>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b="1">
                <a:solidFill>
                  <a:srgbClr val="FF0000"/>
                </a:solidFill>
              </a:defRPr>
            </a:pPr>
            <a:endParaRPr lang="en-US"/>
          </a:p>
        </c:txPr>
        <c:crossAx val="357835904"/>
        <c:crosses val="autoZero"/>
        <c:crossBetween val="midCat"/>
        <c:majorUnit val="20"/>
        <c:minorUnit val="10"/>
      </c:valAx>
      <c:valAx>
        <c:axId val="364517248"/>
        <c:scaling>
          <c:orientation val="minMax"/>
          <c:max val="180"/>
          <c:min val="-180"/>
        </c:scaling>
        <c:delete val="0"/>
        <c:axPos val="r"/>
        <c:title>
          <c:tx>
            <c:rich>
              <a:bodyPr rot="-5400000" vert="horz"/>
              <a:lstStyle/>
              <a:p>
                <a:pPr>
                  <a:defRPr/>
                </a:pPr>
                <a:r>
                  <a:rPr lang="en-US"/>
                  <a:t>Phase (deg)</a:t>
                </a:r>
              </a:p>
            </c:rich>
          </c:tx>
          <c:overlay val="0"/>
        </c:title>
        <c:numFmt formatCode="General" sourceLinked="1"/>
        <c:majorTickMark val="out"/>
        <c:minorTickMark val="none"/>
        <c:tickLblPos val="nextTo"/>
        <c:txPr>
          <a:bodyPr/>
          <a:lstStyle/>
          <a:p>
            <a:pPr>
              <a:defRPr b="1">
                <a:solidFill>
                  <a:schemeClr val="tx1">
                    <a:lumMod val="95000"/>
                    <a:lumOff val="5000"/>
                  </a:schemeClr>
                </a:solidFill>
              </a:defRPr>
            </a:pPr>
            <a:endParaRPr lang="en-US"/>
          </a:p>
        </c:txPr>
        <c:crossAx val="387647744"/>
        <c:crosses val="max"/>
        <c:crossBetween val="midCat"/>
        <c:majorUnit val="90"/>
        <c:minorUnit val="45"/>
      </c:valAx>
      <c:valAx>
        <c:axId val="387647744"/>
        <c:scaling>
          <c:logBase val="10"/>
          <c:orientation val="minMax"/>
        </c:scaling>
        <c:delete val="1"/>
        <c:axPos val="b"/>
        <c:numFmt formatCode="0.00" sourceLinked="1"/>
        <c:majorTickMark val="out"/>
        <c:minorTickMark val="none"/>
        <c:tickLblPos val="nextTo"/>
        <c:crossAx val="364517248"/>
        <c:crosses val="autoZero"/>
        <c:crossBetween val="midCat"/>
      </c:valAx>
    </c:plotArea>
    <c:legend>
      <c:legendPos val="r"/>
      <c:legendEntry>
        <c:idx val="1"/>
        <c:delete val="1"/>
      </c:legendEntry>
      <c:legendEntry>
        <c:idx val="2"/>
        <c:delete val="1"/>
      </c:legendEntry>
      <c:legendEntry>
        <c:idx val="3"/>
        <c:delete val="1"/>
      </c:legendEntry>
      <c:legendEntry>
        <c:idx val="4"/>
        <c:delete val="1"/>
      </c:legendEntry>
      <c:legendEntry>
        <c:idx val="5"/>
        <c:delete val="1"/>
      </c:legendEntry>
      <c:layout>
        <c:manualLayout>
          <c:xMode val="edge"/>
          <c:yMode val="edge"/>
          <c:x val="0.61392536510371165"/>
          <c:y val="7.0381012799940294E-3"/>
          <c:w val="0.28497500584606611"/>
          <c:h val="7.9643865606846526E-2"/>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Total Control Loop Transfer Function</a:t>
            </a:r>
          </a:p>
        </c:rich>
      </c:tx>
      <c:overlay val="0"/>
    </c:title>
    <c:autoTitleDeleted val="0"/>
    <c:plotArea>
      <c:layout/>
      <c:scatterChart>
        <c:scatterStyle val="smoothMarker"/>
        <c:varyColors val="0"/>
        <c:ser>
          <c:idx val="0"/>
          <c:order val="0"/>
          <c:spPr>
            <a:ln w="38100">
              <a:solidFill>
                <a:srgbClr val="FF0000"/>
              </a:solidFill>
            </a:ln>
          </c:spPr>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Loop_Modeling!$BL$19:$BL$560</c:f>
              <c:numCache>
                <c:formatCode>General</c:formatCode>
                <c:ptCount val="542"/>
                <c:pt idx="0">
                  <c:v>35.874400160425068</c:v>
                </c:pt>
                <c:pt idx="1">
                  <c:v>35.635576502047051</c:v>
                </c:pt>
                <c:pt idx="2">
                  <c:v>35.395313374944614</c:v>
                </c:pt>
                <c:pt idx="3">
                  <c:v>35.153572485957966</c:v>
                </c:pt>
                <c:pt idx="4">
                  <c:v>34.910315655096475</c:v>
                </c:pt>
                <c:pt idx="5">
                  <c:v>34.665504909334601</c:v>
                </c:pt>
                <c:pt idx="6">
                  <c:v>34.419102581009902</c:v>
                </c:pt>
                <c:pt idx="7">
                  <c:v>34.1710714105755</c:v>
                </c:pt>
                <c:pt idx="8">
                  <c:v>33.921374653402523</c:v>
                </c:pt>
                <c:pt idx="9">
                  <c:v>33.669976190278895</c:v>
                </c:pt>
                <c:pt idx="10">
                  <c:v>33.41684064119594</c:v>
                </c:pt>
                <c:pt idx="11">
                  <c:v>33.161933481963061</c:v>
                </c:pt>
                <c:pt idx="12">
                  <c:v>32.905221163138314</c:v>
                </c:pt>
                <c:pt idx="13">
                  <c:v>32.646671230715945</c:v>
                </c:pt>
                <c:pt idx="14">
                  <c:v>32.38625244796328</c:v>
                </c:pt>
                <c:pt idx="15">
                  <c:v>32.123934917760053</c:v>
                </c:pt>
                <c:pt idx="16">
                  <c:v>31.859690204754976</c:v>
                </c:pt>
                <c:pt idx="17">
                  <c:v>31.593491456623006</c:v>
                </c:pt>
                <c:pt idx="18">
                  <c:v>31.32531352368304</c:v>
                </c:pt>
                <c:pt idx="19">
                  <c:v>31.0551330761167</c:v>
                </c:pt>
                <c:pt idx="20">
                  <c:v>30.782928718022475</c:v>
                </c:pt>
                <c:pt idx="21">
                  <c:v>30.508681097535259</c:v>
                </c:pt>
                <c:pt idx="22">
                  <c:v>30.23237301225285</c:v>
                </c:pt>
                <c:pt idx="23">
                  <c:v>29.953989509227398</c:v>
                </c:pt>
                <c:pt idx="24">
                  <c:v>29.67351797880681</c:v>
                </c:pt>
                <c:pt idx="25">
                  <c:v>29.390948241649216</c:v>
                </c:pt>
                <c:pt idx="26">
                  <c:v>29.106272628278095</c:v>
                </c:pt>
                <c:pt idx="27">
                  <c:v>28.819486050602077</c:v>
                </c:pt>
                <c:pt idx="28">
                  <c:v>28.530586064885377</c:v>
                </c:pt>
                <c:pt idx="29">
                  <c:v>28.2395729257256</c:v>
                </c:pt>
                <c:pt idx="30">
                  <c:v>27.946449630672944</c:v>
                </c:pt>
                <c:pt idx="31">
                  <c:v>27.651221955207589</c:v>
                </c:pt>
                <c:pt idx="32">
                  <c:v>27.353898477876413</c:v>
                </c:pt>
                <c:pt idx="33">
                  <c:v>27.054490595483131</c:v>
                </c:pt>
                <c:pt idx="34">
                  <c:v>26.753012528312951</c:v>
                </c:pt>
                <c:pt idx="35">
                  <c:v>26.449481315466358</c:v>
                </c:pt>
                <c:pt idx="36">
                  <c:v>26.143916800463842</c:v>
                </c:pt>
                <c:pt idx="37">
                  <c:v>25.836341607372301</c:v>
                </c:pt>
                <c:pt idx="38">
                  <c:v>25.526781107782401</c:v>
                </c:pt>
                <c:pt idx="39">
                  <c:v>25.215263379047151</c:v>
                </c:pt>
                <c:pt idx="40">
                  <c:v>24.901819154257737</c:v>
                </c:pt>
                <c:pt idx="41">
                  <c:v>24.586481764499769</c:v>
                </c:pt>
                <c:pt idx="42">
                  <c:v>24.269287073981758</c:v>
                </c:pt>
                <c:pt idx="43">
                  <c:v>23.950273408678157</c:v>
                </c:pt>
                <c:pt idx="44">
                  <c:v>23.629481479160329</c:v>
                </c:pt>
                <c:pt idx="45">
                  <c:v>23.306954298316395</c:v>
                </c:pt>
                <c:pt idx="46">
                  <c:v>22.982737094676501</c:v>
                </c:pt>
                <c:pt idx="47">
                  <c:v>22.656877222065667</c:v>
                </c:pt>
                <c:pt idx="48">
                  <c:v>22.32942406630109</c:v>
                </c:pt>
                <c:pt idx="49">
                  <c:v>22.000428949640831</c:v>
                </c:pt>
                <c:pt idx="50">
                  <c:v>21.669945033666373</c:v>
                </c:pt>
                <c:pt idx="51">
                  <c:v>21.338027221253775</c:v>
                </c:pt>
                <c:pt idx="52">
                  <c:v>21.004732058250646</c:v>
                </c:pt>
                <c:pt idx="53">
                  <c:v>20.670117635433098</c:v>
                </c:pt>
                <c:pt idx="54">
                  <c:v>20.334243491270556</c:v>
                </c:pt>
                <c:pt idx="55">
                  <c:v>19.997170515969476</c:v>
                </c:pt>
                <c:pt idx="56">
                  <c:v>19.658960857215064</c:v>
                </c:pt>
                <c:pt idx="57">
                  <c:v>19.319677827967816</c:v>
                </c:pt>
                <c:pt idx="58">
                  <c:v>18.979385816612783</c:v>
                </c:pt>
                <c:pt idx="59">
                  <c:v>18.638150199698231</c:v>
                </c:pt>
                <c:pt idx="60">
                  <c:v>18.296037257436954</c:v>
                </c:pt>
                <c:pt idx="61">
                  <c:v>17.953114092086125</c:v>
                </c:pt>
                <c:pt idx="62">
                  <c:v>17.609448549259149</c:v>
                </c:pt>
                <c:pt idx="63">
                  <c:v>17.265109142168743</c:v>
                </c:pt>
                <c:pt idx="64">
                  <c:v>16.92016497874404</c:v>
                </c:pt>
                <c:pt idx="65">
                  <c:v>16.574685691516436</c:v>
                </c:pt>
                <c:pt idx="66">
                  <c:v>16.228741370117987</c:v>
                </c:pt>
                <c:pt idx="67">
                  <c:v>15.882402496195558</c:v>
                </c:pt>
                <c:pt idx="68">
                  <c:v>15.535739880505627</c:v>
                </c:pt>
                <c:pt idx="69">
                  <c:v>15.188824601916497</c:v>
                </c:pt>
                <c:pt idx="70">
                  <c:v>14.841727948021529</c:v>
                </c:pt>
                <c:pt idx="71">
                  <c:v>14.494521357035911</c:v>
                </c:pt>
                <c:pt idx="72">
                  <c:v>14.147276360637049</c:v>
                </c:pt>
                <c:pt idx="73">
                  <c:v>13.800064527388313</c:v>
                </c:pt>
                <c:pt idx="74">
                  <c:v>13.452957406383831</c:v>
                </c:pt>
                <c:pt idx="75">
                  <c:v>13.106026470744238</c:v>
                </c:pt>
                <c:pt idx="76">
                  <c:v>12.759343060596821</c:v>
                </c:pt>
                <c:pt idx="77">
                  <c:v>12.412978325183015</c:v>
                </c:pt>
                <c:pt idx="78">
                  <c:v>12.067003163747444</c:v>
                </c:pt>
                <c:pt idx="79">
                  <c:v>11.721488164881711</c:v>
                </c:pt>
                <c:pt idx="80">
                  <c:v>11.376503544019101</c:v>
                </c:pt>
                <c:pt idx="81">
                  <c:v>11.03211907880652</c:v>
                </c:pt>
                <c:pt idx="82">
                  <c:v>10.688404042113163</c:v>
                </c:pt>
                <c:pt idx="83">
                  <c:v>10.345427132470601</c:v>
                </c:pt>
                <c:pt idx="84">
                  <c:v>10.003256401787661</c:v>
                </c:pt>
                <c:pt idx="85">
                  <c:v>9.6619591802239917</c:v>
                </c:pt>
                <c:pt idx="86">
                  <c:v>9.3216019981610145</c:v>
                </c:pt>
                <c:pt idx="87">
                  <c:v>8.9822505052613657</c:v>
                </c:pt>
                <c:pt idx="88">
                  <c:v>8.6439693866625582</c:v>
                </c:pt>
                <c:pt idx="89">
                  <c:v>8.306822276414799</c:v>
                </c:pt>
                <c:pt idx="90">
                  <c:v>7.9708716683265894</c:v>
                </c:pt>
                <c:pt idx="91">
                  <c:v>7.6361788244482964</c:v>
                </c:pt>
                <c:pt idx="92">
                  <c:v>7.302803681483093</c:v>
                </c:pt>
                <c:pt idx="93">
                  <c:v>6.9708047554765438</c:v>
                </c:pt>
                <c:pt idx="94">
                  <c:v>6.6402390451935256</c:v>
                </c:pt>
                <c:pt idx="95">
                  <c:v>6.3111619346505083</c:v>
                </c:pt>
                <c:pt idx="96">
                  <c:v>5.983627095323155</c:v>
                </c:pt>
                <c:pt idx="97">
                  <c:v>5.6576863885983393</c:v>
                </c:pt>
                <c:pt idx="98">
                  <c:v>5.3333897690834071</c:v>
                </c:pt>
                <c:pt idx="99">
                  <c:v>5.0107851894241087</c:v>
                </c:pt>
                <c:pt idx="100">
                  <c:v>4.6899185073123633</c:v>
                </c:pt>
                <c:pt idx="101">
                  <c:v>4.3708333953871099</c:v>
                </c:pt>
                <c:pt idx="102">
                  <c:v>4.0535712547481042</c:v>
                </c:pt>
                <c:pt idx="103">
                  <c:v>3.738171132804351</c:v>
                </c:pt>
                <c:pt idx="104">
                  <c:v>3.4246696461781765</c:v>
                </c:pt>
                <c:pt idx="105">
                  <c:v>3.1131009093680162</c:v>
                </c:pt>
                <c:pt idx="106">
                  <c:v>2.8034964698527212</c:v>
                </c:pt>
                <c:pt idx="107">
                  <c:v>2.4958852502821811</c:v>
                </c:pt>
                <c:pt idx="108">
                  <c:v>2.1902934983595319</c:v>
                </c:pt>
                <c:pt idx="109">
                  <c:v>1.8867447449641614</c:v>
                </c:pt>
                <c:pt idx="110">
                  <c:v>1.5852597710053669</c:v>
                </c:pt>
                <c:pt idx="111">
                  <c:v>1.285856583426912</c:v>
                </c:pt>
                <c:pt idx="112">
                  <c:v>0.98855040070704459</c:v>
                </c:pt>
                <c:pt idx="113">
                  <c:v>0.69335364811677613</c:v>
                </c:pt>
                <c:pt idx="114">
                  <c:v>0.40027596291426126</c:v>
                </c:pt>
                <c:pt idx="115">
                  <c:v>0.10932420956336483</c:v>
                </c:pt>
                <c:pt idx="116">
                  <c:v>-0.17949749502566756</c:v>
                </c:pt>
                <c:pt idx="117">
                  <c:v>-0.46618774632554921</c:v>
                </c:pt>
                <c:pt idx="118">
                  <c:v>-0.75074780727438994</c:v>
                </c:pt>
                <c:pt idx="119">
                  <c:v>-1.0331815538796996</c:v>
                </c:pt>
                <c:pt idx="120">
                  <c:v>-1.3134954116960806</c:v>
                </c:pt>
                <c:pt idx="121">
                  <c:v>-1.5916982836059881</c:v>
                </c:pt>
                <c:pt idx="122">
                  <c:v>-1.8678014694053313</c:v>
                </c:pt>
                <c:pt idx="123">
                  <c:v>-2.1418185777573671</c:v>
                </c:pt>
                <c:pt idx="124">
                  <c:v>-2.4137654311374237</c:v>
                </c:pt>
                <c:pt idx="125">
                  <c:v>-2.6836599644349439</c:v>
                </c:pt>
                <c:pt idx="126">
                  <c:v>-2.9515221179199722</c:v>
                </c:pt>
                <c:pt idx="127">
                  <c:v>-3.2173737253074881</c:v>
                </c:pt>
                <c:pt idx="128">
                  <c:v>-3.4812383976739691</c:v>
                </c:pt>
                <c:pt idx="129">
                  <c:v>-3.7431414039883144</c:v>
                </c:pt>
                <c:pt idx="130">
                  <c:v>-4.0031095490211026</c:v>
                </c:pt>
                <c:pt idx="131">
                  <c:v>-4.2611710493866086</c:v>
                </c:pt>
                <c:pt idx="132">
                  <c:v>-4.5173554084576875</c:v>
                </c:pt>
                <c:pt idx="133">
                  <c:v>-4.7716932908660779</c:v>
                </c:pt>
                <c:pt idx="134">
                  <c:v>-5.0242163972756559</c:v>
                </c:pt>
                <c:pt idx="135">
                  <c:v>-5.2749573400720777</c:v>
                </c:pt>
                <c:pt idx="136">
                  <c:v>-5.5239495205797766</c:v>
                </c:pt>
                <c:pt idx="137">
                  <c:v>-5.7712270083638471</c:v>
                </c:pt>
                <c:pt idx="138">
                  <c:v>-6.0168244231311698</c:v>
                </c:pt>
                <c:pt idx="139">
                  <c:v>-6.2607768196889859</c:v>
                </c:pt>
                <c:pt idx="140">
                  <c:v>-6.5031195763745444</c:v>
                </c:pt>
                <c:pt idx="141">
                  <c:v>-6.7438882873056478</c:v>
                </c:pt>
                <c:pt idx="142">
                  <c:v>-6.983118658759726</c:v>
                </c:pt>
                <c:pt idx="143">
                  <c:v>-7.2208464099288685</c:v>
                </c:pt>
                <c:pt idx="144">
                  <c:v>-7.4571071782517393</c:v>
                </c:pt>
                <c:pt idx="145">
                  <c:v>-7.6919364294734436</c:v>
                </c:pt>
                <c:pt idx="146">
                  <c:v>-7.9253693725365171</c:v>
                </c:pt>
                <c:pt idx="147">
                  <c:v>-8.1574408793654118</c:v>
                </c:pt>
                <c:pt idx="148">
                  <c:v>-8.3881854095614319</c:v>
                </c:pt>
                <c:pt idx="149">
                  <c:v>-8.6176369399941226</c:v>
                </c:pt>
                <c:pt idx="150">
                  <c:v>-8.8458288992329006</c:v>
                </c:pt>
                <c:pt idx="151">
                  <c:v>-9.0727941067394209</c:v>
                </c:pt>
                <c:pt idx="152">
                  <c:v>-9.2985647167087961</c:v>
                </c:pt>
                <c:pt idx="153">
                  <c:v>-9.5231721664264803</c:v>
                </c:pt>
                <c:pt idx="154">
                  <c:v>-9.7466471289852379</c:v>
                </c:pt>
                <c:pt idx="155">
                  <c:v>-9.9690194701921335</c:v>
                </c:pt>
                <c:pt idx="156">
                  <c:v>-10.190318209477363</c:v>
                </c:pt>
                <c:pt idx="157">
                  <c:v>-10.410571484609733</c:v>
                </c:pt>
                <c:pt idx="158">
                  <c:v>-10.629806520011103</c:v>
                </c:pt>
                <c:pt idx="159">
                  <c:v>-10.848049598459561</c:v>
                </c:pt>
                <c:pt idx="160">
                  <c:v>-11.065326035964718</c:v>
                </c:pt>
                <c:pt idx="161">
                  <c:v>-11.281660159598697</c:v>
                </c:pt>
                <c:pt idx="162">
                  <c:v>-11.497075288066975</c:v>
                </c:pt>
                <c:pt idx="163">
                  <c:v>-11.711593714803177</c:v>
                </c:pt>
                <c:pt idx="164">
                  <c:v>-11.925236693378995</c:v>
                </c:pt>
                <c:pt idx="165">
                  <c:v>-12.138024425022326</c:v>
                </c:pt>
                <c:pt idx="166">
                  <c:v>-12.349976048044891</c:v>
                </c:pt>
                <c:pt idx="167">
                  <c:v>-12.561109628987456</c:v>
                </c:pt>
                <c:pt idx="168">
                  <c:v>-12.771442155297326</c:v>
                </c:pt>
                <c:pt idx="169">
                  <c:v>-12.980989529364908</c:v>
                </c:pt>
                <c:pt idx="170">
                  <c:v>-13.189766563750965</c:v>
                </c:pt>
                <c:pt idx="171">
                  <c:v>-13.397786977450536</c:v>
                </c:pt>
                <c:pt idx="172">
                  <c:v>-13.605063393046997</c:v>
                </c:pt>
                <c:pt idx="173">
                  <c:v>-13.811607334620303</c:v>
                </c:pt>
                <c:pt idx="174">
                  <c:v>-14.017429226285685</c:v>
                </c:pt>
                <c:pt idx="175">
                  <c:v>-14.22253839124928</c:v>
                </c:pt>
                <c:pt idx="176">
                  <c:v>-14.426943051277362</c:v>
                </c:pt>
                <c:pt idx="177">
                  <c:v>-14.630650326488341</c:v>
                </c:pt>
                <c:pt idx="178">
                  <c:v>-14.833666235386929</c:v>
                </c:pt>
                <c:pt idx="179">
                  <c:v>-15.0359956950713</c:v>
                </c:pt>
                <c:pt idx="180">
                  <c:v>-15.237642521555415</c:v>
                </c:pt>
                <c:pt idx="181">
                  <c:v>-15.438609430159534</c:v>
                </c:pt>
                <c:pt idx="182">
                  <c:v>-15.638898035933259</c:v>
                </c:pt>
                <c:pt idx="183">
                  <c:v>-15.838508854086646</c:v>
                </c:pt>
                <c:pt idx="184">
                  <c:v>-16.037441300415509</c:v>
                </c:pt>
                <c:pt idx="185">
                  <c:v>-16.235693691719739</c:v>
                </c:pt>
                <c:pt idx="186">
                  <c:v>-16.43326324622198</c:v>
                </c:pt>
                <c:pt idx="187">
                  <c:v>-16.630146084007183</c:v>
                </c:pt>
                <c:pt idx="188">
                  <c:v>-16.826337227515353</c:v>
                </c:pt>
                <c:pt idx="189">
                  <c:v>-17.021830602126858</c:v>
                </c:pt>
                <c:pt idx="190">
                  <c:v>-17.216619036896919</c:v>
                </c:pt>
                <c:pt idx="191">
                  <c:v>-17.410694265500879</c:v>
                </c:pt>
                <c:pt idx="192">
                  <c:v>-17.604046927469096</c:v>
                </c:pt>
                <c:pt idx="193">
                  <c:v>-17.796666569794727</c:v>
                </c:pt>
                <c:pt idx="194">
                  <c:v>-17.988541649016099</c:v>
                </c:pt>
                <c:pt idx="195">
                  <c:v>-18.179659533880393</c:v>
                </c:pt>
                <c:pt idx="196">
                  <c:v>-18.370006508709483</c:v>
                </c:pt>
                <c:pt idx="197">
                  <c:v>-18.559567777600051</c:v>
                </c:pt>
                <c:pt idx="198">
                  <c:v>-18.748327469598028</c:v>
                </c:pt>
                <c:pt idx="199">
                  <c:v>-18.936268645001185</c:v>
                </c:pt>
                <c:pt idx="200">
                  <c:v>-19.123373302951343</c:v>
                </c:pt>
                <c:pt idx="201">
                  <c:v>-19.309622390488105</c:v>
                </c:pt>
                <c:pt idx="202">
                  <c:v>-19.494995813247098</c:v>
                </c:pt>
                <c:pt idx="203">
                  <c:v>-19.679472447989834</c:v>
                </c:pt>
                <c:pt idx="204">
                  <c:v>-19.863030157164893</c:v>
                </c:pt>
                <c:pt idx="205">
                  <c:v>-20.045645805704659</c:v>
                </c:pt>
                <c:pt idx="206">
                  <c:v>-20.227295280266127</c:v>
                </c:pt>
                <c:pt idx="207">
                  <c:v>-20.407953511133066</c:v>
                </c:pt>
                <c:pt idx="208">
                  <c:v>-20.587594496995681</c:v>
                </c:pt>
                <c:pt idx="209">
                  <c:v>-20.766191332827361</c:v>
                </c:pt>
                <c:pt idx="210">
                  <c:v>-20.943716241078786</c:v>
                </c:pt>
                <c:pt idx="211">
                  <c:v>-21.12014060640492</c:v>
                </c:pt>
                <c:pt idx="212">
                  <c:v>-21.295435014137709</c:v>
                </c:pt>
                <c:pt idx="213">
                  <c:v>-21.469569292709924</c:v>
                </c:pt>
                <c:pt idx="214">
                  <c:v>-21.64251256022558</c:v>
                </c:pt>
                <c:pt idx="215">
                  <c:v>-21.814233275360323</c:v>
                </c:pt>
                <c:pt idx="216">
                  <c:v>-21.98469929276007</c:v>
                </c:pt>
                <c:pt idx="217">
                  <c:v>-22.153877923085741</c:v>
                </c:pt>
                <c:pt idx="218">
                  <c:v>-22.321735997833887</c:v>
                </c:pt>
                <c:pt idx="219">
                  <c:v>-22.488239939032585</c:v>
                </c:pt>
                <c:pt idx="220">
                  <c:v>-22.653355833888611</c:v>
                </c:pt>
                <c:pt idx="221">
                  <c:v>-22.817049514424575</c:v>
                </c:pt>
                <c:pt idx="222">
                  <c:v>-22.979286642114545</c:v>
                </c:pt>
                <c:pt idx="223">
                  <c:v>-23.140032797481819</c:v>
                </c:pt>
                <c:pt idx="224">
                  <c:v>-23.299253574586466</c:v>
                </c:pt>
                <c:pt idx="225">
                  <c:v>-23.45691468028037</c:v>
                </c:pt>
                <c:pt idx="226">
                  <c:v>-23.612982038063002</c:v>
                </c:pt>
                <c:pt idx="227">
                  <c:v>-23.76742189632089</c:v>
                </c:pt>
                <c:pt idx="228">
                  <c:v>-23.92020094068101</c:v>
                </c:pt>
                <c:pt idx="229">
                  <c:v>-24.071286410157935</c:v>
                </c:pt>
                <c:pt idx="230">
                  <c:v>-24.220646216719221</c:v>
                </c:pt>
                <c:pt idx="231">
                  <c:v>-24.368249067843145</c:v>
                </c:pt>
                <c:pt idx="232">
                  <c:v>-24.514064591589033</c:v>
                </c:pt>
                <c:pt idx="233">
                  <c:v>-24.658063463650471</c:v>
                </c:pt>
                <c:pt idx="234">
                  <c:v>-24.800217535816579</c:v>
                </c:pt>
                <c:pt idx="235">
                  <c:v>-24.940499965219168</c:v>
                </c:pt>
                <c:pt idx="236">
                  <c:v>-25.078885343706542</c:v>
                </c:pt>
                <c:pt idx="237">
                  <c:v>-25.215349826651096</c:v>
                </c:pt>
                <c:pt idx="238">
                  <c:v>-25.34987126046726</c:v>
                </c:pt>
                <c:pt idx="239">
                  <c:v>-25.48242930809861</c:v>
                </c:pt>
                <c:pt idx="240">
                  <c:v>-25.613005571718567</c:v>
                </c:pt>
                <c:pt idx="241">
                  <c:v>-25.741583711882679</c:v>
                </c:pt>
                <c:pt idx="242">
                  <c:v>-25.868149562379571</c:v>
                </c:pt>
                <c:pt idx="243">
                  <c:v>-25.9926912400344</c:v>
                </c:pt>
                <c:pt idx="244">
                  <c:v>-26.11519924874743</c:v>
                </c:pt>
                <c:pt idx="245">
                  <c:v>-26.235666577080046</c:v>
                </c:pt>
                <c:pt idx="246">
                  <c:v>-26.354088788740757</c:v>
                </c:pt>
                <c:pt idx="247">
                  <c:v>-26.470464105378003</c:v>
                </c:pt>
                <c:pt idx="248">
                  <c:v>-26.584793481143425</c:v>
                </c:pt>
                <c:pt idx="249">
                  <c:v>-26.697080668555273</c:v>
                </c:pt>
                <c:pt idx="250">
                  <c:v>-26.807332275267697</c:v>
                </c:pt>
                <c:pt idx="251">
                  <c:v>-26.915557811430233</c:v>
                </c:pt>
                <c:pt idx="252">
                  <c:v>-27.021769727405108</c:v>
                </c:pt>
                <c:pt idx="253">
                  <c:v>-27.125983441697944</c:v>
                </c:pt>
                <c:pt idx="254">
                  <c:v>-27.228217359048767</c:v>
                </c:pt>
                <c:pt idx="255">
                  <c:v>-27.328492878716638</c:v>
                </c:pt>
                <c:pt idx="256">
                  <c:v>-27.426834393084029</c:v>
                </c:pt>
                <c:pt idx="257">
                  <c:v>-27.523269276791108</c:v>
                </c:pt>
                <c:pt idx="258">
                  <c:v>-27.61782786669507</c:v>
                </c:pt>
                <c:pt idx="259">
                  <c:v>-27.710543433025979</c:v>
                </c:pt>
                <c:pt idx="260">
                  <c:v>-27.80145214218448</c:v>
                </c:pt>
                <c:pt idx="261">
                  <c:v>-27.890593011688143</c:v>
                </c:pt>
                <c:pt idx="262">
                  <c:v>-27.978007857833987</c:v>
                </c:pt>
                <c:pt idx="263">
                  <c:v>-28.063741236687004</c:v>
                </c:pt>
                <c:pt idx="264">
                  <c:v>-28.147840379047175</c:v>
                </c:pt>
                <c:pt idx="265">
                  <c:v>-28.230355120071422</c:v>
                </c:pt>
                <c:pt idx="266">
                  <c:v>-28.311337824249193</c:v>
                </c:pt>
                <c:pt idx="267">
                  <c:v>-28.390843306434128</c:v>
                </c:pt>
                <c:pt idx="268">
                  <c:v>-28.468928749636365</c:v>
                </c:pt>
                <c:pt idx="269">
                  <c:v>-28.545653620266318</c:v>
                </c:pt>
                <c:pt idx="270">
                  <c:v>-28.621079581502137</c:v>
                </c:pt>
                <c:pt idx="271">
                  <c:v>-28.695270405423805</c:v>
                </c:pt>
                <c:pt idx="272">
                  <c:v>-28.768291884522373</c:v>
                </c:pt>
                <c:pt idx="273">
                  <c:v>-28.840211743147037</c:v>
                </c:pt>
                <c:pt idx="274">
                  <c:v>-28.911099549408842</c:v>
                </c:pt>
                <c:pt idx="275">
                  <c:v>-28.981026628002397</c:v>
                </c:pt>
                <c:pt idx="276">
                  <c:v>-29.05006597435198</c:v>
                </c:pt>
                <c:pt idx="277">
                  <c:v>-29.118292170427257</c:v>
                </c:pt>
                <c:pt idx="278">
                  <c:v>-29.185781302512133</c:v>
                </c:pt>
                <c:pt idx="279">
                  <c:v>-29.252610881145891</c:v>
                </c:pt>
                <c:pt idx="280">
                  <c:v>-29.318859763394194</c:v>
                </c:pt>
                <c:pt idx="281">
                  <c:v>-29.384608077541539</c:v>
                </c:pt>
                <c:pt idx="282">
                  <c:v>-29.449937150238462</c:v>
                </c:pt>
                <c:pt idx="283">
                  <c:v>-29.514929436074482</c:v>
                </c:pt>
                <c:pt idx="284">
                  <c:v>-29.579668449493401</c:v>
                </c:pt>
                <c:pt idx="285">
                  <c:v>-29.644238698910716</c:v>
                </c:pt>
                <c:pt idx="286">
                  <c:v>-29.708725622848643</c:v>
                </c:pt>
                <c:pt idx="287">
                  <c:v>-29.77321552785147</c:v>
                </c:pt>
                <c:pt idx="288">
                  <c:v>-29.837795527910927</c:v>
                </c:pt>
                <c:pt idx="289">
                  <c:v>-29.902553485087662</c:v>
                </c:pt>
                <c:pt idx="290">
                  <c:v>-29.967577950990901</c:v>
                </c:pt>
                <c:pt idx="291">
                  <c:v>-30.032958108747781</c:v>
                </c:pt>
                <c:pt idx="292">
                  <c:v>-30.098783715076976</c:v>
                </c:pt>
                <c:pt idx="293">
                  <c:v>-30.165145042065159</c:v>
                </c:pt>
                <c:pt idx="294">
                  <c:v>-30.23213281823805</c:v>
                </c:pt>
                <c:pt idx="295">
                  <c:v>-30.29983816851303</c:v>
                </c:pt>
                <c:pt idx="296">
                  <c:v>-30.368352552624486</c:v>
                </c:pt>
                <c:pt idx="297">
                  <c:v>-30.437767701621215</c:v>
                </c:pt>
                <c:pt idx="298">
                  <c:v>-30.508175552049135</c:v>
                </c:pt>
                <c:pt idx="299">
                  <c:v>-30.579668177453087</c:v>
                </c:pt>
                <c:pt idx="300">
                  <c:v>-30.652337716853335</c:v>
                </c:pt>
                <c:pt idx="301">
                  <c:v>-30.726276299886596</c:v>
                </c:pt>
                <c:pt idx="302">
                  <c:v>-30.80157596833288</c:v>
                </c:pt>
                <c:pt idx="303">
                  <c:v>-30.878328593787622</c:v>
                </c:pt>
                <c:pt idx="304">
                  <c:v>-30.956625791284594</c:v>
                </c:pt>
                <c:pt idx="305">
                  <c:v>-31.036558828719272</c:v>
                </c:pt>
                <c:pt idx="306">
                  <c:v>-31.118218531972133</c:v>
                </c:pt>
                <c:pt idx="307">
                  <c:v>-31.20169518568343</c:v>
                </c:pt>
                <c:pt idx="308">
                  <c:v>-31.287078429685998</c:v>
                </c:pt>
                <c:pt idx="309">
                  <c:v>-31.374457151156502</c:v>
                </c:pt>
                <c:pt idx="310">
                  <c:v>-31.463919372600969</c:v>
                </c:pt>
                <c:pt idx="311">
                  <c:v>-31.555552135848792</c:v>
                </c:pt>
                <c:pt idx="312">
                  <c:v>-31.6494413822792</c:v>
                </c:pt>
                <c:pt idx="313">
                  <c:v>-31.745671829562589</c:v>
                </c:pt>
                <c:pt idx="314">
                  <c:v>-31.844326845244872</c:v>
                </c:pt>
                <c:pt idx="315">
                  <c:v>-31.945488317552847</c:v>
                </c:pt>
                <c:pt idx="316">
                  <c:v>-32.049236523841529</c:v>
                </c:pt>
                <c:pt idx="317">
                  <c:v>-32.155649997141978</c:v>
                </c:pt>
                <c:pt idx="318">
                  <c:v>-32.264805391302865</c:v>
                </c:pt>
                <c:pt idx="319">
                  <c:v>-32.376777345246325</c:v>
                </c:pt>
                <c:pt idx="320">
                  <c:v>-32.491638346880841</c:v>
                </c:pt>
                <c:pt idx="321">
                  <c:v>-32.609458597228311</c:v>
                </c:pt>
                <c:pt idx="322">
                  <c:v>-32.730305875333322</c:v>
                </c:pt>
                <c:pt idx="323">
                  <c:v>-32.854245404522317</c:v>
                </c:pt>
                <c:pt idx="324">
                  <c:v>-32.981339720580792</c:v>
                </c:pt>
                <c:pt idx="325">
                  <c:v>-33.111648542401525</c:v>
                </c:pt>
                <c:pt idx="326">
                  <c:v>-33.245228645645945</c:v>
                </c:pt>
                <c:pt idx="327">
                  <c:v>-33.382133739937579</c:v>
                </c:pt>
                <c:pt idx="328">
                  <c:v>-33.522414350082073</c:v>
                </c:pt>
                <c:pt idx="329">
                  <c:v>-33.666117701780401</c:v>
                </c:pt>
                <c:pt idx="330">
                  <c:v>-33.813287612269832</c:v>
                </c:pt>
                <c:pt idx="331">
                  <c:v>-33.963964386292062</c:v>
                </c:pt>
                <c:pt idx="332">
                  <c:v>-34.118184717758567</c:v>
                </c:pt>
                <c:pt idx="333">
                  <c:v>-34.275981597441572</c:v>
                </c:pt>
                <c:pt idx="334">
                  <c:v>-34.437384226990631</c:v>
                </c:pt>
                <c:pt idx="335">
                  <c:v>-34.60241793953918</c:v>
                </c:pt>
                <c:pt idx="336">
                  <c:v>-34.771104127135501</c:v>
                </c:pt>
                <c:pt idx="337">
                  <c:v>-34.943460175204372</c:v>
                </c:pt>
                <c:pt idx="338">
                  <c:v>-35.119499404220896</c:v>
                </c:pt>
                <c:pt idx="339">
                  <c:v>-35.299231018752849</c:v>
                </c:pt>
                <c:pt idx="340">
                  <c:v>-35.482660064016073</c:v>
                </c:pt>
                <c:pt idx="341">
                  <c:v>-35.66978739006062</c:v>
                </c:pt>
                <c:pt idx="342">
                  <c:v>-35.860609623705393</c:v>
                </c:pt>
                <c:pt idx="343">
                  <c:v>-36.055119148315249</c:v>
                </c:pt>
                <c:pt idx="344">
                  <c:v>-36.253304091518224</c:v>
                </c:pt>
                <c:pt idx="345">
                  <c:v>-36.455148320944716</c:v>
                </c:pt>
                <c:pt idx="346">
                  <c:v>-36.66063144806742</c:v>
                </c:pt>
                <c:pt idx="347">
                  <c:v>-36.869728840215679</c:v>
                </c:pt>
                <c:pt idx="348">
                  <c:v>-37.082411640829768</c:v>
                </c:pt>
                <c:pt idx="349">
                  <c:v>-37.298646798011333</c:v>
                </c:pt>
                <c:pt idx="350">
                  <c:v>-37.518397101419147</c:v>
                </c:pt>
                <c:pt idx="351">
                  <c:v>-37.741621227545117</c:v>
                </c:pt>
                <c:pt idx="352">
                  <c:v>-37.968273793391361</c:v>
                </c:pt>
                <c:pt idx="353">
                  <c:v>-38.198305418551236</c:v>
                </c:pt>
                <c:pt idx="354">
                  <c:v>-38.431662795676232</c:v>
                </c:pt>
                <c:pt idx="355">
                  <c:v>-38.668288769287265</c:v>
                </c:pt>
                <c:pt idx="356">
                  <c:v>-38.908122422862952</c:v>
                </c:pt>
                <c:pt idx="357">
                  <c:v>-39.151099174105248</c:v>
                </c:pt>
                <c:pt idx="358">
                  <c:v>-39.397150878258202</c:v>
                </c:pt>
                <c:pt idx="359">
                  <c:v>-39.646205939314058</c:v>
                </c:pt>
                <c:pt idx="360">
                  <c:v>-39.898189428918236</c:v>
                </c:pt>
                <c:pt idx="361">
                  <c:v>-40.153023212741218</c:v>
                </c:pt>
                <c:pt idx="362">
                  <c:v>-40.410626084059771</c:v>
                </c:pt>
                <c:pt idx="363">
                  <c:v>-40.670913904254547</c:v>
                </c:pt>
                <c:pt idx="364">
                  <c:v>-40.933799749903095</c:v>
                </c:pt>
                <c:pt idx="365">
                  <c:v>-41.199194066117279</c:v>
                </c:pt>
                <c:pt idx="366">
                  <c:v>-41.467004825755005</c:v>
                </c:pt>
                <c:pt idx="367">
                  <c:v>-41.737137694109457</c:v>
                </c:pt>
                <c:pt idx="368">
                  <c:v>-42.009496198664458</c:v>
                </c:pt>
                <c:pt idx="369">
                  <c:v>-42.2839819034916</c:v>
                </c:pt>
                <c:pt idx="370">
                  <c:v>-42.560494587853917</c:v>
                </c:pt>
                <c:pt idx="371">
                  <c:v>-42.838932428573706</c:v>
                </c:pt>
                <c:pt idx="372">
                  <c:v>-43.119192185721602</c:v>
                </c:pt>
                <c:pt idx="373">
                  <c:v>-43.401169391182499</c:v>
                </c:pt>
                <c:pt idx="374">
                  <c:v>-43.684758539656798</c:v>
                </c:pt>
                <c:pt idx="375">
                  <c:v>-43.969853281660448</c:v>
                </c:pt>
                <c:pt idx="376">
                  <c:v>-44.25634661809363</c:v>
                </c:pt>
                <c:pt idx="377">
                  <c:v>-44.544131095953887</c:v>
                </c:pt>
                <c:pt idx="378">
                  <c:v>-44.83309900477613</c:v>
                </c:pt>
                <c:pt idx="379">
                  <c:v>-45.123142573390723</c:v>
                </c:pt>
                <c:pt idx="380">
                  <c:v>-45.414154166592269</c:v>
                </c:pt>
                <c:pt idx="381">
                  <c:v>-45.706026481317856</c:v>
                </c:pt>
                <c:pt idx="382">
                  <c:v>-45.998652741936041</c:v>
                </c:pt>
                <c:pt idx="383">
                  <c:v>-46.29192689424351</c:v>
                </c:pt>
                <c:pt idx="384">
                  <c:v>-46.585743797766085</c:v>
                </c:pt>
                <c:pt idx="385">
                  <c:v>-46.87999941595362</c:v>
                </c:pt>
                <c:pt idx="386">
                  <c:v>-47.174591003851283</c:v>
                </c:pt>
                <c:pt idx="387">
                  <c:v>-47.469417292815535</c:v>
                </c:pt>
                <c:pt idx="388">
                  <c:v>-47.764378671834862</c:v>
                </c:pt>
                <c:pt idx="389">
                  <c:v>-48.059377364997822</c:v>
                </c:pt>
                <c:pt idx="390">
                  <c:v>-48.354317604636464</c:v>
                </c:pt>
                <c:pt idx="391">
                  <c:v>-48.649105799661243</c:v>
                </c:pt>
                <c:pt idx="392">
                  <c:v>-48.943650698583092</c:v>
                </c:pt>
                <c:pt idx="393">
                  <c:v>-49.237863546710813</c:v>
                </c:pt>
                <c:pt idx="394">
                  <c:v>-49.531658236998595</c:v>
                </c:pt>
                <c:pt idx="395">
                  <c:v>-49.824951454011213</c:v>
                </c:pt>
                <c:pt idx="396">
                  <c:v>-50.117662810472481</c:v>
                </c:pt>
                <c:pt idx="397">
                  <c:v>-50.409714975863018</c:v>
                </c:pt>
                <c:pt idx="398">
                  <c:v>-50.701033796542099</c:v>
                </c:pt>
                <c:pt idx="399">
                  <c:v>-50.99154840688221</c:v>
                </c:pt>
                <c:pt idx="400">
                  <c:v>-51.28119133092477</c:v>
                </c:pt>
                <c:pt idx="401">
                  <c:v>-51.569898574094864</c:v>
                </c:pt>
                <c:pt idx="402">
                  <c:v>-51.857609704550669</c:v>
                </c:pt>
                <c:pt idx="403">
                  <c:v>-52.144267923779346</c:v>
                </c:pt>
                <c:pt idx="404">
                  <c:v>-52.429820126112077</c:v>
                </c:pt>
                <c:pt idx="405">
                  <c:v>-52.714216946880448</c:v>
                </c:pt>
                <c:pt idx="406">
                  <c:v>-52.997412799002916</c:v>
                </c:pt>
                <c:pt idx="407">
                  <c:v>-53.279365897861823</c:v>
                </c:pt>
                <c:pt idx="408">
                  <c:v>-53.560038274403666</c:v>
                </c:pt>
                <c:pt idx="409">
                  <c:v>-53.839395776474426</c:v>
                </c:pt>
                <c:pt idx="410">
                  <c:v>-54.117408058483285</c:v>
                </c:pt>
                <c:pt idx="411">
                  <c:v>-54.394048559569882</c:v>
                </c:pt>
                <c:pt idx="412">
                  <c:v>-54.669294470533131</c:v>
                </c:pt>
                <c:pt idx="413">
                  <c:v>-54.94312668986236</c:v>
                </c:pt>
                <c:pt idx="414">
                  <c:v>-55.215529769286029</c:v>
                </c:pt>
                <c:pt idx="415">
                  <c:v>-55.486491849334499</c:v>
                </c:pt>
                <c:pt idx="416">
                  <c:v>-55.756004585480213</c:v>
                </c:pt>
                <c:pt idx="417">
                  <c:v>-56.024063065479808</c:v>
                </c:pt>
                <c:pt idx="418">
                  <c:v>-56.290665718607855</c:v>
                </c:pt>
                <c:pt idx="419">
                  <c:v>-56.555814217511973</c:v>
                </c:pt>
                <c:pt idx="420">
                  <c:v>-56.81951337346878</c:v>
                </c:pt>
                <c:pt idx="421">
                  <c:v>-57.081771025842983</c:v>
                </c:pt>
                <c:pt idx="422">
                  <c:v>-57.342597926585519</c:v>
                </c:pt>
                <c:pt idx="423">
                  <c:v>-57.602007620608966</c:v>
                </c:pt>
                <c:pt idx="424">
                  <c:v>-57.860016322892385</c:v>
                </c:pt>
                <c:pt idx="425">
                  <c:v>-58.116642793157006</c:v>
                </c:pt>
                <c:pt idx="426">
                  <c:v>-58.371908208943481</c:v>
                </c:pt>
                <c:pt idx="427">
                  <c:v>-58.625836037901557</c:v>
                </c:pt>
                <c:pt idx="428">
                  <c:v>-58.878451910068677</c:v>
                </c:pt>
                <c:pt idx="429">
                  <c:v>-59.129783490888734</c:v>
                </c:pt>
                <c:pt idx="430">
                  <c:v>-59.379860355669109</c:v>
                </c:pt>
                <c:pt idx="431">
                  <c:v>-59.628713866137062</c:v>
                </c:pt>
                <c:pt idx="432">
                  <c:v>-59.876377049703031</c:v>
                </c:pt>
                <c:pt idx="433">
                  <c:v>-60.12288448198202</c:v>
                </c:pt>
                <c:pt idx="434">
                  <c:v>-60.368272173072896</c:v>
                </c:pt>
                <c:pt idx="435">
                  <c:v>-60.612577458033883</c:v>
                </c:pt>
                <c:pt idx="436">
                  <c:v>-60.855838891936436</c:v>
                </c:pt>
                <c:pt idx="437">
                  <c:v>-61.098096149818375</c:v>
                </c:pt>
                <c:pt idx="438">
                  <c:v>-61.339389931804348</c:v>
                </c:pt>
                <c:pt idx="439">
                  <c:v>-61.579761873595558</c:v>
                </c:pt>
                <c:pt idx="440">
                  <c:v>-61.81925446248858</c:v>
                </c:pt>
                <c:pt idx="441">
                  <c:v>-62.05791095901634</c:v>
                </c:pt>
                <c:pt idx="442">
                  <c:v>-62.295775324265776</c:v>
                </c:pt>
                <c:pt idx="443">
                  <c:v>-62.532892152870815</c:v>
                </c:pt>
                <c:pt idx="444">
                  <c:v>-62.769306611637681</c:v>
                </c:pt>
                <c:pt idx="445">
                  <c:v>-63.005064383722441</c:v>
                </c:pt>
                <c:pt idx="446">
                  <c:v>-63.240211618230518</c:v>
                </c:pt>
                <c:pt idx="447">
                  <c:v>-63.474794885088535</c:v>
                </c:pt>
                <c:pt idx="448">
                  <c:v>-63.708861134992816</c:v>
                </c:pt>
                <c:pt idx="449">
                  <c:v>-63.942457664220001</c:v>
                </c:pt>
                <c:pt idx="450">
                  <c:v>-64.17563208405366</c:v>
                </c:pt>
                <c:pt idx="451">
                  <c:v>-64.408432294561194</c:v>
                </c:pt>
                <c:pt idx="452">
                  <c:v>-64.640906462433236</c:v>
                </c:pt>
                <c:pt idx="453">
                  <c:v>-64.873103002582042</c:v>
                </c:pt>
                <c:pt idx="454">
                  <c:v>-65.10507056317779</c:v>
                </c:pt>
                <c:pt idx="455">
                  <c:v>-65.336858013791797</c:v>
                </c:pt>
                <c:pt idx="456">
                  <c:v>-65.568514436300006</c:v>
                </c:pt>
                <c:pt idx="457">
                  <c:v>-65.800089118197491</c:v>
                </c:pt>
                <c:pt idx="458">
                  <c:v>-66.031631547961751</c:v>
                </c:pt>
                <c:pt idx="459">
                  <c:v>-66.263191412097541</c:v>
                </c:pt>
                <c:pt idx="460">
                  <c:v>-66.494818593495609</c:v>
                </c:pt>
                <c:pt idx="461">
                  <c:v>-66.726563170728383</c:v>
                </c:pt>
                <c:pt idx="462">
                  <c:v>-66.958475417911544</c:v>
                </c:pt>
                <c:pt idx="463">
                  <c:v>-67.190605804750277</c:v>
                </c:pt>
                <c:pt idx="464">
                  <c:v>-67.423004996400863</c:v>
                </c:pt>
                <c:pt idx="465">
                  <c:v>-67.655723852769384</c:v>
                </c:pt>
                <c:pt idx="466">
                  <c:v>-67.888813426881967</c:v>
                </c:pt>
                <c:pt idx="467">
                  <c:v>-68.122324961957489</c:v>
                </c:pt>
                <c:pt idx="468">
                  <c:v>-68.356309886827205</c:v>
                </c:pt>
                <c:pt idx="469">
                  <c:v>-68.590819809346229</c:v>
                </c:pt>
                <c:pt idx="470">
                  <c:v>-68.825906507455528</c:v>
                </c:pt>
                <c:pt idx="471">
                  <c:v>-69.061621917564295</c:v>
                </c:pt>
                <c:pt idx="472">
                  <c:v>-69.298018119930944</c:v>
                </c:pt>
                <c:pt idx="473">
                  <c:v>-69.535147320741203</c:v>
                </c:pt>
                <c:pt idx="474">
                  <c:v>-69.773061830595239</c:v>
                </c:pt>
                <c:pt idx="475">
                  <c:v>-70.01181403913877</c:v>
                </c:pt>
                <c:pt idx="476">
                  <c:v>-70.251456385591567</c:v>
                </c:pt>
                <c:pt idx="477">
                  <c:v>-70.492041324955608</c:v>
                </c:pt>
                <c:pt idx="478">
                  <c:v>-70.73362128971047</c:v>
                </c:pt>
                <c:pt idx="479">
                  <c:v>-70.976248646835757</c:v>
                </c:pt>
                <c:pt idx="480">
                  <c:v>-71.219975650034371</c:v>
                </c:pt>
                <c:pt idx="481">
                  <c:v>-71.464854387066097</c:v>
                </c:pt>
                <c:pt idx="482">
                  <c:v>-71.710936722144737</c:v>
                </c:pt>
                <c:pt idx="483">
                  <c:v>-71.958274233388764</c:v>
                </c:pt>
                <c:pt idx="484">
                  <c:v>-72.206918145370253</c:v>
                </c:pt>
                <c:pt idx="485">
                  <c:v>-72.456919256846078</c:v>
                </c:pt>
                <c:pt idx="486">
                  <c:v>-72.708327863813892</c:v>
                </c:pt>
                <c:pt idx="487">
                  <c:v>-72.961193678084385</c:v>
                </c:pt>
                <c:pt idx="488">
                  <c:v>-73.215565741616743</c:v>
                </c:pt>
                <c:pt idx="489">
                  <c:v>-73.47149233691988</c:v>
                </c:pt>
                <c:pt idx="490">
                  <c:v>-73.729020893877347</c:v>
                </c:pt>
                <c:pt idx="491">
                  <c:v>-73.988197893412632</c:v>
                </c:pt>
                <c:pt idx="492">
                  <c:v>-74.249068768460134</c:v>
                </c:pt>
                <c:pt idx="493">
                  <c:v>-74.511677802765647</c:v>
                </c:pt>
                <c:pt idx="494">
                  <c:v>-74.77606802808981</c:v>
                </c:pt>
                <c:pt idx="495">
                  <c:v>-75.042281120430545</c:v>
                </c:pt>
                <c:pt idx="496">
                  <c:v>-75.310357295927759</c:v>
                </c:pt>
                <c:pt idx="497">
                  <c:v>-75.580335207148423</c:v>
                </c:pt>
                <c:pt idx="498">
                  <c:v>-75.852251840480733</c:v>
                </c:pt>
                <c:pt idx="499">
                  <c:v>-76.126142415391143</c:v>
                </c:pt>
                <c:pt idx="500">
                  <c:v>-76.40204028631328</c:v>
                </c:pt>
                <c:pt idx="501">
                  <c:v>-76.679976847945866</c:v>
                </c:pt>
                <c:pt idx="502">
                  <c:v>-76.959981444735405</c:v>
                </c:pt>
                <c:pt idx="503">
                  <c:v>-77.242081285310363</c:v>
                </c:pt>
                <c:pt idx="504">
                  <c:v>-77.526301362609303</c:v>
                </c:pt>
                <c:pt idx="505">
                  <c:v>-77.812664380423172</c:v>
                </c:pt>
                <c:pt idx="506">
                  <c:v>-78.101190687022196</c:v>
                </c:pt>
                <c:pt idx="507">
                  <c:v>-78.391898216499555</c:v>
                </c:pt>
                <c:pt idx="508">
                  <c:v>-78.684802438399245</c:v>
                </c:pt>
                <c:pt idx="509">
                  <c:v>-78.979916316132929</c:v>
                </c:pt>
                <c:pt idx="510">
                  <c:v>-79.277250274617117</c:v>
                </c:pt>
                <c:pt idx="511">
                  <c:v>-79.576812177480193</c:v>
                </c:pt>
                <c:pt idx="512">
                  <c:v>-79.87860731410899</c:v>
                </c:pt>
                <c:pt idx="513">
                  <c:v>-80.182638396709905</c:v>
                </c:pt>
                <c:pt idx="514">
                  <c:v>-80.488905567472784</c:v>
                </c:pt>
                <c:pt idx="515">
                  <c:v>-80.797406415829727</c:v>
                </c:pt>
                <c:pt idx="516">
                  <c:v>-81.108136005711799</c:v>
                </c:pt>
                <c:pt idx="517">
                  <c:v>-81.421086912610576</c:v>
                </c:pt>
                <c:pt idx="518">
                  <c:v>-81.736249270171584</c:v>
                </c:pt>
                <c:pt idx="519">
                  <c:v>-82.053610825952305</c:v>
                </c:pt>
                <c:pt idx="520">
                  <c:v>-82.373157005910457</c:v>
                </c:pt>
                <c:pt idx="521">
                  <c:v>-82.69487098710654</c:v>
                </c:pt>
                <c:pt idx="522">
                  <c:v>-83.018733778049679</c:v>
                </c:pt>
                <c:pt idx="523">
                  <c:v>-83.344724306052157</c:v>
                </c:pt>
                <c:pt idx="524">
                  <c:v>-83.672819510917961</c:v>
                </c:pt>
                <c:pt idx="525">
                  <c:v>-84.002994444247946</c:v>
                </c:pt>
                <c:pt idx="526">
                  <c:v>-84.335222373620269</c:v>
                </c:pt>
                <c:pt idx="527">
                  <c:v>-84.669474890883976</c:v>
                </c:pt>
                <c:pt idx="528">
                  <c:v>-85.0057220237953</c:v>
                </c:pt>
                <c:pt idx="529">
                  <c:v>-85.343932350229395</c:v>
                </c:pt>
                <c:pt idx="530">
                  <c:v>-85.684073114202448</c:v>
                </c:pt>
                <c:pt idx="531">
                  <c:v>-86.026110342964586</c:v>
                </c:pt>
                <c:pt idx="532">
                  <c:v>-86.370008964442007</c:v>
                </c:pt>
                <c:pt idx="533">
                  <c:v>-86.715732924341324</c:v>
                </c:pt>
                <c:pt idx="534">
                  <c:v>-87.063245302263951</c:v>
                </c:pt>
                <c:pt idx="535">
                  <c:v>-87.412508426222288</c:v>
                </c:pt>
                <c:pt idx="536">
                  <c:v>-87.763483984992519</c:v>
                </c:pt>
                <c:pt idx="537">
                  <c:v>-88.116133137790655</c:v>
                </c:pt>
                <c:pt idx="538">
                  <c:v>-88.470416620807868</c:v>
                </c:pt>
                <c:pt idx="539">
                  <c:v>-88.826294850191729</c:v>
                </c:pt>
                <c:pt idx="540">
                  <c:v>-89.183728021117616</c:v>
                </c:pt>
                <c:pt idx="541">
                  <c:v>-89.542676202642127</c:v>
                </c:pt>
              </c:numCache>
            </c:numRef>
          </c:yVal>
          <c:smooth val="1"/>
          <c:extLst>
            <c:ext xmlns:c16="http://schemas.microsoft.com/office/drawing/2014/chart" uri="{C3380CC4-5D6E-409C-BE32-E72D297353CC}">
              <c16:uniqueId val="{00000000-8173-45EB-83AD-B179A66292B6}"/>
            </c:ext>
          </c:extLst>
        </c:ser>
        <c:dLbls>
          <c:showLegendKey val="0"/>
          <c:showVal val="0"/>
          <c:showCatName val="0"/>
          <c:showSerName val="0"/>
          <c:showPercent val="0"/>
          <c:showBubbleSize val="0"/>
        </c:dLbls>
        <c:axId val="555528192"/>
        <c:axId val="555530112"/>
      </c:scatterChart>
      <c:scatterChart>
        <c:scatterStyle val="smoothMarker"/>
        <c:varyColors val="0"/>
        <c:ser>
          <c:idx val="1"/>
          <c:order val="1"/>
          <c:spPr>
            <a:ln w="38100">
              <a:solidFill>
                <a:schemeClr val="tx1">
                  <a:lumMod val="95000"/>
                  <a:lumOff val="5000"/>
                </a:schemeClr>
              </a:solidFill>
              <a:prstDash val="sysDash"/>
            </a:ln>
          </c:spPr>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Loop_Modeling!$BM$19:$BM$560</c:f>
              <c:numCache>
                <c:formatCode>General</c:formatCode>
                <c:ptCount val="542"/>
                <c:pt idx="0">
                  <c:v>67.779102965800888</c:v>
                </c:pt>
                <c:pt idx="1">
                  <c:v>67.345962740834011</c:v>
                </c:pt>
                <c:pt idx="2">
                  <c:v>66.907743173226123</c:v>
                </c:pt>
                <c:pt idx="3">
                  <c:v>66.464582148216095</c:v>
                </c:pt>
                <c:pt idx="4">
                  <c:v>66.016629923638504</c:v>
                </c:pt>
                <c:pt idx="5">
                  <c:v>65.564049381231129</c:v>
                </c:pt>
                <c:pt idx="6">
                  <c:v>65.107016245663374</c:v>
                </c:pt>
                <c:pt idx="7">
                  <c:v>64.645719268080043</c:v>
                </c:pt>
                <c:pt idx="8">
                  <c:v>64.180360371010408</c:v>
                </c:pt>
                <c:pt idx="9">
                  <c:v>63.711154751582832</c:v>
                </c:pt>
                <c:pt idx="10">
                  <c:v>63.238330940118807</c:v>
                </c:pt>
                <c:pt idx="11">
                  <c:v>62.762130811353842</c:v>
                </c:pt>
                <c:pt idx="12">
                  <c:v>62.282809545751675</c:v>
                </c:pt>
                <c:pt idx="13">
                  <c:v>61.800635538637266</c:v>
                </c:pt>
                <c:pt idx="14">
                  <c:v>61.31589025517561</c:v>
                </c:pt>
                <c:pt idx="15">
                  <c:v>60.828868029572249</c:v>
                </c:pt>
                <c:pt idx="16">
                  <c:v>60.339875807250657</c:v>
                </c:pt>
                <c:pt idx="17">
                  <c:v>59.849232829184011</c:v>
                </c:pt>
                <c:pt idx="18">
                  <c:v>59.357270258009564</c:v>
                </c:pt>
                <c:pt idx="19">
                  <c:v>58.864330746035051</c:v>
                </c:pt>
                <c:pt idx="20">
                  <c:v>58.370767945745058</c:v>
                </c:pt>
                <c:pt idx="21">
                  <c:v>57.876945963934133</c:v>
                </c:pt>
                <c:pt idx="22">
                  <c:v>57.383238761116999</c:v>
                </c:pt>
                <c:pt idx="23">
                  <c:v>56.890029498385225</c:v>
                </c:pt>
                <c:pt idx="24">
                  <c:v>56.397709834410506</c:v>
                </c:pt>
                <c:pt idx="25">
                  <c:v>55.906679175774968</c:v>
                </c:pt>
                <c:pt idx="26">
                  <c:v>55.417343884303733</c:v>
                </c:pt>
                <c:pt idx="27">
                  <c:v>54.930116445504801</c:v>
                </c:pt>
                <c:pt idx="28">
                  <c:v>54.445414602629057</c:v>
                </c:pt>
                <c:pt idx="29">
                  <c:v>53.963660461218069</c:v>
                </c:pt>
                <c:pt idx="30">
                  <c:v>53.485279569298385</c:v>
                </c:pt>
                <c:pt idx="31">
                  <c:v>53.010699978630861</c:v>
                </c:pt>
                <c:pt idx="32">
                  <c:v>52.540351292587047</c:v>
                </c:pt>
                <c:pt idx="33">
                  <c:v>52.074663706332139</c:v>
                </c:pt>
                <c:pt idx="34">
                  <c:v>51.614067045027255</c:v>
                </c:pt>
                <c:pt idx="35">
                  <c:v>51.158989805729</c:v>
                </c:pt>
                <c:pt idx="36">
                  <c:v>50.709858208543913</c:v>
                </c:pt>
                <c:pt idx="37">
                  <c:v>50.267095262432797</c:v>
                </c:pt>
                <c:pt idx="38">
                  <c:v>49.8311198507987</c:v>
                </c:pt>
                <c:pt idx="39">
                  <c:v>49.40234584169805</c:v>
                </c:pt>
                <c:pt idx="40">
                  <c:v>48.981181227150778</c:v>
                </c:pt>
                <c:pt idx="41">
                  <c:v>48.568027295608118</c:v>
                </c:pt>
                <c:pt idx="42">
                  <c:v>48.163277841192595</c:v>
                </c:pt>
                <c:pt idx="43">
                  <c:v>47.767318412833255</c:v>
                </c:pt>
                <c:pt idx="44">
                  <c:v>47.380525605911096</c:v>
                </c:pt>
                <c:pt idx="45">
                  <c:v>47.003266398497949</c:v>
                </c:pt>
                <c:pt idx="46">
                  <c:v>46.635897533736809</c:v>
                </c:pt>
                <c:pt idx="47">
                  <c:v>46.278764949383991</c:v>
                </c:pt>
                <c:pt idx="48">
                  <c:v>45.932203254985083</c:v>
                </c:pt>
                <c:pt idx="49">
                  <c:v>45.596535256674287</c:v>
                </c:pt>
                <c:pt idx="50">
                  <c:v>45.272071529072647</c:v>
                </c:pt>
                <c:pt idx="51">
                  <c:v>44.959110033316719</c:v>
                </c:pt>
                <c:pt idx="52">
                  <c:v>44.657935779821869</c:v>
                </c:pt>
                <c:pt idx="53">
                  <c:v>44.368820533994729</c:v>
                </c:pt>
                <c:pt idx="54">
                  <c:v>44.092022562776677</c:v>
                </c:pt>
                <c:pt idx="55">
                  <c:v>43.827786419592215</c:v>
                </c:pt>
                <c:pt idx="56">
                  <c:v>43.576342765040792</c:v>
                </c:pt>
                <c:pt idx="57">
                  <c:v>43.337908220459532</c:v>
                </c:pt>
                <c:pt idx="58">
                  <c:v>43.112685251338419</c:v>
                </c:pt>
                <c:pt idx="59">
                  <c:v>42.900862077472425</c:v>
                </c:pt>
                <c:pt idx="60">
                  <c:v>42.702612606667145</c:v>
                </c:pt>
                <c:pt idx="61">
                  <c:v>42.518096388824262</c:v>
                </c:pt>
                <c:pt idx="62">
                  <c:v>42.347458587249065</c:v>
                </c:pt>
                <c:pt idx="63">
                  <c:v>42.190829964119004</c:v>
                </c:pt>
                <c:pt idx="64">
                  <c:v>42.048326877151119</c:v>
                </c:pt>
                <c:pt idx="65">
                  <c:v>41.920051284668745</c:v>
                </c:pt>
                <c:pt idx="66">
                  <c:v>41.806090756451681</c:v>
                </c:pt>
                <c:pt idx="67">
                  <c:v>41.706518487960821</c:v>
                </c:pt>
                <c:pt idx="68">
                  <c:v>41.621393315776729</c:v>
                </c:pt>
                <c:pt idx="69">
                  <c:v>41.550759732351644</c:v>
                </c:pt>
                <c:pt idx="70">
                  <c:v>41.494647898454026</c:v>
                </c:pt>
                <c:pt idx="71">
                  <c:v>41.453073651991751</c:v>
                </c:pt>
                <c:pt idx="72">
                  <c:v>41.426038512198964</c:v>
                </c:pt>
                <c:pt idx="73">
                  <c:v>41.413529678510244</c:v>
                </c:pt>
                <c:pt idx="74">
                  <c:v>41.415520023755917</c:v>
                </c:pt>
                <c:pt idx="75">
                  <c:v>41.431968081658098</c:v>
                </c:pt>
                <c:pt idx="76">
                  <c:v>41.462818028930108</c:v>
                </c:pt>
                <c:pt idx="77">
                  <c:v>41.507999662615767</c:v>
                </c:pt>
                <c:pt idx="78">
                  <c:v>41.567428373624757</c:v>
                </c:pt>
                <c:pt idx="79">
                  <c:v>41.641005117732597</c:v>
                </c:pt>
                <c:pt idx="80">
                  <c:v>41.728616385620583</c:v>
                </c:pt>
                <c:pt idx="81">
                  <c:v>41.830134173809931</c:v>
                </c:pt>
                <c:pt idx="82">
                  <c:v>41.945415958609559</c:v>
                </c:pt>
                <c:pt idx="83">
                  <c:v>42.074304675451508</c:v>
                </c:pt>
                <c:pt idx="84">
                  <c:v>42.216628706187969</c:v>
                </c:pt>
                <c:pt idx="85">
                  <c:v>42.372201877131779</c:v>
                </c:pt>
                <c:pt idx="86">
                  <c:v>42.540823470762653</c:v>
                </c:pt>
                <c:pt idx="87">
                  <c:v>42.722278254154105</c:v>
                </c:pt>
                <c:pt idx="88">
                  <c:v>42.916336527253506</c:v>
                </c:pt>
                <c:pt idx="89">
                  <c:v>43.122754194186811</c:v>
                </c:pt>
                <c:pt idx="90">
                  <c:v>43.341272860764228</c:v>
                </c:pt>
                <c:pt idx="91">
                  <c:v>43.571619961310759</c:v>
                </c:pt>
                <c:pt idx="92">
                  <c:v>43.813508917847514</c:v>
                </c:pt>
                <c:pt idx="93">
                  <c:v>44.066639334513596</c:v>
                </c:pt>
                <c:pt idx="94">
                  <c:v>44.330697229917227</c:v>
                </c:pt>
                <c:pt idx="95">
                  <c:v>44.605355309868521</c:v>
                </c:pt>
                <c:pt idx="96">
                  <c:v>44.890273282653553</c:v>
                </c:pt>
                <c:pt idx="97">
                  <c:v>45.1850982186754</c:v>
                </c:pt>
                <c:pt idx="98">
                  <c:v>45.489464955910449</c:v>
                </c:pt>
                <c:pt idx="99">
                  <c:v>45.802996552201094</c:v>
                </c:pt>
                <c:pt idx="100">
                  <c:v>46.125304784964705</c:v>
                </c:pt>
                <c:pt idx="101">
                  <c:v>46.45599069840253</c:v>
                </c:pt>
                <c:pt idx="102">
                  <c:v>46.794645197791766</c:v>
                </c:pt>
                <c:pt idx="103">
                  <c:v>47.140849689912208</c:v>
                </c:pt>
                <c:pt idx="104">
                  <c:v>47.494176768129556</c:v>
                </c:pt>
                <c:pt idx="105">
                  <c:v>47.854190940117945</c:v>
                </c:pt>
                <c:pt idx="106">
                  <c:v>48.220449395674528</c:v>
                </c:pt>
                <c:pt idx="107">
                  <c:v>48.592502811566696</c:v>
                </c:pt>
                <c:pt idx="108">
                  <c:v>48.969896189860094</c:v>
                </c:pt>
                <c:pt idx="109">
                  <c:v>49.352169725721403</c:v>
                </c:pt>
                <c:pt idx="110">
                  <c:v>49.738859700269053</c:v>
                </c:pt>
                <c:pt idx="111">
                  <c:v>50.129499393682359</c:v>
                </c:pt>
                <c:pt idx="112">
                  <c:v>50.52362001345891</c:v>
                </c:pt>
                <c:pt idx="113">
                  <c:v>50.920751632463343</c:v>
                </c:pt>
                <c:pt idx="114">
                  <c:v>51.320424131220413</c:v>
                </c:pt>
                <c:pt idx="115">
                  <c:v>51.722168138785115</c:v>
                </c:pt>
                <c:pt idx="116">
                  <c:v>52.125515966476911</c:v>
                </c:pt>
                <c:pt idx="117">
                  <c:v>52.530002528791215</c:v>
                </c:pt>
                <c:pt idx="118">
                  <c:v>52.935166245887274</c:v>
                </c:pt>
                <c:pt idx="119">
                  <c:v>53.3405499222307</c:v>
                </c:pt>
                <c:pt idx="120">
                  <c:v>53.745701596181334</c:v>
                </c:pt>
                <c:pt idx="121">
                  <c:v>54.15017535562712</c:v>
                </c:pt>
                <c:pt idx="122">
                  <c:v>54.553532115092572</c:v>
                </c:pt>
                <c:pt idx="123">
                  <c:v>54.955340350167788</c:v>
                </c:pt>
                <c:pt idx="124">
                  <c:v>55.355176785522183</c:v>
                </c:pt>
                <c:pt idx="125">
                  <c:v>55.752627033253461</c:v>
                </c:pt>
                <c:pt idx="126">
                  <c:v>56.147286178819364</c:v>
                </c:pt>
                <c:pt idx="127">
                  <c:v>56.538759312305352</c:v>
                </c:pt>
                <c:pt idx="128">
                  <c:v>56.926662003319542</c:v>
                </c:pt>
                <c:pt idx="129">
                  <c:v>57.310620718326319</c:v>
                </c:pt>
                <c:pt idx="130">
                  <c:v>57.690273179743642</c:v>
                </c:pt>
                <c:pt idx="131">
                  <c:v>58.065268666647853</c:v>
                </c:pt>
                <c:pt idx="132">
                  <c:v>58.435268257395172</c:v>
                </c:pt>
                <c:pt idx="133">
                  <c:v>58.799945014949337</c:v>
                </c:pt>
                <c:pt idx="134">
                  <c:v>59.158984116105522</c:v>
                </c:pt>
                <c:pt idx="135">
                  <c:v>59.512082926217118</c:v>
                </c:pt>
                <c:pt idx="136">
                  <c:v>59.858951021363666</c:v>
                </c:pt>
                <c:pt idx="137">
                  <c:v>60.199310160219149</c:v>
                </c:pt>
                <c:pt idx="138">
                  <c:v>60.532894208146779</c:v>
                </c:pt>
                <c:pt idx="139">
                  <c:v>60.859449016272876</c:v>
                </c:pt>
                <c:pt idx="140">
                  <c:v>61.178732258469239</c:v>
                </c:pt>
                <c:pt idx="141">
                  <c:v>61.490513229325138</c:v>
                </c:pt>
                <c:pt idx="142">
                  <c:v>61.794572606278834</c:v>
                </c:pt>
                <c:pt idx="143">
                  <c:v>62.090702179149176</c:v>
                </c:pt>
                <c:pt idx="144">
                  <c:v>62.378704550333325</c:v>
                </c:pt>
                <c:pt idx="145">
                  <c:v>62.658392808923502</c:v>
                </c:pt>
                <c:pt idx="146">
                  <c:v>62.929590181969637</c:v>
                </c:pt>
                <c:pt idx="147">
                  <c:v>63.192129666042142</c:v>
                </c:pt>
                <c:pt idx="148">
                  <c:v>63.44585364216838</c:v>
                </c:pt>
                <c:pt idx="149">
                  <c:v>63.690613477109103</c:v>
                </c:pt>
                <c:pt idx="150">
                  <c:v>63.926269113812801</c:v>
                </c:pt>
                <c:pt idx="151">
                  <c:v>64.152688653757238</c:v>
                </c:pt>
                <c:pt idx="152">
                  <c:v>64.369747933733095</c:v>
                </c:pt>
                <c:pt idx="153">
                  <c:v>64.577330099472263</c:v>
                </c:pt>
                <c:pt idx="154">
                  <c:v>64.775325178363033</c:v>
                </c:pt>
                <c:pt idx="155">
                  <c:v>64.963629653331324</c:v>
                </c:pt>
                <c:pt idx="156">
                  <c:v>65.142146039803578</c:v>
                </c:pt>
                <c:pt idx="157">
                  <c:v>65.310782467505135</c:v>
                </c:pt>
                <c:pt idx="158">
                  <c:v>65.469452268690119</c:v>
                </c:pt>
                <c:pt idx="159">
                  <c:v>65.618073574244633</c:v>
                </c:pt>
                <c:pt idx="160">
                  <c:v>65.756568918953775</c:v>
                </c:pt>
                <c:pt idx="161">
                  <c:v>65.884864857088488</c:v>
                </c:pt>
                <c:pt idx="162">
                  <c:v>66.00289158932604</c:v>
                </c:pt>
                <c:pt idx="163">
                  <c:v>66.110582601901726</c:v>
                </c:pt>
                <c:pt idx="164">
                  <c:v>66.207874318762094</c:v>
                </c:pt>
                <c:pt idx="165">
                  <c:v>66.294705767392145</c:v>
                </c:pt>
                <c:pt idx="166">
                  <c:v>66.371018258881207</c:v>
                </c:pt>
                <c:pt idx="167">
                  <c:v>66.436755082710761</c:v>
                </c:pt>
                <c:pt idx="168">
                  <c:v>66.491861216657284</c:v>
                </c:pt>
                <c:pt idx="169">
                  <c:v>66.536283052137364</c:v>
                </c:pt>
                <c:pt idx="170">
                  <c:v>66.569968135256929</c:v>
                </c:pt>
                <c:pt idx="171">
                  <c:v>66.592864923768659</c:v>
                </c:pt>
                <c:pt idx="172">
                  <c:v>66.604922560093286</c:v>
                </c:pt>
                <c:pt idx="173">
                  <c:v>66.606090660522781</c:v>
                </c:pt>
                <c:pt idx="174">
                  <c:v>66.596319120684626</c:v>
                </c:pt>
                <c:pt idx="175">
                  <c:v>66.57555793732061</c:v>
                </c:pt>
                <c:pt idx="176">
                  <c:v>66.543757046410917</c:v>
                </c:pt>
                <c:pt idx="177">
                  <c:v>66.500866177656476</c:v>
                </c:pt>
                <c:pt idx="178">
                  <c:v>66.446834725318595</c:v>
                </c:pt>
                <c:pt idx="179">
                  <c:v>66.381611635409683</c:v>
                </c:pt>
                <c:pt idx="180">
                  <c:v>66.305145309219739</c:v>
                </c:pt>
                <c:pt idx="181">
                  <c:v>66.217383523162468</c:v>
                </c:pt>
                <c:pt idx="182">
                  <c:v>66.118273364928044</c:v>
                </c:pt>
                <c:pt idx="183">
                  <c:v>66.007761185924252</c:v>
                </c:pt>
                <c:pt idx="184">
                  <c:v>65.885792570002295</c:v>
                </c:pt>
                <c:pt idx="185">
                  <c:v>65.752312318451629</c:v>
                </c:pt>
                <c:pt idx="186">
                  <c:v>65.607264451272655</c:v>
                </c:pt>
                <c:pt idx="187">
                  <c:v>65.450592224720083</c:v>
                </c:pt>
                <c:pt idx="188">
                  <c:v>65.282238165126827</c:v>
                </c:pt>
                <c:pt idx="189">
                  <c:v>65.102144119013005</c:v>
                </c:pt>
                <c:pt idx="190">
                  <c:v>64.910251319485738</c:v>
                </c:pt>
                <c:pt idx="191">
                  <c:v>64.706500468935758</c:v>
                </c:pt>
                <c:pt idx="192">
                  <c:v>64.490831838020512</c:v>
                </c:pt>
                <c:pt idx="193">
                  <c:v>64.263185380930011</c:v>
                </c:pt>
                <c:pt idx="194">
                  <c:v>64.023500866900093</c:v>
                </c:pt>
                <c:pt idx="195">
                  <c:v>63.771718027933659</c:v>
                </c:pt>
                <c:pt idx="196">
                  <c:v>63.507776722655919</c:v>
                </c:pt>
                <c:pt idx="197">
                  <c:v>63.231617116203935</c:v>
                </c:pt>
                <c:pt idx="198">
                  <c:v>62.943179876019492</c:v>
                </c:pt>
                <c:pt idx="199">
                  <c:v>62.642406383360516</c:v>
                </c:pt>
                <c:pt idx="200">
                  <c:v>62.329238960303961</c:v>
                </c:pt>
                <c:pt idx="201">
                  <c:v>62.003621111955489</c:v>
                </c:pt>
                <c:pt idx="202">
                  <c:v>61.665497783507448</c:v>
                </c:pt>
                <c:pt idx="203">
                  <c:v>61.314815631723164</c:v>
                </c:pt>
                <c:pt idx="204">
                  <c:v>60.951523310331865</c:v>
                </c:pt>
                <c:pt idx="205">
                  <c:v>60.575571768734463</c:v>
                </c:pt>
                <c:pt idx="206">
                  <c:v>60.186914563316037</c:v>
                </c:pt>
                <c:pt idx="207">
                  <c:v>59.785508180550977</c:v>
                </c:pt>
                <c:pt idx="208">
                  <c:v>59.371312370970415</c:v>
                </c:pt>
                <c:pt idx="209">
                  <c:v>58.94429049293506</c:v>
                </c:pt>
                <c:pt idx="210">
                  <c:v>58.504409865019923</c:v>
                </c:pt>
                <c:pt idx="211">
                  <c:v>58.051642125678264</c:v>
                </c:pt>
                <c:pt idx="212">
                  <c:v>57.585963598706876</c:v>
                </c:pt>
                <c:pt idx="213">
                  <c:v>57.107355662874653</c:v>
                </c:pt>
                <c:pt idx="214">
                  <c:v>56.615805123929178</c:v>
                </c:pt>
                <c:pt idx="215">
                  <c:v>56.111304587031306</c:v>
                </c:pt>
                <c:pt idx="216">
                  <c:v>55.593852827511093</c:v>
                </c:pt>
                <c:pt idx="217">
                  <c:v>55.063455157680544</c:v>
                </c:pt>
                <c:pt idx="218">
                  <c:v>54.520123787286209</c:v>
                </c:pt>
                <c:pt idx="219">
                  <c:v>53.963878175036477</c:v>
                </c:pt>
                <c:pt idx="220">
                  <c:v>53.394745368500686</c:v>
                </c:pt>
                <c:pt idx="221">
                  <c:v>52.812760329555672</c:v>
                </c:pt>
                <c:pt idx="222">
                  <c:v>52.217966242437306</c:v>
                </c:pt>
                <c:pt idx="223">
                  <c:v>51.610414801372741</c:v>
                </c:pt>
                <c:pt idx="224">
                  <c:v>50.990166474693289</c:v>
                </c:pt>
                <c:pt idx="225">
                  <c:v>50.357290742283958</c:v>
                </c:pt>
                <c:pt idx="226">
                  <c:v>49.711866303211842</c:v>
                </c:pt>
                <c:pt idx="227">
                  <c:v>49.053981250394997</c:v>
                </c:pt>
                <c:pt idx="228">
                  <c:v>48.38373320921562</c:v>
                </c:pt>
                <c:pt idx="229">
                  <c:v>47.701229437075988</c:v>
                </c:pt>
                <c:pt idx="230">
                  <c:v>47.006586881028042</c:v>
                </c:pt>
                <c:pt idx="231">
                  <c:v>46.299932190763805</c:v>
                </c:pt>
                <c:pt idx="232">
                  <c:v>45.581401684484476</c:v>
                </c:pt>
                <c:pt idx="233">
                  <c:v>44.851141265404195</c:v>
                </c:pt>
                <c:pt idx="234">
                  <c:v>44.109306286963161</c:v>
                </c:pt>
                <c:pt idx="235">
                  <c:v>43.356061365151049</c:v>
                </c:pt>
                <c:pt idx="236">
                  <c:v>42.59158013673499</c:v>
                </c:pt>
                <c:pt idx="237">
                  <c:v>41.816044962608544</c:v>
                </c:pt>
                <c:pt idx="238">
                  <c:v>41.02964657592559</c:v>
                </c:pt>
                <c:pt idx="239">
                  <c:v>40.232583675182539</c:v>
                </c:pt>
                <c:pt idx="240">
                  <c:v>39.425062462915875</c:v>
                </c:pt>
                <c:pt idx="241">
                  <c:v>38.607296131208997</c:v>
                </c:pt>
                <c:pt idx="242">
                  <c:v>37.779504295760006</c:v>
                </c:pt>
                <c:pt idx="243">
                  <c:v>36.941912380790683</c:v>
                </c:pt>
                <c:pt idx="244">
                  <c:v>36.094750957632989</c:v>
                </c:pt>
                <c:pt idx="245">
                  <c:v>35.238255040353756</c:v>
                </c:pt>
                <c:pt idx="246">
                  <c:v>34.372663342296512</c:v>
                </c:pt>
                <c:pt idx="247">
                  <c:v>33.498217497892554</c:v>
                </c:pt>
                <c:pt idx="248">
                  <c:v>32.615161254547502</c:v>
                </c:pt>
                <c:pt idx="249">
                  <c:v>31.723739639808414</c:v>
                </c:pt>
                <c:pt idx="250">
                  <c:v>30.824198109361522</c:v>
                </c:pt>
                <c:pt idx="251">
                  <c:v>29.916781681713204</c:v>
                </c:pt>
                <c:pt idx="252">
                  <c:v>29.001734065623541</c:v>
                </c:pt>
                <c:pt idx="253">
                  <c:v>28.079296786534051</c:v>
                </c:pt>
                <c:pt idx="254">
                  <c:v>27.149708318316158</c:v>
                </c:pt>
                <c:pt idx="255">
                  <c:v>26.213203226694475</c:v>
                </c:pt>
                <c:pt idx="256">
                  <c:v>25.270011330643733</c:v>
                </c:pt>
                <c:pt idx="257">
                  <c:v>24.320356887931748</c:v>
                </c:pt>
                <c:pt idx="258">
                  <c:v>23.364457810806936</c:v>
                </c:pt>
                <c:pt idx="259">
                  <c:v>22.402524917557642</c:v>
                </c:pt>
                <c:pt idx="260">
                  <c:v>21.434761225372398</c:v>
                </c:pt>
                <c:pt idx="261">
                  <c:v>20.461361289552158</c:v>
                </c:pt>
                <c:pt idx="262">
                  <c:v>19.482510593722914</c:v>
                </c:pt>
                <c:pt idx="263">
                  <c:v>18.498384995237803</c:v>
                </c:pt>
                <c:pt idx="264">
                  <c:v>17.509150229479214</c:v>
                </c:pt>
                <c:pt idx="265">
                  <c:v>16.514961476258783</c:v>
                </c:pt>
                <c:pt idx="266">
                  <c:v>15.515962991000274</c:v>
                </c:pt>
                <c:pt idx="267">
                  <c:v>14.51228780284772</c:v>
                </c:pt>
                <c:pt idx="268">
                  <c:v>13.504057481326749</c:v>
                </c:pt>
                <c:pt idx="269">
                  <c:v>12.491381972653214</c:v>
                </c:pt>
                <c:pt idx="270">
                  <c:v>11.474359506284523</c:v>
                </c:pt>
                <c:pt idx="271">
                  <c:v>10.45307657181608</c:v>
                </c:pt>
                <c:pt idx="272">
                  <c:v>9.4276079658716103</c:v>
                </c:pt>
                <c:pt idx="273">
                  <c:v>8.3980169081846601</c:v>
                </c:pt>
                <c:pt idx="274">
                  <c:v>7.3643552256983309</c:v>
                </c:pt>
                <c:pt idx="275">
                  <c:v>6.3266636031083738</c:v>
                </c:pt>
                <c:pt idx="276">
                  <c:v>5.2849718979752005</c:v>
                </c:pt>
                <c:pt idx="277">
                  <c:v>4.2392995182194149</c:v>
                </c:pt>
                <c:pt idx="278">
                  <c:v>3.1896558595627709</c:v>
                </c:pt>
                <c:pt idx="279">
                  <c:v>2.1360408002576223</c:v>
                </c:pt>
                <c:pt idx="280">
                  <c:v>1.0784452502536261</c:v>
                </c:pt>
                <c:pt idx="281">
                  <c:v>1.6851751801557707E-2</c:v>
                </c:pt>
                <c:pt idx="282">
                  <c:v>-1.0487648716442473</c:v>
                </c:pt>
                <c:pt idx="283">
                  <c:v>-2.1184368214542726</c:v>
                </c:pt>
                <c:pt idx="284">
                  <c:v>-3.1922025881001272</c:v>
                </c:pt>
                <c:pt idx="285">
                  <c:v>-4.2701061770548199</c:v>
                </c:pt>
                <c:pt idx="286">
                  <c:v>-5.3521962997273862</c:v>
                </c:pt>
                <c:pt idx="287">
                  <c:v>-6.4385255328929389</c:v>
                </c:pt>
                <c:pt idx="288">
                  <c:v>-7.5291494500762788</c:v>
                </c:pt>
                <c:pt idx="289">
                  <c:v>-8.6241257283811521</c:v>
                </c:pt>
                <c:pt idx="290">
                  <c:v>-9.7235132342591886</c:v>
                </c:pt>
                <c:pt idx="291">
                  <c:v>-10.827371091716531</c:v>
                </c:pt>
                <c:pt idx="292">
                  <c:v>-11.935757736475212</c:v>
                </c:pt>
                <c:pt idx="293">
                  <c:v>-13.048729959601634</c:v>
                </c:pt>
                <c:pt idx="294">
                  <c:v>-14.166341944140225</c:v>
                </c:pt>
                <c:pt idx="295">
                  <c:v>-15.288644298288293</c:v>
                </c:pt>
                <c:pt idx="296">
                  <c:v>-16.415683088680559</c:v>
                </c:pt>
                <c:pt idx="297">
                  <c:v>-17.547498877356556</c:v>
                </c:pt>
                <c:pt idx="298">
                  <c:v>-18.684125766015981</c:v>
                </c:pt>
                <c:pt idx="299">
                  <c:v>-19.825590451174161</c:v>
                </c:pt>
                <c:pt idx="300">
                  <c:v>-20.971911293864402</c:v>
                </c:pt>
                <c:pt idx="301">
                  <c:v>-22.12309740753226</c:v>
                </c:pt>
                <c:pt idx="302">
                  <c:v>-23.279147767784327</c:v>
                </c:pt>
                <c:pt idx="303">
                  <c:v>-24.440050347657383</c:v>
                </c:pt>
                <c:pt idx="304">
                  <c:v>-25.605781282050554</c:v>
                </c:pt>
                <c:pt idx="305">
                  <c:v>-26.776304064949873</c:v>
                </c:pt>
                <c:pt idx="306">
                  <c:v>-27.951568783024392</c:v>
                </c:pt>
                <c:pt idx="307">
                  <c:v>-29.131511389117829</c:v>
                </c:pt>
                <c:pt idx="308">
                  <c:v>-30.316053019068935</c:v>
                </c:pt>
                <c:pt idx="309">
                  <c:v>-31.5050993551936</c:v>
                </c:pt>
                <c:pt idx="310">
                  <c:v>-32.698540039625783</c:v>
                </c:pt>
                <c:pt idx="311">
                  <c:v>-33.896248140547733</c:v>
                </c:pt>
                <c:pt idx="312">
                  <c:v>-35.098079674167522</c:v>
                </c:pt>
                <c:pt idx="313">
                  <c:v>-36.303873185069698</c:v>
                </c:pt>
                <c:pt idx="314">
                  <c:v>-37.513449387328038</c:v>
                </c:pt>
                <c:pt idx="315">
                  <c:v>-38.726610868502583</c:v>
                </c:pt>
                <c:pt idx="316">
                  <c:v>-39.943141858349023</c:v>
                </c:pt>
                <c:pt idx="317">
                  <c:v>-41.162808063741174</c:v>
                </c:pt>
                <c:pt idx="318">
                  <c:v>-42.385356570995711</c:v>
                </c:pt>
                <c:pt idx="319">
                  <c:v>-43.610515816416275</c:v>
                </c:pt>
                <c:pt idx="320">
                  <c:v>-44.837995625532962</c:v>
                </c:pt>
                <c:pt idx="321">
                  <c:v>-46.067487321145776</c:v>
                </c:pt>
                <c:pt idx="322">
                  <c:v>-47.298663899905392</c:v>
                </c:pt>
                <c:pt idx="323">
                  <c:v>-48.531180276830156</c:v>
                </c:pt>
                <c:pt idx="324">
                  <c:v>-49.764673596789699</c:v>
                </c:pt>
                <c:pt idx="325">
                  <c:v>-50.998763611665716</c:v>
                </c:pt>
                <c:pt idx="326">
                  <c:v>-52.233053121584177</c:v>
                </c:pt>
                <c:pt idx="327">
                  <c:v>-53.467128478338118</c:v>
                </c:pt>
                <c:pt idx="328">
                  <c:v>-54.700560148850698</c:v>
                </c:pt>
                <c:pt idx="329">
                  <c:v>-55.932903336316144</c:v>
                </c:pt>
                <c:pt idx="330">
                  <c:v>-57.163698656454962</c:v>
                </c:pt>
                <c:pt idx="331">
                  <c:v>-58.392472866174806</c:v>
                </c:pt>
                <c:pt idx="332">
                  <c:v>-59.618739641797902</c:v>
                </c:pt>
                <c:pt idx="333">
                  <c:v>-60.84200040394326</c:v>
                </c:pt>
                <c:pt idx="334">
                  <c:v>-62.061745186073402</c:v>
                </c:pt>
                <c:pt idx="335">
                  <c:v>-63.277453543728065</c:v>
                </c:pt>
                <c:pt idx="336">
                  <c:v>-64.488595501420789</c:v>
                </c:pt>
                <c:pt idx="337">
                  <c:v>-65.694632534242842</c:v>
                </c:pt>
                <c:pt idx="338">
                  <c:v>-66.895018581225912</c:v>
                </c:pt>
                <c:pt idx="339">
                  <c:v>-68.089201087573628</c:v>
                </c:pt>
                <c:pt idx="340">
                  <c:v>-69.276622072932355</c:v>
                </c:pt>
                <c:pt idx="341">
                  <c:v>-70.456719222929209</c:v>
                </c:pt>
                <c:pt idx="342">
                  <c:v>-71.628927001247902</c:v>
                </c:pt>
                <c:pt idx="343">
                  <c:v>-72.792677779575982</c:v>
                </c:pt>
                <c:pt idx="344">
                  <c:v>-73.94740298277668</c:v>
                </c:pt>
                <c:pt idx="345">
                  <c:v>-75.09253424667429</c:v>
                </c:pt>
                <c:pt idx="346">
                  <c:v>-76.22750458583694</c:v>
                </c:pt>
                <c:pt idx="347">
                  <c:v>-77.351749568730654</c:v>
                </c:pt>
                <c:pt idx="348">
                  <c:v>-78.464708497613998</c:v>
                </c:pt>
                <c:pt idx="349">
                  <c:v>-79.565825590469288</c:v>
                </c:pt>
                <c:pt idx="350">
                  <c:v>-80.654551162244573</c:v>
                </c:pt>
                <c:pt idx="351">
                  <c:v>-81.730342802604838</c:v>
                </c:pt>
                <c:pt idx="352">
                  <c:v>-82.792666547331038</c:v>
                </c:pt>
                <c:pt idx="353">
                  <c:v>-83.840998040432225</c:v>
                </c:pt>
                <c:pt idx="354">
                  <c:v>-84.87482368399003</c:v>
                </c:pt>
                <c:pt idx="355">
                  <c:v>-85.89364177266998</c:v>
                </c:pt>
                <c:pt idx="356">
                  <c:v>-86.896963609824496</c:v>
                </c:pt>
                <c:pt idx="357">
                  <c:v>-87.884314602060599</c:v>
                </c:pt>
                <c:pt idx="358">
                  <c:v>-88.855235329146538</c:v>
                </c:pt>
                <c:pt idx="359">
                  <c:v>-89.809282586150346</c:v>
                </c:pt>
                <c:pt idx="360">
                  <c:v>-90.74603039473898</c:v>
                </c:pt>
                <c:pt idx="361">
                  <c:v>-91.665070980629125</c:v>
                </c:pt>
                <c:pt idx="362">
                  <c:v>-92.566015714275451</c:v>
                </c:pt>
                <c:pt idx="363">
                  <c:v>-93.448496012000362</c:v>
                </c:pt>
                <c:pt idx="364">
                  <c:v>-94.312164194900078</c:v>
                </c:pt>
                <c:pt idx="365">
                  <c:v>-95.156694303029411</c:v>
                </c:pt>
                <c:pt idx="366">
                  <c:v>-95.98178286254452</c:v>
                </c:pt>
                <c:pt idx="367">
                  <c:v>-96.787149603666265</c:v>
                </c:pt>
                <c:pt idx="368">
                  <c:v>-97.572538127544206</c:v>
                </c:pt>
                <c:pt idx="369">
                  <c:v>-98.337716520289803</c:v>
                </c:pt>
                <c:pt idx="370">
                  <c:v>-99.082477912672758</c:v>
                </c:pt>
                <c:pt idx="371">
                  <c:v>-99.806640984163835</c:v>
                </c:pt>
                <c:pt idx="372">
                  <c:v>-100.51005041022094</c:v>
                </c:pt>
                <c:pt idx="373">
                  <c:v>-101.19257725188422</c:v>
                </c:pt>
                <c:pt idx="374">
                  <c:v>-101.85411928693725</c:v>
                </c:pt>
                <c:pt idx="375">
                  <c:v>-102.49460128203239</c:v>
                </c:pt>
                <c:pt idx="376">
                  <c:v>-103.11397520532822</c:v>
                </c:pt>
                <c:pt idx="377">
                  <c:v>-103.71222037930313</c:v>
                </c:pt>
                <c:pt idx="378">
                  <c:v>-104.28934357351403</c:v>
                </c:pt>
                <c:pt idx="379">
                  <c:v>-104.84537903715386</c:v>
                </c:pt>
                <c:pt idx="380">
                  <c:v>-105.38038847133531</c:v>
                </c:pt>
                <c:pt idx="381">
                  <c:v>-105.89446094108494</c:v>
                </c:pt>
                <c:pt idx="382">
                  <c:v>-106.38771272708266</c:v>
                </c:pt>
                <c:pt idx="383">
                  <c:v>-106.8602871172278</c:v>
                </c:pt>
                <c:pt idx="384">
                  <c:v>-107.31235413815544</c:v>
                </c:pt>
                <c:pt idx="385">
                  <c:v>-107.74411022687922</c:v>
                </c:pt>
                <c:pt idx="386">
                  <c:v>-108.15577784278214</c:v>
                </c:pt>
                <c:pt idx="387">
                  <c:v>-108.54760502026494</c:v>
                </c:pt>
                <c:pt idx="388">
                  <c:v>-108.91986486243066</c:v>
                </c:pt>
                <c:pt idx="389">
                  <c:v>-109.27285497630021</c:v>
                </c:pt>
                <c:pt idx="390">
                  <c:v>-109.60689685018946</c:v>
                </c:pt>
                <c:pt idx="391">
                  <c:v>-109.92233517402749</c:v>
                </c:pt>
                <c:pt idx="392">
                  <c:v>-110.219537103599</c:v>
                </c:pt>
                <c:pt idx="393">
                  <c:v>-110.49889146989236</c:v>
                </c:pt>
                <c:pt idx="394">
                  <c:v>-110.76080793500311</c:v>
                </c:pt>
                <c:pt idx="395">
                  <c:v>-111.00571609630472</c:v>
                </c:pt>
                <c:pt idx="396">
                  <c:v>-111.23406454090113</c:v>
                </c:pt>
                <c:pt idx="397">
                  <c:v>-111.44631985270497</c:v>
                </c:pt>
                <c:pt idx="398">
                  <c:v>-111.64296557482322</c:v>
                </c:pt>
                <c:pt idx="399">
                  <c:v>-111.82450113028351</c:v>
                </c:pt>
                <c:pt idx="400">
                  <c:v>-111.99144070450582</c:v>
                </c:pt>
                <c:pt idx="401">
                  <c:v>-112.14431209326536</c:v>
                </c:pt>
                <c:pt idx="402">
                  <c:v>-112.28365552026804</c:v>
                </c:pt>
                <c:pt idx="403">
                  <c:v>-112.41002242877822</c:v>
                </c:pt>
                <c:pt idx="404">
                  <c:v>-112.52397425206208</c:v>
                </c:pt>
                <c:pt idx="405">
                  <c:v>-112.62608116769196</c:v>
                </c:pt>
                <c:pt idx="406">
                  <c:v>-112.71692084100123</c:v>
                </c:pt>
                <c:pt idx="407">
                  <c:v>-112.79707716318255</c:v>
                </c:pt>
                <c:pt idx="408">
                  <c:v>-112.86713898967183</c:v>
                </c:pt>
                <c:pt idx="409">
                  <c:v>-112.9276988845577</c:v>
                </c:pt>
                <c:pt idx="410">
                  <c:v>-112.97935187679094</c:v>
                </c:pt>
                <c:pt idx="411">
                  <c:v>-113.02269423394551</c:v>
                </c:pt>
                <c:pt idx="412">
                  <c:v>-113.05832225918877</c:v>
                </c:pt>
                <c:pt idx="413">
                  <c:v>-113.08683111697769</c:v>
                </c:pt>
                <c:pt idx="414">
                  <c:v>-113.10881369276696</c:v>
                </c:pt>
                <c:pt idx="415">
                  <c:v>-113.12485949175569</c:v>
                </c:pt>
                <c:pt idx="416">
                  <c:v>-113.1355535813648</c:v>
                </c:pt>
                <c:pt idx="417">
                  <c:v>-113.14147558175165</c:v>
                </c:pt>
                <c:pt idx="418">
                  <c:v>-113.14319870824797</c:v>
                </c:pt>
                <c:pt idx="419">
                  <c:v>-113.1412888691393</c:v>
                </c:pt>
                <c:pt idx="420">
                  <c:v>-113.13630382171462</c:v>
                </c:pt>
                <c:pt idx="421">
                  <c:v>-113.12879238897946</c:v>
                </c:pt>
                <c:pt idx="422">
                  <c:v>-113.11929373891279</c:v>
                </c:pt>
                <c:pt idx="423">
                  <c:v>-113.10833672758359</c:v>
                </c:pt>
                <c:pt idx="424">
                  <c:v>-113.09643930691475</c:v>
                </c:pt>
                <c:pt idx="425">
                  <c:v>-113.08410799734155</c:v>
                </c:pt>
                <c:pt idx="426">
                  <c:v>-113.07183742508838</c:v>
                </c:pt>
                <c:pt idx="427">
                  <c:v>-113.06010992329929</c:v>
                </c:pt>
                <c:pt idx="428">
                  <c:v>-113.04939519576671</c:v>
                </c:pt>
                <c:pt idx="429">
                  <c:v>-113.0401500415887</c:v>
                </c:pt>
                <c:pt idx="430">
                  <c:v>-113.03281813865607</c:v>
                </c:pt>
                <c:pt idx="431">
                  <c:v>-113.02782988351906</c:v>
                </c:pt>
                <c:pt idx="432">
                  <c:v>-113.02560228486365</c:v>
                </c:pt>
                <c:pt idx="433">
                  <c:v>-113.0265389075329</c:v>
                </c:pt>
                <c:pt idx="434">
                  <c:v>-113.03102986380866</c:v>
                </c:pt>
                <c:pt idx="435">
                  <c:v>-113.03945184846455</c:v>
                </c:pt>
                <c:pt idx="436">
                  <c:v>-113.0521682139604</c:v>
                </c:pt>
                <c:pt idx="437">
                  <c:v>-113.0695290820332</c:v>
                </c:pt>
                <c:pt idx="438">
                  <c:v>-113.09187148787662</c:v>
                </c:pt>
                <c:pt idx="439">
                  <c:v>-113.11951955306665</c:v>
                </c:pt>
                <c:pt idx="440">
                  <c:v>-113.15278468339787</c:v>
                </c:pt>
                <c:pt idx="441">
                  <c:v>-113.19196578782692</c:v>
                </c:pt>
                <c:pt idx="442">
                  <c:v>-113.23734951478549</c:v>
                </c:pt>
                <c:pt idx="443">
                  <c:v>-113.28921050221828</c:v>
                </c:pt>
                <c:pt idx="444">
                  <c:v>-113.34781163779988</c:v>
                </c:pt>
                <c:pt idx="445">
                  <c:v>-113.41340432594161</c:v>
                </c:pt>
                <c:pt idx="446">
                  <c:v>-113.48622875831033</c:v>
                </c:pt>
                <c:pt idx="447">
                  <c:v>-113.56651418478249</c:v>
                </c:pt>
                <c:pt idx="448">
                  <c:v>-113.6544791818913</c:v>
                </c:pt>
                <c:pt idx="449">
                  <c:v>-113.75033191603194</c:v>
                </c:pt>
                <c:pt idx="450">
                  <c:v>-113.85427039886335</c:v>
                </c:pt>
                <c:pt idx="451">
                  <c:v>-113.96648273253354</c:v>
                </c:pt>
                <c:pt idx="452">
                  <c:v>-114.08714734255962</c:v>
                </c:pt>
                <c:pt idx="453">
                  <c:v>-114.21643319637727</c:v>
                </c:pt>
                <c:pt idx="454">
                  <c:v>-114.35450000577779</c:v>
                </c:pt>
                <c:pt idx="455">
                  <c:v>-114.50149841163673</c:v>
                </c:pt>
                <c:pt idx="456">
                  <c:v>-114.6575701495416</c:v>
                </c:pt>
                <c:pt idx="457">
                  <c:v>-114.82284819510916</c:v>
                </c:pt>
                <c:pt idx="458">
                  <c:v>-114.99745688797665</c:v>
                </c:pt>
                <c:pt idx="459">
                  <c:v>-115.18151203364079</c:v>
                </c:pt>
                <c:pt idx="460">
                  <c:v>-115.37512098249934</c:v>
                </c:pt>
                <c:pt idx="461">
                  <c:v>-115.57838268564281</c:v>
                </c:pt>
                <c:pt idx="462">
                  <c:v>-115.79138772712018</c:v>
                </c:pt>
                <c:pt idx="463">
                  <c:v>-116.01421833259015</c:v>
                </c:pt>
                <c:pt idx="464">
                  <c:v>-116.24694835445271</c:v>
                </c:pt>
                <c:pt idx="465">
                  <c:v>-116.48964323373069</c:v>
                </c:pt>
                <c:pt idx="466">
                  <c:v>-116.74235993916793</c:v>
                </c:pt>
                <c:pt idx="467">
                  <c:v>-117.00514688418129</c:v>
                </c:pt>
                <c:pt idx="468">
                  <c:v>-117.27804382249302</c:v>
                </c:pt>
                <c:pt idx="469">
                  <c:v>-117.56108172346326</c:v>
                </c:pt>
                <c:pt idx="470">
                  <c:v>-117.8542826283133</c:v>
                </c:pt>
                <c:pt idx="471">
                  <c:v>-118.1576594886388</c:v>
                </c:pt>
                <c:pt idx="472">
                  <c:v>-118.47121598877868</c:v>
                </c:pt>
                <c:pt idx="473">
                  <c:v>-118.79494635381407</c:v>
                </c:pt>
                <c:pt idx="474">
                  <c:v>-119.12883514514326</c:v>
                </c:pt>
                <c:pt idx="475">
                  <c:v>-119.47285704577818</c:v>
                </c:pt>
                <c:pt idx="476">
                  <c:v>-119.82697663767452</c:v>
                </c:pt>
                <c:pt idx="477">
                  <c:v>-120.19114817360304</c:v>
                </c:pt>
                <c:pt idx="478">
                  <c:v>-120.56531534622822</c:v>
                </c:pt>
                <c:pt idx="479">
                  <c:v>-120.94941105722336</c:v>
                </c:pt>
                <c:pt idx="480">
                  <c:v>-121.34335718941531</c:v>
                </c:pt>
                <c:pt idx="481">
                  <c:v>-121.74706438507012</c:v>
                </c:pt>
                <c:pt idx="482">
                  <c:v>-122.1604318335706</c:v>
                </c:pt>
                <c:pt idx="483">
                  <c:v>-122.58334707182678</c:v>
                </c:pt>
                <c:pt idx="484">
                  <c:v>-123.01568580084442</c:v>
                </c:pt>
                <c:pt idx="485">
                  <c:v>-123.45731172193557</c:v>
                </c:pt>
                <c:pt idx="486">
                  <c:v>-123.90807639606746</c:v>
                </c:pt>
                <c:pt idx="487">
                  <c:v>-124.36781912985707</c:v>
                </c:pt>
                <c:pt idx="488">
                  <c:v>-124.83636689166354</c:v>
                </c:pt>
                <c:pt idx="489">
                  <c:v>-125.31353426116338</c:v>
                </c:pt>
                <c:pt idx="490">
                  <c:v>-125.79912341566838</c:v>
                </c:pt>
                <c:pt idx="491">
                  <c:v>-126.29292415629308</c:v>
                </c:pt>
                <c:pt idx="492">
                  <c:v>-126.79471397687988</c:v>
                </c:pt>
                <c:pt idx="493">
                  <c:v>-127.30425817833201</c:v>
                </c:pt>
                <c:pt idx="494">
                  <c:v>-127.82131003073599</c:v>
                </c:pt>
                <c:pt idx="495">
                  <c:v>-128.34561098531125</c:v>
                </c:pt>
                <c:pt idx="496">
                  <c:v>-128.8768909378565</c:v>
                </c:pt>
                <c:pt idx="497">
                  <c:v>-129.41486854495145</c:v>
                </c:pt>
                <c:pt idx="498">
                  <c:v>-129.95925159373056</c:v>
                </c:pt>
                <c:pt idx="499">
                  <c:v>-130.50973742556678</c:v>
                </c:pt>
                <c:pt idx="500">
                  <c:v>-131.06601341349341</c:v>
                </c:pt>
                <c:pt idx="501">
                  <c:v>-131.62775749268278</c:v>
                </c:pt>
                <c:pt idx="502">
                  <c:v>-132.19463874275198</c:v>
                </c:pt>
                <c:pt idx="503">
                  <c:v>-132.76631802013443</c:v>
                </c:pt>
                <c:pt idx="504">
                  <c:v>-133.34244863820015</c:v>
                </c:pt>
                <c:pt idx="505">
                  <c:v>-133.9226770922979</c:v>
                </c:pt>
                <c:pt idx="506">
                  <c:v>-134.50664382636057</c:v>
                </c:pt>
                <c:pt idx="507">
                  <c:v>-135.09398403724043</c:v>
                </c:pt>
                <c:pt idx="508">
                  <c:v>-135.68432851249455</c:v>
                </c:pt>
                <c:pt idx="509">
                  <c:v>-136.27730449691643</c:v>
                </c:pt>
                <c:pt idx="510">
                  <c:v>-136.8725365827751</c:v>
                </c:pt>
                <c:pt idx="511">
                  <c:v>-137.46964761840172</c:v>
                </c:pt>
                <c:pt idx="512">
                  <c:v>-138.06825962954048</c:v>
                </c:pt>
                <c:pt idx="513">
                  <c:v>-138.66799474769826</c:v>
                </c:pt>
                <c:pt idx="514">
                  <c:v>-139.26847613963028</c:v>
                </c:pt>
                <c:pt idx="515">
                  <c:v>-139.86932893206526</c:v>
                </c:pt>
                <c:pt idx="516">
                  <c:v>-140.47018112581537</c:v>
                </c:pt>
                <c:pt idx="517">
                  <c:v>-141.07066449352786</c:v>
                </c:pt>
                <c:pt idx="518">
                  <c:v>-141.67041545551521</c:v>
                </c:pt>
                <c:pt idx="519">
                  <c:v>-142.26907592834695</c:v>
                </c:pt>
                <c:pt idx="520">
                  <c:v>-142.86629414119358</c:v>
                </c:pt>
                <c:pt idx="521">
                  <c:v>-143.46172541527113</c:v>
                </c:pt>
                <c:pt idx="522">
                  <c:v>-144.05503290214841</c:v>
                </c:pt>
                <c:pt idx="523">
                  <c:v>-144.64588827712379</c:v>
                </c:pt>
                <c:pt idx="524">
                  <c:v>-145.23397238436777</c:v>
                </c:pt>
                <c:pt idx="525">
                  <c:v>-145.81897583102534</c:v>
                </c:pt>
                <c:pt idx="526">
                  <c:v>-146.40059952800277</c:v>
                </c:pt>
                <c:pt idx="527">
                  <c:v>-146.97855517569192</c:v>
                </c:pt>
                <c:pt idx="528">
                  <c:v>-147.55256569340912</c:v>
                </c:pt>
                <c:pt idx="529">
                  <c:v>-148.12236559186212</c:v>
                </c:pt>
                <c:pt idx="530">
                  <c:v>-148.68770128843988</c:v>
                </c:pt>
                <c:pt idx="531">
                  <c:v>-149.24833136563475</c:v>
                </c:pt>
                <c:pt idx="532">
                  <c:v>-149.80402677333581</c:v>
                </c:pt>
                <c:pt idx="533">
                  <c:v>-150.35457097617541</c:v>
                </c:pt>
                <c:pt idx="534">
                  <c:v>-150.89976004748488</c:v>
                </c:pt>
                <c:pt idx="535">
                  <c:v>-151.43940271177632</c:v>
                </c:pt>
                <c:pt idx="536">
                  <c:v>-151.97332033795996</c:v>
                </c:pt>
                <c:pt idx="537">
                  <c:v>-152.50134688578657</c:v>
                </c:pt>
                <c:pt idx="538">
                  <c:v>-153.0233288082087</c:v>
                </c:pt>
                <c:pt idx="539">
                  <c:v>-153.53912491254039</c:v>
                </c:pt>
                <c:pt idx="540">
                  <c:v>-154.04860618343366</c:v>
                </c:pt>
                <c:pt idx="541">
                  <c:v>-154.5516555707753</c:v>
                </c:pt>
              </c:numCache>
            </c:numRef>
          </c:yVal>
          <c:smooth val="1"/>
          <c:extLst>
            <c:ext xmlns:c16="http://schemas.microsoft.com/office/drawing/2014/chart" uri="{C3380CC4-5D6E-409C-BE32-E72D297353CC}">
              <c16:uniqueId val="{00000001-8173-45EB-83AD-B179A66292B6}"/>
            </c:ext>
          </c:extLst>
        </c:ser>
        <c:dLbls>
          <c:showLegendKey val="0"/>
          <c:showVal val="0"/>
          <c:showCatName val="0"/>
          <c:showSerName val="0"/>
          <c:showPercent val="0"/>
          <c:showBubbleSize val="0"/>
        </c:dLbls>
        <c:axId val="555537920"/>
        <c:axId val="555536384"/>
      </c:scatterChart>
      <c:valAx>
        <c:axId val="555528192"/>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555530112"/>
        <c:crosses val="autoZero"/>
        <c:crossBetween val="midCat"/>
      </c:valAx>
      <c:valAx>
        <c:axId val="555530112"/>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a:solidFill>
                  <a:srgbClr val="FF0000"/>
                </a:solidFill>
              </a:defRPr>
            </a:pPr>
            <a:endParaRPr lang="en-US"/>
          </a:p>
        </c:txPr>
        <c:crossAx val="555528192"/>
        <c:crosses val="autoZero"/>
        <c:crossBetween val="midCat"/>
        <c:majorUnit val="20"/>
        <c:minorUnit val="10"/>
      </c:valAx>
      <c:valAx>
        <c:axId val="555536384"/>
        <c:scaling>
          <c:orientation val="minMax"/>
          <c:max val="180"/>
          <c:min val="-180"/>
        </c:scaling>
        <c:delete val="0"/>
        <c:axPos val="r"/>
        <c:numFmt formatCode="General" sourceLinked="1"/>
        <c:majorTickMark val="out"/>
        <c:minorTickMark val="none"/>
        <c:tickLblPos val="nextTo"/>
        <c:txPr>
          <a:bodyPr/>
          <a:lstStyle/>
          <a:p>
            <a:pPr>
              <a:defRPr>
                <a:solidFill>
                  <a:schemeClr val="tx1">
                    <a:lumMod val="95000"/>
                    <a:lumOff val="5000"/>
                  </a:schemeClr>
                </a:solidFill>
              </a:defRPr>
            </a:pPr>
            <a:endParaRPr lang="en-US"/>
          </a:p>
        </c:txPr>
        <c:crossAx val="555537920"/>
        <c:crosses val="max"/>
        <c:crossBetween val="midCat"/>
        <c:majorUnit val="90"/>
        <c:minorUnit val="45"/>
      </c:valAx>
      <c:valAx>
        <c:axId val="555537920"/>
        <c:scaling>
          <c:logBase val="10"/>
          <c:orientation val="minMax"/>
        </c:scaling>
        <c:delete val="1"/>
        <c:axPos val="b"/>
        <c:numFmt formatCode="0.00" sourceLinked="1"/>
        <c:majorTickMark val="out"/>
        <c:minorTickMark val="none"/>
        <c:tickLblPos val="nextTo"/>
        <c:crossAx val="555536384"/>
        <c:crosses val="autoZero"/>
        <c:crossBetween val="midCat"/>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Eff_vs_IOUT!$AW$7:$AW$157</c:f>
              <c:numCache>
                <c:formatCode>General</c:formatCode>
                <c:ptCount val="151"/>
                <c:pt idx="0">
                  <c:v>0</c:v>
                </c:pt>
                <c:pt idx="1">
                  <c:v>57.125614912726022</c:v>
                </c:pt>
                <c:pt idx="2">
                  <c:v>71.323571544960416</c:v>
                </c:pt>
                <c:pt idx="3">
                  <c:v>77.749346213393522</c:v>
                </c:pt>
                <c:pt idx="4">
                  <c:v>81.522413696774009</c:v>
                </c:pt>
                <c:pt idx="5">
                  <c:v>83.977586182593996</c:v>
                </c:pt>
                <c:pt idx="6">
                  <c:v>85.685545377366452</c:v>
                </c:pt>
                <c:pt idx="7">
                  <c:v>86.937505221276297</c:v>
                </c:pt>
                <c:pt idx="8">
                  <c:v>87.890758174125594</c:v>
                </c:pt>
                <c:pt idx="9">
                  <c:v>88.637720770368887</c:v>
                </c:pt>
                <c:pt idx="10">
                  <c:v>89.236254991533045</c:v>
                </c:pt>
                <c:pt idx="11">
                  <c:v>89.72443762791525</c:v>
                </c:pt>
                <c:pt idx="12">
                  <c:v>90.128350918802965</c:v>
                </c:pt>
                <c:pt idx="13">
                  <c:v>90.466460748329069</c:v>
                </c:pt>
                <c:pt idx="14">
                  <c:v>90.752207585803106</c:v>
                </c:pt>
                <c:pt idx="15">
                  <c:v>90.995607134908738</c:v>
                </c:pt>
                <c:pt idx="16">
                  <c:v>91.204275832277716</c:v>
                </c:pt>
                <c:pt idx="17">
                  <c:v>91.384108681170943</c:v>
                </c:pt>
                <c:pt idx="18">
                  <c:v>91.539739575762141</c:v>
                </c:pt>
                <c:pt idx="19">
                  <c:v>91.674861411269063</c:v>
                </c:pt>
                <c:pt idx="20">
                  <c:v>91.792453399808082</c:v>
                </c:pt>
                <c:pt idx="21">
                  <c:v>91.894945528296802</c:v>
                </c:pt>
                <c:pt idx="22">
                  <c:v>91.984339543577249</c:v>
                </c:pt>
                <c:pt idx="23">
                  <c:v>92.062299305876692</c:v>
                </c:pt>
                <c:pt idx="24">
                  <c:v>92.130219192328127</c:v>
                </c:pt>
                <c:pt idx="25">
                  <c:v>92.189276529587076</c:v>
                </c:pt>
                <c:pt idx="26">
                  <c:v>92.2404722429781</c:v>
                </c:pt>
                <c:pt idx="27">
                  <c:v>92.284662700152779</c:v>
                </c:pt>
                <c:pt idx="28">
                  <c:v>92.322584897085122</c:v>
                </c:pt>
                <c:pt idx="29">
                  <c:v>92.354876555653348</c:v>
                </c:pt>
                <c:pt idx="30">
                  <c:v>92.382092293106183</c:v>
                </c:pt>
                <c:pt idx="31">
                  <c:v>92.40471673087427</c:v>
                </c:pt>
                <c:pt idx="32">
                  <c:v>92.423175197951863</c:v>
                </c:pt>
                <c:pt idx="33">
                  <c:v>92.437842528521472</c:v>
                </c:pt>
                <c:pt idx="34">
                  <c:v>92.44905033829022</c:v>
                </c:pt>
                <c:pt idx="35">
                  <c:v>92.457093077845528</c:v>
                </c:pt>
                <c:pt idx="36">
                  <c:v>92.462233096309035</c:v>
                </c:pt>
                <c:pt idx="37">
                  <c:v>92.464704899062028</c:v>
                </c:pt>
                <c:pt idx="38">
                  <c:v>92.464718745325243</c:v>
                </c:pt>
                <c:pt idx="39">
                  <c:v>92.462463701997166</c:v>
                </c:pt>
                <c:pt idx="40">
                  <c:v>92.458110247273311</c:v>
                </c:pt>
                <c:pt idx="41">
                  <c:v>92.451812499626655</c:v>
                </c:pt>
                <c:pt idx="42">
                  <c:v>92.443710133567805</c:v>
                </c:pt>
                <c:pt idx="43">
                  <c:v>92.433930032360308</c:v>
                </c:pt>
                <c:pt idx="44">
                  <c:v>92.422587718884955</c:v>
                </c:pt>
                <c:pt idx="45">
                  <c:v>92.409788598636538</c:v>
                </c:pt>
                <c:pt idx="46">
                  <c:v>92.39562904301421</c:v>
                </c:pt>
                <c:pt idx="47">
                  <c:v>92.380197336343016</c:v>
                </c:pt>
                <c:pt idx="48">
                  <c:v>92.363574506214889</c:v>
                </c:pt>
                <c:pt idx="49">
                  <c:v>92.345835053583073</c:v>
                </c:pt>
                <c:pt idx="50">
                  <c:v>92.327047596451521</c:v>
                </c:pt>
                <c:pt idx="51">
                  <c:v>92.307275438858852</c:v>
                </c:pt>
                <c:pt idx="52">
                  <c:v>92.28657707507945</c:v>
                </c:pt>
                <c:pt idx="53">
                  <c:v>92.265006637487645</c:v>
                </c:pt>
                <c:pt idx="54">
                  <c:v>92.24261429529399</c:v>
                </c:pt>
                <c:pt idx="55">
                  <c:v>92.21944661032822</c:v>
                </c:pt>
                <c:pt idx="56">
                  <c:v>92.195546855171813</c:v>
                </c:pt>
                <c:pt idx="57">
                  <c:v>92.170955298208284</c:v>
                </c:pt>
                <c:pt idx="58">
                  <c:v>92.145709459535794</c:v>
                </c:pt>
                <c:pt idx="59">
                  <c:v>92.11984434115935</c:v>
                </c:pt>
                <c:pt idx="60">
                  <c:v>92.093392634428341</c:v>
                </c:pt>
                <c:pt idx="61">
                  <c:v>92.066384907301185</c:v>
                </c:pt>
                <c:pt idx="62">
                  <c:v>92.038849773689407</c:v>
                </c:pt>
                <c:pt idx="63">
                  <c:v>92.010814046850442</c:v>
                </c:pt>
                <c:pt idx="64">
                  <c:v>91.982302878554805</c:v>
                </c:pt>
                <c:pt idx="65">
                  <c:v>91.95333988554377</c:v>
                </c:pt>
                <c:pt idx="66">
                  <c:v>91.923947264611058</c:v>
                </c:pt>
                <c:pt idx="67">
                  <c:v>91.894145897485004</c:v>
                </c:pt>
                <c:pt idx="68">
                  <c:v>91.863955446550278</c:v>
                </c:pt>
                <c:pt idx="69">
                  <c:v>91.833394442329549</c:v>
                </c:pt>
                <c:pt idx="70">
                  <c:v>91.80248036354061</c:v>
                </c:pt>
                <c:pt idx="71">
                  <c:v>91.771229710453838</c:v>
                </c:pt>
                <c:pt idx="72">
                  <c:v>91.73965807219551</c:v>
                </c:pt>
                <c:pt idx="73">
                  <c:v>91.707780188571391</c:v>
                </c:pt>
                <c:pt idx="74">
                  <c:v>91.675610006924643</c:v>
                </c:pt>
                <c:pt idx="75">
                  <c:v>91.643160734486955</c:v>
                </c:pt>
                <c:pt idx="76">
                  <c:v>91.610444886634184</c:v>
                </c:pt>
                <c:pt idx="77">
                  <c:v>91.577474331415843</c:v>
                </c:pt>
                <c:pt idx="78">
                  <c:v>91.544260330689255</c:v>
                </c:pt>
                <c:pt idx="79">
                  <c:v>91.510813578157169</c:v>
                </c:pt>
                <c:pt idx="80">
                  <c:v>91.477144234577281</c:v>
                </c:pt>
                <c:pt idx="81">
                  <c:v>91.443261960385584</c:v>
                </c:pt>
                <c:pt idx="82">
                  <c:v>91.409175945953123</c:v>
                </c:pt>
                <c:pt idx="83">
                  <c:v>91.374894939673553</c:v>
                </c:pt>
                <c:pt idx="84">
                  <c:v>91.340427274060971</c:v>
                </c:pt>
                <c:pt idx="85">
                  <c:v>91.305780890020586</c:v>
                </c:pt>
                <c:pt idx="86">
                  <c:v>91.270963359439634</c:v>
                </c:pt>
                <c:pt idx="87">
                  <c:v>91.235981906232794</c:v>
                </c:pt>
                <c:pt idx="88">
                  <c:v>91.200843425963839</c:v>
                </c:pt>
                <c:pt idx="89">
                  <c:v>91.165554504154855</c:v>
                </c:pt>
                <c:pt idx="90">
                  <c:v>91.130121433384105</c:v>
                </c:pt>
                <c:pt idx="91">
                  <c:v>91.09455022926528</c:v>
                </c:pt>
                <c:pt idx="92">
                  <c:v>91.058846645392393</c:v>
                </c:pt>
                <c:pt idx="93">
                  <c:v>91.023016187327499</c:v>
                </c:pt>
                <c:pt idx="94">
                  <c:v>90.987064125702474</c:v>
                </c:pt>
                <c:pt idx="95">
                  <c:v>90.950995508498949</c:v>
                </c:pt>
                <c:pt idx="96">
                  <c:v>90.914815172566705</c:v>
                </c:pt>
                <c:pt idx="97">
                  <c:v>90.878527754434131</c:v>
                </c:pt>
                <c:pt idx="98">
                  <c:v>90.842137700462061</c:v>
                </c:pt>
                <c:pt idx="99">
                  <c:v>90.805649276386106</c:v>
                </c:pt>
                <c:pt idx="100">
                  <c:v>90.769066576290484</c:v>
                </c:pt>
                <c:pt idx="101">
                  <c:v>90.73239353105258</c:v>
                </c:pt>
                <c:pt idx="102">
                  <c:v>90.6956339162939</c:v>
                </c:pt>
                <c:pt idx="103">
                  <c:v>90.658791359871088</c:v>
                </c:pt>
                <c:pt idx="104">
                  <c:v>90.621869348937594</c:v>
                </c:pt>
                <c:pt idx="105">
                  <c:v>90.584871236604556</c:v>
                </c:pt>
                <c:pt idx="106">
                  <c:v>90.54780024822692</c:v>
                </c:pt>
                <c:pt idx="107">
                  <c:v>90.510659487339524</c:v>
                </c:pt>
                <c:pt idx="108">
                  <c:v>90.473451941265409</c:v>
                </c:pt>
                <c:pt idx="109">
                  <c:v>90.436180486417427</c:v>
                </c:pt>
                <c:pt idx="110">
                  <c:v>90.398847893312393</c:v>
                </c:pt>
                <c:pt idx="111">
                  <c:v>90.361456831315905</c:v>
                </c:pt>
                <c:pt idx="112">
                  <c:v>90.324009873134699</c:v>
                </c:pt>
                <c:pt idx="113">
                  <c:v>90.286509499071627</c:v>
                </c:pt>
                <c:pt idx="114">
                  <c:v>90.248958101058292</c:v>
                </c:pt>
                <c:pt idx="115">
                  <c:v>90.211357986478475</c:v>
                </c:pt>
                <c:pt idx="116">
                  <c:v>90.173711381794902</c:v>
                </c:pt>
                <c:pt idx="117">
                  <c:v>90.136020435991099</c:v>
                </c:pt>
                <c:pt idx="118">
                  <c:v>90.098287223839506</c:v>
                </c:pt>
                <c:pt idx="119">
                  <c:v>90.060513749005395</c:v>
                </c:pt>
                <c:pt idx="120">
                  <c:v>90.022701946996634</c:v>
                </c:pt>
                <c:pt idx="121">
                  <c:v>89.984853687968226</c:v>
                </c:pt>
                <c:pt idx="122">
                  <c:v>89.946970779389289</c:v>
                </c:pt>
                <c:pt idx="123">
                  <c:v>89.909054968581003</c:v>
                </c:pt>
                <c:pt idx="124">
                  <c:v>89.871107945132195</c:v>
                </c:pt>
                <c:pt idx="125">
                  <c:v>89.83313134319981</c:v>
                </c:pt>
                <c:pt idx="126">
                  <c:v>89.795126743700251</c:v>
                </c:pt>
                <c:pt idx="127">
                  <c:v>89.757095676397853</c:v>
                </c:pt>
                <c:pt idx="128">
                  <c:v>89.719039621895931</c:v>
                </c:pt>
                <c:pt idx="129">
                  <c:v>89.68096001353581</c:v>
                </c:pt>
                <c:pt idx="130">
                  <c:v>89.642858239208408</c:v>
                </c:pt>
                <c:pt idx="131">
                  <c:v>89.604735643083686</c:v>
                </c:pt>
                <c:pt idx="132">
                  <c:v>89.566593527261446</c:v>
                </c:pt>
                <c:pt idx="133">
                  <c:v>89.528433153348359</c:v>
                </c:pt>
                <c:pt idx="134">
                  <c:v>89.490255743964624</c:v>
                </c:pt>
                <c:pt idx="135">
                  <c:v>89.45206248418387</c:v>
                </c:pt>
                <c:pt idx="136">
                  <c:v>89.413854522910157</c:v>
                </c:pt>
                <c:pt idx="137">
                  <c:v>89.375632974194687</c:v>
                </c:pt>
                <c:pt idx="138">
                  <c:v>89.337398918495609</c:v>
                </c:pt>
                <c:pt idx="139">
                  <c:v>89.299153403883807</c:v>
                </c:pt>
                <c:pt idx="140">
                  <c:v>89.260897447197166</c:v>
                </c:pt>
                <c:pt idx="141">
                  <c:v>89.222632035145978</c:v>
                </c:pt>
                <c:pt idx="142">
                  <c:v>89.184358125371844</c:v>
                </c:pt>
                <c:pt idx="143">
                  <c:v>89.14607664746238</c:v>
                </c:pt>
                <c:pt idx="144">
                  <c:v>89.107788503923842</c:v>
                </c:pt>
                <c:pt idx="145">
                  <c:v>89.06949457111368</c:v>
                </c:pt>
                <c:pt idx="146">
                  <c:v>89.031195700134873</c:v>
                </c:pt>
                <c:pt idx="147">
                  <c:v>88.992892717694062</c:v>
                </c:pt>
                <c:pt idx="148">
                  <c:v>88.954586426924919</c:v>
                </c:pt>
                <c:pt idx="149">
                  <c:v>88.916277608178618</c:v>
                </c:pt>
                <c:pt idx="150">
                  <c:v>88.877967019782716</c:v>
                </c:pt>
              </c:numCache>
            </c:numRef>
          </c:yVal>
          <c:smooth val="0"/>
          <c:extLst>
            <c:ext xmlns:c16="http://schemas.microsoft.com/office/drawing/2014/chart" uri="{C3380CC4-5D6E-409C-BE32-E72D297353CC}">
              <c16:uniqueId val="{00000000-50A0-4BAE-A18F-D1A285C4A90E}"/>
            </c:ext>
          </c:extLst>
        </c:ser>
        <c:dLbls>
          <c:showLegendKey val="0"/>
          <c:showVal val="0"/>
          <c:showCatName val="0"/>
          <c:showSerName val="0"/>
          <c:showPercent val="0"/>
          <c:showBubbleSize val="0"/>
        </c:dLbls>
        <c:axId val="555642880"/>
        <c:axId val="555644416"/>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Eff_vs_IOUT!$AI$7:$AI$157</c:f>
              <c:numCache>
                <c:formatCode>General</c:formatCode>
                <c:ptCount val="151"/>
                <c:pt idx="0">
                  <c:v>0</c:v>
                </c:pt>
                <c:pt idx="1">
                  <c:v>2.7855346234570841E-2</c:v>
                </c:pt>
                <c:pt idx="2">
                  <c:v>5.5988728212661036E-2</c:v>
                </c:pt>
                <c:pt idx="3">
                  <c:v>8.4303108813429312E-2</c:v>
                </c:pt>
                <c:pt idx="4">
                  <c:v>0.11281111302171648</c:v>
                </c:pt>
                <c:pt idx="5">
                  <c:v>0.14159804042487287</c:v>
                </c:pt>
                <c:pt idx="6">
                  <c:v>0.17066656782802922</c:v>
                </c:pt>
                <c:pt idx="7">
                  <c:v>0.20001669523118562</c:v>
                </c:pt>
                <c:pt idx="8">
                  <c:v>0.22964842263434207</c:v>
                </c:pt>
                <c:pt idx="9">
                  <c:v>0.25956175003749843</c:v>
                </c:pt>
                <c:pt idx="10">
                  <c:v>0.28975667744065481</c:v>
                </c:pt>
                <c:pt idx="11">
                  <c:v>0.32023320484381113</c:v>
                </c:pt>
                <c:pt idx="12">
                  <c:v>0.35099133224696755</c:v>
                </c:pt>
                <c:pt idx="13">
                  <c:v>0.38203105965012407</c:v>
                </c:pt>
                <c:pt idx="14">
                  <c:v>0.41335238705328037</c:v>
                </c:pt>
                <c:pt idx="15">
                  <c:v>0.44495531445643671</c:v>
                </c:pt>
                <c:pt idx="16">
                  <c:v>0.47683984185959327</c:v>
                </c:pt>
                <c:pt idx="17">
                  <c:v>0.50900596926274955</c:v>
                </c:pt>
                <c:pt idx="18">
                  <c:v>0.54145369666590593</c:v>
                </c:pt>
                <c:pt idx="19">
                  <c:v>0.57418302406906241</c:v>
                </c:pt>
                <c:pt idx="20">
                  <c:v>0.60719395147221877</c:v>
                </c:pt>
                <c:pt idx="21">
                  <c:v>0.64048647887537513</c:v>
                </c:pt>
                <c:pt idx="22">
                  <c:v>0.67406060627853137</c:v>
                </c:pt>
                <c:pt idx="23">
                  <c:v>0.70791633368168805</c:v>
                </c:pt>
                <c:pt idx="24">
                  <c:v>0.74205366108484427</c:v>
                </c:pt>
                <c:pt idx="25">
                  <c:v>0.77647258848800083</c:v>
                </c:pt>
                <c:pt idx="26">
                  <c:v>0.81117311589115726</c:v>
                </c:pt>
                <c:pt idx="27">
                  <c:v>0.84615524329431357</c:v>
                </c:pt>
                <c:pt idx="28">
                  <c:v>0.88141897069746977</c:v>
                </c:pt>
                <c:pt idx="29">
                  <c:v>0.9169642981006263</c:v>
                </c:pt>
                <c:pt idx="30">
                  <c:v>0.95279122550378248</c:v>
                </c:pt>
                <c:pt idx="31">
                  <c:v>0.9888997529069391</c:v>
                </c:pt>
                <c:pt idx="32">
                  <c:v>1.0252898803100956</c:v>
                </c:pt>
                <c:pt idx="33">
                  <c:v>1.0619616077132519</c:v>
                </c:pt>
                <c:pt idx="34">
                  <c:v>1.098914935116408</c:v>
                </c:pt>
                <c:pt idx="35">
                  <c:v>1.1361498625195643</c:v>
                </c:pt>
                <c:pt idx="36">
                  <c:v>1.1736663899227211</c:v>
                </c:pt>
                <c:pt idx="37">
                  <c:v>1.2114645173258773</c:v>
                </c:pt>
                <c:pt idx="38">
                  <c:v>1.2495442447290339</c:v>
                </c:pt>
                <c:pt idx="39">
                  <c:v>1.2879055721321901</c:v>
                </c:pt>
                <c:pt idx="40">
                  <c:v>1.3265484995353467</c:v>
                </c:pt>
                <c:pt idx="41">
                  <c:v>1.3654730269385027</c:v>
                </c:pt>
                <c:pt idx="42">
                  <c:v>1.4046791543416592</c:v>
                </c:pt>
                <c:pt idx="43">
                  <c:v>1.4441668817448157</c:v>
                </c:pt>
                <c:pt idx="44">
                  <c:v>1.4839362091479718</c:v>
                </c:pt>
                <c:pt idx="45">
                  <c:v>1.5239871365511286</c:v>
                </c:pt>
                <c:pt idx="46">
                  <c:v>1.5643196639542853</c:v>
                </c:pt>
                <c:pt idx="47">
                  <c:v>1.6049337913574413</c:v>
                </c:pt>
                <c:pt idx="48">
                  <c:v>1.6458295187605976</c:v>
                </c:pt>
                <c:pt idx="49">
                  <c:v>1.687006846163754</c:v>
                </c:pt>
                <c:pt idx="50">
                  <c:v>1.7284657735669104</c:v>
                </c:pt>
                <c:pt idx="51">
                  <c:v>1.7702063009700668</c:v>
                </c:pt>
                <c:pt idx="52">
                  <c:v>1.8122284283732237</c:v>
                </c:pt>
                <c:pt idx="53">
                  <c:v>1.8545321557763796</c:v>
                </c:pt>
                <c:pt idx="54">
                  <c:v>1.8971174831795363</c:v>
                </c:pt>
                <c:pt idx="55">
                  <c:v>1.9399844105826922</c:v>
                </c:pt>
                <c:pt idx="56">
                  <c:v>1.9831329379858487</c:v>
                </c:pt>
                <c:pt idx="57">
                  <c:v>2.0265630653890052</c:v>
                </c:pt>
                <c:pt idx="58">
                  <c:v>2.0702747927921621</c:v>
                </c:pt>
                <c:pt idx="59">
                  <c:v>2.1142681201953177</c:v>
                </c:pt>
                <c:pt idx="60">
                  <c:v>2.1585430475984744</c:v>
                </c:pt>
                <c:pt idx="61">
                  <c:v>2.2030995750016302</c:v>
                </c:pt>
                <c:pt idx="62">
                  <c:v>2.2479377024047875</c:v>
                </c:pt>
                <c:pt idx="63">
                  <c:v>2.293057429807944</c:v>
                </c:pt>
                <c:pt idx="64">
                  <c:v>2.3384587572111002</c:v>
                </c:pt>
                <c:pt idx="65">
                  <c:v>2.3841416846142565</c:v>
                </c:pt>
                <c:pt idx="66">
                  <c:v>2.4301062120174133</c:v>
                </c:pt>
                <c:pt idx="67">
                  <c:v>2.4763523394205693</c:v>
                </c:pt>
                <c:pt idx="68">
                  <c:v>2.5228800668237255</c:v>
                </c:pt>
                <c:pt idx="69">
                  <c:v>2.5696893942268813</c:v>
                </c:pt>
                <c:pt idx="70">
                  <c:v>2.616780321630038</c:v>
                </c:pt>
                <c:pt idx="71">
                  <c:v>2.6641528490331945</c:v>
                </c:pt>
                <c:pt idx="72">
                  <c:v>2.7118069764363515</c:v>
                </c:pt>
                <c:pt idx="73">
                  <c:v>2.7597427038395081</c:v>
                </c:pt>
                <c:pt idx="74">
                  <c:v>2.807960031242664</c:v>
                </c:pt>
                <c:pt idx="75">
                  <c:v>2.85645895864582</c:v>
                </c:pt>
                <c:pt idx="76">
                  <c:v>2.905239486048977</c:v>
                </c:pt>
                <c:pt idx="77">
                  <c:v>2.954301613452134</c:v>
                </c:pt>
                <c:pt idx="78">
                  <c:v>3.0036453408552894</c:v>
                </c:pt>
                <c:pt idx="79">
                  <c:v>3.0532706682584463</c:v>
                </c:pt>
                <c:pt idx="80">
                  <c:v>3.1031775956616023</c:v>
                </c:pt>
                <c:pt idx="81">
                  <c:v>3.1533661230647585</c:v>
                </c:pt>
                <c:pt idx="82">
                  <c:v>3.2038362504679148</c:v>
                </c:pt>
                <c:pt idx="83">
                  <c:v>3.2545879778710711</c:v>
                </c:pt>
                <c:pt idx="84">
                  <c:v>3.3056213052742276</c:v>
                </c:pt>
                <c:pt idx="85">
                  <c:v>3.3569362326773833</c:v>
                </c:pt>
                <c:pt idx="86">
                  <c:v>3.4085327600805408</c:v>
                </c:pt>
                <c:pt idx="87">
                  <c:v>3.4604108874836976</c:v>
                </c:pt>
                <c:pt idx="88">
                  <c:v>3.5125706148868527</c:v>
                </c:pt>
                <c:pt idx="89">
                  <c:v>3.5650119422900097</c:v>
                </c:pt>
                <c:pt idx="90">
                  <c:v>3.6177348696931668</c:v>
                </c:pt>
                <c:pt idx="91">
                  <c:v>3.6707393970963231</c:v>
                </c:pt>
                <c:pt idx="92">
                  <c:v>3.7240255244994804</c:v>
                </c:pt>
                <c:pt idx="93">
                  <c:v>3.7775932519026352</c:v>
                </c:pt>
                <c:pt idx="94">
                  <c:v>3.8314425793057918</c:v>
                </c:pt>
                <c:pt idx="95">
                  <c:v>3.8855735067089481</c:v>
                </c:pt>
                <c:pt idx="96">
                  <c:v>3.939986034112104</c:v>
                </c:pt>
                <c:pt idx="97">
                  <c:v>3.9946801615152601</c:v>
                </c:pt>
                <c:pt idx="98">
                  <c:v>4.0496558889184167</c:v>
                </c:pt>
                <c:pt idx="99">
                  <c:v>4.1049132163215729</c:v>
                </c:pt>
                <c:pt idx="100">
                  <c:v>4.1604521437247302</c:v>
                </c:pt>
                <c:pt idx="101">
                  <c:v>4.2162726711278857</c:v>
                </c:pt>
                <c:pt idx="102">
                  <c:v>4.2723747985310432</c:v>
                </c:pt>
                <c:pt idx="103">
                  <c:v>4.328758525934199</c:v>
                </c:pt>
                <c:pt idx="104">
                  <c:v>4.3854238533373566</c:v>
                </c:pt>
                <c:pt idx="105">
                  <c:v>4.4423707807405117</c:v>
                </c:pt>
                <c:pt idx="106">
                  <c:v>4.4995993081436687</c:v>
                </c:pt>
                <c:pt idx="107">
                  <c:v>4.5571094355468258</c:v>
                </c:pt>
                <c:pt idx="108">
                  <c:v>4.6149011629499821</c:v>
                </c:pt>
                <c:pt idx="109">
                  <c:v>4.6729744903531376</c:v>
                </c:pt>
                <c:pt idx="110">
                  <c:v>4.7313294177562941</c:v>
                </c:pt>
                <c:pt idx="111">
                  <c:v>4.7899659451594507</c:v>
                </c:pt>
                <c:pt idx="112">
                  <c:v>4.8488840725626066</c:v>
                </c:pt>
                <c:pt idx="113">
                  <c:v>4.9080837999657634</c:v>
                </c:pt>
                <c:pt idx="114">
                  <c:v>4.9675651273689194</c:v>
                </c:pt>
                <c:pt idx="115">
                  <c:v>5.0273280547720756</c:v>
                </c:pt>
                <c:pt idx="116">
                  <c:v>5.0873725821752327</c:v>
                </c:pt>
                <c:pt idx="117">
                  <c:v>5.1476987095783882</c:v>
                </c:pt>
                <c:pt idx="118">
                  <c:v>5.2083064369815446</c:v>
                </c:pt>
                <c:pt idx="119">
                  <c:v>5.2691957643847003</c:v>
                </c:pt>
                <c:pt idx="120">
                  <c:v>5.3303666917878569</c:v>
                </c:pt>
                <c:pt idx="121">
                  <c:v>5.3918192191910137</c:v>
                </c:pt>
                <c:pt idx="122">
                  <c:v>5.4535533465941697</c:v>
                </c:pt>
                <c:pt idx="123">
                  <c:v>5.5155690739973249</c:v>
                </c:pt>
                <c:pt idx="124">
                  <c:v>5.5778664014004846</c:v>
                </c:pt>
                <c:pt idx="125">
                  <c:v>5.64044532880364</c:v>
                </c:pt>
                <c:pt idx="126">
                  <c:v>5.7033058562067982</c:v>
                </c:pt>
                <c:pt idx="127">
                  <c:v>5.766447983609952</c:v>
                </c:pt>
                <c:pt idx="128">
                  <c:v>5.8298717110131104</c:v>
                </c:pt>
                <c:pt idx="129">
                  <c:v>5.8935770384162662</c:v>
                </c:pt>
                <c:pt idx="130">
                  <c:v>5.9575639658194222</c:v>
                </c:pt>
                <c:pt idx="131">
                  <c:v>6.0218324932225791</c:v>
                </c:pt>
                <c:pt idx="132">
                  <c:v>6.0863826206257343</c:v>
                </c:pt>
                <c:pt idx="133">
                  <c:v>6.1512143480288923</c:v>
                </c:pt>
                <c:pt idx="134">
                  <c:v>6.2163276754320478</c:v>
                </c:pt>
                <c:pt idx="135">
                  <c:v>6.2817226028352033</c:v>
                </c:pt>
                <c:pt idx="136">
                  <c:v>6.3473991302383599</c:v>
                </c:pt>
                <c:pt idx="137">
                  <c:v>6.4133572576415165</c:v>
                </c:pt>
                <c:pt idx="138">
                  <c:v>6.4795969850446715</c:v>
                </c:pt>
                <c:pt idx="139">
                  <c:v>6.5461183124478293</c:v>
                </c:pt>
                <c:pt idx="140">
                  <c:v>6.6129212398509853</c:v>
                </c:pt>
                <c:pt idx="141">
                  <c:v>6.6800057672541415</c:v>
                </c:pt>
                <c:pt idx="142">
                  <c:v>6.7473718946572978</c:v>
                </c:pt>
                <c:pt idx="143">
                  <c:v>6.815019622060456</c:v>
                </c:pt>
                <c:pt idx="144">
                  <c:v>6.8829489494636125</c:v>
                </c:pt>
                <c:pt idx="145">
                  <c:v>6.9511598768667682</c:v>
                </c:pt>
                <c:pt idx="146">
                  <c:v>7.0196524042699249</c:v>
                </c:pt>
                <c:pt idx="147">
                  <c:v>7.0884265316730808</c:v>
                </c:pt>
                <c:pt idx="148">
                  <c:v>7.1574822590762377</c:v>
                </c:pt>
                <c:pt idx="149">
                  <c:v>7.2268195864793938</c:v>
                </c:pt>
                <c:pt idx="150">
                  <c:v>7.2964385138825492</c:v>
                </c:pt>
              </c:numCache>
            </c:numRef>
          </c:yVal>
          <c:smooth val="1"/>
          <c:extLst>
            <c:ext xmlns:c16="http://schemas.microsoft.com/office/drawing/2014/chart" uri="{C3380CC4-5D6E-409C-BE32-E72D297353CC}">
              <c16:uniqueId val="{00000001-50A0-4BAE-A18F-D1A285C4A90E}"/>
            </c:ext>
          </c:extLst>
        </c:ser>
        <c:ser>
          <c:idx val="2"/>
          <c:order val="2"/>
          <c:tx>
            <c:v>Diode</c:v>
          </c:tx>
          <c:spPr>
            <a:ln>
              <a:solidFill>
                <a:schemeClr val="bg2">
                  <a:lumMod val="50000"/>
                </a:schemeClr>
              </a:solidFill>
              <a:prstDash val="sysDash"/>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Eff_vs_IOUT!$AO$7:$AO$157</c:f>
              <c:numCache>
                <c:formatCode>General</c:formatCode>
                <c:ptCount val="151"/>
                <c:pt idx="0">
                  <c:v>0</c:v>
                </c:pt>
                <c:pt idx="1">
                  <c:v>0.42808147929541279</c:v>
                </c:pt>
                <c:pt idx="2">
                  <c:v>0.42953984185466892</c:v>
                </c:pt>
                <c:pt idx="3">
                  <c:v>0.43069485830252952</c:v>
                </c:pt>
                <c:pt idx="4">
                  <c:v>0.43174624482323243</c:v>
                </c:pt>
                <c:pt idx="5">
                  <c:v>0.43282571148989907</c:v>
                </c:pt>
                <c:pt idx="6">
                  <c:v>0.43393646704545458</c:v>
                </c:pt>
                <c:pt idx="7">
                  <c:v>0.43507851148989907</c:v>
                </c:pt>
                <c:pt idx="8">
                  <c:v>0.43625184482323237</c:v>
                </c:pt>
                <c:pt idx="9">
                  <c:v>0.4374564670454546</c:v>
                </c:pt>
                <c:pt idx="10">
                  <c:v>0.4386923781565657</c:v>
                </c:pt>
                <c:pt idx="11">
                  <c:v>0.43995957815656572</c:v>
                </c:pt>
                <c:pt idx="12">
                  <c:v>0.44125806704545462</c:v>
                </c:pt>
                <c:pt idx="13">
                  <c:v>0.44258784482323238</c:v>
                </c:pt>
                <c:pt idx="14">
                  <c:v>0.44394891148989907</c:v>
                </c:pt>
                <c:pt idx="15">
                  <c:v>0.44534126704545457</c:v>
                </c:pt>
                <c:pt idx="16">
                  <c:v>0.44676491148989905</c:v>
                </c:pt>
                <c:pt idx="17">
                  <c:v>0.44821984482323241</c:v>
                </c:pt>
                <c:pt idx="18">
                  <c:v>0.44970606704545463</c:v>
                </c:pt>
                <c:pt idx="19">
                  <c:v>0.45122357815656572</c:v>
                </c:pt>
                <c:pt idx="20">
                  <c:v>0.45277237815656568</c:v>
                </c:pt>
                <c:pt idx="21">
                  <c:v>0.45435246704545462</c:v>
                </c:pt>
                <c:pt idx="22">
                  <c:v>0.45596384482323238</c:v>
                </c:pt>
                <c:pt idx="23">
                  <c:v>0.45760651148989906</c:v>
                </c:pt>
                <c:pt idx="24">
                  <c:v>0.45928046704545461</c:v>
                </c:pt>
                <c:pt idx="25">
                  <c:v>0.46098571148989909</c:v>
                </c:pt>
                <c:pt idx="26">
                  <c:v>0.46272224482323238</c:v>
                </c:pt>
                <c:pt idx="27">
                  <c:v>0.46449006704545459</c:v>
                </c:pt>
                <c:pt idx="28">
                  <c:v>0.46628917815656573</c:v>
                </c:pt>
                <c:pt idx="29">
                  <c:v>0.46811957815656569</c:v>
                </c:pt>
                <c:pt idx="30">
                  <c:v>0.46998126704545462</c:v>
                </c:pt>
                <c:pt idx="31">
                  <c:v>0.47187424482323237</c:v>
                </c:pt>
                <c:pt idx="32">
                  <c:v>0.47379851148989904</c:v>
                </c:pt>
                <c:pt idx="33">
                  <c:v>0.47575406704545464</c:v>
                </c:pt>
                <c:pt idx="34">
                  <c:v>0.47774091148989906</c:v>
                </c:pt>
                <c:pt idx="35">
                  <c:v>0.47975904482323239</c:v>
                </c:pt>
                <c:pt idx="36">
                  <c:v>0.4818084670454546</c:v>
                </c:pt>
                <c:pt idx="37">
                  <c:v>0.48388917815656574</c:v>
                </c:pt>
                <c:pt idx="38">
                  <c:v>0.48600117815656574</c:v>
                </c:pt>
                <c:pt idx="39">
                  <c:v>0.48814446704545456</c:v>
                </c:pt>
                <c:pt idx="40">
                  <c:v>0.49031904482323241</c:v>
                </c:pt>
                <c:pt idx="41">
                  <c:v>0.49252491148989902</c:v>
                </c:pt>
                <c:pt idx="42">
                  <c:v>0.49476206704545461</c:v>
                </c:pt>
                <c:pt idx="43">
                  <c:v>0.49703051148989902</c:v>
                </c:pt>
                <c:pt idx="44">
                  <c:v>0.49933024482323241</c:v>
                </c:pt>
                <c:pt idx="45">
                  <c:v>0.50166126704545455</c:v>
                </c:pt>
                <c:pt idx="46">
                  <c:v>0.50402357815656573</c:v>
                </c:pt>
                <c:pt idx="47">
                  <c:v>0.50641717815656573</c:v>
                </c:pt>
                <c:pt idx="48">
                  <c:v>0.50884206704545465</c:v>
                </c:pt>
                <c:pt idx="49">
                  <c:v>0.51129824482323238</c:v>
                </c:pt>
                <c:pt idx="50">
                  <c:v>0.51378571148989904</c:v>
                </c:pt>
                <c:pt idx="51">
                  <c:v>0.51630446704545463</c:v>
                </c:pt>
                <c:pt idx="52">
                  <c:v>0.51885451148989903</c:v>
                </c:pt>
                <c:pt idx="53">
                  <c:v>0.52143584482323235</c:v>
                </c:pt>
                <c:pt idx="54">
                  <c:v>0.5240484670454546</c:v>
                </c:pt>
                <c:pt idx="55">
                  <c:v>0.52669237815656578</c:v>
                </c:pt>
                <c:pt idx="56">
                  <c:v>0.52936757815656565</c:v>
                </c:pt>
                <c:pt idx="57">
                  <c:v>0.53207406704545457</c:v>
                </c:pt>
                <c:pt idx="58">
                  <c:v>0.53481184482323241</c:v>
                </c:pt>
                <c:pt idx="59">
                  <c:v>0.53758091148989906</c:v>
                </c:pt>
                <c:pt idx="60">
                  <c:v>0.54038126704545464</c:v>
                </c:pt>
                <c:pt idx="61">
                  <c:v>0.54321291148989903</c:v>
                </c:pt>
                <c:pt idx="62">
                  <c:v>0.54607584482323235</c:v>
                </c:pt>
                <c:pt idx="63">
                  <c:v>0.54897006704545459</c:v>
                </c:pt>
                <c:pt idx="64">
                  <c:v>0.55189557815656576</c:v>
                </c:pt>
                <c:pt idx="65">
                  <c:v>0.55485237815656574</c:v>
                </c:pt>
                <c:pt idx="66">
                  <c:v>0.55784046704545465</c:v>
                </c:pt>
                <c:pt idx="67">
                  <c:v>0.56085984482323237</c:v>
                </c:pt>
                <c:pt idx="68">
                  <c:v>0.56391051148989901</c:v>
                </c:pt>
                <c:pt idx="69">
                  <c:v>0.56699246704545458</c:v>
                </c:pt>
                <c:pt idx="70">
                  <c:v>0.57010571148989908</c:v>
                </c:pt>
                <c:pt idx="71">
                  <c:v>0.57325024482323239</c:v>
                </c:pt>
                <c:pt idx="72">
                  <c:v>0.57642606704545463</c:v>
                </c:pt>
                <c:pt idx="73">
                  <c:v>0.57963317815656579</c:v>
                </c:pt>
                <c:pt idx="74">
                  <c:v>0.58287157815656576</c:v>
                </c:pt>
                <c:pt idx="75">
                  <c:v>0.58614126704545455</c:v>
                </c:pt>
                <c:pt idx="76">
                  <c:v>0.58944224482323238</c:v>
                </c:pt>
                <c:pt idx="77">
                  <c:v>0.59277451148989901</c:v>
                </c:pt>
                <c:pt idx="78">
                  <c:v>0.59613806704545458</c:v>
                </c:pt>
                <c:pt idx="79">
                  <c:v>0.59953291148989907</c:v>
                </c:pt>
                <c:pt idx="80">
                  <c:v>0.60295904482323237</c:v>
                </c:pt>
                <c:pt idx="81">
                  <c:v>0.6064164670454546</c:v>
                </c:pt>
                <c:pt idx="82">
                  <c:v>0.60990517815656564</c:v>
                </c:pt>
                <c:pt idx="83">
                  <c:v>0.61342517815656561</c:v>
                </c:pt>
                <c:pt idx="84">
                  <c:v>0.61697646704545461</c:v>
                </c:pt>
                <c:pt idx="85">
                  <c:v>0.62055904482323243</c:v>
                </c:pt>
                <c:pt idx="86">
                  <c:v>0.62417291148989906</c:v>
                </c:pt>
                <c:pt idx="87">
                  <c:v>0.62781806704545473</c:v>
                </c:pt>
                <c:pt idx="88">
                  <c:v>0.6314945114898991</c:v>
                </c:pt>
                <c:pt idx="89">
                  <c:v>0.6352022448232324</c:v>
                </c:pt>
                <c:pt idx="90">
                  <c:v>0.63894126704545462</c:v>
                </c:pt>
                <c:pt idx="91">
                  <c:v>0.64271157815656577</c:v>
                </c:pt>
                <c:pt idx="92">
                  <c:v>0.64651317815656584</c:v>
                </c:pt>
                <c:pt idx="93">
                  <c:v>0.65034606704545461</c:v>
                </c:pt>
                <c:pt idx="94">
                  <c:v>0.65421024482323242</c:v>
                </c:pt>
                <c:pt idx="95">
                  <c:v>0.65810571148989905</c:v>
                </c:pt>
                <c:pt idx="96">
                  <c:v>0.6620324670454546</c:v>
                </c:pt>
                <c:pt idx="97">
                  <c:v>0.66599051148989896</c:v>
                </c:pt>
                <c:pt idx="98">
                  <c:v>0.66997984482323236</c:v>
                </c:pt>
                <c:pt idx="99">
                  <c:v>0.67400046704545458</c:v>
                </c:pt>
                <c:pt idx="100">
                  <c:v>0.67805237815656572</c:v>
                </c:pt>
                <c:pt idx="101">
                  <c:v>0.68213557815656567</c:v>
                </c:pt>
                <c:pt idx="102">
                  <c:v>0.68625006704545455</c:v>
                </c:pt>
                <c:pt idx="103">
                  <c:v>0.69039584482323246</c:v>
                </c:pt>
                <c:pt idx="104">
                  <c:v>0.69457291148989908</c:v>
                </c:pt>
                <c:pt idx="105">
                  <c:v>0.69878126704545462</c:v>
                </c:pt>
                <c:pt idx="106">
                  <c:v>0.70302091148989909</c:v>
                </c:pt>
                <c:pt idx="107">
                  <c:v>0.70729184482323249</c:v>
                </c:pt>
                <c:pt idx="108">
                  <c:v>0.71159406704545469</c:v>
                </c:pt>
                <c:pt idx="109">
                  <c:v>0.71592757815656571</c:v>
                </c:pt>
                <c:pt idx="110">
                  <c:v>0.72029237815656566</c:v>
                </c:pt>
                <c:pt idx="111">
                  <c:v>0.72468846704545475</c:v>
                </c:pt>
                <c:pt idx="112">
                  <c:v>0.72911584482323244</c:v>
                </c:pt>
                <c:pt idx="113">
                  <c:v>0.73357451148989905</c:v>
                </c:pt>
                <c:pt idx="114">
                  <c:v>0.73806446704545448</c:v>
                </c:pt>
                <c:pt idx="115">
                  <c:v>0.74258571148989905</c:v>
                </c:pt>
                <c:pt idx="116">
                  <c:v>0.74713824482323243</c:v>
                </c:pt>
                <c:pt idx="117">
                  <c:v>0.75172206704545452</c:v>
                </c:pt>
                <c:pt idx="118">
                  <c:v>0.75633717815656565</c:v>
                </c:pt>
                <c:pt idx="119">
                  <c:v>0.76098357815656559</c:v>
                </c:pt>
                <c:pt idx="120">
                  <c:v>0.76566126704545456</c:v>
                </c:pt>
                <c:pt idx="121">
                  <c:v>0.77037024482323235</c:v>
                </c:pt>
                <c:pt idx="122">
                  <c:v>0.77511051148989907</c:v>
                </c:pt>
                <c:pt idx="123">
                  <c:v>0.77988206704545449</c:v>
                </c:pt>
                <c:pt idx="124">
                  <c:v>0.78468491148989905</c:v>
                </c:pt>
                <c:pt idx="125">
                  <c:v>0.78951904482323232</c:v>
                </c:pt>
                <c:pt idx="126">
                  <c:v>0.79438446704545473</c:v>
                </c:pt>
                <c:pt idx="127">
                  <c:v>0.79928117815656563</c:v>
                </c:pt>
                <c:pt idx="128">
                  <c:v>0.80420917815656578</c:v>
                </c:pt>
                <c:pt idx="129">
                  <c:v>0.80916846704545464</c:v>
                </c:pt>
                <c:pt idx="130">
                  <c:v>0.81415904482323231</c:v>
                </c:pt>
                <c:pt idx="131">
                  <c:v>0.81918091148989902</c:v>
                </c:pt>
                <c:pt idx="132">
                  <c:v>0.82423406704545454</c:v>
                </c:pt>
                <c:pt idx="133">
                  <c:v>0.82931851148989899</c:v>
                </c:pt>
                <c:pt idx="134">
                  <c:v>0.83443424482323225</c:v>
                </c:pt>
                <c:pt idx="135">
                  <c:v>0.83958126704545477</c:v>
                </c:pt>
                <c:pt idx="136">
                  <c:v>0.84475957815656566</c:v>
                </c:pt>
                <c:pt idx="137">
                  <c:v>0.8499691781565657</c:v>
                </c:pt>
                <c:pt idx="138">
                  <c:v>0.85521006704545455</c:v>
                </c:pt>
                <c:pt idx="139">
                  <c:v>0.86048224482323232</c:v>
                </c:pt>
                <c:pt idx="140">
                  <c:v>0.8657857114898988</c:v>
                </c:pt>
                <c:pt idx="141">
                  <c:v>0.87112046704545454</c:v>
                </c:pt>
                <c:pt idx="142">
                  <c:v>0.87648651148989898</c:v>
                </c:pt>
                <c:pt idx="143">
                  <c:v>0.88188384482323245</c:v>
                </c:pt>
                <c:pt idx="144">
                  <c:v>0.88731246704545463</c:v>
                </c:pt>
                <c:pt idx="145">
                  <c:v>0.89277237815656574</c:v>
                </c:pt>
                <c:pt idx="146">
                  <c:v>0.89826357815656577</c:v>
                </c:pt>
                <c:pt idx="147">
                  <c:v>0.9037860670454545</c:v>
                </c:pt>
                <c:pt idx="148">
                  <c:v>0.90933984482323238</c:v>
                </c:pt>
                <c:pt idx="149">
                  <c:v>0.91492491148989896</c:v>
                </c:pt>
                <c:pt idx="150">
                  <c:v>0.92054126704545458</c:v>
                </c:pt>
              </c:numCache>
            </c:numRef>
          </c:yVal>
          <c:smooth val="1"/>
          <c:extLst>
            <c:ext xmlns:c16="http://schemas.microsoft.com/office/drawing/2014/chart" uri="{C3380CC4-5D6E-409C-BE32-E72D297353CC}">
              <c16:uniqueId val="{00000002-50A0-4BAE-A18F-D1A285C4A90E}"/>
            </c:ext>
          </c:extLst>
        </c:ser>
        <c:ser>
          <c:idx val="3"/>
          <c:order val="3"/>
          <c:tx>
            <c:v>RCS</c:v>
          </c:tx>
          <c:spPr>
            <a:ln>
              <a:solidFill>
                <a:schemeClr val="accent5">
                  <a:lumMod val="75000"/>
                </a:schemeClr>
              </a:solidFill>
              <a:prstDash val="lgDashDotDot"/>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Eff_vs_IOUT!$AP$7:$AP$157</c:f>
              <c:numCache>
                <c:formatCode>General</c:formatCode>
                <c:ptCount val="151"/>
                <c:pt idx="0">
                  <c:v>0</c:v>
                </c:pt>
                <c:pt idx="1">
                  <c:v>8.4752230155163771E-5</c:v>
                </c:pt>
                <c:pt idx="2">
                  <c:v>2.3971550665359716E-4</c:v>
                </c:pt>
                <c:pt idx="3">
                  <c:v>4.403855060505443E-4</c:v>
                </c:pt>
                <c:pt idx="4">
                  <c:v>6.8995035583103797E-4</c:v>
                </c:pt>
                <c:pt idx="5">
                  <c:v>1.0099503558310379E-3</c:v>
                </c:pt>
                <c:pt idx="6">
                  <c:v>1.4010614669421493E-3</c:v>
                </c:pt>
                <c:pt idx="7">
                  <c:v>1.8632836891643711E-3</c:v>
                </c:pt>
                <c:pt idx="8">
                  <c:v>2.3966170224977053E-3</c:v>
                </c:pt>
                <c:pt idx="9">
                  <c:v>3.0010614669421501E-3</c:v>
                </c:pt>
                <c:pt idx="10">
                  <c:v>3.6766170224977052E-3</c:v>
                </c:pt>
                <c:pt idx="11">
                  <c:v>4.4232836891643706E-3</c:v>
                </c:pt>
                <c:pt idx="12">
                  <c:v>5.2410614669421499E-3</c:v>
                </c:pt>
                <c:pt idx="13">
                  <c:v>6.1299503558310403E-3</c:v>
                </c:pt>
                <c:pt idx="14">
                  <c:v>7.0899503558310385E-3</c:v>
                </c:pt>
                <c:pt idx="15">
                  <c:v>8.121061466942147E-3</c:v>
                </c:pt>
                <c:pt idx="16">
                  <c:v>9.2232836891643754E-3</c:v>
                </c:pt>
                <c:pt idx="17">
                  <c:v>1.0396617022497702E-2</c:v>
                </c:pt>
                <c:pt idx="18">
                  <c:v>1.1641061466942149E-2</c:v>
                </c:pt>
                <c:pt idx="19">
                  <c:v>1.2956617022497709E-2</c:v>
                </c:pt>
                <c:pt idx="20">
                  <c:v>1.4343283689164371E-2</c:v>
                </c:pt>
                <c:pt idx="21">
                  <c:v>1.5801061466942153E-2</c:v>
                </c:pt>
                <c:pt idx="22">
                  <c:v>1.7329950355831035E-2</c:v>
                </c:pt>
                <c:pt idx="23">
                  <c:v>1.8929950355831046E-2</c:v>
                </c:pt>
                <c:pt idx="24">
                  <c:v>2.0601061466942152E-2</c:v>
                </c:pt>
                <c:pt idx="25">
                  <c:v>2.2343283689164373E-2</c:v>
                </c:pt>
                <c:pt idx="26">
                  <c:v>2.415661702249771E-2</c:v>
                </c:pt>
                <c:pt idx="27">
                  <c:v>2.6041061466942156E-2</c:v>
                </c:pt>
                <c:pt idx="28">
                  <c:v>2.799661702249771E-2</c:v>
                </c:pt>
                <c:pt idx="29">
                  <c:v>3.0023283689164373E-2</c:v>
                </c:pt>
                <c:pt idx="30">
                  <c:v>3.2121061466942158E-2</c:v>
                </c:pt>
                <c:pt idx="31">
                  <c:v>3.4289950355831052E-2</c:v>
                </c:pt>
                <c:pt idx="32">
                  <c:v>3.6529950355831058E-2</c:v>
                </c:pt>
                <c:pt idx="33">
                  <c:v>3.8841061466942162E-2</c:v>
                </c:pt>
                <c:pt idx="34">
                  <c:v>4.1223283689164364E-2</c:v>
                </c:pt>
                <c:pt idx="35">
                  <c:v>4.3676617022497685E-2</c:v>
                </c:pt>
                <c:pt idx="36">
                  <c:v>4.6201061466942174E-2</c:v>
                </c:pt>
                <c:pt idx="37">
                  <c:v>4.8796617022497719E-2</c:v>
                </c:pt>
                <c:pt idx="38">
                  <c:v>5.1463283689164377E-2</c:v>
                </c:pt>
                <c:pt idx="39">
                  <c:v>5.4201061466942153E-2</c:v>
                </c:pt>
                <c:pt idx="40">
                  <c:v>5.7009950355831049E-2</c:v>
                </c:pt>
                <c:pt idx="41">
                  <c:v>5.9889950355831036E-2</c:v>
                </c:pt>
                <c:pt idx="42">
                  <c:v>6.2841061466942169E-2</c:v>
                </c:pt>
                <c:pt idx="43">
                  <c:v>6.5863283689164373E-2</c:v>
                </c:pt>
                <c:pt idx="44">
                  <c:v>6.8956617022497682E-2</c:v>
                </c:pt>
                <c:pt idx="45">
                  <c:v>7.212106146694218E-2</c:v>
                </c:pt>
                <c:pt idx="46">
                  <c:v>7.5356617022497741E-2</c:v>
                </c:pt>
                <c:pt idx="47">
                  <c:v>7.8663283689164407E-2</c:v>
                </c:pt>
                <c:pt idx="48">
                  <c:v>8.2041061466942164E-2</c:v>
                </c:pt>
                <c:pt idx="49">
                  <c:v>8.548995035583104E-2</c:v>
                </c:pt>
                <c:pt idx="50">
                  <c:v>8.9009950355831036E-2</c:v>
                </c:pt>
                <c:pt idx="51">
                  <c:v>9.260106146694215E-2</c:v>
                </c:pt>
                <c:pt idx="52">
                  <c:v>9.6263283689164411E-2</c:v>
                </c:pt>
                <c:pt idx="53">
                  <c:v>9.999661702249775E-2</c:v>
                </c:pt>
                <c:pt idx="54">
                  <c:v>0.10380106146694219</c:v>
                </c:pt>
                <c:pt idx="55">
                  <c:v>0.10767661702249774</c:v>
                </c:pt>
                <c:pt idx="56">
                  <c:v>0.11162328368916438</c:v>
                </c:pt>
                <c:pt idx="57">
                  <c:v>0.11564106146694217</c:v>
                </c:pt>
                <c:pt idx="58">
                  <c:v>0.11972995035583106</c:v>
                </c:pt>
                <c:pt idx="59">
                  <c:v>0.12388995035583106</c:v>
                </c:pt>
                <c:pt idx="60">
                  <c:v>0.1281210614669421</c:v>
                </c:pt>
                <c:pt idx="61">
                  <c:v>0.13242328368916434</c:v>
                </c:pt>
                <c:pt idx="62">
                  <c:v>0.13679661702249768</c:v>
                </c:pt>
                <c:pt idx="63">
                  <c:v>0.14124106146694218</c:v>
                </c:pt>
                <c:pt idx="64">
                  <c:v>0.14575661702249776</c:v>
                </c:pt>
                <c:pt idx="65">
                  <c:v>0.15034328368916441</c:v>
                </c:pt>
                <c:pt idx="66">
                  <c:v>0.1550010614669422</c:v>
                </c:pt>
                <c:pt idx="67">
                  <c:v>0.15972995035583101</c:v>
                </c:pt>
                <c:pt idx="68">
                  <c:v>0.16452995035583101</c:v>
                </c:pt>
                <c:pt idx="69">
                  <c:v>0.16940106146694212</c:v>
                </c:pt>
                <c:pt idx="70">
                  <c:v>0.1743432836891643</c:v>
                </c:pt>
                <c:pt idx="71">
                  <c:v>0.17935661702249769</c:v>
                </c:pt>
                <c:pt idx="72">
                  <c:v>0.18444106146694217</c:v>
                </c:pt>
                <c:pt idx="73">
                  <c:v>0.18959661702249775</c:v>
                </c:pt>
                <c:pt idx="74">
                  <c:v>0.19482328368916438</c:v>
                </c:pt>
                <c:pt idx="75">
                  <c:v>0.20012106146694214</c:v>
                </c:pt>
                <c:pt idx="76">
                  <c:v>0.20548995035583109</c:v>
                </c:pt>
                <c:pt idx="77">
                  <c:v>0.21092995035583112</c:v>
                </c:pt>
                <c:pt idx="78">
                  <c:v>0.21644106146694214</c:v>
                </c:pt>
                <c:pt idx="79">
                  <c:v>0.22202328368916446</c:v>
                </c:pt>
                <c:pt idx="80">
                  <c:v>0.22767661702249775</c:v>
                </c:pt>
                <c:pt idx="81">
                  <c:v>0.2334010614669422</c:v>
                </c:pt>
                <c:pt idx="82">
                  <c:v>0.2391966170224977</c:v>
                </c:pt>
                <c:pt idx="83">
                  <c:v>0.24506328368916433</c:v>
                </c:pt>
                <c:pt idx="84">
                  <c:v>0.25100106146694218</c:v>
                </c:pt>
                <c:pt idx="85">
                  <c:v>0.25700995035583107</c:v>
                </c:pt>
                <c:pt idx="86">
                  <c:v>0.26308995035583105</c:v>
                </c:pt>
                <c:pt idx="87">
                  <c:v>0.26924106146694221</c:v>
                </c:pt>
                <c:pt idx="88">
                  <c:v>0.27546328368916434</c:v>
                </c:pt>
                <c:pt idx="89">
                  <c:v>0.28175661702249771</c:v>
                </c:pt>
                <c:pt idx="90">
                  <c:v>0.28812106146694227</c:v>
                </c:pt>
                <c:pt idx="91">
                  <c:v>0.29455661702249775</c:v>
                </c:pt>
                <c:pt idx="92">
                  <c:v>0.30106328368916452</c:v>
                </c:pt>
                <c:pt idx="93">
                  <c:v>0.3076410614669422</c:v>
                </c:pt>
                <c:pt idx="94">
                  <c:v>0.31428995035583107</c:v>
                </c:pt>
                <c:pt idx="95">
                  <c:v>0.32100995035583113</c:v>
                </c:pt>
                <c:pt idx="96">
                  <c:v>0.32780106146694227</c:v>
                </c:pt>
                <c:pt idx="97">
                  <c:v>0.33466328368916437</c:v>
                </c:pt>
                <c:pt idx="98">
                  <c:v>0.34159661702249772</c:v>
                </c:pt>
                <c:pt idx="99">
                  <c:v>0.34860106146694209</c:v>
                </c:pt>
                <c:pt idx="100">
                  <c:v>0.35567661702249775</c:v>
                </c:pt>
                <c:pt idx="101">
                  <c:v>0.36282328368916428</c:v>
                </c:pt>
                <c:pt idx="102">
                  <c:v>0.3700410614669421</c:v>
                </c:pt>
                <c:pt idx="103">
                  <c:v>0.37732995035583106</c:v>
                </c:pt>
                <c:pt idx="104">
                  <c:v>0.3846899503558312</c:v>
                </c:pt>
                <c:pt idx="105">
                  <c:v>0.3921210614669422</c:v>
                </c:pt>
                <c:pt idx="106">
                  <c:v>0.39962328368916444</c:v>
                </c:pt>
                <c:pt idx="107">
                  <c:v>0.40719661702249782</c:v>
                </c:pt>
                <c:pt idx="108">
                  <c:v>0.41484106146694227</c:v>
                </c:pt>
                <c:pt idx="109">
                  <c:v>0.42255661702249786</c:v>
                </c:pt>
                <c:pt idx="110">
                  <c:v>0.43034328368916441</c:v>
                </c:pt>
                <c:pt idx="111">
                  <c:v>0.43820106146694232</c:v>
                </c:pt>
                <c:pt idx="112">
                  <c:v>0.44612995035583108</c:v>
                </c:pt>
                <c:pt idx="113">
                  <c:v>0.45412995035583109</c:v>
                </c:pt>
                <c:pt idx="114">
                  <c:v>0.46220106146694212</c:v>
                </c:pt>
                <c:pt idx="115">
                  <c:v>0.47034328368916445</c:v>
                </c:pt>
                <c:pt idx="116">
                  <c:v>0.4785566170224978</c:v>
                </c:pt>
                <c:pt idx="117">
                  <c:v>0.48684106146694206</c:v>
                </c:pt>
                <c:pt idx="118">
                  <c:v>0.49519661702249773</c:v>
                </c:pt>
                <c:pt idx="119">
                  <c:v>0.50362328368916431</c:v>
                </c:pt>
                <c:pt idx="120">
                  <c:v>0.51212106146694203</c:v>
                </c:pt>
                <c:pt idx="121">
                  <c:v>0.52068995035583088</c:v>
                </c:pt>
                <c:pt idx="122">
                  <c:v>0.52932995035583108</c:v>
                </c:pt>
                <c:pt idx="123">
                  <c:v>0.53804106146694208</c:v>
                </c:pt>
                <c:pt idx="124">
                  <c:v>0.54682328368916444</c:v>
                </c:pt>
                <c:pt idx="125">
                  <c:v>0.55567661702249782</c:v>
                </c:pt>
                <c:pt idx="126">
                  <c:v>0.56460106146694244</c:v>
                </c:pt>
                <c:pt idx="127">
                  <c:v>0.57359661702249776</c:v>
                </c:pt>
                <c:pt idx="128">
                  <c:v>0.58266328368916476</c:v>
                </c:pt>
                <c:pt idx="129">
                  <c:v>0.59180106146694234</c:v>
                </c:pt>
                <c:pt idx="130">
                  <c:v>0.60100995035583105</c:v>
                </c:pt>
                <c:pt idx="131">
                  <c:v>0.610289950355831</c:v>
                </c:pt>
                <c:pt idx="132">
                  <c:v>0.6196410614669422</c:v>
                </c:pt>
                <c:pt idx="133">
                  <c:v>0.62906328368916442</c:v>
                </c:pt>
                <c:pt idx="134">
                  <c:v>0.63855661702249777</c:v>
                </c:pt>
                <c:pt idx="135">
                  <c:v>0.64812106146694215</c:v>
                </c:pt>
                <c:pt idx="136">
                  <c:v>0.65775661702249777</c:v>
                </c:pt>
                <c:pt idx="137">
                  <c:v>0.66746328368916441</c:v>
                </c:pt>
                <c:pt idx="138">
                  <c:v>0.67724106146694196</c:v>
                </c:pt>
                <c:pt idx="139">
                  <c:v>0.68708995035583109</c:v>
                </c:pt>
                <c:pt idx="140">
                  <c:v>0.69700995035583069</c:v>
                </c:pt>
                <c:pt idx="141">
                  <c:v>0.70700106146694242</c:v>
                </c:pt>
                <c:pt idx="142">
                  <c:v>0.71706328368916439</c:v>
                </c:pt>
                <c:pt idx="143">
                  <c:v>0.72719661702249783</c:v>
                </c:pt>
                <c:pt idx="144">
                  <c:v>0.7374010614669424</c:v>
                </c:pt>
                <c:pt idx="145">
                  <c:v>0.74767661702249799</c:v>
                </c:pt>
                <c:pt idx="146">
                  <c:v>0.7580232836891645</c:v>
                </c:pt>
                <c:pt idx="147">
                  <c:v>0.76844106146694235</c:v>
                </c:pt>
                <c:pt idx="148">
                  <c:v>0.77892995035583112</c:v>
                </c:pt>
                <c:pt idx="149">
                  <c:v>0.78948995035583114</c:v>
                </c:pt>
                <c:pt idx="150">
                  <c:v>0.80012106146694206</c:v>
                </c:pt>
              </c:numCache>
            </c:numRef>
          </c:yVal>
          <c:smooth val="1"/>
          <c:extLst>
            <c:ext xmlns:c16="http://schemas.microsoft.com/office/drawing/2014/chart" uri="{C3380CC4-5D6E-409C-BE32-E72D297353CC}">
              <c16:uniqueId val="{00000003-50A0-4BAE-A18F-D1A285C4A90E}"/>
            </c:ext>
          </c:extLst>
        </c:ser>
        <c:dLbls>
          <c:showLegendKey val="0"/>
          <c:showVal val="0"/>
          <c:showCatName val="0"/>
          <c:showSerName val="0"/>
          <c:showPercent val="0"/>
          <c:showBubbleSize val="0"/>
        </c:dLbls>
        <c:axId val="555656704"/>
        <c:axId val="555646336"/>
      </c:scatterChart>
      <c:valAx>
        <c:axId val="555642880"/>
        <c:scaling>
          <c:orientation val="minMax"/>
        </c:scaling>
        <c:delete val="0"/>
        <c:axPos val="b"/>
        <c:majorGridlines/>
        <c:numFmt formatCode="General" sourceLinked="1"/>
        <c:majorTickMark val="out"/>
        <c:minorTickMark val="none"/>
        <c:tickLblPos val="nextTo"/>
        <c:crossAx val="555644416"/>
        <c:crosses val="autoZero"/>
        <c:crossBetween val="midCat"/>
      </c:valAx>
      <c:valAx>
        <c:axId val="555644416"/>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55642880"/>
        <c:crosses val="autoZero"/>
        <c:crossBetween val="midCat"/>
      </c:valAx>
      <c:valAx>
        <c:axId val="555646336"/>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55656704"/>
        <c:crosses val="max"/>
        <c:crossBetween val="midCat"/>
      </c:valAx>
      <c:valAx>
        <c:axId val="555656704"/>
        <c:scaling>
          <c:orientation val="minMax"/>
        </c:scaling>
        <c:delete val="1"/>
        <c:axPos val="b"/>
        <c:title>
          <c:tx>
            <c:rich>
              <a:bodyPr/>
              <a:lstStyle/>
              <a:p>
                <a:pPr>
                  <a:defRPr/>
                </a:pPr>
                <a:r>
                  <a:rPr lang="en-US"/>
                  <a:t>Loac</a:t>
                </a:r>
                <a:r>
                  <a:rPr lang="en-US" baseline="0"/>
                  <a:t> Current (A)</a:t>
                </a:r>
                <a:endParaRPr lang="en-US"/>
              </a:p>
            </c:rich>
          </c:tx>
          <c:overlay val="0"/>
        </c:title>
        <c:numFmt formatCode="General" sourceLinked="1"/>
        <c:majorTickMark val="out"/>
        <c:minorTickMark val="none"/>
        <c:tickLblPos val="nextTo"/>
        <c:crossAx val="555646336"/>
        <c:crosses val="autoZero"/>
        <c:crossBetween val="midCat"/>
      </c:valAx>
    </c:plotArea>
    <c:legend>
      <c:legendPos val="r"/>
      <c:layout>
        <c:manualLayout>
          <c:xMode val="edge"/>
          <c:yMode val="edge"/>
          <c:x val="0.51894403926190358"/>
          <c:y val="6.4862204724409449E-3"/>
          <c:w val="0.39609572935704079"/>
          <c:h val="0.12183653099700564"/>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Eff_vs_IOUT!$AW$7:$AW$157</c:f>
              <c:numCache>
                <c:formatCode>General</c:formatCode>
                <c:ptCount val="151"/>
                <c:pt idx="0">
                  <c:v>0</c:v>
                </c:pt>
                <c:pt idx="1">
                  <c:v>57.125614912726022</c:v>
                </c:pt>
                <c:pt idx="2">
                  <c:v>71.323571544960416</c:v>
                </c:pt>
                <c:pt idx="3">
                  <c:v>77.749346213393522</c:v>
                </c:pt>
                <c:pt idx="4">
                  <c:v>81.522413696774009</c:v>
                </c:pt>
                <c:pt idx="5">
                  <c:v>83.977586182593996</c:v>
                </c:pt>
                <c:pt idx="6">
                  <c:v>85.685545377366452</c:v>
                </c:pt>
                <c:pt idx="7">
                  <c:v>86.937505221276297</c:v>
                </c:pt>
                <c:pt idx="8">
                  <c:v>87.890758174125594</c:v>
                </c:pt>
                <c:pt idx="9">
                  <c:v>88.637720770368887</c:v>
                </c:pt>
                <c:pt idx="10">
                  <c:v>89.236254991533045</c:v>
                </c:pt>
                <c:pt idx="11">
                  <c:v>89.72443762791525</c:v>
                </c:pt>
                <c:pt idx="12">
                  <c:v>90.128350918802965</c:v>
                </c:pt>
                <c:pt idx="13">
                  <c:v>90.466460748329069</c:v>
                </c:pt>
                <c:pt idx="14">
                  <c:v>90.752207585803106</c:v>
                </c:pt>
                <c:pt idx="15">
                  <c:v>90.995607134908738</c:v>
                </c:pt>
                <c:pt idx="16">
                  <c:v>91.204275832277716</c:v>
                </c:pt>
                <c:pt idx="17">
                  <c:v>91.384108681170943</c:v>
                </c:pt>
                <c:pt idx="18">
                  <c:v>91.539739575762141</c:v>
                </c:pt>
                <c:pt idx="19">
                  <c:v>91.674861411269063</c:v>
                </c:pt>
                <c:pt idx="20">
                  <c:v>91.792453399808082</c:v>
                </c:pt>
                <c:pt idx="21">
                  <c:v>91.894945528296802</c:v>
                </c:pt>
                <c:pt idx="22">
                  <c:v>91.984339543577249</c:v>
                </c:pt>
                <c:pt idx="23">
                  <c:v>92.062299305876692</c:v>
                </c:pt>
                <c:pt idx="24">
                  <c:v>92.130219192328127</c:v>
                </c:pt>
                <c:pt idx="25">
                  <c:v>92.189276529587076</c:v>
                </c:pt>
                <c:pt idx="26">
                  <c:v>92.2404722429781</c:v>
                </c:pt>
                <c:pt idx="27">
                  <c:v>92.284662700152779</c:v>
                </c:pt>
                <c:pt idx="28">
                  <c:v>92.322584897085122</c:v>
                </c:pt>
                <c:pt idx="29">
                  <c:v>92.354876555653348</c:v>
                </c:pt>
                <c:pt idx="30">
                  <c:v>92.382092293106183</c:v>
                </c:pt>
                <c:pt idx="31">
                  <c:v>92.40471673087427</c:v>
                </c:pt>
                <c:pt idx="32">
                  <c:v>92.423175197951863</c:v>
                </c:pt>
                <c:pt idx="33">
                  <c:v>92.437842528521472</c:v>
                </c:pt>
                <c:pt idx="34">
                  <c:v>92.44905033829022</c:v>
                </c:pt>
                <c:pt idx="35">
                  <c:v>92.457093077845528</c:v>
                </c:pt>
                <c:pt idx="36">
                  <c:v>92.462233096309035</c:v>
                </c:pt>
                <c:pt idx="37">
                  <c:v>92.464704899062028</c:v>
                </c:pt>
                <c:pt idx="38">
                  <c:v>92.464718745325243</c:v>
                </c:pt>
                <c:pt idx="39">
                  <c:v>92.462463701997166</c:v>
                </c:pt>
                <c:pt idx="40">
                  <c:v>92.458110247273311</c:v>
                </c:pt>
                <c:pt idx="41">
                  <c:v>92.451812499626655</c:v>
                </c:pt>
                <c:pt idx="42">
                  <c:v>92.443710133567805</c:v>
                </c:pt>
                <c:pt idx="43">
                  <c:v>92.433930032360308</c:v>
                </c:pt>
                <c:pt idx="44">
                  <c:v>92.422587718884955</c:v>
                </c:pt>
                <c:pt idx="45">
                  <c:v>92.409788598636538</c:v>
                </c:pt>
                <c:pt idx="46">
                  <c:v>92.39562904301421</c:v>
                </c:pt>
                <c:pt idx="47">
                  <c:v>92.380197336343016</c:v>
                </c:pt>
                <c:pt idx="48">
                  <c:v>92.363574506214889</c:v>
                </c:pt>
                <c:pt idx="49">
                  <c:v>92.345835053583073</c:v>
                </c:pt>
                <c:pt idx="50">
                  <c:v>92.327047596451521</c:v>
                </c:pt>
                <c:pt idx="51">
                  <c:v>92.307275438858852</c:v>
                </c:pt>
                <c:pt idx="52">
                  <c:v>92.28657707507945</c:v>
                </c:pt>
                <c:pt idx="53">
                  <c:v>92.265006637487645</c:v>
                </c:pt>
                <c:pt idx="54">
                  <c:v>92.24261429529399</c:v>
                </c:pt>
                <c:pt idx="55">
                  <c:v>92.21944661032822</c:v>
                </c:pt>
                <c:pt idx="56">
                  <c:v>92.195546855171813</c:v>
                </c:pt>
                <c:pt idx="57">
                  <c:v>92.170955298208284</c:v>
                </c:pt>
                <c:pt idx="58">
                  <c:v>92.145709459535794</c:v>
                </c:pt>
                <c:pt idx="59">
                  <c:v>92.11984434115935</c:v>
                </c:pt>
                <c:pt idx="60">
                  <c:v>92.093392634428341</c:v>
                </c:pt>
                <c:pt idx="61">
                  <c:v>92.066384907301185</c:v>
                </c:pt>
                <c:pt idx="62">
                  <c:v>92.038849773689407</c:v>
                </c:pt>
                <c:pt idx="63">
                  <c:v>92.010814046850442</c:v>
                </c:pt>
                <c:pt idx="64">
                  <c:v>91.982302878554805</c:v>
                </c:pt>
                <c:pt idx="65">
                  <c:v>91.95333988554377</c:v>
                </c:pt>
                <c:pt idx="66">
                  <c:v>91.923947264611058</c:v>
                </c:pt>
                <c:pt idx="67">
                  <c:v>91.894145897485004</c:v>
                </c:pt>
                <c:pt idx="68">
                  <c:v>91.863955446550278</c:v>
                </c:pt>
                <c:pt idx="69">
                  <c:v>91.833394442329549</c:v>
                </c:pt>
                <c:pt idx="70">
                  <c:v>91.80248036354061</c:v>
                </c:pt>
                <c:pt idx="71">
                  <c:v>91.771229710453838</c:v>
                </c:pt>
                <c:pt idx="72">
                  <c:v>91.73965807219551</c:v>
                </c:pt>
                <c:pt idx="73">
                  <c:v>91.707780188571391</c:v>
                </c:pt>
                <c:pt idx="74">
                  <c:v>91.675610006924643</c:v>
                </c:pt>
                <c:pt idx="75">
                  <c:v>91.643160734486955</c:v>
                </c:pt>
                <c:pt idx="76">
                  <c:v>91.610444886634184</c:v>
                </c:pt>
                <c:pt idx="77">
                  <c:v>91.577474331415843</c:v>
                </c:pt>
                <c:pt idx="78">
                  <c:v>91.544260330689255</c:v>
                </c:pt>
                <c:pt idx="79">
                  <c:v>91.510813578157169</c:v>
                </c:pt>
                <c:pt idx="80">
                  <c:v>91.477144234577281</c:v>
                </c:pt>
                <c:pt idx="81">
                  <c:v>91.443261960385584</c:v>
                </c:pt>
                <c:pt idx="82">
                  <c:v>91.409175945953123</c:v>
                </c:pt>
                <c:pt idx="83">
                  <c:v>91.374894939673553</c:v>
                </c:pt>
                <c:pt idx="84">
                  <c:v>91.340427274060971</c:v>
                </c:pt>
                <c:pt idx="85">
                  <c:v>91.305780890020586</c:v>
                </c:pt>
                <c:pt idx="86">
                  <c:v>91.270963359439634</c:v>
                </c:pt>
                <c:pt idx="87">
                  <c:v>91.235981906232794</c:v>
                </c:pt>
                <c:pt idx="88">
                  <c:v>91.200843425963839</c:v>
                </c:pt>
                <c:pt idx="89">
                  <c:v>91.165554504154855</c:v>
                </c:pt>
                <c:pt idx="90">
                  <c:v>91.130121433384105</c:v>
                </c:pt>
                <c:pt idx="91">
                  <c:v>91.09455022926528</c:v>
                </c:pt>
                <c:pt idx="92">
                  <c:v>91.058846645392393</c:v>
                </c:pt>
                <c:pt idx="93">
                  <c:v>91.023016187327499</c:v>
                </c:pt>
                <c:pt idx="94">
                  <c:v>90.987064125702474</c:v>
                </c:pt>
                <c:pt idx="95">
                  <c:v>90.950995508498949</c:v>
                </c:pt>
                <c:pt idx="96">
                  <c:v>90.914815172566705</c:v>
                </c:pt>
                <c:pt idx="97">
                  <c:v>90.878527754434131</c:v>
                </c:pt>
                <c:pt idx="98">
                  <c:v>90.842137700462061</c:v>
                </c:pt>
                <c:pt idx="99">
                  <c:v>90.805649276386106</c:v>
                </c:pt>
                <c:pt idx="100">
                  <c:v>90.769066576290484</c:v>
                </c:pt>
                <c:pt idx="101">
                  <c:v>90.73239353105258</c:v>
                </c:pt>
                <c:pt idx="102">
                  <c:v>90.6956339162939</c:v>
                </c:pt>
                <c:pt idx="103">
                  <c:v>90.658791359871088</c:v>
                </c:pt>
                <c:pt idx="104">
                  <c:v>90.621869348937594</c:v>
                </c:pt>
                <c:pt idx="105">
                  <c:v>90.584871236604556</c:v>
                </c:pt>
                <c:pt idx="106">
                  <c:v>90.54780024822692</c:v>
                </c:pt>
                <c:pt idx="107">
                  <c:v>90.510659487339524</c:v>
                </c:pt>
                <c:pt idx="108">
                  <c:v>90.473451941265409</c:v>
                </c:pt>
                <c:pt idx="109">
                  <c:v>90.436180486417427</c:v>
                </c:pt>
                <c:pt idx="110">
                  <c:v>90.398847893312393</c:v>
                </c:pt>
                <c:pt idx="111">
                  <c:v>90.361456831315905</c:v>
                </c:pt>
                <c:pt idx="112">
                  <c:v>90.324009873134699</c:v>
                </c:pt>
                <c:pt idx="113">
                  <c:v>90.286509499071627</c:v>
                </c:pt>
                <c:pt idx="114">
                  <c:v>90.248958101058292</c:v>
                </c:pt>
                <c:pt idx="115">
                  <c:v>90.211357986478475</c:v>
                </c:pt>
                <c:pt idx="116">
                  <c:v>90.173711381794902</c:v>
                </c:pt>
                <c:pt idx="117">
                  <c:v>90.136020435991099</c:v>
                </c:pt>
                <c:pt idx="118">
                  <c:v>90.098287223839506</c:v>
                </c:pt>
                <c:pt idx="119">
                  <c:v>90.060513749005395</c:v>
                </c:pt>
                <c:pt idx="120">
                  <c:v>90.022701946996634</c:v>
                </c:pt>
                <c:pt idx="121">
                  <c:v>89.984853687968226</c:v>
                </c:pt>
                <c:pt idx="122">
                  <c:v>89.946970779389289</c:v>
                </c:pt>
                <c:pt idx="123">
                  <c:v>89.909054968581003</c:v>
                </c:pt>
                <c:pt idx="124">
                  <c:v>89.871107945132195</c:v>
                </c:pt>
                <c:pt idx="125">
                  <c:v>89.83313134319981</c:v>
                </c:pt>
                <c:pt idx="126">
                  <c:v>89.795126743700251</c:v>
                </c:pt>
                <c:pt idx="127">
                  <c:v>89.757095676397853</c:v>
                </c:pt>
                <c:pt idx="128">
                  <c:v>89.719039621895931</c:v>
                </c:pt>
                <c:pt idx="129">
                  <c:v>89.68096001353581</c:v>
                </c:pt>
                <c:pt idx="130">
                  <c:v>89.642858239208408</c:v>
                </c:pt>
                <c:pt idx="131">
                  <c:v>89.604735643083686</c:v>
                </c:pt>
                <c:pt idx="132">
                  <c:v>89.566593527261446</c:v>
                </c:pt>
                <c:pt idx="133">
                  <c:v>89.528433153348359</c:v>
                </c:pt>
                <c:pt idx="134">
                  <c:v>89.490255743964624</c:v>
                </c:pt>
                <c:pt idx="135">
                  <c:v>89.45206248418387</c:v>
                </c:pt>
                <c:pt idx="136">
                  <c:v>89.413854522910157</c:v>
                </c:pt>
                <c:pt idx="137">
                  <c:v>89.375632974194687</c:v>
                </c:pt>
                <c:pt idx="138">
                  <c:v>89.337398918495609</c:v>
                </c:pt>
                <c:pt idx="139">
                  <c:v>89.299153403883807</c:v>
                </c:pt>
                <c:pt idx="140">
                  <c:v>89.260897447197166</c:v>
                </c:pt>
                <c:pt idx="141">
                  <c:v>89.222632035145978</c:v>
                </c:pt>
                <c:pt idx="142">
                  <c:v>89.184358125371844</c:v>
                </c:pt>
                <c:pt idx="143">
                  <c:v>89.14607664746238</c:v>
                </c:pt>
                <c:pt idx="144">
                  <c:v>89.107788503923842</c:v>
                </c:pt>
                <c:pt idx="145">
                  <c:v>89.06949457111368</c:v>
                </c:pt>
                <c:pt idx="146">
                  <c:v>89.031195700134873</c:v>
                </c:pt>
                <c:pt idx="147">
                  <c:v>88.992892717694062</c:v>
                </c:pt>
                <c:pt idx="148">
                  <c:v>88.954586426924919</c:v>
                </c:pt>
                <c:pt idx="149">
                  <c:v>88.916277608178618</c:v>
                </c:pt>
                <c:pt idx="150">
                  <c:v>88.877967019782716</c:v>
                </c:pt>
              </c:numCache>
            </c:numRef>
          </c:yVal>
          <c:smooth val="0"/>
          <c:extLst>
            <c:ext xmlns:c16="http://schemas.microsoft.com/office/drawing/2014/chart" uri="{C3380CC4-5D6E-409C-BE32-E72D297353CC}">
              <c16:uniqueId val="{00000000-7DAF-432D-B540-E0424C156B7E}"/>
            </c:ext>
          </c:extLst>
        </c:ser>
        <c:dLbls>
          <c:showLegendKey val="0"/>
          <c:showVal val="0"/>
          <c:showCatName val="0"/>
          <c:showSerName val="0"/>
          <c:showPercent val="0"/>
          <c:showBubbleSize val="0"/>
        </c:dLbls>
        <c:axId val="522488064"/>
        <c:axId val="522489856"/>
      </c:scatterChart>
      <c:scatterChart>
        <c:scatterStyle val="smoothMarker"/>
        <c:varyColors val="0"/>
        <c:ser>
          <c:idx val="1"/>
          <c:order val="1"/>
          <c:tx>
            <c:v>LS MOSFET</c:v>
          </c:tx>
          <c:spPr>
            <a:ln>
              <a:solidFill>
                <a:schemeClr val="tx2">
                  <a:lumMod val="75000"/>
                </a:schemeClr>
              </a:solidFill>
              <a:prstDash val="dashDot"/>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Eff_vs_IOUT!$AI$7:$AI$157</c:f>
              <c:numCache>
                <c:formatCode>General</c:formatCode>
                <c:ptCount val="151"/>
                <c:pt idx="0">
                  <c:v>0</c:v>
                </c:pt>
                <c:pt idx="1">
                  <c:v>2.7855346234570841E-2</c:v>
                </c:pt>
                <c:pt idx="2">
                  <c:v>5.5988728212661036E-2</c:v>
                </c:pt>
                <c:pt idx="3">
                  <c:v>8.4303108813429312E-2</c:v>
                </c:pt>
                <c:pt idx="4">
                  <c:v>0.11281111302171648</c:v>
                </c:pt>
                <c:pt idx="5">
                  <c:v>0.14159804042487287</c:v>
                </c:pt>
                <c:pt idx="6">
                  <c:v>0.17066656782802922</c:v>
                </c:pt>
                <c:pt idx="7">
                  <c:v>0.20001669523118562</c:v>
                </c:pt>
                <c:pt idx="8">
                  <c:v>0.22964842263434207</c:v>
                </c:pt>
                <c:pt idx="9">
                  <c:v>0.25956175003749843</c:v>
                </c:pt>
                <c:pt idx="10">
                  <c:v>0.28975667744065481</c:v>
                </c:pt>
                <c:pt idx="11">
                  <c:v>0.32023320484381113</c:v>
                </c:pt>
                <c:pt idx="12">
                  <c:v>0.35099133224696755</c:v>
                </c:pt>
                <c:pt idx="13">
                  <c:v>0.38203105965012407</c:v>
                </c:pt>
                <c:pt idx="14">
                  <c:v>0.41335238705328037</c:v>
                </c:pt>
                <c:pt idx="15">
                  <c:v>0.44495531445643671</c:v>
                </c:pt>
                <c:pt idx="16">
                  <c:v>0.47683984185959327</c:v>
                </c:pt>
                <c:pt idx="17">
                  <c:v>0.50900596926274955</c:v>
                </c:pt>
                <c:pt idx="18">
                  <c:v>0.54145369666590593</c:v>
                </c:pt>
                <c:pt idx="19">
                  <c:v>0.57418302406906241</c:v>
                </c:pt>
                <c:pt idx="20">
                  <c:v>0.60719395147221877</c:v>
                </c:pt>
                <c:pt idx="21">
                  <c:v>0.64048647887537513</c:v>
                </c:pt>
                <c:pt idx="22">
                  <c:v>0.67406060627853137</c:v>
                </c:pt>
                <c:pt idx="23">
                  <c:v>0.70791633368168805</c:v>
                </c:pt>
                <c:pt idx="24">
                  <c:v>0.74205366108484427</c:v>
                </c:pt>
                <c:pt idx="25">
                  <c:v>0.77647258848800083</c:v>
                </c:pt>
                <c:pt idx="26">
                  <c:v>0.81117311589115726</c:v>
                </c:pt>
                <c:pt idx="27">
                  <c:v>0.84615524329431357</c:v>
                </c:pt>
                <c:pt idx="28">
                  <c:v>0.88141897069746977</c:v>
                </c:pt>
                <c:pt idx="29">
                  <c:v>0.9169642981006263</c:v>
                </c:pt>
                <c:pt idx="30">
                  <c:v>0.95279122550378248</c:v>
                </c:pt>
                <c:pt idx="31">
                  <c:v>0.9888997529069391</c:v>
                </c:pt>
                <c:pt idx="32">
                  <c:v>1.0252898803100956</c:v>
                </c:pt>
                <c:pt idx="33">
                  <c:v>1.0619616077132519</c:v>
                </c:pt>
                <c:pt idx="34">
                  <c:v>1.098914935116408</c:v>
                </c:pt>
                <c:pt idx="35">
                  <c:v>1.1361498625195643</c:v>
                </c:pt>
                <c:pt idx="36">
                  <c:v>1.1736663899227211</c:v>
                </c:pt>
                <c:pt idx="37">
                  <c:v>1.2114645173258773</c:v>
                </c:pt>
                <c:pt idx="38">
                  <c:v>1.2495442447290339</c:v>
                </c:pt>
                <c:pt idx="39">
                  <c:v>1.2879055721321901</c:v>
                </c:pt>
                <c:pt idx="40">
                  <c:v>1.3265484995353467</c:v>
                </c:pt>
                <c:pt idx="41">
                  <c:v>1.3654730269385027</c:v>
                </c:pt>
                <c:pt idx="42">
                  <c:v>1.4046791543416592</c:v>
                </c:pt>
                <c:pt idx="43">
                  <c:v>1.4441668817448157</c:v>
                </c:pt>
                <c:pt idx="44">
                  <c:v>1.4839362091479718</c:v>
                </c:pt>
                <c:pt idx="45">
                  <c:v>1.5239871365511286</c:v>
                </c:pt>
                <c:pt idx="46">
                  <c:v>1.5643196639542853</c:v>
                </c:pt>
                <c:pt idx="47">
                  <c:v>1.6049337913574413</c:v>
                </c:pt>
                <c:pt idx="48">
                  <c:v>1.6458295187605976</c:v>
                </c:pt>
                <c:pt idx="49">
                  <c:v>1.687006846163754</c:v>
                </c:pt>
                <c:pt idx="50">
                  <c:v>1.7284657735669104</c:v>
                </c:pt>
                <c:pt idx="51">
                  <c:v>1.7702063009700668</c:v>
                </c:pt>
                <c:pt idx="52">
                  <c:v>1.8122284283732237</c:v>
                </c:pt>
                <c:pt idx="53">
                  <c:v>1.8545321557763796</c:v>
                </c:pt>
                <c:pt idx="54">
                  <c:v>1.8971174831795363</c:v>
                </c:pt>
                <c:pt idx="55">
                  <c:v>1.9399844105826922</c:v>
                </c:pt>
                <c:pt idx="56">
                  <c:v>1.9831329379858487</c:v>
                </c:pt>
                <c:pt idx="57">
                  <c:v>2.0265630653890052</c:v>
                </c:pt>
                <c:pt idx="58">
                  <c:v>2.0702747927921621</c:v>
                </c:pt>
                <c:pt idx="59">
                  <c:v>2.1142681201953177</c:v>
                </c:pt>
                <c:pt idx="60">
                  <c:v>2.1585430475984744</c:v>
                </c:pt>
                <c:pt idx="61">
                  <c:v>2.2030995750016302</c:v>
                </c:pt>
                <c:pt idx="62">
                  <c:v>2.2479377024047875</c:v>
                </c:pt>
                <c:pt idx="63">
                  <c:v>2.293057429807944</c:v>
                </c:pt>
                <c:pt idx="64">
                  <c:v>2.3384587572111002</c:v>
                </c:pt>
                <c:pt idx="65">
                  <c:v>2.3841416846142565</c:v>
                </c:pt>
                <c:pt idx="66">
                  <c:v>2.4301062120174133</c:v>
                </c:pt>
                <c:pt idx="67">
                  <c:v>2.4763523394205693</c:v>
                </c:pt>
                <c:pt idx="68">
                  <c:v>2.5228800668237255</c:v>
                </c:pt>
                <c:pt idx="69">
                  <c:v>2.5696893942268813</c:v>
                </c:pt>
                <c:pt idx="70">
                  <c:v>2.616780321630038</c:v>
                </c:pt>
                <c:pt idx="71">
                  <c:v>2.6641528490331945</c:v>
                </c:pt>
                <c:pt idx="72">
                  <c:v>2.7118069764363515</c:v>
                </c:pt>
                <c:pt idx="73">
                  <c:v>2.7597427038395081</c:v>
                </c:pt>
                <c:pt idx="74">
                  <c:v>2.807960031242664</c:v>
                </c:pt>
                <c:pt idx="75">
                  <c:v>2.85645895864582</c:v>
                </c:pt>
                <c:pt idx="76">
                  <c:v>2.905239486048977</c:v>
                </c:pt>
                <c:pt idx="77">
                  <c:v>2.954301613452134</c:v>
                </c:pt>
                <c:pt idx="78">
                  <c:v>3.0036453408552894</c:v>
                </c:pt>
                <c:pt idx="79">
                  <c:v>3.0532706682584463</c:v>
                </c:pt>
                <c:pt idx="80">
                  <c:v>3.1031775956616023</c:v>
                </c:pt>
                <c:pt idx="81">
                  <c:v>3.1533661230647585</c:v>
                </c:pt>
                <c:pt idx="82">
                  <c:v>3.2038362504679148</c:v>
                </c:pt>
                <c:pt idx="83">
                  <c:v>3.2545879778710711</c:v>
                </c:pt>
                <c:pt idx="84">
                  <c:v>3.3056213052742276</c:v>
                </c:pt>
                <c:pt idx="85">
                  <c:v>3.3569362326773833</c:v>
                </c:pt>
                <c:pt idx="86">
                  <c:v>3.4085327600805408</c:v>
                </c:pt>
                <c:pt idx="87">
                  <c:v>3.4604108874836976</c:v>
                </c:pt>
                <c:pt idx="88">
                  <c:v>3.5125706148868527</c:v>
                </c:pt>
                <c:pt idx="89">
                  <c:v>3.5650119422900097</c:v>
                </c:pt>
                <c:pt idx="90">
                  <c:v>3.6177348696931668</c:v>
                </c:pt>
                <c:pt idx="91">
                  <c:v>3.6707393970963231</c:v>
                </c:pt>
                <c:pt idx="92">
                  <c:v>3.7240255244994804</c:v>
                </c:pt>
                <c:pt idx="93">
                  <c:v>3.7775932519026352</c:v>
                </c:pt>
                <c:pt idx="94">
                  <c:v>3.8314425793057918</c:v>
                </c:pt>
                <c:pt idx="95">
                  <c:v>3.8855735067089481</c:v>
                </c:pt>
                <c:pt idx="96">
                  <c:v>3.939986034112104</c:v>
                </c:pt>
                <c:pt idx="97">
                  <c:v>3.9946801615152601</c:v>
                </c:pt>
                <c:pt idx="98">
                  <c:v>4.0496558889184167</c:v>
                </c:pt>
                <c:pt idx="99">
                  <c:v>4.1049132163215729</c:v>
                </c:pt>
                <c:pt idx="100">
                  <c:v>4.1604521437247302</c:v>
                </c:pt>
                <c:pt idx="101">
                  <c:v>4.2162726711278857</c:v>
                </c:pt>
                <c:pt idx="102">
                  <c:v>4.2723747985310432</c:v>
                </c:pt>
                <c:pt idx="103">
                  <c:v>4.328758525934199</c:v>
                </c:pt>
                <c:pt idx="104">
                  <c:v>4.3854238533373566</c:v>
                </c:pt>
                <c:pt idx="105">
                  <c:v>4.4423707807405117</c:v>
                </c:pt>
                <c:pt idx="106">
                  <c:v>4.4995993081436687</c:v>
                </c:pt>
                <c:pt idx="107">
                  <c:v>4.5571094355468258</c:v>
                </c:pt>
                <c:pt idx="108">
                  <c:v>4.6149011629499821</c:v>
                </c:pt>
                <c:pt idx="109">
                  <c:v>4.6729744903531376</c:v>
                </c:pt>
                <c:pt idx="110">
                  <c:v>4.7313294177562941</c:v>
                </c:pt>
                <c:pt idx="111">
                  <c:v>4.7899659451594507</c:v>
                </c:pt>
                <c:pt idx="112">
                  <c:v>4.8488840725626066</c:v>
                </c:pt>
                <c:pt idx="113">
                  <c:v>4.9080837999657634</c:v>
                </c:pt>
                <c:pt idx="114">
                  <c:v>4.9675651273689194</c:v>
                </c:pt>
                <c:pt idx="115">
                  <c:v>5.0273280547720756</c:v>
                </c:pt>
                <c:pt idx="116">
                  <c:v>5.0873725821752327</c:v>
                </c:pt>
                <c:pt idx="117">
                  <c:v>5.1476987095783882</c:v>
                </c:pt>
                <c:pt idx="118">
                  <c:v>5.2083064369815446</c:v>
                </c:pt>
                <c:pt idx="119">
                  <c:v>5.2691957643847003</c:v>
                </c:pt>
                <c:pt idx="120">
                  <c:v>5.3303666917878569</c:v>
                </c:pt>
                <c:pt idx="121">
                  <c:v>5.3918192191910137</c:v>
                </c:pt>
                <c:pt idx="122">
                  <c:v>5.4535533465941697</c:v>
                </c:pt>
                <c:pt idx="123">
                  <c:v>5.5155690739973249</c:v>
                </c:pt>
                <c:pt idx="124">
                  <c:v>5.5778664014004846</c:v>
                </c:pt>
                <c:pt idx="125">
                  <c:v>5.64044532880364</c:v>
                </c:pt>
                <c:pt idx="126">
                  <c:v>5.7033058562067982</c:v>
                </c:pt>
                <c:pt idx="127">
                  <c:v>5.766447983609952</c:v>
                </c:pt>
                <c:pt idx="128">
                  <c:v>5.8298717110131104</c:v>
                </c:pt>
                <c:pt idx="129">
                  <c:v>5.8935770384162662</c:v>
                </c:pt>
                <c:pt idx="130">
                  <c:v>5.9575639658194222</c:v>
                </c:pt>
                <c:pt idx="131">
                  <c:v>6.0218324932225791</c:v>
                </c:pt>
                <c:pt idx="132">
                  <c:v>6.0863826206257343</c:v>
                </c:pt>
                <c:pt idx="133">
                  <c:v>6.1512143480288923</c:v>
                </c:pt>
                <c:pt idx="134">
                  <c:v>6.2163276754320478</c:v>
                </c:pt>
                <c:pt idx="135">
                  <c:v>6.2817226028352033</c:v>
                </c:pt>
                <c:pt idx="136">
                  <c:v>6.3473991302383599</c:v>
                </c:pt>
                <c:pt idx="137">
                  <c:v>6.4133572576415165</c:v>
                </c:pt>
                <c:pt idx="138">
                  <c:v>6.4795969850446715</c:v>
                </c:pt>
                <c:pt idx="139">
                  <c:v>6.5461183124478293</c:v>
                </c:pt>
                <c:pt idx="140">
                  <c:v>6.6129212398509853</c:v>
                </c:pt>
                <c:pt idx="141">
                  <c:v>6.6800057672541415</c:v>
                </c:pt>
                <c:pt idx="142">
                  <c:v>6.7473718946572978</c:v>
                </c:pt>
                <c:pt idx="143">
                  <c:v>6.815019622060456</c:v>
                </c:pt>
                <c:pt idx="144">
                  <c:v>6.8829489494636125</c:v>
                </c:pt>
                <c:pt idx="145">
                  <c:v>6.9511598768667682</c:v>
                </c:pt>
                <c:pt idx="146">
                  <c:v>7.0196524042699249</c:v>
                </c:pt>
                <c:pt idx="147">
                  <c:v>7.0884265316730808</c:v>
                </c:pt>
                <c:pt idx="148">
                  <c:v>7.1574822590762377</c:v>
                </c:pt>
                <c:pt idx="149">
                  <c:v>7.2268195864793938</c:v>
                </c:pt>
                <c:pt idx="150">
                  <c:v>7.2964385138825492</c:v>
                </c:pt>
              </c:numCache>
            </c:numRef>
          </c:yVal>
          <c:smooth val="1"/>
          <c:extLst>
            <c:ext xmlns:c16="http://schemas.microsoft.com/office/drawing/2014/chart" uri="{C3380CC4-5D6E-409C-BE32-E72D297353CC}">
              <c16:uniqueId val="{00000001-7DAF-432D-B540-E0424C156B7E}"/>
            </c:ext>
          </c:extLst>
        </c:ser>
        <c:ser>
          <c:idx val="2"/>
          <c:order val="2"/>
          <c:tx>
            <c:v>HS MOSFET</c:v>
          </c:tx>
          <c:spPr>
            <a:ln>
              <a:solidFill>
                <a:schemeClr val="bg2">
                  <a:lumMod val="50000"/>
                </a:schemeClr>
              </a:solidFill>
              <a:prstDash val="sysDash"/>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Eff_vs_IOUT!$AO$7:$AO$157</c:f>
              <c:numCache>
                <c:formatCode>General</c:formatCode>
                <c:ptCount val="151"/>
                <c:pt idx="0">
                  <c:v>0</c:v>
                </c:pt>
                <c:pt idx="1">
                  <c:v>0.42808147929541279</c:v>
                </c:pt>
                <c:pt idx="2">
                  <c:v>0.42953984185466892</c:v>
                </c:pt>
                <c:pt idx="3">
                  <c:v>0.43069485830252952</c:v>
                </c:pt>
                <c:pt idx="4">
                  <c:v>0.43174624482323243</c:v>
                </c:pt>
                <c:pt idx="5">
                  <c:v>0.43282571148989907</c:v>
                </c:pt>
                <c:pt idx="6">
                  <c:v>0.43393646704545458</c:v>
                </c:pt>
                <c:pt idx="7">
                  <c:v>0.43507851148989907</c:v>
                </c:pt>
                <c:pt idx="8">
                  <c:v>0.43625184482323237</c:v>
                </c:pt>
                <c:pt idx="9">
                  <c:v>0.4374564670454546</c:v>
                </c:pt>
                <c:pt idx="10">
                  <c:v>0.4386923781565657</c:v>
                </c:pt>
                <c:pt idx="11">
                  <c:v>0.43995957815656572</c:v>
                </c:pt>
                <c:pt idx="12">
                  <c:v>0.44125806704545462</c:v>
                </c:pt>
                <c:pt idx="13">
                  <c:v>0.44258784482323238</c:v>
                </c:pt>
                <c:pt idx="14">
                  <c:v>0.44394891148989907</c:v>
                </c:pt>
                <c:pt idx="15">
                  <c:v>0.44534126704545457</c:v>
                </c:pt>
                <c:pt idx="16">
                  <c:v>0.44676491148989905</c:v>
                </c:pt>
                <c:pt idx="17">
                  <c:v>0.44821984482323241</c:v>
                </c:pt>
                <c:pt idx="18">
                  <c:v>0.44970606704545463</c:v>
                </c:pt>
                <c:pt idx="19">
                  <c:v>0.45122357815656572</c:v>
                </c:pt>
                <c:pt idx="20">
                  <c:v>0.45277237815656568</c:v>
                </c:pt>
                <c:pt idx="21">
                  <c:v>0.45435246704545462</c:v>
                </c:pt>
                <c:pt idx="22">
                  <c:v>0.45596384482323238</c:v>
                </c:pt>
                <c:pt idx="23">
                  <c:v>0.45760651148989906</c:v>
                </c:pt>
                <c:pt idx="24">
                  <c:v>0.45928046704545461</c:v>
                </c:pt>
                <c:pt idx="25">
                  <c:v>0.46098571148989909</c:v>
                </c:pt>
                <c:pt idx="26">
                  <c:v>0.46272224482323238</c:v>
                </c:pt>
                <c:pt idx="27">
                  <c:v>0.46449006704545459</c:v>
                </c:pt>
                <c:pt idx="28">
                  <c:v>0.46628917815656573</c:v>
                </c:pt>
                <c:pt idx="29">
                  <c:v>0.46811957815656569</c:v>
                </c:pt>
                <c:pt idx="30">
                  <c:v>0.46998126704545462</c:v>
                </c:pt>
                <c:pt idx="31">
                  <c:v>0.47187424482323237</c:v>
                </c:pt>
                <c:pt idx="32">
                  <c:v>0.47379851148989904</c:v>
                </c:pt>
                <c:pt idx="33">
                  <c:v>0.47575406704545464</c:v>
                </c:pt>
                <c:pt idx="34">
                  <c:v>0.47774091148989906</c:v>
                </c:pt>
                <c:pt idx="35">
                  <c:v>0.47975904482323239</c:v>
                </c:pt>
                <c:pt idx="36">
                  <c:v>0.4818084670454546</c:v>
                </c:pt>
                <c:pt idx="37">
                  <c:v>0.48388917815656574</c:v>
                </c:pt>
                <c:pt idx="38">
                  <c:v>0.48600117815656574</c:v>
                </c:pt>
                <c:pt idx="39">
                  <c:v>0.48814446704545456</c:v>
                </c:pt>
                <c:pt idx="40">
                  <c:v>0.49031904482323241</c:v>
                </c:pt>
                <c:pt idx="41">
                  <c:v>0.49252491148989902</c:v>
                </c:pt>
                <c:pt idx="42">
                  <c:v>0.49476206704545461</c:v>
                </c:pt>
                <c:pt idx="43">
                  <c:v>0.49703051148989902</c:v>
                </c:pt>
                <c:pt idx="44">
                  <c:v>0.49933024482323241</c:v>
                </c:pt>
                <c:pt idx="45">
                  <c:v>0.50166126704545455</c:v>
                </c:pt>
                <c:pt idx="46">
                  <c:v>0.50402357815656573</c:v>
                </c:pt>
                <c:pt idx="47">
                  <c:v>0.50641717815656573</c:v>
                </c:pt>
                <c:pt idx="48">
                  <c:v>0.50884206704545465</c:v>
                </c:pt>
                <c:pt idx="49">
                  <c:v>0.51129824482323238</c:v>
                </c:pt>
                <c:pt idx="50">
                  <c:v>0.51378571148989904</c:v>
                </c:pt>
                <c:pt idx="51">
                  <c:v>0.51630446704545463</c:v>
                </c:pt>
                <c:pt idx="52">
                  <c:v>0.51885451148989903</c:v>
                </c:pt>
                <c:pt idx="53">
                  <c:v>0.52143584482323235</c:v>
                </c:pt>
                <c:pt idx="54">
                  <c:v>0.5240484670454546</c:v>
                </c:pt>
                <c:pt idx="55">
                  <c:v>0.52669237815656578</c:v>
                </c:pt>
                <c:pt idx="56">
                  <c:v>0.52936757815656565</c:v>
                </c:pt>
                <c:pt idx="57">
                  <c:v>0.53207406704545457</c:v>
                </c:pt>
                <c:pt idx="58">
                  <c:v>0.53481184482323241</c:v>
                </c:pt>
                <c:pt idx="59">
                  <c:v>0.53758091148989906</c:v>
                </c:pt>
                <c:pt idx="60">
                  <c:v>0.54038126704545464</c:v>
                </c:pt>
                <c:pt idx="61">
                  <c:v>0.54321291148989903</c:v>
                </c:pt>
                <c:pt idx="62">
                  <c:v>0.54607584482323235</c:v>
                </c:pt>
                <c:pt idx="63">
                  <c:v>0.54897006704545459</c:v>
                </c:pt>
                <c:pt idx="64">
                  <c:v>0.55189557815656576</c:v>
                </c:pt>
                <c:pt idx="65">
                  <c:v>0.55485237815656574</c:v>
                </c:pt>
                <c:pt idx="66">
                  <c:v>0.55784046704545465</c:v>
                </c:pt>
                <c:pt idx="67">
                  <c:v>0.56085984482323237</c:v>
                </c:pt>
                <c:pt idx="68">
                  <c:v>0.56391051148989901</c:v>
                </c:pt>
                <c:pt idx="69">
                  <c:v>0.56699246704545458</c:v>
                </c:pt>
                <c:pt idx="70">
                  <c:v>0.57010571148989908</c:v>
                </c:pt>
                <c:pt idx="71">
                  <c:v>0.57325024482323239</c:v>
                </c:pt>
                <c:pt idx="72">
                  <c:v>0.57642606704545463</c:v>
                </c:pt>
                <c:pt idx="73">
                  <c:v>0.57963317815656579</c:v>
                </c:pt>
                <c:pt idx="74">
                  <c:v>0.58287157815656576</c:v>
                </c:pt>
                <c:pt idx="75">
                  <c:v>0.58614126704545455</c:v>
                </c:pt>
                <c:pt idx="76">
                  <c:v>0.58944224482323238</c:v>
                </c:pt>
                <c:pt idx="77">
                  <c:v>0.59277451148989901</c:v>
                </c:pt>
                <c:pt idx="78">
                  <c:v>0.59613806704545458</c:v>
                </c:pt>
                <c:pt idx="79">
                  <c:v>0.59953291148989907</c:v>
                </c:pt>
                <c:pt idx="80">
                  <c:v>0.60295904482323237</c:v>
                </c:pt>
                <c:pt idx="81">
                  <c:v>0.6064164670454546</c:v>
                </c:pt>
                <c:pt idx="82">
                  <c:v>0.60990517815656564</c:v>
                </c:pt>
                <c:pt idx="83">
                  <c:v>0.61342517815656561</c:v>
                </c:pt>
                <c:pt idx="84">
                  <c:v>0.61697646704545461</c:v>
                </c:pt>
                <c:pt idx="85">
                  <c:v>0.62055904482323243</c:v>
                </c:pt>
                <c:pt idx="86">
                  <c:v>0.62417291148989906</c:v>
                </c:pt>
                <c:pt idx="87">
                  <c:v>0.62781806704545473</c:v>
                </c:pt>
                <c:pt idx="88">
                  <c:v>0.6314945114898991</c:v>
                </c:pt>
                <c:pt idx="89">
                  <c:v>0.6352022448232324</c:v>
                </c:pt>
                <c:pt idx="90">
                  <c:v>0.63894126704545462</c:v>
                </c:pt>
                <c:pt idx="91">
                  <c:v>0.64271157815656577</c:v>
                </c:pt>
                <c:pt idx="92">
                  <c:v>0.64651317815656584</c:v>
                </c:pt>
                <c:pt idx="93">
                  <c:v>0.65034606704545461</c:v>
                </c:pt>
                <c:pt idx="94">
                  <c:v>0.65421024482323242</c:v>
                </c:pt>
                <c:pt idx="95">
                  <c:v>0.65810571148989905</c:v>
                </c:pt>
                <c:pt idx="96">
                  <c:v>0.6620324670454546</c:v>
                </c:pt>
                <c:pt idx="97">
                  <c:v>0.66599051148989896</c:v>
                </c:pt>
                <c:pt idx="98">
                  <c:v>0.66997984482323236</c:v>
                </c:pt>
                <c:pt idx="99">
                  <c:v>0.67400046704545458</c:v>
                </c:pt>
                <c:pt idx="100">
                  <c:v>0.67805237815656572</c:v>
                </c:pt>
                <c:pt idx="101">
                  <c:v>0.68213557815656567</c:v>
                </c:pt>
                <c:pt idx="102">
                  <c:v>0.68625006704545455</c:v>
                </c:pt>
                <c:pt idx="103">
                  <c:v>0.69039584482323246</c:v>
                </c:pt>
                <c:pt idx="104">
                  <c:v>0.69457291148989908</c:v>
                </c:pt>
                <c:pt idx="105">
                  <c:v>0.69878126704545462</c:v>
                </c:pt>
                <c:pt idx="106">
                  <c:v>0.70302091148989909</c:v>
                </c:pt>
                <c:pt idx="107">
                  <c:v>0.70729184482323249</c:v>
                </c:pt>
                <c:pt idx="108">
                  <c:v>0.71159406704545469</c:v>
                </c:pt>
                <c:pt idx="109">
                  <c:v>0.71592757815656571</c:v>
                </c:pt>
                <c:pt idx="110">
                  <c:v>0.72029237815656566</c:v>
                </c:pt>
                <c:pt idx="111">
                  <c:v>0.72468846704545475</c:v>
                </c:pt>
                <c:pt idx="112">
                  <c:v>0.72911584482323244</c:v>
                </c:pt>
                <c:pt idx="113">
                  <c:v>0.73357451148989905</c:v>
                </c:pt>
                <c:pt idx="114">
                  <c:v>0.73806446704545448</c:v>
                </c:pt>
                <c:pt idx="115">
                  <c:v>0.74258571148989905</c:v>
                </c:pt>
                <c:pt idx="116">
                  <c:v>0.74713824482323243</c:v>
                </c:pt>
                <c:pt idx="117">
                  <c:v>0.75172206704545452</c:v>
                </c:pt>
                <c:pt idx="118">
                  <c:v>0.75633717815656565</c:v>
                </c:pt>
                <c:pt idx="119">
                  <c:v>0.76098357815656559</c:v>
                </c:pt>
                <c:pt idx="120">
                  <c:v>0.76566126704545456</c:v>
                </c:pt>
                <c:pt idx="121">
                  <c:v>0.77037024482323235</c:v>
                </c:pt>
                <c:pt idx="122">
                  <c:v>0.77511051148989907</c:v>
                </c:pt>
                <c:pt idx="123">
                  <c:v>0.77988206704545449</c:v>
                </c:pt>
                <c:pt idx="124">
                  <c:v>0.78468491148989905</c:v>
                </c:pt>
                <c:pt idx="125">
                  <c:v>0.78951904482323232</c:v>
                </c:pt>
                <c:pt idx="126">
                  <c:v>0.79438446704545473</c:v>
                </c:pt>
                <c:pt idx="127">
                  <c:v>0.79928117815656563</c:v>
                </c:pt>
                <c:pt idx="128">
                  <c:v>0.80420917815656578</c:v>
                </c:pt>
                <c:pt idx="129">
                  <c:v>0.80916846704545464</c:v>
                </c:pt>
                <c:pt idx="130">
                  <c:v>0.81415904482323231</c:v>
                </c:pt>
                <c:pt idx="131">
                  <c:v>0.81918091148989902</c:v>
                </c:pt>
                <c:pt idx="132">
                  <c:v>0.82423406704545454</c:v>
                </c:pt>
                <c:pt idx="133">
                  <c:v>0.82931851148989899</c:v>
                </c:pt>
                <c:pt idx="134">
                  <c:v>0.83443424482323225</c:v>
                </c:pt>
                <c:pt idx="135">
                  <c:v>0.83958126704545477</c:v>
                </c:pt>
                <c:pt idx="136">
                  <c:v>0.84475957815656566</c:v>
                </c:pt>
                <c:pt idx="137">
                  <c:v>0.8499691781565657</c:v>
                </c:pt>
                <c:pt idx="138">
                  <c:v>0.85521006704545455</c:v>
                </c:pt>
                <c:pt idx="139">
                  <c:v>0.86048224482323232</c:v>
                </c:pt>
                <c:pt idx="140">
                  <c:v>0.8657857114898988</c:v>
                </c:pt>
                <c:pt idx="141">
                  <c:v>0.87112046704545454</c:v>
                </c:pt>
                <c:pt idx="142">
                  <c:v>0.87648651148989898</c:v>
                </c:pt>
                <c:pt idx="143">
                  <c:v>0.88188384482323245</c:v>
                </c:pt>
                <c:pt idx="144">
                  <c:v>0.88731246704545463</c:v>
                </c:pt>
                <c:pt idx="145">
                  <c:v>0.89277237815656574</c:v>
                </c:pt>
                <c:pt idx="146">
                  <c:v>0.89826357815656577</c:v>
                </c:pt>
                <c:pt idx="147">
                  <c:v>0.9037860670454545</c:v>
                </c:pt>
                <c:pt idx="148">
                  <c:v>0.90933984482323238</c:v>
                </c:pt>
                <c:pt idx="149">
                  <c:v>0.91492491148989896</c:v>
                </c:pt>
                <c:pt idx="150">
                  <c:v>0.92054126704545458</c:v>
                </c:pt>
              </c:numCache>
            </c:numRef>
          </c:yVal>
          <c:smooth val="1"/>
          <c:extLst>
            <c:ext xmlns:c16="http://schemas.microsoft.com/office/drawing/2014/chart" uri="{C3380CC4-5D6E-409C-BE32-E72D297353CC}">
              <c16:uniqueId val="{00000002-7DAF-432D-B540-E0424C156B7E}"/>
            </c:ext>
          </c:extLst>
        </c:ser>
        <c:ser>
          <c:idx val="3"/>
          <c:order val="3"/>
          <c:tx>
            <c:v>RCS</c:v>
          </c:tx>
          <c:spPr>
            <a:ln>
              <a:solidFill>
                <a:schemeClr val="accent5">
                  <a:lumMod val="75000"/>
                </a:schemeClr>
              </a:solidFill>
              <a:prstDash val="lgDashDotDot"/>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Eff_vs_IOUT!$AP$7:$AP$157</c:f>
              <c:numCache>
                <c:formatCode>General</c:formatCode>
                <c:ptCount val="151"/>
                <c:pt idx="0">
                  <c:v>0</c:v>
                </c:pt>
                <c:pt idx="1">
                  <c:v>8.4752230155163771E-5</c:v>
                </c:pt>
                <c:pt idx="2">
                  <c:v>2.3971550665359716E-4</c:v>
                </c:pt>
                <c:pt idx="3">
                  <c:v>4.403855060505443E-4</c:v>
                </c:pt>
                <c:pt idx="4">
                  <c:v>6.8995035583103797E-4</c:v>
                </c:pt>
                <c:pt idx="5">
                  <c:v>1.0099503558310379E-3</c:v>
                </c:pt>
                <c:pt idx="6">
                  <c:v>1.4010614669421493E-3</c:v>
                </c:pt>
                <c:pt idx="7">
                  <c:v>1.8632836891643711E-3</c:v>
                </c:pt>
                <c:pt idx="8">
                  <c:v>2.3966170224977053E-3</c:v>
                </c:pt>
                <c:pt idx="9">
                  <c:v>3.0010614669421501E-3</c:v>
                </c:pt>
                <c:pt idx="10">
                  <c:v>3.6766170224977052E-3</c:v>
                </c:pt>
                <c:pt idx="11">
                  <c:v>4.4232836891643706E-3</c:v>
                </c:pt>
                <c:pt idx="12">
                  <c:v>5.2410614669421499E-3</c:v>
                </c:pt>
                <c:pt idx="13">
                  <c:v>6.1299503558310403E-3</c:v>
                </c:pt>
                <c:pt idx="14">
                  <c:v>7.0899503558310385E-3</c:v>
                </c:pt>
                <c:pt idx="15">
                  <c:v>8.121061466942147E-3</c:v>
                </c:pt>
                <c:pt idx="16">
                  <c:v>9.2232836891643754E-3</c:v>
                </c:pt>
                <c:pt idx="17">
                  <c:v>1.0396617022497702E-2</c:v>
                </c:pt>
                <c:pt idx="18">
                  <c:v>1.1641061466942149E-2</c:v>
                </c:pt>
                <c:pt idx="19">
                  <c:v>1.2956617022497709E-2</c:v>
                </c:pt>
                <c:pt idx="20">
                  <c:v>1.4343283689164371E-2</c:v>
                </c:pt>
                <c:pt idx="21">
                  <c:v>1.5801061466942153E-2</c:v>
                </c:pt>
                <c:pt idx="22">
                  <c:v>1.7329950355831035E-2</c:v>
                </c:pt>
                <c:pt idx="23">
                  <c:v>1.8929950355831046E-2</c:v>
                </c:pt>
                <c:pt idx="24">
                  <c:v>2.0601061466942152E-2</c:v>
                </c:pt>
                <c:pt idx="25">
                  <c:v>2.2343283689164373E-2</c:v>
                </c:pt>
                <c:pt idx="26">
                  <c:v>2.415661702249771E-2</c:v>
                </c:pt>
                <c:pt idx="27">
                  <c:v>2.6041061466942156E-2</c:v>
                </c:pt>
                <c:pt idx="28">
                  <c:v>2.799661702249771E-2</c:v>
                </c:pt>
                <c:pt idx="29">
                  <c:v>3.0023283689164373E-2</c:v>
                </c:pt>
                <c:pt idx="30">
                  <c:v>3.2121061466942158E-2</c:v>
                </c:pt>
                <c:pt idx="31">
                  <c:v>3.4289950355831052E-2</c:v>
                </c:pt>
                <c:pt idx="32">
                  <c:v>3.6529950355831058E-2</c:v>
                </c:pt>
                <c:pt idx="33">
                  <c:v>3.8841061466942162E-2</c:v>
                </c:pt>
                <c:pt idx="34">
                  <c:v>4.1223283689164364E-2</c:v>
                </c:pt>
                <c:pt idx="35">
                  <c:v>4.3676617022497685E-2</c:v>
                </c:pt>
                <c:pt idx="36">
                  <c:v>4.6201061466942174E-2</c:v>
                </c:pt>
                <c:pt idx="37">
                  <c:v>4.8796617022497719E-2</c:v>
                </c:pt>
                <c:pt idx="38">
                  <c:v>5.1463283689164377E-2</c:v>
                </c:pt>
                <c:pt idx="39">
                  <c:v>5.4201061466942153E-2</c:v>
                </c:pt>
                <c:pt idx="40">
                  <c:v>5.7009950355831049E-2</c:v>
                </c:pt>
                <c:pt idx="41">
                  <c:v>5.9889950355831036E-2</c:v>
                </c:pt>
                <c:pt idx="42">
                  <c:v>6.2841061466942169E-2</c:v>
                </c:pt>
                <c:pt idx="43">
                  <c:v>6.5863283689164373E-2</c:v>
                </c:pt>
                <c:pt idx="44">
                  <c:v>6.8956617022497682E-2</c:v>
                </c:pt>
                <c:pt idx="45">
                  <c:v>7.212106146694218E-2</c:v>
                </c:pt>
                <c:pt idx="46">
                  <c:v>7.5356617022497741E-2</c:v>
                </c:pt>
                <c:pt idx="47">
                  <c:v>7.8663283689164407E-2</c:v>
                </c:pt>
                <c:pt idx="48">
                  <c:v>8.2041061466942164E-2</c:v>
                </c:pt>
                <c:pt idx="49">
                  <c:v>8.548995035583104E-2</c:v>
                </c:pt>
                <c:pt idx="50">
                  <c:v>8.9009950355831036E-2</c:v>
                </c:pt>
                <c:pt idx="51">
                  <c:v>9.260106146694215E-2</c:v>
                </c:pt>
                <c:pt idx="52">
                  <c:v>9.6263283689164411E-2</c:v>
                </c:pt>
                <c:pt idx="53">
                  <c:v>9.999661702249775E-2</c:v>
                </c:pt>
                <c:pt idx="54">
                  <c:v>0.10380106146694219</c:v>
                </c:pt>
                <c:pt idx="55">
                  <c:v>0.10767661702249774</c:v>
                </c:pt>
                <c:pt idx="56">
                  <c:v>0.11162328368916438</c:v>
                </c:pt>
                <c:pt idx="57">
                  <c:v>0.11564106146694217</c:v>
                </c:pt>
                <c:pt idx="58">
                  <c:v>0.11972995035583106</c:v>
                </c:pt>
                <c:pt idx="59">
                  <c:v>0.12388995035583106</c:v>
                </c:pt>
                <c:pt idx="60">
                  <c:v>0.1281210614669421</c:v>
                </c:pt>
                <c:pt idx="61">
                  <c:v>0.13242328368916434</c:v>
                </c:pt>
                <c:pt idx="62">
                  <c:v>0.13679661702249768</c:v>
                </c:pt>
                <c:pt idx="63">
                  <c:v>0.14124106146694218</c:v>
                </c:pt>
                <c:pt idx="64">
                  <c:v>0.14575661702249776</c:v>
                </c:pt>
                <c:pt idx="65">
                  <c:v>0.15034328368916441</c:v>
                </c:pt>
                <c:pt idx="66">
                  <c:v>0.1550010614669422</c:v>
                </c:pt>
                <c:pt idx="67">
                  <c:v>0.15972995035583101</c:v>
                </c:pt>
                <c:pt idx="68">
                  <c:v>0.16452995035583101</c:v>
                </c:pt>
                <c:pt idx="69">
                  <c:v>0.16940106146694212</c:v>
                </c:pt>
                <c:pt idx="70">
                  <c:v>0.1743432836891643</c:v>
                </c:pt>
                <c:pt idx="71">
                  <c:v>0.17935661702249769</c:v>
                </c:pt>
                <c:pt idx="72">
                  <c:v>0.18444106146694217</c:v>
                </c:pt>
                <c:pt idx="73">
                  <c:v>0.18959661702249775</c:v>
                </c:pt>
                <c:pt idx="74">
                  <c:v>0.19482328368916438</c:v>
                </c:pt>
                <c:pt idx="75">
                  <c:v>0.20012106146694214</c:v>
                </c:pt>
                <c:pt idx="76">
                  <c:v>0.20548995035583109</c:v>
                </c:pt>
                <c:pt idx="77">
                  <c:v>0.21092995035583112</c:v>
                </c:pt>
                <c:pt idx="78">
                  <c:v>0.21644106146694214</c:v>
                </c:pt>
                <c:pt idx="79">
                  <c:v>0.22202328368916446</c:v>
                </c:pt>
                <c:pt idx="80">
                  <c:v>0.22767661702249775</c:v>
                </c:pt>
                <c:pt idx="81">
                  <c:v>0.2334010614669422</c:v>
                </c:pt>
                <c:pt idx="82">
                  <c:v>0.2391966170224977</c:v>
                </c:pt>
                <c:pt idx="83">
                  <c:v>0.24506328368916433</c:v>
                </c:pt>
                <c:pt idx="84">
                  <c:v>0.25100106146694218</c:v>
                </c:pt>
                <c:pt idx="85">
                  <c:v>0.25700995035583107</c:v>
                </c:pt>
                <c:pt idx="86">
                  <c:v>0.26308995035583105</c:v>
                </c:pt>
                <c:pt idx="87">
                  <c:v>0.26924106146694221</c:v>
                </c:pt>
                <c:pt idx="88">
                  <c:v>0.27546328368916434</c:v>
                </c:pt>
                <c:pt idx="89">
                  <c:v>0.28175661702249771</c:v>
                </c:pt>
                <c:pt idx="90">
                  <c:v>0.28812106146694227</c:v>
                </c:pt>
                <c:pt idx="91">
                  <c:v>0.29455661702249775</c:v>
                </c:pt>
                <c:pt idx="92">
                  <c:v>0.30106328368916452</c:v>
                </c:pt>
                <c:pt idx="93">
                  <c:v>0.3076410614669422</c:v>
                </c:pt>
                <c:pt idx="94">
                  <c:v>0.31428995035583107</c:v>
                </c:pt>
                <c:pt idx="95">
                  <c:v>0.32100995035583113</c:v>
                </c:pt>
                <c:pt idx="96">
                  <c:v>0.32780106146694227</c:v>
                </c:pt>
                <c:pt idx="97">
                  <c:v>0.33466328368916437</c:v>
                </c:pt>
                <c:pt idx="98">
                  <c:v>0.34159661702249772</c:v>
                </c:pt>
                <c:pt idx="99">
                  <c:v>0.34860106146694209</c:v>
                </c:pt>
                <c:pt idx="100">
                  <c:v>0.35567661702249775</c:v>
                </c:pt>
                <c:pt idx="101">
                  <c:v>0.36282328368916428</c:v>
                </c:pt>
                <c:pt idx="102">
                  <c:v>0.3700410614669421</c:v>
                </c:pt>
                <c:pt idx="103">
                  <c:v>0.37732995035583106</c:v>
                </c:pt>
                <c:pt idx="104">
                  <c:v>0.3846899503558312</c:v>
                </c:pt>
                <c:pt idx="105">
                  <c:v>0.3921210614669422</c:v>
                </c:pt>
                <c:pt idx="106">
                  <c:v>0.39962328368916444</c:v>
                </c:pt>
                <c:pt idx="107">
                  <c:v>0.40719661702249782</c:v>
                </c:pt>
                <c:pt idx="108">
                  <c:v>0.41484106146694227</c:v>
                </c:pt>
                <c:pt idx="109">
                  <c:v>0.42255661702249786</c:v>
                </c:pt>
                <c:pt idx="110">
                  <c:v>0.43034328368916441</c:v>
                </c:pt>
                <c:pt idx="111">
                  <c:v>0.43820106146694232</c:v>
                </c:pt>
                <c:pt idx="112">
                  <c:v>0.44612995035583108</c:v>
                </c:pt>
                <c:pt idx="113">
                  <c:v>0.45412995035583109</c:v>
                </c:pt>
                <c:pt idx="114">
                  <c:v>0.46220106146694212</c:v>
                </c:pt>
                <c:pt idx="115">
                  <c:v>0.47034328368916445</c:v>
                </c:pt>
                <c:pt idx="116">
                  <c:v>0.4785566170224978</c:v>
                </c:pt>
                <c:pt idx="117">
                  <c:v>0.48684106146694206</c:v>
                </c:pt>
                <c:pt idx="118">
                  <c:v>0.49519661702249773</c:v>
                </c:pt>
                <c:pt idx="119">
                  <c:v>0.50362328368916431</c:v>
                </c:pt>
                <c:pt idx="120">
                  <c:v>0.51212106146694203</c:v>
                </c:pt>
                <c:pt idx="121">
                  <c:v>0.52068995035583088</c:v>
                </c:pt>
                <c:pt idx="122">
                  <c:v>0.52932995035583108</c:v>
                </c:pt>
                <c:pt idx="123">
                  <c:v>0.53804106146694208</c:v>
                </c:pt>
                <c:pt idx="124">
                  <c:v>0.54682328368916444</c:v>
                </c:pt>
                <c:pt idx="125">
                  <c:v>0.55567661702249782</c:v>
                </c:pt>
                <c:pt idx="126">
                  <c:v>0.56460106146694244</c:v>
                </c:pt>
                <c:pt idx="127">
                  <c:v>0.57359661702249776</c:v>
                </c:pt>
                <c:pt idx="128">
                  <c:v>0.58266328368916476</c:v>
                </c:pt>
                <c:pt idx="129">
                  <c:v>0.59180106146694234</c:v>
                </c:pt>
                <c:pt idx="130">
                  <c:v>0.60100995035583105</c:v>
                </c:pt>
                <c:pt idx="131">
                  <c:v>0.610289950355831</c:v>
                </c:pt>
                <c:pt idx="132">
                  <c:v>0.6196410614669422</c:v>
                </c:pt>
                <c:pt idx="133">
                  <c:v>0.62906328368916442</c:v>
                </c:pt>
                <c:pt idx="134">
                  <c:v>0.63855661702249777</c:v>
                </c:pt>
                <c:pt idx="135">
                  <c:v>0.64812106146694215</c:v>
                </c:pt>
                <c:pt idx="136">
                  <c:v>0.65775661702249777</c:v>
                </c:pt>
                <c:pt idx="137">
                  <c:v>0.66746328368916441</c:v>
                </c:pt>
                <c:pt idx="138">
                  <c:v>0.67724106146694196</c:v>
                </c:pt>
                <c:pt idx="139">
                  <c:v>0.68708995035583109</c:v>
                </c:pt>
                <c:pt idx="140">
                  <c:v>0.69700995035583069</c:v>
                </c:pt>
                <c:pt idx="141">
                  <c:v>0.70700106146694242</c:v>
                </c:pt>
                <c:pt idx="142">
                  <c:v>0.71706328368916439</c:v>
                </c:pt>
                <c:pt idx="143">
                  <c:v>0.72719661702249783</c:v>
                </c:pt>
                <c:pt idx="144">
                  <c:v>0.7374010614669424</c:v>
                </c:pt>
                <c:pt idx="145">
                  <c:v>0.74767661702249799</c:v>
                </c:pt>
                <c:pt idx="146">
                  <c:v>0.7580232836891645</c:v>
                </c:pt>
                <c:pt idx="147">
                  <c:v>0.76844106146694235</c:v>
                </c:pt>
                <c:pt idx="148">
                  <c:v>0.77892995035583112</c:v>
                </c:pt>
                <c:pt idx="149">
                  <c:v>0.78948995035583114</c:v>
                </c:pt>
                <c:pt idx="150">
                  <c:v>0.80012106146694206</c:v>
                </c:pt>
              </c:numCache>
            </c:numRef>
          </c:yVal>
          <c:smooth val="1"/>
          <c:extLst>
            <c:ext xmlns:c16="http://schemas.microsoft.com/office/drawing/2014/chart" uri="{C3380CC4-5D6E-409C-BE32-E72D297353CC}">
              <c16:uniqueId val="{00000003-7DAF-432D-B540-E0424C156B7E}"/>
            </c:ext>
          </c:extLst>
        </c:ser>
        <c:dLbls>
          <c:showLegendKey val="0"/>
          <c:showVal val="0"/>
          <c:showCatName val="0"/>
          <c:showSerName val="0"/>
          <c:showPercent val="0"/>
          <c:showBubbleSize val="0"/>
        </c:dLbls>
        <c:axId val="522502144"/>
        <c:axId val="522491776"/>
      </c:scatterChart>
      <c:valAx>
        <c:axId val="522488064"/>
        <c:scaling>
          <c:orientation val="minMax"/>
        </c:scaling>
        <c:delete val="0"/>
        <c:axPos val="b"/>
        <c:majorGridlines/>
        <c:numFmt formatCode="General" sourceLinked="1"/>
        <c:majorTickMark val="out"/>
        <c:minorTickMark val="none"/>
        <c:tickLblPos val="nextTo"/>
        <c:crossAx val="522489856"/>
        <c:crosses val="autoZero"/>
        <c:crossBetween val="midCat"/>
      </c:valAx>
      <c:valAx>
        <c:axId val="522489856"/>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22488064"/>
        <c:crosses val="autoZero"/>
        <c:crossBetween val="midCat"/>
      </c:valAx>
      <c:valAx>
        <c:axId val="522491776"/>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22502144"/>
        <c:crosses val="max"/>
        <c:crossBetween val="midCat"/>
      </c:valAx>
      <c:valAx>
        <c:axId val="522502144"/>
        <c:scaling>
          <c:orientation val="minMax"/>
        </c:scaling>
        <c:delete val="1"/>
        <c:axPos val="b"/>
        <c:title>
          <c:tx>
            <c:rich>
              <a:bodyPr/>
              <a:lstStyle/>
              <a:p>
                <a:pPr>
                  <a:defRPr/>
                </a:pPr>
                <a:r>
                  <a:rPr lang="en-US"/>
                  <a:t>Loac</a:t>
                </a:r>
                <a:r>
                  <a:rPr lang="en-US" baseline="0"/>
                  <a:t> Current (A)</a:t>
                </a:r>
                <a:endParaRPr lang="en-US"/>
              </a:p>
            </c:rich>
          </c:tx>
          <c:overlay val="0"/>
        </c:title>
        <c:numFmt formatCode="General" sourceLinked="1"/>
        <c:majorTickMark val="out"/>
        <c:minorTickMark val="none"/>
        <c:tickLblPos val="nextTo"/>
        <c:crossAx val="522491776"/>
        <c:crosses val="autoZero"/>
        <c:crossBetween val="midCat"/>
      </c:valAx>
    </c:plotArea>
    <c:legend>
      <c:legendPos val="r"/>
      <c:layout>
        <c:manualLayout>
          <c:xMode val="edge"/>
          <c:yMode val="edge"/>
          <c:x val="0.51894403926190358"/>
          <c:y val="6.4862204724409449E-3"/>
          <c:w val="0.39609572935704079"/>
          <c:h val="0.12183653099700564"/>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Efficiency</a:t>
            </a:r>
          </a:p>
        </c:rich>
      </c:tx>
      <c:overlay val="0"/>
    </c:title>
    <c:autoTitleDeleted val="0"/>
    <c:plotArea>
      <c:layout/>
      <c:scatterChart>
        <c:scatterStyle val="smoothMarker"/>
        <c:varyColors val="0"/>
        <c:ser>
          <c:idx val="0"/>
          <c:order val="0"/>
          <c:tx>
            <c:v>Eff</c:v>
          </c:tx>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Eff_vs_IOUT!$AW$7:$AW$157</c:f>
              <c:numCache>
                <c:formatCode>General</c:formatCode>
                <c:ptCount val="151"/>
                <c:pt idx="0">
                  <c:v>0</c:v>
                </c:pt>
                <c:pt idx="1">
                  <c:v>57.125614912726022</c:v>
                </c:pt>
                <c:pt idx="2">
                  <c:v>71.323571544960416</c:v>
                </c:pt>
                <c:pt idx="3">
                  <c:v>77.749346213393522</c:v>
                </c:pt>
                <c:pt idx="4">
                  <c:v>81.522413696774009</c:v>
                </c:pt>
                <c:pt idx="5">
                  <c:v>83.977586182593996</c:v>
                </c:pt>
                <c:pt idx="6">
                  <c:v>85.685545377366452</c:v>
                </c:pt>
                <c:pt idx="7">
                  <c:v>86.937505221276297</c:v>
                </c:pt>
                <c:pt idx="8">
                  <c:v>87.890758174125594</c:v>
                </c:pt>
                <c:pt idx="9">
                  <c:v>88.637720770368887</c:v>
                </c:pt>
                <c:pt idx="10">
                  <c:v>89.236254991533045</c:v>
                </c:pt>
                <c:pt idx="11">
                  <c:v>89.72443762791525</c:v>
                </c:pt>
                <c:pt idx="12">
                  <c:v>90.128350918802965</c:v>
                </c:pt>
                <c:pt idx="13">
                  <c:v>90.466460748329069</c:v>
                </c:pt>
                <c:pt idx="14">
                  <c:v>90.752207585803106</c:v>
                </c:pt>
                <c:pt idx="15">
                  <c:v>90.995607134908738</c:v>
                </c:pt>
                <c:pt idx="16">
                  <c:v>91.204275832277716</c:v>
                </c:pt>
                <c:pt idx="17">
                  <c:v>91.384108681170943</c:v>
                </c:pt>
                <c:pt idx="18">
                  <c:v>91.539739575762141</c:v>
                </c:pt>
                <c:pt idx="19">
                  <c:v>91.674861411269063</c:v>
                </c:pt>
                <c:pt idx="20">
                  <c:v>91.792453399808082</c:v>
                </c:pt>
                <c:pt idx="21">
                  <c:v>91.894945528296802</c:v>
                </c:pt>
                <c:pt idx="22">
                  <c:v>91.984339543577249</c:v>
                </c:pt>
                <c:pt idx="23">
                  <c:v>92.062299305876692</c:v>
                </c:pt>
                <c:pt idx="24">
                  <c:v>92.130219192328127</c:v>
                </c:pt>
                <c:pt idx="25">
                  <c:v>92.189276529587076</c:v>
                </c:pt>
                <c:pt idx="26">
                  <c:v>92.2404722429781</c:v>
                </c:pt>
                <c:pt idx="27">
                  <c:v>92.284662700152779</c:v>
                </c:pt>
                <c:pt idx="28">
                  <c:v>92.322584897085122</c:v>
                </c:pt>
                <c:pt idx="29">
                  <c:v>92.354876555653348</c:v>
                </c:pt>
                <c:pt idx="30">
                  <c:v>92.382092293106183</c:v>
                </c:pt>
                <c:pt idx="31">
                  <c:v>92.40471673087427</c:v>
                </c:pt>
                <c:pt idx="32">
                  <c:v>92.423175197951863</c:v>
                </c:pt>
                <c:pt idx="33">
                  <c:v>92.437842528521472</c:v>
                </c:pt>
                <c:pt idx="34">
                  <c:v>92.44905033829022</c:v>
                </c:pt>
                <c:pt idx="35">
                  <c:v>92.457093077845528</c:v>
                </c:pt>
                <c:pt idx="36">
                  <c:v>92.462233096309035</c:v>
                </c:pt>
                <c:pt idx="37">
                  <c:v>92.464704899062028</c:v>
                </c:pt>
                <c:pt idx="38">
                  <c:v>92.464718745325243</c:v>
                </c:pt>
                <c:pt idx="39">
                  <c:v>92.462463701997166</c:v>
                </c:pt>
                <c:pt idx="40">
                  <c:v>92.458110247273311</c:v>
                </c:pt>
                <c:pt idx="41">
                  <c:v>92.451812499626655</c:v>
                </c:pt>
                <c:pt idx="42">
                  <c:v>92.443710133567805</c:v>
                </c:pt>
                <c:pt idx="43">
                  <c:v>92.433930032360308</c:v>
                </c:pt>
                <c:pt idx="44">
                  <c:v>92.422587718884955</c:v>
                </c:pt>
                <c:pt idx="45">
                  <c:v>92.409788598636538</c:v>
                </c:pt>
                <c:pt idx="46">
                  <c:v>92.39562904301421</c:v>
                </c:pt>
                <c:pt idx="47">
                  <c:v>92.380197336343016</c:v>
                </c:pt>
                <c:pt idx="48">
                  <c:v>92.363574506214889</c:v>
                </c:pt>
                <c:pt idx="49">
                  <c:v>92.345835053583073</c:v>
                </c:pt>
                <c:pt idx="50">
                  <c:v>92.327047596451521</c:v>
                </c:pt>
                <c:pt idx="51">
                  <c:v>92.307275438858852</c:v>
                </c:pt>
                <c:pt idx="52">
                  <c:v>92.28657707507945</c:v>
                </c:pt>
                <c:pt idx="53">
                  <c:v>92.265006637487645</c:v>
                </c:pt>
                <c:pt idx="54">
                  <c:v>92.24261429529399</c:v>
                </c:pt>
                <c:pt idx="55">
                  <c:v>92.21944661032822</c:v>
                </c:pt>
                <c:pt idx="56">
                  <c:v>92.195546855171813</c:v>
                </c:pt>
                <c:pt idx="57">
                  <c:v>92.170955298208284</c:v>
                </c:pt>
                <c:pt idx="58">
                  <c:v>92.145709459535794</c:v>
                </c:pt>
                <c:pt idx="59">
                  <c:v>92.11984434115935</c:v>
                </c:pt>
                <c:pt idx="60">
                  <c:v>92.093392634428341</c:v>
                </c:pt>
                <c:pt idx="61">
                  <c:v>92.066384907301185</c:v>
                </c:pt>
                <c:pt idx="62">
                  <c:v>92.038849773689407</c:v>
                </c:pt>
                <c:pt idx="63">
                  <c:v>92.010814046850442</c:v>
                </c:pt>
                <c:pt idx="64">
                  <c:v>91.982302878554805</c:v>
                </c:pt>
                <c:pt idx="65">
                  <c:v>91.95333988554377</c:v>
                </c:pt>
                <c:pt idx="66">
                  <c:v>91.923947264611058</c:v>
                </c:pt>
                <c:pt idx="67">
                  <c:v>91.894145897485004</c:v>
                </c:pt>
                <c:pt idx="68">
                  <c:v>91.863955446550278</c:v>
                </c:pt>
                <c:pt idx="69">
                  <c:v>91.833394442329549</c:v>
                </c:pt>
                <c:pt idx="70">
                  <c:v>91.80248036354061</c:v>
                </c:pt>
                <c:pt idx="71">
                  <c:v>91.771229710453838</c:v>
                </c:pt>
                <c:pt idx="72">
                  <c:v>91.73965807219551</c:v>
                </c:pt>
                <c:pt idx="73">
                  <c:v>91.707780188571391</c:v>
                </c:pt>
                <c:pt idx="74">
                  <c:v>91.675610006924643</c:v>
                </c:pt>
                <c:pt idx="75">
                  <c:v>91.643160734486955</c:v>
                </c:pt>
                <c:pt idx="76">
                  <c:v>91.610444886634184</c:v>
                </c:pt>
                <c:pt idx="77">
                  <c:v>91.577474331415843</c:v>
                </c:pt>
                <c:pt idx="78">
                  <c:v>91.544260330689255</c:v>
                </c:pt>
                <c:pt idx="79">
                  <c:v>91.510813578157169</c:v>
                </c:pt>
                <c:pt idx="80">
                  <c:v>91.477144234577281</c:v>
                </c:pt>
                <c:pt idx="81">
                  <c:v>91.443261960385584</c:v>
                </c:pt>
                <c:pt idx="82">
                  <c:v>91.409175945953123</c:v>
                </c:pt>
                <c:pt idx="83">
                  <c:v>91.374894939673553</c:v>
                </c:pt>
                <c:pt idx="84">
                  <c:v>91.340427274060971</c:v>
                </c:pt>
                <c:pt idx="85">
                  <c:v>91.305780890020586</c:v>
                </c:pt>
                <c:pt idx="86">
                  <c:v>91.270963359439634</c:v>
                </c:pt>
                <c:pt idx="87">
                  <c:v>91.235981906232794</c:v>
                </c:pt>
                <c:pt idx="88">
                  <c:v>91.200843425963839</c:v>
                </c:pt>
                <c:pt idx="89">
                  <c:v>91.165554504154855</c:v>
                </c:pt>
                <c:pt idx="90">
                  <c:v>91.130121433384105</c:v>
                </c:pt>
                <c:pt idx="91">
                  <c:v>91.09455022926528</c:v>
                </c:pt>
                <c:pt idx="92">
                  <c:v>91.058846645392393</c:v>
                </c:pt>
                <c:pt idx="93">
                  <c:v>91.023016187327499</c:v>
                </c:pt>
                <c:pt idx="94">
                  <c:v>90.987064125702474</c:v>
                </c:pt>
                <c:pt idx="95">
                  <c:v>90.950995508498949</c:v>
                </c:pt>
                <c:pt idx="96">
                  <c:v>90.914815172566705</c:v>
                </c:pt>
                <c:pt idx="97">
                  <c:v>90.878527754434131</c:v>
                </c:pt>
                <c:pt idx="98">
                  <c:v>90.842137700462061</c:v>
                </c:pt>
                <c:pt idx="99">
                  <c:v>90.805649276386106</c:v>
                </c:pt>
                <c:pt idx="100">
                  <c:v>90.769066576290484</c:v>
                </c:pt>
                <c:pt idx="101">
                  <c:v>90.73239353105258</c:v>
                </c:pt>
                <c:pt idx="102">
                  <c:v>90.6956339162939</c:v>
                </c:pt>
                <c:pt idx="103">
                  <c:v>90.658791359871088</c:v>
                </c:pt>
                <c:pt idx="104">
                  <c:v>90.621869348937594</c:v>
                </c:pt>
                <c:pt idx="105">
                  <c:v>90.584871236604556</c:v>
                </c:pt>
                <c:pt idx="106">
                  <c:v>90.54780024822692</c:v>
                </c:pt>
                <c:pt idx="107">
                  <c:v>90.510659487339524</c:v>
                </c:pt>
                <c:pt idx="108">
                  <c:v>90.473451941265409</c:v>
                </c:pt>
                <c:pt idx="109">
                  <c:v>90.436180486417427</c:v>
                </c:pt>
                <c:pt idx="110">
                  <c:v>90.398847893312393</c:v>
                </c:pt>
                <c:pt idx="111">
                  <c:v>90.361456831315905</c:v>
                </c:pt>
                <c:pt idx="112">
                  <c:v>90.324009873134699</c:v>
                </c:pt>
                <c:pt idx="113">
                  <c:v>90.286509499071627</c:v>
                </c:pt>
                <c:pt idx="114">
                  <c:v>90.248958101058292</c:v>
                </c:pt>
                <c:pt idx="115">
                  <c:v>90.211357986478475</c:v>
                </c:pt>
                <c:pt idx="116">
                  <c:v>90.173711381794902</c:v>
                </c:pt>
                <c:pt idx="117">
                  <c:v>90.136020435991099</c:v>
                </c:pt>
                <c:pt idx="118">
                  <c:v>90.098287223839506</c:v>
                </c:pt>
                <c:pt idx="119">
                  <c:v>90.060513749005395</c:v>
                </c:pt>
                <c:pt idx="120">
                  <c:v>90.022701946996634</c:v>
                </c:pt>
                <c:pt idx="121">
                  <c:v>89.984853687968226</c:v>
                </c:pt>
                <c:pt idx="122">
                  <c:v>89.946970779389289</c:v>
                </c:pt>
                <c:pt idx="123">
                  <c:v>89.909054968581003</c:v>
                </c:pt>
                <c:pt idx="124">
                  <c:v>89.871107945132195</c:v>
                </c:pt>
                <c:pt idx="125">
                  <c:v>89.83313134319981</c:v>
                </c:pt>
                <c:pt idx="126">
                  <c:v>89.795126743700251</c:v>
                </c:pt>
                <c:pt idx="127">
                  <c:v>89.757095676397853</c:v>
                </c:pt>
                <c:pt idx="128">
                  <c:v>89.719039621895931</c:v>
                </c:pt>
                <c:pt idx="129">
                  <c:v>89.68096001353581</c:v>
                </c:pt>
                <c:pt idx="130">
                  <c:v>89.642858239208408</c:v>
                </c:pt>
                <c:pt idx="131">
                  <c:v>89.604735643083686</c:v>
                </c:pt>
                <c:pt idx="132">
                  <c:v>89.566593527261446</c:v>
                </c:pt>
                <c:pt idx="133">
                  <c:v>89.528433153348359</c:v>
                </c:pt>
                <c:pt idx="134">
                  <c:v>89.490255743964624</c:v>
                </c:pt>
                <c:pt idx="135">
                  <c:v>89.45206248418387</c:v>
                </c:pt>
                <c:pt idx="136">
                  <c:v>89.413854522910157</c:v>
                </c:pt>
                <c:pt idx="137">
                  <c:v>89.375632974194687</c:v>
                </c:pt>
                <c:pt idx="138">
                  <c:v>89.337398918495609</c:v>
                </c:pt>
                <c:pt idx="139">
                  <c:v>89.299153403883807</c:v>
                </c:pt>
                <c:pt idx="140">
                  <c:v>89.260897447197166</c:v>
                </c:pt>
                <c:pt idx="141">
                  <c:v>89.222632035145978</c:v>
                </c:pt>
                <c:pt idx="142">
                  <c:v>89.184358125371844</c:v>
                </c:pt>
                <c:pt idx="143">
                  <c:v>89.14607664746238</c:v>
                </c:pt>
                <c:pt idx="144">
                  <c:v>89.107788503923842</c:v>
                </c:pt>
                <c:pt idx="145">
                  <c:v>89.06949457111368</c:v>
                </c:pt>
                <c:pt idx="146">
                  <c:v>89.031195700134873</c:v>
                </c:pt>
                <c:pt idx="147">
                  <c:v>88.992892717694062</c:v>
                </c:pt>
                <c:pt idx="148">
                  <c:v>88.954586426924919</c:v>
                </c:pt>
                <c:pt idx="149">
                  <c:v>88.916277608178618</c:v>
                </c:pt>
                <c:pt idx="150">
                  <c:v>88.877967019782716</c:v>
                </c:pt>
              </c:numCache>
            </c:numRef>
          </c:yVal>
          <c:smooth val="0"/>
          <c:extLst>
            <c:ext xmlns:c16="http://schemas.microsoft.com/office/drawing/2014/chart" uri="{C3380CC4-5D6E-409C-BE32-E72D297353CC}">
              <c16:uniqueId val="{00000000-F850-4D08-8BFC-748D436DD73B}"/>
            </c:ext>
          </c:extLst>
        </c:ser>
        <c:dLbls>
          <c:showLegendKey val="0"/>
          <c:showVal val="0"/>
          <c:showCatName val="0"/>
          <c:showSerName val="0"/>
          <c:showPercent val="0"/>
          <c:showBubbleSize val="0"/>
        </c:dLbls>
        <c:axId val="224130176"/>
        <c:axId val="224131712"/>
      </c:scatterChart>
      <c:scatterChart>
        <c:scatterStyle val="smoothMarker"/>
        <c:varyColors val="0"/>
        <c:ser>
          <c:idx val="1"/>
          <c:order val="1"/>
          <c:tx>
            <c:v>MOSFET</c:v>
          </c:tx>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Eff_vs_IOUT!$AI$7:$AI$157</c:f>
              <c:numCache>
                <c:formatCode>General</c:formatCode>
                <c:ptCount val="151"/>
                <c:pt idx="0">
                  <c:v>0</c:v>
                </c:pt>
                <c:pt idx="1">
                  <c:v>2.7855346234570841E-2</c:v>
                </c:pt>
                <c:pt idx="2">
                  <c:v>5.5988728212661036E-2</c:v>
                </c:pt>
                <c:pt idx="3">
                  <c:v>8.4303108813429312E-2</c:v>
                </c:pt>
                <c:pt idx="4">
                  <c:v>0.11281111302171648</c:v>
                </c:pt>
                <c:pt idx="5">
                  <c:v>0.14159804042487287</c:v>
                </c:pt>
                <c:pt idx="6">
                  <c:v>0.17066656782802922</c:v>
                </c:pt>
                <c:pt idx="7">
                  <c:v>0.20001669523118562</c:v>
                </c:pt>
                <c:pt idx="8">
                  <c:v>0.22964842263434207</c:v>
                </c:pt>
                <c:pt idx="9">
                  <c:v>0.25956175003749843</c:v>
                </c:pt>
                <c:pt idx="10">
                  <c:v>0.28975667744065481</c:v>
                </c:pt>
                <c:pt idx="11">
                  <c:v>0.32023320484381113</c:v>
                </c:pt>
                <c:pt idx="12">
                  <c:v>0.35099133224696755</c:v>
                </c:pt>
                <c:pt idx="13">
                  <c:v>0.38203105965012407</c:v>
                </c:pt>
                <c:pt idx="14">
                  <c:v>0.41335238705328037</c:v>
                </c:pt>
                <c:pt idx="15">
                  <c:v>0.44495531445643671</c:v>
                </c:pt>
                <c:pt idx="16">
                  <c:v>0.47683984185959327</c:v>
                </c:pt>
                <c:pt idx="17">
                  <c:v>0.50900596926274955</c:v>
                </c:pt>
                <c:pt idx="18">
                  <c:v>0.54145369666590593</c:v>
                </c:pt>
                <c:pt idx="19">
                  <c:v>0.57418302406906241</c:v>
                </c:pt>
                <c:pt idx="20">
                  <c:v>0.60719395147221877</c:v>
                </c:pt>
                <c:pt idx="21">
                  <c:v>0.64048647887537513</c:v>
                </c:pt>
                <c:pt idx="22">
                  <c:v>0.67406060627853137</c:v>
                </c:pt>
                <c:pt idx="23">
                  <c:v>0.70791633368168805</c:v>
                </c:pt>
                <c:pt idx="24">
                  <c:v>0.74205366108484427</c:v>
                </c:pt>
                <c:pt idx="25">
                  <c:v>0.77647258848800083</c:v>
                </c:pt>
                <c:pt idx="26">
                  <c:v>0.81117311589115726</c:v>
                </c:pt>
                <c:pt idx="27">
                  <c:v>0.84615524329431357</c:v>
                </c:pt>
                <c:pt idx="28">
                  <c:v>0.88141897069746977</c:v>
                </c:pt>
                <c:pt idx="29">
                  <c:v>0.9169642981006263</c:v>
                </c:pt>
                <c:pt idx="30">
                  <c:v>0.95279122550378248</c:v>
                </c:pt>
                <c:pt idx="31">
                  <c:v>0.9888997529069391</c:v>
                </c:pt>
                <c:pt idx="32">
                  <c:v>1.0252898803100956</c:v>
                </c:pt>
                <c:pt idx="33">
                  <c:v>1.0619616077132519</c:v>
                </c:pt>
                <c:pt idx="34">
                  <c:v>1.098914935116408</c:v>
                </c:pt>
                <c:pt idx="35">
                  <c:v>1.1361498625195643</c:v>
                </c:pt>
                <c:pt idx="36">
                  <c:v>1.1736663899227211</c:v>
                </c:pt>
                <c:pt idx="37">
                  <c:v>1.2114645173258773</c:v>
                </c:pt>
                <c:pt idx="38">
                  <c:v>1.2495442447290339</c:v>
                </c:pt>
                <c:pt idx="39">
                  <c:v>1.2879055721321901</c:v>
                </c:pt>
                <c:pt idx="40">
                  <c:v>1.3265484995353467</c:v>
                </c:pt>
                <c:pt idx="41">
                  <c:v>1.3654730269385027</c:v>
                </c:pt>
                <c:pt idx="42">
                  <c:v>1.4046791543416592</c:v>
                </c:pt>
                <c:pt idx="43">
                  <c:v>1.4441668817448157</c:v>
                </c:pt>
                <c:pt idx="44">
                  <c:v>1.4839362091479718</c:v>
                </c:pt>
                <c:pt idx="45">
                  <c:v>1.5239871365511286</c:v>
                </c:pt>
                <c:pt idx="46">
                  <c:v>1.5643196639542853</c:v>
                </c:pt>
                <c:pt idx="47">
                  <c:v>1.6049337913574413</c:v>
                </c:pt>
                <c:pt idx="48">
                  <c:v>1.6458295187605976</c:v>
                </c:pt>
                <c:pt idx="49">
                  <c:v>1.687006846163754</c:v>
                </c:pt>
                <c:pt idx="50">
                  <c:v>1.7284657735669104</c:v>
                </c:pt>
                <c:pt idx="51">
                  <c:v>1.7702063009700668</c:v>
                </c:pt>
                <c:pt idx="52">
                  <c:v>1.8122284283732237</c:v>
                </c:pt>
                <c:pt idx="53">
                  <c:v>1.8545321557763796</c:v>
                </c:pt>
                <c:pt idx="54">
                  <c:v>1.8971174831795363</c:v>
                </c:pt>
                <c:pt idx="55">
                  <c:v>1.9399844105826922</c:v>
                </c:pt>
                <c:pt idx="56">
                  <c:v>1.9831329379858487</c:v>
                </c:pt>
                <c:pt idx="57">
                  <c:v>2.0265630653890052</c:v>
                </c:pt>
                <c:pt idx="58">
                  <c:v>2.0702747927921621</c:v>
                </c:pt>
                <c:pt idx="59">
                  <c:v>2.1142681201953177</c:v>
                </c:pt>
                <c:pt idx="60">
                  <c:v>2.1585430475984744</c:v>
                </c:pt>
                <c:pt idx="61">
                  <c:v>2.2030995750016302</c:v>
                </c:pt>
                <c:pt idx="62">
                  <c:v>2.2479377024047875</c:v>
                </c:pt>
                <c:pt idx="63">
                  <c:v>2.293057429807944</c:v>
                </c:pt>
                <c:pt idx="64">
                  <c:v>2.3384587572111002</c:v>
                </c:pt>
                <c:pt idx="65">
                  <c:v>2.3841416846142565</c:v>
                </c:pt>
                <c:pt idx="66">
                  <c:v>2.4301062120174133</c:v>
                </c:pt>
                <c:pt idx="67">
                  <c:v>2.4763523394205693</c:v>
                </c:pt>
                <c:pt idx="68">
                  <c:v>2.5228800668237255</c:v>
                </c:pt>
                <c:pt idx="69">
                  <c:v>2.5696893942268813</c:v>
                </c:pt>
                <c:pt idx="70">
                  <c:v>2.616780321630038</c:v>
                </c:pt>
                <c:pt idx="71">
                  <c:v>2.6641528490331945</c:v>
                </c:pt>
                <c:pt idx="72">
                  <c:v>2.7118069764363515</c:v>
                </c:pt>
                <c:pt idx="73">
                  <c:v>2.7597427038395081</c:v>
                </c:pt>
                <c:pt idx="74">
                  <c:v>2.807960031242664</c:v>
                </c:pt>
                <c:pt idx="75">
                  <c:v>2.85645895864582</c:v>
                </c:pt>
                <c:pt idx="76">
                  <c:v>2.905239486048977</c:v>
                </c:pt>
                <c:pt idx="77">
                  <c:v>2.954301613452134</c:v>
                </c:pt>
                <c:pt idx="78">
                  <c:v>3.0036453408552894</c:v>
                </c:pt>
                <c:pt idx="79">
                  <c:v>3.0532706682584463</c:v>
                </c:pt>
                <c:pt idx="80">
                  <c:v>3.1031775956616023</c:v>
                </c:pt>
                <c:pt idx="81">
                  <c:v>3.1533661230647585</c:v>
                </c:pt>
                <c:pt idx="82">
                  <c:v>3.2038362504679148</c:v>
                </c:pt>
                <c:pt idx="83">
                  <c:v>3.2545879778710711</c:v>
                </c:pt>
                <c:pt idx="84">
                  <c:v>3.3056213052742276</c:v>
                </c:pt>
                <c:pt idx="85">
                  <c:v>3.3569362326773833</c:v>
                </c:pt>
                <c:pt idx="86">
                  <c:v>3.4085327600805408</c:v>
                </c:pt>
                <c:pt idx="87">
                  <c:v>3.4604108874836976</c:v>
                </c:pt>
                <c:pt idx="88">
                  <c:v>3.5125706148868527</c:v>
                </c:pt>
                <c:pt idx="89">
                  <c:v>3.5650119422900097</c:v>
                </c:pt>
                <c:pt idx="90">
                  <c:v>3.6177348696931668</c:v>
                </c:pt>
                <c:pt idx="91">
                  <c:v>3.6707393970963231</c:v>
                </c:pt>
                <c:pt idx="92">
                  <c:v>3.7240255244994804</c:v>
                </c:pt>
                <c:pt idx="93">
                  <c:v>3.7775932519026352</c:v>
                </c:pt>
                <c:pt idx="94">
                  <c:v>3.8314425793057918</c:v>
                </c:pt>
                <c:pt idx="95">
                  <c:v>3.8855735067089481</c:v>
                </c:pt>
                <c:pt idx="96">
                  <c:v>3.939986034112104</c:v>
                </c:pt>
                <c:pt idx="97">
                  <c:v>3.9946801615152601</c:v>
                </c:pt>
                <c:pt idx="98">
                  <c:v>4.0496558889184167</c:v>
                </c:pt>
                <c:pt idx="99">
                  <c:v>4.1049132163215729</c:v>
                </c:pt>
                <c:pt idx="100">
                  <c:v>4.1604521437247302</c:v>
                </c:pt>
                <c:pt idx="101">
                  <c:v>4.2162726711278857</c:v>
                </c:pt>
                <c:pt idx="102">
                  <c:v>4.2723747985310432</c:v>
                </c:pt>
                <c:pt idx="103">
                  <c:v>4.328758525934199</c:v>
                </c:pt>
                <c:pt idx="104">
                  <c:v>4.3854238533373566</c:v>
                </c:pt>
                <c:pt idx="105">
                  <c:v>4.4423707807405117</c:v>
                </c:pt>
                <c:pt idx="106">
                  <c:v>4.4995993081436687</c:v>
                </c:pt>
                <c:pt idx="107">
                  <c:v>4.5571094355468258</c:v>
                </c:pt>
                <c:pt idx="108">
                  <c:v>4.6149011629499821</c:v>
                </c:pt>
                <c:pt idx="109">
                  <c:v>4.6729744903531376</c:v>
                </c:pt>
                <c:pt idx="110">
                  <c:v>4.7313294177562941</c:v>
                </c:pt>
                <c:pt idx="111">
                  <c:v>4.7899659451594507</c:v>
                </c:pt>
                <c:pt idx="112">
                  <c:v>4.8488840725626066</c:v>
                </c:pt>
                <c:pt idx="113">
                  <c:v>4.9080837999657634</c:v>
                </c:pt>
                <c:pt idx="114">
                  <c:v>4.9675651273689194</c:v>
                </c:pt>
                <c:pt idx="115">
                  <c:v>5.0273280547720756</c:v>
                </c:pt>
                <c:pt idx="116">
                  <c:v>5.0873725821752327</c:v>
                </c:pt>
                <c:pt idx="117">
                  <c:v>5.1476987095783882</c:v>
                </c:pt>
                <c:pt idx="118">
                  <c:v>5.2083064369815446</c:v>
                </c:pt>
                <c:pt idx="119">
                  <c:v>5.2691957643847003</c:v>
                </c:pt>
                <c:pt idx="120">
                  <c:v>5.3303666917878569</c:v>
                </c:pt>
                <c:pt idx="121">
                  <c:v>5.3918192191910137</c:v>
                </c:pt>
                <c:pt idx="122">
                  <c:v>5.4535533465941697</c:v>
                </c:pt>
                <c:pt idx="123">
                  <c:v>5.5155690739973249</c:v>
                </c:pt>
                <c:pt idx="124">
                  <c:v>5.5778664014004846</c:v>
                </c:pt>
                <c:pt idx="125">
                  <c:v>5.64044532880364</c:v>
                </c:pt>
                <c:pt idx="126">
                  <c:v>5.7033058562067982</c:v>
                </c:pt>
                <c:pt idx="127">
                  <c:v>5.766447983609952</c:v>
                </c:pt>
                <c:pt idx="128">
                  <c:v>5.8298717110131104</c:v>
                </c:pt>
                <c:pt idx="129">
                  <c:v>5.8935770384162662</c:v>
                </c:pt>
                <c:pt idx="130">
                  <c:v>5.9575639658194222</c:v>
                </c:pt>
                <c:pt idx="131">
                  <c:v>6.0218324932225791</c:v>
                </c:pt>
                <c:pt idx="132">
                  <c:v>6.0863826206257343</c:v>
                </c:pt>
                <c:pt idx="133">
                  <c:v>6.1512143480288923</c:v>
                </c:pt>
                <c:pt idx="134">
                  <c:v>6.2163276754320478</c:v>
                </c:pt>
                <c:pt idx="135">
                  <c:v>6.2817226028352033</c:v>
                </c:pt>
                <c:pt idx="136">
                  <c:v>6.3473991302383599</c:v>
                </c:pt>
                <c:pt idx="137">
                  <c:v>6.4133572576415165</c:v>
                </c:pt>
                <c:pt idx="138">
                  <c:v>6.4795969850446715</c:v>
                </c:pt>
                <c:pt idx="139">
                  <c:v>6.5461183124478293</c:v>
                </c:pt>
                <c:pt idx="140">
                  <c:v>6.6129212398509853</c:v>
                </c:pt>
                <c:pt idx="141">
                  <c:v>6.6800057672541415</c:v>
                </c:pt>
                <c:pt idx="142">
                  <c:v>6.7473718946572978</c:v>
                </c:pt>
                <c:pt idx="143">
                  <c:v>6.815019622060456</c:v>
                </c:pt>
                <c:pt idx="144">
                  <c:v>6.8829489494636125</c:v>
                </c:pt>
                <c:pt idx="145">
                  <c:v>6.9511598768667682</c:v>
                </c:pt>
                <c:pt idx="146">
                  <c:v>7.0196524042699249</c:v>
                </c:pt>
                <c:pt idx="147">
                  <c:v>7.0884265316730808</c:v>
                </c:pt>
                <c:pt idx="148">
                  <c:v>7.1574822590762377</c:v>
                </c:pt>
                <c:pt idx="149">
                  <c:v>7.2268195864793938</c:v>
                </c:pt>
                <c:pt idx="150">
                  <c:v>7.2964385138825492</c:v>
                </c:pt>
              </c:numCache>
            </c:numRef>
          </c:yVal>
          <c:smooth val="1"/>
          <c:extLst>
            <c:ext xmlns:c16="http://schemas.microsoft.com/office/drawing/2014/chart" uri="{C3380CC4-5D6E-409C-BE32-E72D297353CC}">
              <c16:uniqueId val="{00000001-F850-4D08-8BFC-748D436DD73B}"/>
            </c:ext>
          </c:extLst>
        </c:ser>
        <c:ser>
          <c:idx val="2"/>
          <c:order val="2"/>
          <c:tx>
            <c:v>Diode</c:v>
          </c:tx>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Eff_vs_IOUT!$AO$7:$AO$157</c:f>
              <c:numCache>
                <c:formatCode>General</c:formatCode>
                <c:ptCount val="151"/>
                <c:pt idx="0">
                  <c:v>0</c:v>
                </c:pt>
                <c:pt idx="1">
                  <c:v>0.42808147929541279</c:v>
                </c:pt>
                <c:pt idx="2">
                  <c:v>0.42953984185466892</c:v>
                </c:pt>
                <c:pt idx="3">
                  <c:v>0.43069485830252952</c:v>
                </c:pt>
                <c:pt idx="4">
                  <c:v>0.43174624482323243</c:v>
                </c:pt>
                <c:pt idx="5">
                  <c:v>0.43282571148989907</c:v>
                </c:pt>
                <c:pt idx="6">
                  <c:v>0.43393646704545458</c:v>
                </c:pt>
                <c:pt idx="7">
                  <c:v>0.43507851148989907</c:v>
                </c:pt>
                <c:pt idx="8">
                  <c:v>0.43625184482323237</c:v>
                </c:pt>
                <c:pt idx="9">
                  <c:v>0.4374564670454546</c:v>
                </c:pt>
                <c:pt idx="10">
                  <c:v>0.4386923781565657</c:v>
                </c:pt>
                <c:pt idx="11">
                  <c:v>0.43995957815656572</c:v>
                </c:pt>
                <c:pt idx="12">
                  <c:v>0.44125806704545462</c:v>
                </c:pt>
                <c:pt idx="13">
                  <c:v>0.44258784482323238</c:v>
                </c:pt>
                <c:pt idx="14">
                  <c:v>0.44394891148989907</c:v>
                </c:pt>
                <c:pt idx="15">
                  <c:v>0.44534126704545457</c:v>
                </c:pt>
                <c:pt idx="16">
                  <c:v>0.44676491148989905</c:v>
                </c:pt>
                <c:pt idx="17">
                  <c:v>0.44821984482323241</c:v>
                </c:pt>
                <c:pt idx="18">
                  <c:v>0.44970606704545463</c:v>
                </c:pt>
                <c:pt idx="19">
                  <c:v>0.45122357815656572</c:v>
                </c:pt>
                <c:pt idx="20">
                  <c:v>0.45277237815656568</c:v>
                </c:pt>
                <c:pt idx="21">
                  <c:v>0.45435246704545462</c:v>
                </c:pt>
                <c:pt idx="22">
                  <c:v>0.45596384482323238</c:v>
                </c:pt>
                <c:pt idx="23">
                  <c:v>0.45760651148989906</c:v>
                </c:pt>
                <c:pt idx="24">
                  <c:v>0.45928046704545461</c:v>
                </c:pt>
                <c:pt idx="25">
                  <c:v>0.46098571148989909</c:v>
                </c:pt>
                <c:pt idx="26">
                  <c:v>0.46272224482323238</c:v>
                </c:pt>
                <c:pt idx="27">
                  <c:v>0.46449006704545459</c:v>
                </c:pt>
                <c:pt idx="28">
                  <c:v>0.46628917815656573</c:v>
                </c:pt>
                <c:pt idx="29">
                  <c:v>0.46811957815656569</c:v>
                </c:pt>
                <c:pt idx="30">
                  <c:v>0.46998126704545462</c:v>
                </c:pt>
                <c:pt idx="31">
                  <c:v>0.47187424482323237</c:v>
                </c:pt>
                <c:pt idx="32">
                  <c:v>0.47379851148989904</c:v>
                </c:pt>
                <c:pt idx="33">
                  <c:v>0.47575406704545464</c:v>
                </c:pt>
                <c:pt idx="34">
                  <c:v>0.47774091148989906</c:v>
                </c:pt>
                <c:pt idx="35">
                  <c:v>0.47975904482323239</c:v>
                </c:pt>
                <c:pt idx="36">
                  <c:v>0.4818084670454546</c:v>
                </c:pt>
                <c:pt idx="37">
                  <c:v>0.48388917815656574</c:v>
                </c:pt>
                <c:pt idx="38">
                  <c:v>0.48600117815656574</c:v>
                </c:pt>
                <c:pt idx="39">
                  <c:v>0.48814446704545456</c:v>
                </c:pt>
                <c:pt idx="40">
                  <c:v>0.49031904482323241</c:v>
                </c:pt>
                <c:pt idx="41">
                  <c:v>0.49252491148989902</c:v>
                </c:pt>
                <c:pt idx="42">
                  <c:v>0.49476206704545461</c:v>
                </c:pt>
                <c:pt idx="43">
                  <c:v>0.49703051148989902</c:v>
                </c:pt>
                <c:pt idx="44">
                  <c:v>0.49933024482323241</c:v>
                </c:pt>
                <c:pt idx="45">
                  <c:v>0.50166126704545455</c:v>
                </c:pt>
                <c:pt idx="46">
                  <c:v>0.50402357815656573</c:v>
                </c:pt>
                <c:pt idx="47">
                  <c:v>0.50641717815656573</c:v>
                </c:pt>
                <c:pt idx="48">
                  <c:v>0.50884206704545465</c:v>
                </c:pt>
                <c:pt idx="49">
                  <c:v>0.51129824482323238</c:v>
                </c:pt>
                <c:pt idx="50">
                  <c:v>0.51378571148989904</c:v>
                </c:pt>
                <c:pt idx="51">
                  <c:v>0.51630446704545463</c:v>
                </c:pt>
                <c:pt idx="52">
                  <c:v>0.51885451148989903</c:v>
                </c:pt>
                <c:pt idx="53">
                  <c:v>0.52143584482323235</c:v>
                </c:pt>
                <c:pt idx="54">
                  <c:v>0.5240484670454546</c:v>
                </c:pt>
                <c:pt idx="55">
                  <c:v>0.52669237815656578</c:v>
                </c:pt>
                <c:pt idx="56">
                  <c:v>0.52936757815656565</c:v>
                </c:pt>
                <c:pt idx="57">
                  <c:v>0.53207406704545457</c:v>
                </c:pt>
                <c:pt idx="58">
                  <c:v>0.53481184482323241</c:v>
                </c:pt>
                <c:pt idx="59">
                  <c:v>0.53758091148989906</c:v>
                </c:pt>
                <c:pt idx="60">
                  <c:v>0.54038126704545464</c:v>
                </c:pt>
                <c:pt idx="61">
                  <c:v>0.54321291148989903</c:v>
                </c:pt>
                <c:pt idx="62">
                  <c:v>0.54607584482323235</c:v>
                </c:pt>
                <c:pt idx="63">
                  <c:v>0.54897006704545459</c:v>
                </c:pt>
                <c:pt idx="64">
                  <c:v>0.55189557815656576</c:v>
                </c:pt>
                <c:pt idx="65">
                  <c:v>0.55485237815656574</c:v>
                </c:pt>
                <c:pt idx="66">
                  <c:v>0.55784046704545465</c:v>
                </c:pt>
                <c:pt idx="67">
                  <c:v>0.56085984482323237</c:v>
                </c:pt>
                <c:pt idx="68">
                  <c:v>0.56391051148989901</c:v>
                </c:pt>
                <c:pt idx="69">
                  <c:v>0.56699246704545458</c:v>
                </c:pt>
                <c:pt idx="70">
                  <c:v>0.57010571148989908</c:v>
                </c:pt>
                <c:pt idx="71">
                  <c:v>0.57325024482323239</c:v>
                </c:pt>
                <c:pt idx="72">
                  <c:v>0.57642606704545463</c:v>
                </c:pt>
                <c:pt idx="73">
                  <c:v>0.57963317815656579</c:v>
                </c:pt>
                <c:pt idx="74">
                  <c:v>0.58287157815656576</c:v>
                </c:pt>
                <c:pt idx="75">
                  <c:v>0.58614126704545455</c:v>
                </c:pt>
                <c:pt idx="76">
                  <c:v>0.58944224482323238</c:v>
                </c:pt>
                <c:pt idx="77">
                  <c:v>0.59277451148989901</c:v>
                </c:pt>
                <c:pt idx="78">
                  <c:v>0.59613806704545458</c:v>
                </c:pt>
                <c:pt idx="79">
                  <c:v>0.59953291148989907</c:v>
                </c:pt>
                <c:pt idx="80">
                  <c:v>0.60295904482323237</c:v>
                </c:pt>
                <c:pt idx="81">
                  <c:v>0.6064164670454546</c:v>
                </c:pt>
                <c:pt idx="82">
                  <c:v>0.60990517815656564</c:v>
                </c:pt>
                <c:pt idx="83">
                  <c:v>0.61342517815656561</c:v>
                </c:pt>
                <c:pt idx="84">
                  <c:v>0.61697646704545461</c:v>
                </c:pt>
                <c:pt idx="85">
                  <c:v>0.62055904482323243</c:v>
                </c:pt>
                <c:pt idx="86">
                  <c:v>0.62417291148989906</c:v>
                </c:pt>
                <c:pt idx="87">
                  <c:v>0.62781806704545473</c:v>
                </c:pt>
                <c:pt idx="88">
                  <c:v>0.6314945114898991</c:v>
                </c:pt>
                <c:pt idx="89">
                  <c:v>0.6352022448232324</c:v>
                </c:pt>
                <c:pt idx="90">
                  <c:v>0.63894126704545462</c:v>
                </c:pt>
                <c:pt idx="91">
                  <c:v>0.64271157815656577</c:v>
                </c:pt>
                <c:pt idx="92">
                  <c:v>0.64651317815656584</c:v>
                </c:pt>
                <c:pt idx="93">
                  <c:v>0.65034606704545461</c:v>
                </c:pt>
                <c:pt idx="94">
                  <c:v>0.65421024482323242</c:v>
                </c:pt>
                <c:pt idx="95">
                  <c:v>0.65810571148989905</c:v>
                </c:pt>
                <c:pt idx="96">
                  <c:v>0.6620324670454546</c:v>
                </c:pt>
                <c:pt idx="97">
                  <c:v>0.66599051148989896</c:v>
                </c:pt>
                <c:pt idx="98">
                  <c:v>0.66997984482323236</c:v>
                </c:pt>
                <c:pt idx="99">
                  <c:v>0.67400046704545458</c:v>
                </c:pt>
                <c:pt idx="100">
                  <c:v>0.67805237815656572</c:v>
                </c:pt>
                <c:pt idx="101">
                  <c:v>0.68213557815656567</c:v>
                </c:pt>
                <c:pt idx="102">
                  <c:v>0.68625006704545455</c:v>
                </c:pt>
                <c:pt idx="103">
                  <c:v>0.69039584482323246</c:v>
                </c:pt>
                <c:pt idx="104">
                  <c:v>0.69457291148989908</c:v>
                </c:pt>
                <c:pt idx="105">
                  <c:v>0.69878126704545462</c:v>
                </c:pt>
                <c:pt idx="106">
                  <c:v>0.70302091148989909</c:v>
                </c:pt>
                <c:pt idx="107">
                  <c:v>0.70729184482323249</c:v>
                </c:pt>
                <c:pt idx="108">
                  <c:v>0.71159406704545469</c:v>
                </c:pt>
                <c:pt idx="109">
                  <c:v>0.71592757815656571</c:v>
                </c:pt>
                <c:pt idx="110">
                  <c:v>0.72029237815656566</c:v>
                </c:pt>
                <c:pt idx="111">
                  <c:v>0.72468846704545475</c:v>
                </c:pt>
                <c:pt idx="112">
                  <c:v>0.72911584482323244</c:v>
                </c:pt>
                <c:pt idx="113">
                  <c:v>0.73357451148989905</c:v>
                </c:pt>
                <c:pt idx="114">
                  <c:v>0.73806446704545448</c:v>
                </c:pt>
                <c:pt idx="115">
                  <c:v>0.74258571148989905</c:v>
                </c:pt>
                <c:pt idx="116">
                  <c:v>0.74713824482323243</c:v>
                </c:pt>
                <c:pt idx="117">
                  <c:v>0.75172206704545452</c:v>
                </c:pt>
                <c:pt idx="118">
                  <c:v>0.75633717815656565</c:v>
                </c:pt>
                <c:pt idx="119">
                  <c:v>0.76098357815656559</c:v>
                </c:pt>
                <c:pt idx="120">
                  <c:v>0.76566126704545456</c:v>
                </c:pt>
                <c:pt idx="121">
                  <c:v>0.77037024482323235</c:v>
                </c:pt>
                <c:pt idx="122">
                  <c:v>0.77511051148989907</c:v>
                </c:pt>
                <c:pt idx="123">
                  <c:v>0.77988206704545449</c:v>
                </c:pt>
                <c:pt idx="124">
                  <c:v>0.78468491148989905</c:v>
                </c:pt>
                <c:pt idx="125">
                  <c:v>0.78951904482323232</c:v>
                </c:pt>
                <c:pt idx="126">
                  <c:v>0.79438446704545473</c:v>
                </c:pt>
                <c:pt idx="127">
                  <c:v>0.79928117815656563</c:v>
                </c:pt>
                <c:pt idx="128">
                  <c:v>0.80420917815656578</c:v>
                </c:pt>
                <c:pt idx="129">
                  <c:v>0.80916846704545464</c:v>
                </c:pt>
                <c:pt idx="130">
                  <c:v>0.81415904482323231</c:v>
                </c:pt>
                <c:pt idx="131">
                  <c:v>0.81918091148989902</c:v>
                </c:pt>
                <c:pt idx="132">
                  <c:v>0.82423406704545454</c:v>
                </c:pt>
                <c:pt idx="133">
                  <c:v>0.82931851148989899</c:v>
                </c:pt>
                <c:pt idx="134">
                  <c:v>0.83443424482323225</c:v>
                </c:pt>
                <c:pt idx="135">
                  <c:v>0.83958126704545477</c:v>
                </c:pt>
                <c:pt idx="136">
                  <c:v>0.84475957815656566</c:v>
                </c:pt>
                <c:pt idx="137">
                  <c:v>0.8499691781565657</c:v>
                </c:pt>
                <c:pt idx="138">
                  <c:v>0.85521006704545455</c:v>
                </c:pt>
                <c:pt idx="139">
                  <c:v>0.86048224482323232</c:v>
                </c:pt>
                <c:pt idx="140">
                  <c:v>0.8657857114898988</c:v>
                </c:pt>
                <c:pt idx="141">
                  <c:v>0.87112046704545454</c:v>
                </c:pt>
                <c:pt idx="142">
                  <c:v>0.87648651148989898</c:v>
                </c:pt>
                <c:pt idx="143">
                  <c:v>0.88188384482323245</c:v>
                </c:pt>
                <c:pt idx="144">
                  <c:v>0.88731246704545463</c:v>
                </c:pt>
                <c:pt idx="145">
                  <c:v>0.89277237815656574</c:v>
                </c:pt>
                <c:pt idx="146">
                  <c:v>0.89826357815656577</c:v>
                </c:pt>
                <c:pt idx="147">
                  <c:v>0.9037860670454545</c:v>
                </c:pt>
                <c:pt idx="148">
                  <c:v>0.90933984482323238</c:v>
                </c:pt>
                <c:pt idx="149">
                  <c:v>0.91492491148989896</c:v>
                </c:pt>
                <c:pt idx="150">
                  <c:v>0.92054126704545458</c:v>
                </c:pt>
              </c:numCache>
            </c:numRef>
          </c:yVal>
          <c:smooth val="1"/>
          <c:extLst>
            <c:ext xmlns:c16="http://schemas.microsoft.com/office/drawing/2014/chart" uri="{C3380CC4-5D6E-409C-BE32-E72D297353CC}">
              <c16:uniqueId val="{00000002-F850-4D08-8BFC-748D436DD73B}"/>
            </c:ext>
          </c:extLst>
        </c:ser>
        <c:ser>
          <c:idx val="3"/>
          <c:order val="3"/>
          <c:tx>
            <c:v>RCS</c:v>
          </c:tx>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Eff_vs_IOUT!$AP$7:$AP$157</c:f>
              <c:numCache>
                <c:formatCode>General</c:formatCode>
                <c:ptCount val="151"/>
                <c:pt idx="0">
                  <c:v>0</c:v>
                </c:pt>
                <c:pt idx="1">
                  <c:v>8.4752230155163771E-5</c:v>
                </c:pt>
                <c:pt idx="2">
                  <c:v>2.3971550665359716E-4</c:v>
                </c:pt>
                <c:pt idx="3">
                  <c:v>4.403855060505443E-4</c:v>
                </c:pt>
                <c:pt idx="4">
                  <c:v>6.8995035583103797E-4</c:v>
                </c:pt>
                <c:pt idx="5">
                  <c:v>1.0099503558310379E-3</c:v>
                </c:pt>
                <c:pt idx="6">
                  <c:v>1.4010614669421493E-3</c:v>
                </c:pt>
                <c:pt idx="7">
                  <c:v>1.8632836891643711E-3</c:v>
                </c:pt>
                <c:pt idx="8">
                  <c:v>2.3966170224977053E-3</c:v>
                </c:pt>
                <c:pt idx="9">
                  <c:v>3.0010614669421501E-3</c:v>
                </c:pt>
                <c:pt idx="10">
                  <c:v>3.6766170224977052E-3</c:v>
                </c:pt>
                <c:pt idx="11">
                  <c:v>4.4232836891643706E-3</c:v>
                </c:pt>
                <c:pt idx="12">
                  <c:v>5.2410614669421499E-3</c:v>
                </c:pt>
                <c:pt idx="13">
                  <c:v>6.1299503558310403E-3</c:v>
                </c:pt>
                <c:pt idx="14">
                  <c:v>7.0899503558310385E-3</c:v>
                </c:pt>
                <c:pt idx="15">
                  <c:v>8.121061466942147E-3</c:v>
                </c:pt>
                <c:pt idx="16">
                  <c:v>9.2232836891643754E-3</c:v>
                </c:pt>
                <c:pt idx="17">
                  <c:v>1.0396617022497702E-2</c:v>
                </c:pt>
                <c:pt idx="18">
                  <c:v>1.1641061466942149E-2</c:v>
                </c:pt>
                <c:pt idx="19">
                  <c:v>1.2956617022497709E-2</c:v>
                </c:pt>
                <c:pt idx="20">
                  <c:v>1.4343283689164371E-2</c:v>
                </c:pt>
                <c:pt idx="21">
                  <c:v>1.5801061466942153E-2</c:v>
                </c:pt>
                <c:pt idx="22">
                  <c:v>1.7329950355831035E-2</c:v>
                </c:pt>
                <c:pt idx="23">
                  <c:v>1.8929950355831046E-2</c:v>
                </c:pt>
                <c:pt idx="24">
                  <c:v>2.0601061466942152E-2</c:v>
                </c:pt>
                <c:pt idx="25">
                  <c:v>2.2343283689164373E-2</c:v>
                </c:pt>
                <c:pt idx="26">
                  <c:v>2.415661702249771E-2</c:v>
                </c:pt>
                <c:pt idx="27">
                  <c:v>2.6041061466942156E-2</c:v>
                </c:pt>
                <c:pt idx="28">
                  <c:v>2.799661702249771E-2</c:v>
                </c:pt>
                <c:pt idx="29">
                  <c:v>3.0023283689164373E-2</c:v>
                </c:pt>
                <c:pt idx="30">
                  <c:v>3.2121061466942158E-2</c:v>
                </c:pt>
                <c:pt idx="31">
                  <c:v>3.4289950355831052E-2</c:v>
                </c:pt>
                <c:pt idx="32">
                  <c:v>3.6529950355831058E-2</c:v>
                </c:pt>
                <c:pt idx="33">
                  <c:v>3.8841061466942162E-2</c:v>
                </c:pt>
                <c:pt idx="34">
                  <c:v>4.1223283689164364E-2</c:v>
                </c:pt>
                <c:pt idx="35">
                  <c:v>4.3676617022497685E-2</c:v>
                </c:pt>
                <c:pt idx="36">
                  <c:v>4.6201061466942174E-2</c:v>
                </c:pt>
                <c:pt idx="37">
                  <c:v>4.8796617022497719E-2</c:v>
                </c:pt>
                <c:pt idx="38">
                  <c:v>5.1463283689164377E-2</c:v>
                </c:pt>
                <c:pt idx="39">
                  <c:v>5.4201061466942153E-2</c:v>
                </c:pt>
                <c:pt idx="40">
                  <c:v>5.7009950355831049E-2</c:v>
                </c:pt>
                <c:pt idx="41">
                  <c:v>5.9889950355831036E-2</c:v>
                </c:pt>
                <c:pt idx="42">
                  <c:v>6.2841061466942169E-2</c:v>
                </c:pt>
                <c:pt idx="43">
                  <c:v>6.5863283689164373E-2</c:v>
                </c:pt>
                <c:pt idx="44">
                  <c:v>6.8956617022497682E-2</c:v>
                </c:pt>
                <c:pt idx="45">
                  <c:v>7.212106146694218E-2</c:v>
                </c:pt>
                <c:pt idx="46">
                  <c:v>7.5356617022497741E-2</c:v>
                </c:pt>
                <c:pt idx="47">
                  <c:v>7.8663283689164407E-2</c:v>
                </c:pt>
                <c:pt idx="48">
                  <c:v>8.2041061466942164E-2</c:v>
                </c:pt>
                <c:pt idx="49">
                  <c:v>8.548995035583104E-2</c:v>
                </c:pt>
                <c:pt idx="50">
                  <c:v>8.9009950355831036E-2</c:v>
                </c:pt>
                <c:pt idx="51">
                  <c:v>9.260106146694215E-2</c:v>
                </c:pt>
                <c:pt idx="52">
                  <c:v>9.6263283689164411E-2</c:v>
                </c:pt>
                <c:pt idx="53">
                  <c:v>9.999661702249775E-2</c:v>
                </c:pt>
                <c:pt idx="54">
                  <c:v>0.10380106146694219</c:v>
                </c:pt>
                <c:pt idx="55">
                  <c:v>0.10767661702249774</c:v>
                </c:pt>
                <c:pt idx="56">
                  <c:v>0.11162328368916438</c:v>
                </c:pt>
                <c:pt idx="57">
                  <c:v>0.11564106146694217</c:v>
                </c:pt>
                <c:pt idx="58">
                  <c:v>0.11972995035583106</c:v>
                </c:pt>
                <c:pt idx="59">
                  <c:v>0.12388995035583106</c:v>
                </c:pt>
                <c:pt idx="60">
                  <c:v>0.1281210614669421</c:v>
                </c:pt>
                <c:pt idx="61">
                  <c:v>0.13242328368916434</c:v>
                </c:pt>
                <c:pt idx="62">
                  <c:v>0.13679661702249768</c:v>
                </c:pt>
                <c:pt idx="63">
                  <c:v>0.14124106146694218</c:v>
                </c:pt>
                <c:pt idx="64">
                  <c:v>0.14575661702249776</c:v>
                </c:pt>
                <c:pt idx="65">
                  <c:v>0.15034328368916441</c:v>
                </c:pt>
                <c:pt idx="66">
                  <c:v>0.1550010614669422</c:v>
                </c:pt>
                <c:pt idx="67">
                  <c:v>0.15972995035583101</c:v>
                </c:pt>
                <c:pt idx="68">
                  <c:v>0.16452995035583101</c:v>
                </c:pt>
                <c:pt idx="69">
                  <c:v>0.16940106146694212</c:v>
                </c:pt>
                <c:pt idx="70">
                  <c:v>0.1743432836891643</c:v>
                </c:pt>
                <c:pt idx="71">
                  <c:v>0.17935661702249769</c:v>
                </c:pt>
                <c:pt idx="72">
                  <c:v>0.18444106146694217</c:v>
                </c:pt>
                <c:pt idx="73">
                  <c:v>0.18959661702249775</c:v>
                </c:pt>
                <c:pt idx="74">
                  <c:v>0.19482328368916438</c:v>
                </c:pt>
                <c:pt idx="75">
                  <c:v>0.20012106146694214</c:v>
                </c:pt>
                <c:pt idx="76">
                  <c:v>0.20548995035583109</c:v>
                </c:pt>
                <c:pt idx="77">
                  <c:v>0.21092995035583112</c:v>
                </c:pt>
                <c:pt idx="78">
                  <c:v>0.21644106146694214</c:v>
                </c:pt>
                <c:pt idx="79">
                  <c:v>0.22202328368916446</c:v>
                </c:pt>
                <c:pt idx="80">
                  <c:v>0.22767661702249775</c:v>
                </c:pt>
                <c:pt idx="81">
                  <c:v>0.2334010614669422</c:v>
                </c:pt>
                <c:pt idx="82">
                  <c:v>0.2391966170224977</c:v>
                </c:pt>
                <c:pt idx="83">
                  <c:v>0.24506328368916433</c:v>
                </c:pt>
                <c:pt idx="84">
                  <c:v>0.25100106146694218</c:v>
                </c:pt>
                <c:pt idx="85">
                  <c:v>0.25700995035583107</c:v>
                </c:pt>
                <c:pt idx="86">
                  <c:v>0.26308995035583105</c:v>
                </c:pt>
                <c:pt idx="87">
                  <c:v>0.26924106146694221</c:v>
                </c:pt>
                <c:pt idx="88">
                  <c:v>0.27546328368916434</c:v>
                </c:pt>
                <c:pt idx="89">
                  <c:v>0.28175661702249771</c:v>
                </c:pt>
                <c:pt idx="90">
                  <c:v>0.28812106146694227</c:v>
                </c:pt>
                <c:pt idx="91">
                  <c:v>0.29455661702249775</c:v>
                </c:pt>
                <c:pt idx="92">
                  <c:v>0.30106328368916452</c:v>
                </c:pt>
                <c:pt idx="93">
                  <c:v>0.3076410614669422</c:v>
                </c:pt>
                <c:pt idx="94">
                  <c:v>0.31428995035583107</c:v>
                </c:pt>
                <c:pt idx="95">
                  <c:v>0.32100995035583113</c:v>
                </c:pt>
                <c:pt idx="96">
                  <c:v>0.32780106146694227</c:v>
                </c:pt>
                <c:pt idx="97">
                  <c:v>0.33466328368916437</c:v>
                </c:pt>
                <c:pt idx="98">
                  <c:v>0.34159661702249772</c:v>
                </c:pt>
                <c:pt idx="99">
                  <c:v>0.34860106146694209</c:v>
                </c:pt>
                <c:pt idx="100">
                  <c:v>0.35567661702249775</c:v>
                </c:pt>
                <c:pt idx="101">
                  <c:v>0.36282328368916428</c:v>
                </c:pt>
                <c:pt idx="102">
                  <c:v>0.3700410614669421</c:v>
                </c:pt>
                <c:pt idx="103">
                  <c:v>0.37732995035583106</c:v>
                </c:pt>
                <c:pt idx="104">
                  <c:v>0.3846899503558312</c:v>
                </c:pt>
                <c:pt idx="105">
                  <c:v>0.3921210614669422</c:v>
                </c:pt>
                <c:pt idx="106">
                  <c:v>0.39962328368916444</c:v>
                </c:pt>
                <c:pt idx="107">
                  <c:v>0.40719661702249782</c:v>
                </c:pt>
                <c:pt idx="108">
                  <c:v>0.41484106146694227</c:v>
                </c:pt>
                <c:pt idx="109">
                  <c:v>0.42255661702249786</c:v>
                </c:pt>
                <c:pt idx="110">
                  <c:v>0.43034328368916441</c:v>
                </c:pt>
                <c:pt idx="111">
                  <c:v>0.43820106146694232</c:v>
                </c:pt>
                <c:pt idx="112">
                  <c:v>0.44612995035583108</c:v>
                </c:pt>
                <c:pt idx="113">
                  <c:v>0.45412995035583109</c:v>
                </c:pt>
                <c:pt idx="114">
                  <c:v>0.46220106146694212</c:v>
                </c:pt>
                <c:pt idx="115">
                  <c:v>0.47034328368916445</c:v>
                </c:pt>
                <c:pt idx="116">
                  <c:v>0.4785566170224978</c:v>
                </c:pt>
                <c:pt idx="117">
                  <c:v>0.48684106146694206</c:v>
                </c:pt>
                <c:pt idx="118">
                  <c:v>0.49519661702249773</c:v>
                </c:pt>
                <c:pt idx="119">
                  <c:v>0.50362328368916431</c:v>
                </c:pt>
                <c:pt idx="120">
                  <c:v>0.51212106146694203</c:v>
                </c:pt>
                <c:pt idx="121">
                  <c:v>0.52068995035583088</c:v>
                </c:pt>
                <c:pt idx="122">
                  <c:v>0.52932995035583108</c:v>
                </c:pt>
                <c:pt idx="123">
                  <c:v>0.53804106146694208</c:v>
                </c:pt>
                <c:pt idx="124">
                  <c:v>0.54682328368916444</c:v>
                </c:pt>
                <c:pt idx="125">
                  <c:v>0.55567661702249782</c:v>
                </c:pt>
                <c:pt idx="126">
                  <c:v>0.56460106146694244</c:v>
                </c:pt>
                <c:pt idx="127">
                  <c:v>0.57359661702249776</c:v>
                </c:pt>
                <c:pt idx="128">
                  <c:v>0.58266328368916476</c:v>
                </c:pt>
                <c:pt idx="129">
                  <c:v>0.59180106146694234</c:v>
                </c:pt>
                <c:pt idx="130">
                  <c:v>0.60100995035583105</c:v>
                </c:pt>
                <c:pt idx="131">
                  <c:v>0.610289950355831</c:v>
                </c:pt>
                <c:pt idx="132">
                  <c:v>0.6196410614669422</c:v>
                </c:pt>
                <c:pt idx="133">
                  <c:v>0.62906328368916442</c:v>
                </c:pt>
                <c:pt idx="134">
                  <c:v>0.63855661702249777</c:v>
                </c:pt>
                <c:pt idx="135">
                  <c:v>0.64812106146694215</c:v>
                </c:pt>
                <c:pt idx="136">
                  <c:v>0.65775661702249777</c:v>
                </c:pt>
                <c:pt idx="137">
                  <c:v>0.66746328368916441</c:v>
                </c:pt>
                <c:pt idx="138">
                  <c:v>0.67724106146694196</c:v>
                </c:pt>
                <c:pt idx="139">
                  <c:v>0.68708995035583109</c:v>
                </c:pt>
                <c:pt idx="140">
                  <c:v>0.69700995035583069</c:v>
                </c:pt>
                <c:pt idx="141">
                  <c:v>0.70700106146694242</c:v>
                </c:pt>
                <c:pt idx="142">
                  <c:v>0.71706328368916439</c:v>
                </c:pt>
                <c:pt idx="143">
                  <c:v>0.72719661702249783</c:v>
                </c:pt>
                <c:pt idx="144">
                  <c:v>0.7374010614669424</c:v>
                </c:pt>
                <c:pt idx="145">
                  <c:v>0.74767661702249799</c:v>
                </c:pt>
                <c:pt idx="146">
                  <c:v>0.7580232836891645</c:v>
                </c:pt>
                <c:pt idx="147">
                  <c:v>0.76844106146694235</c:v>
                </c:pt>
                <c:pt idx="148">
                  <c:v>0.77892995035583112</c:v>
                </c:pt>
                <c:pt idx="149">
                  <c:v>0.78948995035583114</c:v>
                </c:pt>
                <c:pt idx="150">
                  <c:v>0.80012106146694206</c:v>
                </c:pt>
              </c:numCache>
            </c:numRef>
          </c:yVal>
          <c:smooth val="1"/>
          <c:extLst>
            <c:ext xmlns:c16="http://schemas.microsoft.com/office/drawing/2014/chart" uri="{C3380CC4-5D6E-409C-BE32-E72D297353CC}">
              <c16:uniqueId val="{00000003-F850-4D08-8BFC-748D436DD73B}"/>
            </c:ext>
          </c:extLst>
        </c:ser>
        <c:dLbls>
          <c:showLegendKey val="0"/>
          <c:showVal val="0"/>
          <c:showCatName val="0"/>
          <c:showSerName val="0"/>
          <c:showPercent val="0"/>
          <c:showBubbleSize val="0"/>
        </c:dLbls>
        <c:axId val="543660288"/>
        <c:axId val="543658752"/>
      </c:scatterChart>
      <c:valAx>
        <c:axId val="224130176"/>
        <c:scaling>
          <c:orientation val="minMax"/>
          <c:max val="6"/>
        </c:scaling>
        <c:delete val="0"/>
        <c:axPos val="b"/>
        <c:majorGridlines/>
        <c:numFmt formatCode="General" sourceLinked="1"/>
        <c:majorTickMark val="out"/>
        <c:minorTickMark val="none"/>
        <c:tickLblPos val="nextTo"/>
        <c:crossAx val="224131712"/>
        <c:crosses val="autoZero"/>
        <c:crossBetween val="midCat"/>
      </c:valAx>
      <c:valAx>
        <c:axId val="224131712"/>
        <c:scaling>
          <c:orientation val="minMax"/>
          <c:max val="100"/>
          <c:min val="60"/>
        </c:scaling>
        <c:delete val="0"/>
        <c:axPos val="l"/>
        <c:majorGridlines/>
        <c:title>
          <c:overlay val="0"/>
          <c:txPr>
            <a:bodyPr rot="-5400000" vert="horz"/>
            <a:lstStyle/>
            <a:p>
              <a:pPr>
                <a:defRPr/>
              </a:pPr>
              <a:endParaRPr lang="en-US"/>
            </a:p>
          </c:txPr>
        </c:title>
        <c:numFmt formatCode="General" sourceLinked="1"/>
        <c:majorTickMark val="out"/>
        <c:minorTickMark val="none"/>
        <c:tickLblPos val="nextTo"/>
        <c:crossAx val="224130176"/>
        <c:crosses val="autoZero"/>
        <c:crossBetween val="midCat"/>
      </c:valAx>
      <c:valAx>
        <c:axId val="543658752"/>
        <c:scaling>
          <c:orientation val="minMax"/>
        </c:scaling>
        <c:delete val="0"/>
        <c:axPos val="r"/>
        <c:numFmt formatCode="General" sourceLinked="1"/>
        <c:majorTickMark val="out"/>
        <c:minorTickMark val="none"/>
        <c:tickLblPos val="nextTo"/>
        <c:crossAx val="543660288"/>
        <c:crosses val="max"/>
        <c:crossBetween val="midCat"/>
      </c:valAx>
      <c:valAx>
        <c:axId val="543660288"/>
        <c:scaling>
          <c:orientation val="minMax"/>
        </c:scaling>
        <c:delete val="1"/>
        <c:axPos val="b"/>
        <c:numFmt formatCode="General" sourceLinked="1"/>
        <c:majorTickMark val="out"/>
        <c:minorTickMark val="none"/>
        <c:tickLblPos val="nextTo"/>
        <c:crossAx val="543658752"/>
        <c:crosses val="autoZero"/>
        <c:crossBetween val="midCat"/>
      </c:valAx>
    </c:plotArea>
    <c:legend>
      <c:legendPos val="r"/>
      <c:overlay val="1"/>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Eff_vs_IOUT!$AW$7:$AW$157</c:f>
              <c:numCache>
                <c:formatCode>General</c:formatCode>
                <c:ptCount val="151"/>
                <c:pt idx="0">
                  <c:v>0</c:v>
                </c:pt>
                <c:pt idx="1">
                  <c:v>57.125614912726022</c:v>
                </c:pt>
                <c:pt idx="2">
                  <c:v>71.323571544960416</c:v>
                </c:pt>
                <c:pt idx="3">
                  <c:v>77.749346213393522</c:v>
                </c:pt>
                <c:pt idx="4">
                  <c:v>81.522413696774009</c:v>
                </c:pt>
                <c:pt idx="5">
                  <c:v>83.977586182593996</c:v>
                </c:pt>
                <c:pt idx="6">
                  <c:v>85.685545377366452</c:v>
                </c:pt>
                <c:pt idx="7">
                  <c:v>86.937505221276297</c:v>
                </c:pt>
                <c:pt idx="8">
                  <c:v>87.890758174125594</c:v>
                </c:pt>
                <c:pt idx="9">
                  <c:v>88.637720770368887</c:v>
                </c:pt>
                <c:pt idx="10">
                  <c:v>89.236254991533045</c:v>
                </c:pt>
                <c:pt idx="11">
                  <c:v>89.72443762791525</c:v>
                </c:pt>
                <c:pt idx="12">
                  <c:v>90.128350918802965</c:v>
                </c:pt>
                <c:pt idx="13">
                  <c:v>90.466460748329069</c:v>
                </c:pt>
                <c:pt idx="14">
                  <c:v>90.752207585803106</c:v>
                </c:pt>
                <c:pt idx="15">
                  <c:v>90.995607134908738</c:v>
                </c:pt>
                <c:pt idx="16">
                  <c:v>91.204275832277716</c:v>
                </c:pt>
                <c:pt idx="17">
                  <c:v>91.384108681170943</c:v>
                </c:pt>
                <c:pt idx="18">
                  <c:v>91.539739575762141</c:v>
                </c:pt>
                <c:pt idx="19">
                  <c:v>91.674861411269063</c:v>
                </c:pt>
                <c:pt idx="20">
                  <c:v>91.792453399808082</c:v>
                </c:pt>
                <c:pt idx="21">
                  <c:v>91.894945528296802</c:v>
                </c:pt>
                <c:pt idx="22">
                  <c:v>91.984339543577249</c:v>
                </c:pt>
                <c:pt idx="23">
                  <c:v>92.062299305876692</c:v>
                </c:pt>
                <c:pt idx="24">
                  <c:v>92.130219192328127</c:v>
                </c:pt>
                <c:pt idx="25">
                  <c:v>92.189276529587076</c:v>
                </c:pt>
                <c:pt idx="26">
                  <c:v>92.2404722429781</c:v>
                </c:pt>
                <c:pt idx="27">
                  <c:v>92.284662700152779</c:v>
                </c:pt>
                <c:pt idx="28">
                  <c:v>92.322584897085122</c:v>
                </c:pt>
                <c:pt idx="29">
                  <c:v>92.354876555653348</c:v>
                </c:pt>
                <c:pt idx="30">
                  <c:v>92.382092293106183</c:v>
                </c:pt>
                <c:pt idx="31">
                  <c:v>92.40471673087427</c:v>
                </c:pt>
                <c:pt idx="32">
                  <c:v>92.423175197951863</c:v>
                </c:pt>
                <c:pt idx="33">
                  <c:v>92.437842528521472</c:v>
                </c:pt>
                <c:pt idx="34">
                  <c:v>92.44905033829022</c:v>
                </c:pt>
                <c:pt idx="35">
                  <c:v>92.457093077845528</c:v>
                </c:pt>
                <c:pt idx="36">
                  <c:v>92.462233096309035</c:v>
                </c:pt>
                <c:pt idx="37">
                  <c:v>92.464704899062028</c:v>
                </c:pt>
                <c:pt idx="38">
                  <c:v>92.464718745325243</c:v>
                </c:pt>
                <c:pt idx="39">
                  <c:v>92.462463701997166</c:v>
                </c:pt>
                <c:pt idx="40">
                  <c:v>92.458110247273311</c:v>
                </c:pt>
                <c:pt idx="41">
                  <c:v>92.451812499626655</c:v>
                </c:pt>
                <c:pt idx="42">
                  <c:v>92.443710133567805</c:v>
                </c:pt>
                <c:pt idx="43">
                  <c:v>92.433930032360308</c:v>
                </c:pt>
                <c:pt idx="44">
                  <c:v>92.422587718884955</c:v>
                </c:pt>
                <c:pt idx="45">
                  <c:v>92.409788598636538</c:v>
                </c:pt>
                <c:pt idx="46">
                  <c:v>92.39562904301421</c:v>
                </c:pt>
                <c:pt idx="47">
                  <c:v>92.380197336343016</c:v>
                </c:pt>
                <c:pt idx="48">
                  <c:v>92.363574506214889</c:v>
                </c:pt>
                <c:pt idx="49">
                  <c:v>92.345835053583073</c:v>
                </c:pt>
                <c:pt idx="50">
                  <c:v>92.327047596451521</c:v>
                </c:pt>
                <c:pt idx="51">
                  <c:v>92.307275438858852</c:v>
                </c:pt>
                <c:pt idx="52">
                  <c:v>92.28657707507945</c:v>
                </c:pt>
                <c:pt idx="53">
                  <c:v>92.265006637487645</c:v>
                </c:pt>
                <c:pt idx="54">
                  <c:v>92.24261429529399</c:v>
                </c:pt>
                <c:pt idx="55">
                  <c:v>92.21944661032822</c:v>
                </c:pt>
                <c:pt idx="56">
                  <c:v>92.195546855171813</c:v>
                </c:pt>
                <c:pt idx="57">
                  <c:v>92.170955298208284</c:v>
                </c:pt>
                <c:pt idx="58">
                  <c:v>92.145709459535794</c:v>
                </c:pt>
                <c:pt idx="59">
                  <c:v>92.11984434115935</c:v>
                </c:pt>
                <c:pt idx="60">
                  <c:v>92.093392634428341</c:v>
                </c:pt>
                <c:pt idx="61">
                  <c:v>92.066384907301185</c:v>
                </c:pt>
                <c:pt idx="62">
                  <c:v>92.038849773689407</c:v>
                </c:pt>
                <c:pt idx="63">
                  <c:v>92.010814046850442</c:v>
                </c:pt>
                <c:pt idx="64">
                  <c:v>91.982302878554805</c:v>
                </c:pt>
                <c:pt idx="65">
                  <c:v>91.95333988554377</c:v>
                </c:pt>
                <c:pt idx="66">
                  <c:v>91.923947264611058</c:v>
                </c:pt>
                <c:pt idx="67">
                  <c:v>91.894145897485004</c:v>
                </c:pt>
                <c:pt idx="68">
                  <c:v>91.863955446550278</c:v>
                </c:pt>
                <c:pt idx="69">
                  <c:v>91.833394442329549</c:v>
                </c:pt>
                <c:pt idx="70">
                  <c:v>91.80248036354061</c:v>
                </c:pt>
                <c:pt idx="71">
                  <c:v>91.771229710453838</c:v>
                </c:pt>
                <c:pt idx="72">
                  <c:v>91.73965807219551</c:v>
                </c:pt>
                <c:pt idx="73">
                  <c:v>91.707780188571391</c:v>
                </c:pt>
                <c:pt idx="74">
                  <c:v>91.675610006924643</c:v>
                </c:pt>
                <c:pt idx="75">
                  <c:v>91.643160734486955</c:v>
                </c:pt>
                <c:pt idx="76">
                  <c:v>91.610444886634184</c:v>
                </c:pt>
                <c:pt idx="77">
                  <c:v>91.577474331415843</c:v>
                </c:pt>
                <c:pt idx="78">
                  <c:v>91.544260330689255</c:v>
                </c:pt>
                <c:pt idx="79">
                  <c:v>91.510813578157169</c:v>
                </c:pt>
                <c:pt idx="80">
                  <c:v>91.477144234577281</c:v>
                </c:pt>
                <c:pt idx="81">
                  <c:v>91.443261960385584</c:v>
                </c:pt>
                <c:pt idx="82">
                  <c:v>91.409175945953123</c:v>
                </c:pt>
                <c:pt idx="83">
                  <c:v>91.374894939673553</c:v>
                </c:pt>
                <c:pt idx="84">
                  <c:v>91.340427274060971</c:v>
                </c:pt>
                <c:pt idx="85">
                  <c:v>91.305780890020586</c:v>
                </c:pt>
                <c:pt idx="86">
                  <c:v>91.270963359439634</c:v>
                </c:pt>
                <c:pt idx="87">
                  <c:v>91.235981906232794</c:v>
                </c:pt>
                <c:pt idx="88">
                  <c:v>91.200843425963839</c:v>
                </c:pt>
                <c:pt idx="89">
                  <c:v>91.165554504154855</c:v>
                </c:pt>
                <c:pt idx="90">
                  <c:v>91.130121433384105</c:v>
                </c:pt>
                <c:pt idx="91">
                  <c:v>91.09455022926528</c:v>
                </c:pt>
                <c:pt idx="92">
                  <c:v>91.058846645392393</c:v>
                </c:pt>
                <c:pt idx="93">
                  <c:v>91.023016187327499</c:v>
                </c:pt>
                <c:pt idx="94">
                  <c:v>90.987064125702474</c:v>
                </c:pt>
                <c:pt idx="95">
                  <c:v>90.950995508498949</c:v>
                </c:pt>
                <c:pt idx="96">
                  <c:v>90.914815172566705</c:v>
                </c:pt>
                <c:pt idx="97">
                  <c:v>90.878527754434131</c:v>
                </c:pt>
                <c:pt idx="98">
                  <c:v>90.842137700462061</c:v>
                </c:pt>
                <c:pt idx="99">
                  <c:v>90.805649276386106</c:v>
                </c:pt>
                <c:pt idx="100">
                  <c:v>90.769066576290484</c:v>
                </c:pt>
                <c:pt idx="101">
                  <c:v>90.73239353105258</c:v>
                </c:pt>
                <c:pt idx="102">
                  <c:v>90.6956339162939</c:v>
                </c:pt>
                <c:pt idx="103">
                  <c:v>90.658791359871088</c:v>
                </c:pt>
                <c:pt idx="104">
                  <c:v>90.621869348937594</c:v>
                </c:pt>
                <c:pt idx="105">
                  <c:v>90.584871236604556</c:v>
                </c:pt>
                <c:pt idx="106">
                  <c:v>90.54780024822692</c:v>
                </c:pt>
                <c:pt idx="107">
                  <c:v>90.510659487339524</c:v>
                </c:pt>
                <c:pt idx="108">
                  <c:v>90.473451941265409</c:v>
                </c:pt>
                <c:pt idx="109">
                  <c:v>90.436180486417427</c:v>
                </c:pt>
                <c:pt idx="110">
                  <c:v>90.398847893312393</c:v>
                </c:pt>
                <c:pt idx="111">
                  <c:v>90.361456831315905</c:v>
                </c:pt>
                <c:pt idx="112">
                  <c:v>90.324009873134699</c:v>
                </c:pt>
                <c:pt idx="113">
                  <c:v>90.286509499071627</c:v>
                </c:pt>
                <c:pt idx="114">
                  <c:v>90.248958101058292</c:v>
                </c:pt>
                <c:pt idx="115">
                  <c:v>90.211357986478475</c:v>
                </c:pt>
                <c:pt idx="116">
                  <c:v>90.173711381794902</c:v>
                </c:pt>
                <c:pt idx="117">
                  <c:v>90.136020435991099</c:v>
                </c:pt>
                <c:pt idx="118">
                  <c:v>90.098287223839506</c:v>
                </c:pt>
                <c:pt idx="119">
                  <c:v>90.060513749005395</c:v>
                </c:pt>
                <c:pt idx="120">
                  <c:v>90.022701946996634</c:v>
                </c:pt>
                <c:pt idx="121">
                  <c:v>89.984853687968226</c:v>
                </c:pt>
                <c:pt idx="122">
                  <c:v>89.946970779389289</c:v>
                </c:pt>
                <c:pt idx="123">
                  <c:v>89.909054968581003</c:v>
                </c:pt>
                <c:pt idx="124">
                  <c:v>89.871107945132195</c:v>
                </c:pt>
                <c:pt idx="125">
                  <c:v>89.83313134319981</c:v>
                </c:pt>
                <c:pt idx="126">
                  <c:v>89.795126743700251</c:v>
                </c:pt>
                <c:pt idx="127">
                  <c:v>89.757095676397853</c:v>
                </c:pt>
                <c:pt idx="128">
                  <c:v>89.719039621895931</c:v>
                </c:pt>
                <c:pt idx="129">
                  <c:v>89.68096001353581</c:v>
                </c:pt>
                <c:pt idx="130">
                  <c:v>89.642858239208408</c:v>
                </c:pt>
                <c:pt idx="131">
                  <c:v>89.604735643083686</c:v>
                </c:pt>
                <c:pt idx="132">
                  <c:v>89.566593527261446</c:v>
                </c:pt>
                <c:pt idx="133">
                  <c:v>89.528433153348359</c:v>
                </c:pt>
                <c:pt idx="134">
                  <c:v>89.490255743964624</c:v>
                </c:pt>
                <c:pt idx="135">
                  <c:v>89.45206248418387</c:v>
                </c:pt>
                <c:pt idx="136">
                  <c:v>89.413854522910157</c:v>
                </c:pt>
                <c:pt idx="137">
                  <c:v>89.375632974194687</c:v>
                </c:pt>
                <c:pt idx="138">
                  <c:v>89.337398918495609</c:v>
                </c:pt>
                <c:pt idx="139">
                  <c:v>89.299153403883807</c:v>
                </c:pt>
                <c:pt idx="140">
                  <c:v>89.260897447197166</c:v>
                </c:pt>
                <c:pt idx="141">
                  <c:v>89.222632035145978</c:v>
                </c:pt>
                <c:pt idx="142">
                  <c:v>89.184358125371844</c:v>
                </c:pt>
                <c:pt idx="143">
                  <c:v>89.14607664746238</c:v>
                </c:pt>
                <c:pt idx="144">
                  <c:v>89.107788503923842</c:v>
                </c:pt>
                <c:pt idx="145">
                  <c:v>89.06949457111368</c:v>
                </c:pt>
                <c:pt idx="146">
                  <c:v>89.031195700134873</c:v>
                </c:pt>
                <c:pt idx="147">
                  <c:v>88.992892717694062</c:v>
                </c:pt>
                <c:pt idx="148">
                  <c:v>88.954586426924919</c:v>
                </c:pt>
                <c:pt idx="149">
                  <c:v>88.916277608178618</c:v>
                </c:pt>
                <c:pt idx="150">
                  <c:v>88.877967019782716</c:v>
                </c:pt>
              </c:numCache>
            </c:numRef>
          </c:yVal>
          <c:smooth val="0"/>
          <c:extLst>
            <c:ext xmlns:c16="http://schemas.microsoft.com/office/drawing/2014/chart" uri="{C3380CC4-5D6E-409C-BE32-E72D297353CC}">
              <c16:uniqueId val="{00000000-901A-4CE4-83F4-75906C9CC573}"/>
            </c:ext>
          </c:extLst>
        </c:ser>
        <c:dLbls>
          <c:showLegendKey val="0"/>
          <c:showVal val="0"/>
          <c:showCatName val="0"/>
          <c:showSerName val="0"/>
          <c:showPercent val="0"/>
          <c:showBubbleSize val="0"/>
        </c:dLbls>
        <c:axId val="361445248"/>
        <c:axId val="361446784"/>
      </c:scatterChart>
      <c:scatterChart>
        <c:scatterStyle val="smoothMarker"/>
        <c:varyColors val="0"/>
        <c:ser>
          <c:idx val="1"/>
          <c:order val="1"/>
          <c:tx>
            <c:v>LS MOSFET</c:v>
          </c:tx>
          <c:spPr>
            <a:ln>
              <a:solidFill>
                <a:schemeClr val="tx2">
                  <a:lumMod val="75000"/>
                </a:schemeClr>
              </a:solidFill>
              <a:prstDash val="dashDot"/>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Eff_vs_IOUT!$AI$7:$AI$157</c:f>
              <c:numCache>
                <c:formatCode>General</c:formatCode>
                <c:ptCount val="151"/>
                <c:pt idx="0">
                  <c:v>0</c:v>
                </c:pt>
                <c:pt idx="1">
                  <c:v>2.7855346234570841E-2</c:v>
                </c:pt>
                <c:pt idx="2">
                  <c:v>5.5988728212661036E-2</c:v>
                </c:pt>
                <c:pt idx="3">
                  <c:v>8.4303108813429312E-2</c:v>
                </c:pt>
                <c:pt idx="4">
                  <c:v>0.11281111302171648</c:v>
                </c:pt>
                <c:pt idx="5">
                  <c:v>0.14159804042487287</c:v>
                </c:pt>
                <c:pt idx="6">
                  <c:v>0.17066656782802922</c:v>
                </c:pt>
                <c:pt idx="7">
                  <c:v>0.20001669523118562</c:v>
                </c:pt>
                <c:pt idx="8">
                  <c:v>0.22964842263434207</c:v>
                </c:pt>
                <c:pt idx="9">
                  <c:v>0.25956175003749843</c:v>
                </c:pt>
                <c:pt idx="10">
                  <c:v>0.28975667744065481</c:v>
                </c:pt>
                <c:pt idx="11">
                  <c:v>0.32023320484381113</c:v>
                </c:pt>
                <c:pt idx="12">
                  <c:v>0.35099133224696755</c:v>
                </c:pt>
                <c:pt idx="13">
                  <c:v>0.38203105965012407</c:v>
                </c:pt>
                <c:pt idx="14">
                  <c:v>0.41335238705328037</c:v>
                </c:pt>
                <c:pt idx="15">
                  <c:v>0.44495531445643671</c:v>
                </c:pt>
                <c:pt idx="16">
                  <c:v>0.47683984185959327</c:v>
                </c:pt>
                <c:pt idx="17">
                  <c:v>0.50900596926274955</c:v>
                </c:pt>
                <c:pt idx="18">
                  <c:v>0.54145369666590593</c:v>
                </c:pt>
                <c:pt idx="19">
                  <c:v>0.57418302406906241</c:v>
                </c:pt>
                <c:pt idx="20">
                  <c:v>0.60719395147221877</c:v>
                </c:pt>
                <c:pt idx="21">
                  <c:v>0.64048647887537513</c:v>
                </c:pt>
                <c:pt idx="22">
                  <c:v>0.67406060627853137</c:v>
                </c:pt>
                <c:pt idx="23">
                  <c:v>0.70791633368168805</c:v>
                </c:pt>
                <c:pt idx="24">
                  <c:v>0.74205366108484427</c:v>
                </c:pt>
                <c:pt idx="25">
                  <c:v>0.77647258848800083</c:v>
                </c:pt>
                <c:pt idx="26">
                  <c:v>0.81117311589115726</c:v>
                </c:pt>
                <c:pt idx="27">
                  <c:v>0.84615524329431357</c:v>
                </c:pt>
                <c:pt idx="28">
                  <c:v>0.88141897069746977</c:v>
                </c:pt>
                <c:pt idx="29">
                  <c:v>0.9169642981006263</c:v>
                </c:pt>
                <c:pt idx="30">
                  <c:v>0.95279122550378248</c:v>
                </c:pt>
                <c:pt idx="31">
                  <c:v>0.9888997529069391</c:v>
                </c:pt>
                <c:pt idx="32">
                  <c:v>1.0252898803100956</c:v>
                </c:pt>
                <c:pt idx="33">
                  <c:v>1.0619616077132519</c:v>
                </c:pt>
                <c:pt idx="34">
                  <c:v>1.098914935116408</c:v>
                </c:pt>
                <c:pt idx="35">
                  <c:v>1.1361498625195643</c:v>
                </c:pt>
                <c:pt idx="36">
                  <c:v>1.1736663899227211</c:v>
                </c:pt>
                <c:pt idx="37">
                  <c:v>1.2114645173258773</c:v>
                </c:pt>
                <c:pt idx="38">
                  <c:v>1.2495442447290339</c:v>
                </c:pt>
                <c:pt idx="39">
                  <c:v>1.2879055721321901</c:v>
                </c:pt>
                <c:pt idx="40">
                  <c:v>1.3265484995353467</c:v>
                </c:pt>
                <c:pt idx="41">
                  <c:v>1.3654730269385027</c:v>
                </c:pt>
                <c:pt idx="42">
                  <c:v>1.4046791543416592</c:v>
                </c:pt>
                <c:pt idx="43">
                  <c:v>1.4441668817448157</c:v>
                </c:pt>
                <c:pt idx="44">
                  <c:v>1.4839362091479718</c:v>
                </c:pt>
                <c:pt idx="45">
                  <c:v>1.5239871365511286</c:v>
                </c:pt>
                <c:pt idx="46">
                  <c:v>1.5643196639542853</c:v>
                </c:pt>
                <c:pt idx="47">
                  <c:v>1.6049337913574413</c:v>
                </c:pt>
                <c:pt idx="48">
                  <c:v>1.6458295187605976</c:v>
                </c:pt>
                <c:pt idx="49">
                  <c:v>1.687006846163754</c:v>
                </c:pt>
                <c:pt idx="50">
                  <c:v>1.7284657735669104</c:v>
                </c:pt>
                <c:pt idx="51">
                  <c:v>1.7702063009700668</c:v>
                </c:pt>
                <c:pt idx="52">
                  <c:v>1.8122284283732237</c:v>
                </c:pt>
                <c:pt idx="53">
                  <c:v>1.8545321557763796</c:v>
                </c:pt>
                <c:pt idx="54">
                  <c:v>1.8971174831795363</c:v>
                </c:pt>
                <c:pt idx="55">
                  <c:v>1.9399844105826922</c:v>
                </c:pt>
                <c:pt idx="56">
                  <c:v>1.9831329379858487</c:v>
                </c:pt>
                <c:pt idx="57">
                  <c:v>2.0265630653890052</c:v>
                </c:pt>
                <c:pt idx="58">
                  <c:v>2.0702747927921621</c:v>
                </c:pt>
                <c:pt idx="59">
                  <c:v>2.1142681201953177</c:v>
                </c:pt>
                <c:pt idx="60">
                  <c:v>2.1585430475984744</c:v>
                </c:pt>
                <c:pt idx="61">
                  <c:v>2.2030995750016302</c:v>
                </c:pt>
                <c:pt idx="62">
                  <c:v>2.2479377024047875</c:v>
                </c:pt>
                <c:pt idx="63">
                  <c:v>2.293057429807944</c:v>
                </c:pt>
                <c:pt idx="64">
                  <c:v>2.3384587572111002</c:v>
                </c:pt>
                <c:pt idx="65">
                  <c:v>2.3841416846142565</c:v>
                </c:pt>
                <c:pt idx="66">
                  <c:v>2.4301062120174133</c:v>
                </c:pt>
                <c:pt idx="67">
                  <c:v>2.4763523394205693</c:v>
                </c:pt>
                <c:pt idx="68">
                  <c:v>2.5228800668237255</c:v>
                </c:pt>
                <c:pt idx="69">
                  <c:v>2.5696893942268813</c:v>
                </c:pt>
                <c:pt idx="70">
                  <c:v>2.616780321630038</c:v>
                </c:pt>
                <c:pt idx="71">
                  <c:v>2.6641528490331945</c:v>
                </c:pt>
                <c:pt idx="72">
                  <c:v>2.7118069764363515</c:v>
                </c:pt>
                <c:pt idx="73">
                  <c:v>2.7597427038395081</c:v>
                </c:pt>
                <c:pt idx="74">
                  <c:v>2.807960031242664</c:v>
                </c:pt>
                <c:pt idx="75">
                  <c:v>2.85645895864582</c:v>
                </c:pt>
                <c:pt idx="76">
                  <c:v>2.905239486048977</c:v>
                </c:pt>
                <c:pt idx="77">
                  <c:v>2.954301613452134</c:v>
                </c:pt>
                <c:pt idx="78">
                  <c:v>3.0036453408552894</c:v>
                </c:pt>
                <c:pt idx="79">
                  <c:v>3.0532706682584463</c:v>
                </c:pt>
                <c:pt idx="80">
                  <c:v>3.1031775956616023</c:v>
                </c:pt>
                <c:pt idx="81">
                  <c:v>3.1533661230647585</c:v>
                </c:pt>
                <c:pt idx="82">
                  <c:v>3.2038362504679148</c:v>
                </c:pt>
                <c:pt idx="83">
                  <c:v>3.2545879778710711</c:v>
                </c:pt>
                <c:pt idx="84">
                  <c:v>3.3056213052742276</c:v>
                </c:pt>
                <c:pt idx="85">
                  <c:v>3.3569362326773833</c:v>
                </c:pt>
                <c:pt idx="86">
                  <c:v>3.4085327600805408</c:v>
                </c:pt>
                <c:pt idx="87">
                  <c:v>3.4604108874836976</c:v>
                </c:pt>
                <c:pt idx="88">
                  <c:v>3.5125706148868527</c:v>
                </c:pt>
                <c:pt idx="89">
                  <c:v>3.5650119422900097</c:v>
                </c:pt>
                <c:pt idx="90">
                  <c:v>3.6177348696931668</c:v>
                </c:pt>
                <c:pt idx="91">
                  <c:v>3.6707393970963231</c:v>
                </c:pt>
                <c:pt idx="92">
                  <c:v>3.7240255244994804</c:v>
                </c:pt>
                <c:pt idx="93">
                  <c:v>3.7775932519026352</c:v>
                </c:pt>
                <c:pt idx="94">
                  <c:v>3.8314425793057918</c:v>
                </c:pt>
                <c:pt idx="95">
                  <c:v>3.8855735067089481</c:v>
                </c:pt>
                <c:pt idx="96">
                  <c:v>3.939986034112104</c:v>
                </c:pt>
                <c:pt idx="97">
                  <c:v>3.9946801615152601</c:v>
                </c:pt>
                <c:pt idx="98">
                  <c:v>4.0496558889184167</c:v>
                </c:pt>
                <c:pt idx="99">
                  <c:v>4.1049132163215729</c:v>
                </c:pt>
                <c:pt idx="100">
                  <c:v>4.1604521437247302</c:v>
                </c:pt>
                <c:pt idx="101">
                  <c:v>4.2162726711278857</c:v>
                </c:pt>
                <c:pt idx="102">
                  <c:v>4.2723747985310432</c:v>
                </c:pt>
                <c:pt idx="103">
                  <c:v>4.328758525934199</c:v>
                </c:pt>
                <c:pt idx="104">
                  <c:v>4.3854238533373566</c:v>
                </c:pt>
                <c:pt idx="105">
                  <c:v>4.4423707807405117</c:v>
                </c:pt>
                <c:pt idx="106">
                  <c:v>4.4995993081436687</c:v>
                </c:pt>
                <c:pt idx="107">
                  <c:v>4.5571094355468258</c:v>
                </c:pt>
                <c:pt idx="108">
                  <c:v>4.6149011629499821</c:v>
                </c:pt>
                <c:pt idx="109">
                  <c:v>4.6729744903531376</c:v>
                </c:pt>
                <c:pt idx="110">
                  <c:v>4.7313294177562941</c:v>
                </c:pt>
                <c:pt idx="111">
                  <c:v>4.7899659451594507</c:v>
                </c:pt>
                <c:pt idx="112">
                  <c:v>4.8488840725626066</c:v>
                </c:pt>
                <c:pt idx="113">
                  <c:v>4.9080837999657634</c:v>
                </c:pt>
                <c:pt idx="114">
                  <c:v>4.9675651273689194</c:v>
                </c:pt>
                <c:pt idx="115">
                  <c:v>5.0273280547720756</c:v>
                </c:pt>
                <c:pt idx="116">
                  <c:v>5.0873725821752327</c:v>
                </c:pt>
                <c:pt idx="117">
                  <c:v>5.1476987095783882</c:v>
                </c:pt>
                <c:pt idx="118">
                  <c:v>5.2083064369815446</c:v>
                </c:pt>
                <c:pt idx="119">
                  <c:v>5.2691957643847003</c:v>
                </c:pt>
                <c:pt idx="120">
                  <c:v>5.3303666917878569</c:v>
                </c:pt>
                <c:pt idx="121">
                  <c:v>5.3918192191910137</c:v>
                </c:pt>
                <c:pt idx="122">
                  <c:v>5.4535533465941697</c:v>
                </c:pt>
                <c:pt idx="123">
                  <c:v>5.5155690739973249</c:v>
                </c:pt>
                <c:pt idx="124">
                  <c:v>5.5778664014004846</c:v>
                </c:pt>
                <c:pt idx="125">
                  <c:v>5.64044532880364</c:v>
                </c:pt>
                <c:pt idx="126">
                  <c:v>5.7033058562067982</c:v>
                </c:pt>
                <c:pt idx="127">
                  <c:v>5.766447983609952</c:v>
                </c:pt>
                <c:pt idx="128">
                  <c:v>5.8298717110131104</c:v>
                </c:pt>
                <c:pt idx="129">
                  <c:v>5.8935770384162662</c:v>
                </c:pt>
                <c:pt idx="130">
                  <c:v>5.9575639658194222</c:v>
                </c:pt>
                <c:pt idx="131">
                  <c:v>6.0218324932225791</c:v>
                </c:pt>
                <c:pt idx="132">
                  <c:v>6.0863826206257343</c:v>
                </c:pt>
                <c:pt idx="133">
                  <c:v>6.1512143480288923</c:v>
                </c:pt>
                <c:pt idx="134">
                  <c:v>6.2163276754320478</c:v>
                </c:pt>
                <c:pt idx="135">
                  <c:v>6.2817226028352033</c:v>
                </c:pt>
                <c:pt idx="136">
                  <c:v>6.3473991302383599</c:v>
                </c:pt>
                <c:pt idx="137">
                  <c:v>6.4133572576415165</c:v>
                </c:pt>
                <c:pt idx="138">
                  <c:v>6.4795969850446715</c:v>
                </c:pt>
                <c:pt idx="139">
                  <c:v>6.5461183124478293</c:v>
                </c:pt>
                <c:pt idx="140">
                  <c:v>6.6129212398509853</c:v>
                </c:pt>
                <c:pt idx="141">
                  <c:v>6.6800057672541415</c:v>
                </c:pt>
                <c:pt idx="142">
                  <c:v>6.7473718946572978</c:v>
                </c:pt>
                <c:pt idx="143">
                  <c:v>6.815019622060456</c:v>
                </c:pt>
                <c:pt idx="144">
                  <c:v>6.8829489494636125</c:v>
                </c:pt>
                <c:pt idx="145">
                  <c:v>6.9511598768667682</c:v>
                </c:pt>
                <c:pt idx="146">
                  <c:v>7.0196524042699249</c:v>
                </c:pt>
                <c:pt idx="147">
                  <c:v>7.0884265316730808</c:v>
                </c:pt>
                <c:pt idx="148">
                  <c:v>7.1574822590762377</c:v>
                </c:pt>
                <c:pt idx="149">
                  <c:v>7.2268195864793938</c:v>
                </c:pt>
                <c:pt idx="150">
                  <c:v>7.2964385138825492</c:v>
                </c:pt>
              </c:numCache>
            </c:numRef>
          </c:yVal>
          <c:smooth val="1"/>
          <c:extLst>
            <c:ext xmlns:c16="http://schemas.microsoft.com/office/drawing/2014/chart" uri="{C3380CC4-5D6E-409C-BE32-E72D297353CC}">
              <c16:uniqueId val="{00000001-901A-4CE4-83F4-75906C9CC573}"/>
            </c:ext>
          </c:extLst>
        </c:ser>
        <c:ser>
          <c:idx val="2"/>
          <c:order val="2"/>
          <c:tx>
            <c:v>HS MOSFET</c:v>
          </c:tx>
          <c:spPr>
            <a:ln>
              <a:solidFill>
                <a:schemeClr val="bg2">
                  <a:lumMod val="50000"/>
                </a:schemeClr>
              </a:solidFill>
              <a:prstDash val="sysDash"/>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Eff_vs_IOUT!$AO$7:$AO$157</c:f>
              <c:numCache>
                <c:formatCode>General</c:formatCode>
                <c:ptCount val="151"/>
                <c:pt idx="0">
                  <c:v>0</c:v>
                </c:pt>
                <c:pt idx="1">
                  <c:v>0.42808147929541279</c:v>
                </c:pt>
                <c:pt idx="2">
                  <c:v>0.42953984185466892</c:v>
                </c:pt>
                <c:pt idx="3">
                  <c:v>0.43069485830252952</c:v>
                </c:pt>
                <c:pt idx="4">
                  <c:v>0.43174624482323243</c:v>
                </c:pt>
                <c:pt idx="5">
                  <c:v>0.43282571148989907</c:v>
                </c:pt>
                <c:pt idx="6">
                  <c:v>0.43393646704545458</c:v>
                </c:pt>
                <c:pt idx="7">
                  <c:v>0.43507851148989907</c:v>
                </c:pt>
                <c:pt idx="8">
                  <c:v>0.43625184482323237</c:v>
                </c:pt>
                <c:pt idx="9">
                  <c:v>0.4374564670454546</c:v>
                </c:pt>
                <c:pt idx="10">
                  <c:v>0.4386923781565657</c:v>
                </c:pt>
                <c:pt idx="11">
                  <c:v>0.43995957815656572</c:v>
                </c:pt>
                <c:pt idx="12">
                  <c:v>0.44125806704545462</c:v>
                </c:pt>
                <c:pt idx="13">
                  <c:v>0.44258784482323238</c:v>
                </c:pt>
                <c:pt idx="14">
                  <c:v>0.44394891148989907</c:v>
                </c:pt>
                <c:pt idx="15">
                  <c:v>0.44534126704545457</c:v>
                </c:pt>
                <c:pt idx="16">
                  <c:v>0.44676491148989905</c:v>
                </c:pt>
                <c:pt idx="17">
                  <c:v>0.44821984482323241</c:v>
                </c:pt>
                <c:pt idx="18">
                  <c:v>0.44970606704545463</c:v>
                </c:pt>
                <c:pt idx="19">
                  <c:v>0.45122357815656572</c:v>
                </c:pt>
                <c:pt idx="20">
                  <c:v>0.45277237815656568</c:v>
                </c:pt>
                <c:pt idx="21">
                  <c:v>0.45435246704545462</c:v>
                </c:pt>
                <c:pt idx="22">
                  <c:v>0.45596384482323238</c:v>
                </c:pt>
                <c:pt idx="23">
                  <c:v>0.45760651148989906</c:v>
                </c:pt>
                <c:pt idx="24">
                  <c:v>0.45928046704545461</c:v>
                </c:pt>
                <c:pt idx="25">
                  <c:v>0.46098571148989909</c:v>
                </c:pt>
                <c:pt idx="26">
                  <c:v>0.46272224482323238</c:v>
                </c:pt>
                <c:pt idx="27">
                  <c:v>0.46449006704545459</c:v>
                </c:pt>
                <c:pt idx="28">
                  <c:v>0.46628917815656573</c:v>
                </c:pt>
                <c:pt idx="29">
                  <c:v>0.46811957815656569</c:v>
                </c:pt>
                <c:pt idx="30">
                  <c:v>0.46998126704545462</c:v>
                </c:pt>
                <c:pt idx="31">
                  <c:v>0.47187424482323237</c:v>
                </c:pt>
                <c:pt idx="32">
                  <c:v>0.47379851148989904</c:v>
                </c:pt>
                <c:pt idx="33">
                  <c:v>0.47575406704545464</c:v>
                </c:pt>
                <c:pt idx="34">
                  <c:v>0.47774091148989906</c:v>
                </c:pt>
                <c:pt idx="35">
                  <c:v>0.47975904482323239</c:v>
                </c:pt>
                <c:pt idx="36">
                  <c:v>0.4818084670454546</c:v>
                </c:pt>
                <c:pt idx="37">
                  <c:v>0.48388917815656574</c:v>
                </c:pt>
                <c:pt idx="38">
                  <c:v>0.48600117815656574</c:v>
                </c:pt>
                <c:pt idx="39">
                  <c:v>0.48814446704545456</c:v>
                </c:pt>
                <c:pt idx="40">
                  <c:v>0.49031904482323241</c:v>
                </c:pt>
                <c:pt idx="41">
                  <c:v>0.49252491148989902</c:v>
                </c:pt>
                <c:pt idx="42">
                  <c:v>0.49476206704545461</c:v>
                </c:pt>
                <c:pt idx="43">
                  <c:v>0.49703051148989902</c:v>
                </c:pt>
                <c:pt idx="44">
                  <c:v>0.49933024482323241</c:v>
                </c:pt>
                <c:pt idx="45">
                  <c:v>0.50166126704545455</c:v>
                </c:pt>
                <c:pt idx="46">
                  <c:v>0.50402357815656573</c:v>
                </c:pt>
                <c:pt idx="47">
                  <c:v>0.50641717815656573</c:v>
                </c:pt>
                <c:pt idx="48">
                  <c:v>0.50884206704545465</c:v>
                </c:pt>
                <c:pt idx="49">
                  <c:v>0.51129824482323238</c:v>
                </c:pt>
                <c:pt idx="50">
                  <c:v>0.51378571148989904</c:v>
                </c:pt>
                <c:pt idx="51">
                  <c:v>0.51630446704545463</c:v>
                </c:pt>
                <c:pt idx="52">
                  <c:v>0.51885451148989903</c:v>
                </c:pt>
                <c:pt idx="53">
                  <c:v>0.52143584482323235</c:v>
                </c:pt>
                <c:pt idx="54">
                  <c:v>0.5240484670454546</c:v>
                </c:pt>
                <c:pt idx="55">
                  <c:v>0.52669237815656578</c:v>
                </c:pt>
                <c:pt idx="56">
                  <c:v>0.52936757815656565</c:v>
                </c:pt>
                <c:pt idx="57">
                  <c:v>0.53207406704545457</c:v>
                </c:pt>
                <c:pt idx="58">
                  <c:v>0.53481184482323241</c:v>
                </c:pt>
                <c:pt idx="59">
                  <c:v>0.53758091148989906</c:v>
                </c:pt>
                <c:pt idx="60">
                  <c:v>0.54038126704545464</c:v>
                </c:pt>
                <c:pt idx="61">
                  <c:v>0.54321291148989903</c:v>
                </c:pt>
                <c:pt idx="62">
                  <c:v>0.54607584482323235</c:v>
                </c:pt>
                <c:pt idx="63">
                  <c:v>0.54897006704545459</c:v>
                </c:pt>
                <c:pt idx="64">
                  <c:v>0.55189557815656576</c:v>
                </c:pt>
                <c:pt idx="65">
                  <c:v>0.55485237815656574</c:v>
                </c:pt>
                <c:pt idx="66">
                  <c:v>0.55784046704545465</c:v>
                </c:pt>
                <c:pt idx="67">
                  <c:v>0.56085984482323237</c:v>
                </c:pt>
                <c:pt idx="68">
                  <c:v>0.56391051148989901</c:v>
                </c:pt>
                <c:pt idx="69">
                  <c:v>0.56699246704545458</c:v>
                </c:pt>
                <c:pt idx="70">
                  <c:v>0.57010571148989908</c:v>
                </c:pt>
                <c:pt idx="71">
                  <c:v>0.57325024482323239</c:v>
                </c:pt>
                <c:pt idx="72">
                  <c:v>0.57642606704545463</c:v>
                </c:pt>
                <c:pt idx="73">
                  <c:v>0.57963317815656579</c:v>
                </c:pt>
                <c:pt idx="74">
                  <c:v>0.58287157815656576</c:v>
                </c:pt>
                <c:pt idx="75">
                  <c:v>0.58614126704545455</c:v>
                </c:pt>
                <c:pt idx="76">
                  <c:v>0.58944224482323238</c:v>
                </c:pt>
                <c:pt idx="77">
                  <c:v>0.59277451148989901</c:v>
                </c:pt>
                <c:pt idx="78">
                  <c:v>0.59613806704545458</c:v>
                </c:pt>
                <c:pt idx="79">
                  <c:v>0.59953291148989907</c:v>
                </c:pt>
                <c:pt idx="80">
                  <c:v>0.60295904482323237</c:v>
                </c:pt>
                <c:pt idx="81">
                  <c:v>0.6064164670454546</c:v>
                </c:pt>
                <c:pt idx="82">
                  <c:v>0.60990517815656564</c:v>
                </c:pt>
                <c:pt idx="83">
                  <c:v>0.61342517815656561</c:v>
                </c:pt>
                <c:pt idx="84">
                  <c:v>0.61697646704545461</c:v>
                </c:pt>
                <c:pt idx="85">
                  <c:v>0.62055904482323243</c:v>
                </c:pt>
                <c:pt idx="86">
                  <c:v>0.62417291148989906</c:v>
                </c:pt>
                <c:pt idx="87">
                  <c:v>0.62781806704545473</c:v>
                </c:pt>
                <c:pt idx="88">
                  <c:v>0.6314945114898991</c:v>
                </c:pt>
                <c:pt idx="89">
                  <c:v>0.6352022448232324</c:v>
                </c:pt>
                <c:pt idx="90">
                  <c:v>0.63894126704545462</c:v>
                </c:pt>
                <c:pt idx="91">
                  <c:v>0.64271157815656577</c:v>
                </c:pt>
                <c:pt idx="92">
                  <c:v>0.64651317815656584</c:v>
                </c:pt>
                <c:pt idx="93">
                  <c:v>0.65034606704545461</c:v>
                </c:pt>
                <c:pt idx="94">
                  <c:v>0.65421024482323242</c:v>
                </c:pt>
                <c:pt idx="95">
                  <c:v>0.65810571148989905</c:v>
                </c:pt>
                <c:pt idx="96">
                  <c:v>0.6620324670454546</c:v>
                </c:pt>
                <c:pt idx="97">
                  <c:v>0.66599051148989896</c:v>
                </c:pt>
                <c:pt idx="98">
                  <c:v>0.66997984482323236</c:v>
                </c:pt>
                <c:pt idx="99">
                  <c:v>0.67400046704545458</c:v>
                </c:pt>
                <c:pt idx="100">
                  <c:v>0.67805237815656572</c:v>
                </c:pt>
                <c:pt idx="101">
                  <c:v>0.68213557815656567</c:v>
                </c:pt>
                <c:pt idx="102">
                  <c:v>0.68625006704545455</c:v>
                </c:pt>
                <c:pt idx="103">
                  <c:v>0.69039584482323246</c:v>
                </c:pt>
                <c:pt idx="104">
                  <c:v>0.69457291148989908</c:v>
                </c:pt>
                <c:pt idx="105">
                  <c:v>0.69878126704545462</c:v>
                </c:pt>
                <c:pt idx="106">
                  <c:v>0.70302091148989909</c:v>
                </c:pt>
                <c:pt idx="107">
                  <c:v>0.70729184482323249</c:v>
                </c:pt>
                <c:pt idx="108">
                  <c:v>0.71159406704545469</c:v>
                </c:pt>
                <c:pt idx="109">
                  <c:v>0.71592757815656571</c:v>
                </c:pt>
                <c:pt idx="110">
                  <c:v>0.72029237815656566</c:v>
                </c:pt>
                <c:pt idx="111">
                  <c:v>0.72468846704545475</c:v>
                </c:pt>
                <c:pt idx="112">
                  <c:v>0.72911584482323244</c:v>
                </c:pt>
                <c:pt idx="113">
                  <c:v>0.73357451148989905</c:v>
                </c:pt>
                <c:pt idx="114">
                  <c:v>0.73806446704545448</c:v>
                </c:pt>
                <c:pt idx="115">
                  <c:v>0.74258571148989905</c:v>
                </c:pt>
                <c:pt idx="116">
                  <c:v>0.74713824482323243</c:v>
                </c:pt>
                <c:pt idx="117">
                  <c:v>0.75172206704545452</c:v>
                </c:pt>
                <c:pt idx="118">
                  <c:v>0.75633717815656565</c:v>
                </c:pt>
                <c:pt idx="119">
                  <c:v>0.76098357815656559</c:v>
                </c:pt>
                <c:pt idx="120">
                  <c:v>0.76566126704545456</c:v>
                </c:pt>
                <c:pt idx="121">
                  <c:v>0.77037024482323235</c:v>
                </c:pt>
                <c:pt idx="122">
                  <c:v>0.77511051148989907</c:v>
                </c:pt>
                <c:pt idx="123">
                  <c:v>0.77988206704545449</c:v>
                </c:pt>
                <c:pt idx="124">
                  <c:v>0.78468491148989905</c:v>
                </c:pt>
                <c:pt idx="125">
                  <c:v>0.78951904482323232</c:v>
                </c:pt>
                <c:pt idx="126">
                  <c:v>0.79438446704545473</c:v>
                </c:pt>
                <c:pt idx="127">
                  <c:v>0.79928117815656563</c:v>
                </c:pt>
                <c:pt idx="128">
                  <c:v>0.80420917815656578</c:v>
                </c:pt>
                <c:pt idx="129">
                  <c:v>0.80916846704545464</c:v>
                </c:pt>
                <c:pt idx="130">
                  <c:v>0.81415904482323231</c:v>
                </c:pt>
                <c:pt idx="131">
                  <c:v>0.81918091148989902</c:v>
                </c:pt>
                <c:pt idx="132">
                  <c:v>0.82423406704545454</c:v>
                </c:pt>
                <c:pt idx="133">
                  <c:v>0.82931851148989899</c:v>
                </c:pt>
                <c:pt idx="134">
                  <c:v>0.83443424482323225</c:v>
                </c:pt>
                <c:pt idx="135">
                  <c:v>0.83958126704545477</c:v>
                </c:pt>
                <c:pt idx="136">
                  <c:v>0.84475957815656566</c:v>
                </c:pt>
                <c:pt idx="137">
                  <c:v>0.8499691781565657</c:v>
                </c:pt>
                <c:pt idx="138">
                  <c:v>0.85521006704545455</c:v>
                </c:pt>
                <c:pt idx="139">
                  <c:v>0.86048224482323232</c:v>
                </c:pt>
                <c:pt idx="140">
                  <c:v>0.8657857114898988</c:v>
                </c:pt>
                <c:pt idx="141">
                  <c:v>0.87112046704545454</c:v>
                </c:pt>
                <c:pt idx="142">
                  <c:v>0.87648651148989898</c:v>
                </c:pt>
                <c:pt idx="143">
                  <c:v>0.88188384482323245</c:v>
                </c:pt>
                <c:pt idx="144">
                  <c:v>0.88731246704545463</c:v>
                </c:pt>
                <c:pt idx="145">
                  <c:v>0.89277237815656574</c:v>
                </c:pt>
                <c:pt idx="146">
                  <c:v>0.89826357815656577</c:v>
                </c:pt>
                <c:pt idx="147">
                  <c:v>0.9037860670454545</c:v>
                </c:pt>
                <c:pt idx="148">
                  <c:v>0.90933984482323238</c:v>
                </c:pt>
                <c:pt idx="149">
                  <c:v>0.91492491148989896</c:v>
                </c:pt>
                <c:pt idx="150">
                  <c:v>0.92054126704545458</c:v>
                </c:pt>
              </c:numCache>
            </c:numRef>
          </c:yVal>
          <c:smooth val="1"/>
          <c:extLst>
            <c:ext xmlns:c16="http://schemas.microsoft.com/office/drawing/2014/chart" uri="{C3380CC4-5D6E-409C-BE32-E72D297353CC}">
              <c16:uniqueId val="{00000002-901A-4CE4-83F4-75906C9CC573}"/>
            </c:ext>
          </c:extLst>
        </c:ser>
        <c:ser>
          <c:idx val="3"/>
          <c:order val="3"/>
          <c:tx>
            <c:v>RCS</c:v>
          </c:tx>
          <c:spPr>
            <a:ln>
              <a:solidFill>
                <a:schemeClr val="accent5">
                  <a:lumMod val="75000"/>
                </a:schemeClr>
              </a:solidFill>
              <a:prstDash val="lgDashDotDot"/>
            </a:ln>
          </c:spPr>
          <c:marker>
            <c:symbol val="none"/>
          </c:marker>
          <c:xVal>
            <c:numRef>
              <c:f>Eff_vs_IOUT!$S$7:$S$157</c:f>
              <c:numCache>
                <c:formatCode>General</c:formatCode>
                <c:ptCount val="151"/>
                <c:pt idx="0">
                  <c:v>0</c:v>
                </c:pt>
                <c:pt idx="1">
                  <c:v>1.3333333333333334E-2</c:v>
                </c:pt>
                <c:pt idx="2">
                  <c:v>2.6666666666666668E-2</c:v>
                </c:pt>
                <c:pt idx="3">
                  <c:v>0.04</c:v>
                </c:pt>
                <c:pt idx="4">
                  <c:v>5.3333333333333337E-2</c:v>
                </c:pt>
                <c:pt idx="5">
                  <c:v>6.6666666666666666E-2</c:v>
                </c:pt>
                <c:pt idx="6">
                  <c:v>0.08</c:v>
                </c:pt>
                <c:pt idx="7">
                  <c:v>9.3333333333333338E-2</c:v>
                </c:pt>
                <c:pt idx="8">
                  <c:v>0.10666666666666667</c:v>
                </c:pt>
                <c:pt idx="9">
                  <c:v>0.12000000000000001</c:v>
                </c:pt>
                <c:pt idx="10">
                  <c:v>0.13333333333333333</c:v>
                </c:pt>
                <c:pt idx="11">
                  <c:v>0.14666666666666667</c:v>
                </c:pt>
                <c:pt idx="12">
                  <c:v>0.16</c:v>
                </c:pt>
                <c:pt idx="13">
                  <c:v>0.17333333333333334</c:v>
                </c:pt>
                <c:pt idx="14">
                  <c:v>0.18666666666666668</c:v>
                </c:pt>
                <c:pt idx="15">
                  <c:v>0.2</c:v>
                </c:pt>
                <c:pt idx="16">
                  <c:v>0.21333333333333335</c:v>
                </c:pt>
                <c:pt idx="17">
                  <c:v>0.22666666666666668</c:v>
                </c:pt>
                <c:pt idx="18">
                  <c:v>0.24000000000000002</c:v>
                </c:pt>
                <c:pt idx="19">
                  <c:v>0.25333333333333335</c:v>
                </c:pt>
                <c:pt idx="20">
                  <c:v>0.26666666666666666</c:v>
                </c:pt>
                <c:pt idx="21">
                  <c:v>0.28000000000000003</c:v>
                </c:pt>
                <c:pt idx="22">
                  <c:v>0.29333333333333333</c:v>
                </c:pt>
                <c:pt idx="23">
                  <c:v>0.3066666666666667</c:v>
                </c:pt>
                <c:pt idx="24">
                  <c:v>0.32</c:v>
                </c:pt>
                <c:pt idx="25">
                  <c:v>0.33333333333333337</c:v>
                </c:pt>
                <c:pt idx="26">
                  <c:v>0.34666666666666668</c:v>
                </c:pt>
                <c:pt idx="27">
                  <c:v>0.36000000000000004</c:v>
                </c:pt>
                <c:pt idx="28">
                  <c:v>0.37333333333333335</c:v>
                </c:pt>
                <c:pt idx="29">
                  <c:v>0.38666666666666671</c:v>
                </c:pt>
                <c:pt idx="30">
                  <c:v>0.4</c:v>
                </c:pt>
                <c:pt idx="31">
                  <c:v>0.41333333333333339</c:v>
                </c:pt>
                <c:pt idx="32">
                  <c:v>0.42666666666666669</c:v>
                </c:pt>
                <c:pt idx="33">
                  <c:v>0.44</c:v>
                </c:pt>
                <c:pt idx="34">
                  <c:v>0.45333333333333337</c:v>
                </c:pt>
                <c:pt idx="35">
                  <c:v>0.46666666666666667</c:v>
                </c:pt>
                <c:pt idx="36">
                  <c:v>0.48000000000000004</c:v>
                </c:pt>
                <c:pt idx="37">
                  <c:v>0.49333333333333335</c:v>
                </c:pt>
                <c:pt idx="38">
                  <c:v>0.50666666666666671</c:v>
                </c:pt>
                <c:pt idx="39">
                  <c:v>0.52</c:v>
                </c:pt>
                <c:pt idx="40">
                  <c:v>0.53333333333333333</c:v>
                </c:pt>
                <c:pt idx="41">
                  <c:v>0.54666666666666675</c:v>
                </c:pt>
                <c:pt idx="42">
                  <c:v>0.56000000000000005</c:v>
                </c:pt>
                <c:pt idx="43">
                  <c:v>0.57333333333333336</c:v>
                </c:pt>
                <c:pt idx="44">
                  <c:v>0.58666666666666667</c:v>
                </c:pt>
                <c:pt idx="45">
                  <c:v>0.60000000000000009</c:v>
                </c:pt>
                <c:pt idx="46">
                  <c:v>0.6133333333333334</c:v>
                </c:pt>
                <c:pt idx="47">
                  <c:v>0.62666666666666671</c:v>
                </c:pt>
                <c:pt idx="48">
                  <c:v>0.64</c:v>
                </c:pt>
                <c:pt idx="49">
                  <c:v>0.65333333333333332</c:v>
                </c:pt>
                <c:pt idx="50">
                  <c:v>0.66666666666666674</c:v>
                </c:pt>
                <c:pt idx="51">
                  <c:v>0.68</c:v>
                </c:pt>
                <c:pt idx="52">
                  <c:v>0.69333333333333336</c:v>
                </c:pt>
                <c:pt idx="53">
                  <c:v>0.70666666666666667</c:v>
                </c:pt>
                <c:pt idx="54">
                  <c:v>0.72000000000000008</c:v>
                </c:pt>
                <c:pt idx="55">
                  <c:v>0.73333333333333339</c:v>
                </c:pt>
                <c:pt idx="56">
                  <c:v>0.7466666666666667</c:v>
                </c:pt>
                <c:pt idx="57">
                  <c:v>0.76</c:v>
                </c:pt>
                <c:pt idx="58">
                  <c:v>0.77333333333333343</c:v>
                </c:pt>
                <c:pt idx="59">
                  <c:v>0.78666666666666674</c:v>
                </c:pt>
                <c:pt idx="60">
                  <c:v>0.8</c:v>
                </c:pt>
                <c:pt idx="61">
                  <c:v>0.81333333333333335</c:v>
                </c:pt>
                <c:pt idx="62">
                  <c:v>0.82666666666666677</c:v>
                </c:pt>
                <c:pt idx="63">
                  <c:v>0.84000000000000008</c:v>
                </c:pt>
                <c:pt idx="64">
                  <c:v>0.85333333333333339</c:v>
                </c:pt>
                <c:pt idx="65">
                  <c:v>0.8666666666666667</c:v>
                </c:pt>
                <c:pt idx="66">
                  <c:v>0.88</c:v>
                </c:pt>
                <c:pt idx="67">
                  <c:v>0.89333333333333342</c:v>
                </c:pt>
                <c:pt idx="68">
                  <c:v>0.90666666666666673</c:v>
                </c:pt>
                <c:pt idx="69">
                  <c:v>0.92</c:v>
                </c:pt>
                <c:pt idx="70">
                  <c:v>0.93333333333333335</c:v>
                </c:pt>
                <c:pt idx="71">
                  <c:v>0.94666666666666677</c:v>
                </c:pt>
                <c:pt idx="72">
                  <c:v>0.96000000000000008</c:v>
                </c:pt>
                <c:pt idx="73">
                  <c:v>0.97333333333333338</c:v>
                </c:pt>
                <c:pt idx="74">
                  <c:v>0.98666666666666669</c:v>
                </c:pt>
                <c:pt idx="75">
                  <c:v>1</c:v>
                </c:pt>
                <c:pt idx="76">
                  <c:v>1.0133333333333334</c:v>
                </c:pt>
                <c:pt idx="77">
                  <c:v>1.0266666666666668</c:v>
                </c:pt>
                <c:pt idx="78">
                  <c:v>1.04</c:v>
                </c:pt>
                <c:pt idx="79">
                  <c:v>1.0533333333333335</c:v>
                </c:pt>
                <c:pt idx="80">
                  <c:v>1.0666666666666667</c:v>
                </c:pt>
                <c:pt idx="81">
                  <c:v>1.08</c:v>
                </c:pt>
                <c:pt idx="82">
                  <c:v>1.0933333333333335</c:v>
                </c:pt>
                <c:pt idx="83">
                  <c:v>1.1066666666666667</c:v>
                </c:pt>
                <c:pt idx="84">
                  <c:v>1.1200000000000001</c:v>
                </c:pt>
                <c:pt idx="85">
                  <c:v>1.1333333333333333</c:v>
                </c:pt>
                <c:pt idx="86">
                  <c:v>1.1466666666666667</c:v>
                </c:pt>
                <c:pt idx="87">
                  <c:v>1.1600000000000001</c:v>
                </c:pt>
                <c:pt idx="88">
                  <c:v>1.1733333333333333</c:v>
                </c:pt>
                <c:pt idx="89">
                  <c:v>1.1866666666666668</c:v>
                </c:pt>
                <c:pt idx="90">
                  <c:v>1.2000000000000002</c:v>
                </c:pt>
                <c:pt idx="91">
                  <c:v>1.2133333333333334</c:v>
                </c:pt>
                <c:pt idx="92">
                  <c:v>1.2266666666666668</c:v>
                </c:pt>
                <c:pt idx="93">
                  <c:v>1.24</c:v>
                </c:pt>
                <c:pt idx="94">
                  <c:v>1.2533333333333334</c:v>
                </c:pt>
                <c:pt idx="95">
                  <c:v>1.2666666666666668</c:v>
                </c:pt>
                <c:pt idx="96">
                  <c:v>1.28</c:v>
                </c:pt>
                <c:pt idx="97">
                  <c:v>1.2933333333333334</c:v>
                </c:pt>
                <c:pt idx="98">
                  <c:v>1.3066666666666666</c:v>
                </c:pt>
                <c:pt idx="99">
                  <c:v>1.32</c:v>
                </c:pt>
                <c:pt idx="100">
                  <c:v>1.3333333333333335</c:v>
                </c:pt>
                <c:pt idx="101">
                  <c:v>1.3466666666666667</c:v>
                </c:pt>
                <c:pt idx="102">
                  <c:v>1.36</c:v>
                </c:pt>
                <c:pt idx="103">
                  <c:v>1.3733333333333335</c:v>
                </c:pt>
                <c:pt idx="104">
                  <c:v>1.3866666666666667</c:v>
                </c:pt>
                <c:pt idx="105">
                  <c:v>1.4000000000000001</c:v>
                </c:pt>
                <c:pt idx="106">
                  <c:v>1.4133333333333333</c:v>
                </c:pt>
                <c:pt idx="107">
                  <c:v>1.4266666666666667</c:v>
                </c:pt>
                <c:pt idx="108">
                  <c:v>1.4400000000000002</c:v>
                </c:pt>
                <c:pt idx="109">
                  <c:v>1.4533333333333334</c:v>
                </c:pt>
                <c:pt idx="110">
                  <c:v>1.4666666666666668</c:v>
                </c:pt>
                <c:pt idx="111">
                  <c:v>1.4800000000000002</c:v>
                </c:pt>
                <c:pt idx="112">
                  <c:v>1.4933333333333334</c:v>
                </c:pt>
                <c:pt idx="113">
                  <c:v>1.5066666666666668</c:v>
                </c:pt>
                <c:pt idx="114">
                  <c:v>1.52</c:v>
                </c:pt>
                <c:pt idx="115">
                  <c:v>1.5333333333333334</c:v>
                </c:pt>
                <c:pt idx="116">
                  <c:v>1.5466666666666669</c:v>
                </c:pt>
                <c:pt idx="117">
                  <c:v>1.56</c:v>
                </c:pt>
                <c:pt idx="118">
                  <c:v>1.5733333333333335</c:v>
                </c:pt>
                <c:pt idx="119">
                  <c:v>1.5866666666666667</c:v>
                </c:pt>
                <c:pt idx="120">
                  <c:v>1.6</c:v>
                </c:pt>
                <c:pt idx="121">
                  <c:v>1.6133333333333335</c:v>
                </c:pt>
                <c:pt idx="122">
                  <c:v>1.6266666666666667</c:v>
                </c:pt>
                <c:pt idx="123">
                  <c:v>1.6400000000000001</c:v>
                </c:pt>
                <c:pt idx="124">
                  <c:v>1.6533333333333335</c:v>
                </c:pt>
                <c:pt idx="125">
                  <c:v>1.6666666666666667</c:v>
                </c:pt>
                <c:pt idx="126">
                  <c:v>1.6800000000000002</c:v>
                </c:pt>
                <c:pt idx="127">
                  <c:v>1.6933333333333334</c:v>
                </c:pt>
                <c:pt idx="128">
                  <c:v>1.7066666666666668</c:v>
                </c:pt>
                <c:pt idx="129">
                  <c:v>1.7200000000000002</c:v>
                </c:pt>
                <c:pt idx="130">
                  <c:v>1.7333333333333334</c:v>
                </c:pt>
                <c:pt idx="131">
                  <c:v>1.7466666666666668</c:v>
                </c:pt>
                <c:pt idx="132">
                  <c:v>1.76</c:v>
                </c:pt>
                <c:pt idx="133">
                  <c:v>1.7733333333333334</c:v>
                </c:pt>
                <c:pt idx="134">
                  <c:v>1.7866666666666668</c:v>
                </c:pt>
                <c:pt idx="135">
                  <c:v>1.8</c:v>
                </c:pt>
                <c:pt idx="136">
                  <c:v>1.8133333333333335</c:v>
                </c:pt>
                <c:pt idx="137">
                  <c:v>1.8266666666666669</c:v>
                </c:pt>
                <c:pt idx="138">
                  <c:v>1.84</c:v>
                </c:pt>
                <c:pt idx="139">
                  <c:v>1.8533333333333335</c:v>
                </c:pt>
                <c:pt idx="140">
                  <c:v>1.8666666666666667</c:v>
                </c:pt>
                <c:pt idx="141">
                  <c:v>1.8800000000000001</c:v>
                </c:pt>
                <c:pt idx="142">
                  <c:v>1.8933333333333335</c:v>
                </c:pt>
                <c:pt idx="143">
                  <c:v>1.9066666666666667</c:v>
                </c:pt>
                <c:pt idx="144">
                  <c:v>1.9200000000000002</c:v>
                </c:pt>
                <c:pt idx="145">
                  <c:v>1.9333333333333333</c:v>
                </c:pt>
                <c:pt idx="146">
                  <c:v>1.9466666666666668</c:v>
                </c:pt>
                <c:pt idx="147">
                  <c:v>1.9600000000000002</c:v>
                </c:pt>
                <c:pt idx="148">
                  <c:v>1.9733333333333334</c:v>
                </c:pt>
                <c:pt idx="149">
                  <c:v>1.9866666666666668</c:v>
                </c:pt>
                <c:pt idx="150">
                  <c:v>2</c:v>
                </c:pt>
              </c:numCache>
            </c:numRef>
          </c:xVal>
          <c:yVal>
            <c:numRef>
              <c:f>Eff_vs_IOUT!$AP$7:$AP$157</c:f>
              <c:numCache>
                <c:formatCode>General</c:formatCode>
                <c:ptCount val="151"/>
                <c:pt idx="0">
                  <c:v>0</c:v>
                </c:pt>
                <c:pt idx="1">
                  <c:v>8.4752230155163771E-5</c:v>
                </c:pt>
                <c:pt idx="2">
                  <c:v>2.3971550665359716E-4</c:v>
                </c:pt>
                <c:pt idx="3">
                  <c:v>4.403855060505443E-4</c:v>
                </c:pt>
                <c:pt idx="4">
                  <c:v>6.8995035583103797E-4</c:v>
                </c:pt>
                <c:pt idx="5">
                  <c:v>1.0099503558310379E-3</c:v>
                </c:pt>
                <c:pt idx="6">
                  <c:v>1.4010614669421493E-3</c:v>
                </c:pt>
                <c:pt idx="7">
                  <c:v>1.8632836891643711E-3</c:v>
                </c:pt>
                <c:pt idx="8">
                  <c:v>2.3966170224977053E-3</c:v>
                </c:pt>
                <c:pt idx="9">
                  <c:v>3.0010614669421501E-3</c:v>
                </c:pt>
                <c:pt idx="10">
                  <c:v>3.6766170224977052E-3</c:v>
                </c:pt>
                <c:pt idx="11">
                  <c:v>4.4232836891643706E-3</c:v>
                </c:pt>
                <c:pt idx="12">
                  <c:v>5.2410614669421499E-3</c:v>
                </c:pt>
                <c:pt idx="13">
                  <c:v>6.1299503558310403E-3</c:v>
                </c:pt>
                <c:pt idx="14">
                  <c:v>7.0899503558310385E-3</c:v>
                </c:pt>
                <c:pt idx="15">
                  <c:v>8.121061466942147E-3</c:v>
                </c:pt>
                <c:pt idx="16">
                  <c:v>9.2232836891643754E-3</c:v>
                </c:pt>
                <c:pt idx="17">
                  <c:v>1.0396617022497702E-2</c:v>
                </c:pt>
                <c:pt idx="18">
                  <c:v>1.1641061466942149E-2</c:v>
                </c:pt>
                <c:pt idx="19">
                  <c:v>1.2956617022497709E-2</c:v>
                </c:pt>
                <c:pt idx="20">
                  <c:v>1.4343283689164371E-2</c:v>
                </c:pt>
                <c:pt idx="21">
                  <c:v>1.5801061466942153E-2</c:v>
                </c:pt>
                <c:pt idx="22">
                  <c:v>1.7329950355831035E-2</c:v>
                </c:pt>
                <c:pt idx="23">
                  <c:v>1.8929950355831046E-2</c:v>
                </c:pt>
                <c:pt idx="24">
                  <c:v>2.0601061466942152E-2</c:v>
                </c:pt>
                <c:pt idx="25">
                  <c:v>2.2343283689164373E-2</c:v>
                </c:pt>
                <c:pt idx="26">
                  <c:v>2.415661702249771E-2</c:v>
                </c:pt>
                <c:pt idx="27">
                  <c:v>2.6041061466942156E-2</c:v>
                </c:pt>
                <c:pt idx="28">
                  <c:v>2.799661702249771E-2</c:v>
                </c:pt>
                <c:pt idx="29">
                  <c:v>3.0023283689164373E-2</c:v>
                </c:pt>
                <c:pt idx="30">
                  <c:v>3.2121061466942158E-2</c:v>
                </c:pt>
                <c:pt idx="31">
                  <c:v>3.4289950355831052E-2</c:v>
                </c:pt>
                <c:pt idx="32">
                  <c:v>3.6529950355831058E-2</c:v>
                </c:pt>
                <c:pt idx="33">
                  <c:v>3.8841061466942162E-2</c:v>
                </c:pt>
                <c:pt idx="34">
                  <c:v>4.1223283689164364E-2</c:v>
                </c:pt>
                <c:pt idx="35">
                  <c:v>4.3676617022497685E-2</c:v>
                </c:pt>
                <c:pt idx="36">
                  <c:v>4.6201061466942174E-2</c:v>
                </c:pt>
                <c:pt idx="37">
                  <c:v>4.8796617022497719E-2</c:v>
                </c:pt>
                <c:pt idx="38">
                  <c:v>5.1463283689164377E-2</c:v>
                </c:pt>
                <c:pt idx="39">
                  <c:v>5.4201061466942153E-2</c:v>
                </c:pt>
                <c:pt idx="40">
                  <c:v>5.7009950355831049E-2</c:v>
                </c:pt>
                <c:pt idx="41">
                  <c:v>5.9889950355831036E-2</c:v>
                </c:pt>
                <c:pt idx="42">
                  <c:v>6.2841061466942169E-2</c:v>
                </c:pt>
                <c:pt idx="43">
                  <c:v>6.5863283689164373E-2</c:v>
                </c:pt>
                <c:pt idx="44">
                  <c:v>6.8956617022497682E-2</c:v>
                </c:pt>
                <c:pt idx="45">
                  <c:v>7.212106146694218E-2</c:v>
                </c:pt>
                <c:pt idx="46">
                  <c:v>7.5356617022497741E-2</c:v>
                </c:pt>
                <c:pt idx="47">
                  <c:v>7.8663283689164407E-2</c:v>
                </c:pt>
                <c:pt idx="48">
                  <c:v>8.2041061466942164E-2</c:v>
                </c:pt>
                <c:pt idx="49">
                  <c:v>8.548995035583104E-2</c:v>
                </c:pt>
                <c:pt idx="50">
                  <c:v>8.9009950355831036E-2</c:v>
                </c:pt>
                <c:pt idx="51">
                  <c:v>9.260106146694215E-2</c:v>
                </c:pt>
                <c:pt idx="52">
                  <c:v>9.6263283689164411E-2</c:v>
                </c:pt>
                <c:pt idx="53">
                  <c:v>9.999661702249775E-2</c:v>
                </c:pt>
                <c:pt idx="54">
                  <c:v>0.10380106146694219</c:v>
                </c:pt>
                <c:pt idx="55">
                  <c:v>0.10767661702249774</c:v>
                </c:pt>
                <c:pt idx="56">
                  <c:v>0.11162328368916438</c:v>
                </c:pt>
                <c:pt idx="57">
                  <c:v>0.11564106146694217</c:v>
                </c:pt>
                <c:pt idx="58">
                  <c:v>0.11972995035583106</c:v>
                </c:pt>
                <c:pt idx="59">
                  <c:v>0.12388995035583106</c:v>
                </c:pt>
                <c:pt idx="60">
                  <c:v>0.1281210614669421</c:v>
                </c:pt>
                <c:pt idx="61">
                  <c:v>0.13242328368916434</c:v>
                </c:pt>
                <c:pt idx="62">
                  <c:v>0.13679661702249768</c:v>
                </c:pt>
                <c:pt idx="63">
                  <c:v>0.14124106146694218</c:v>
                </c:pt>
                <c:pt idx="64">
                  <c:v>0.14575661702249776</c:v>
                </c:pt>
                <c:pt idx="65">
                  <c:v>0.15034328368916441</c:v>
                </c:pt>
                <c:pt idx="66">
                  <c:v>0.1550010614669422</c:v>
                </c:pt>
                <c:pt idx="67">
                  <c:v>0.15972995035583101</c:v>
                </c:pt>
                <c:pt idx="68">
                  <c:v>0.16452995035583101</c:v>
                </c:pt>
                <c:pt idx="69">
                  <c:v>0.16940106146694212</c:v>
                </c:pt>
                <c:pt idx="70">
                  <c:v>0.1743432836891643</c:v>
                </c:pt>
                <c:pt idx="71">
                  <c:v>0.17935661702249769</c:v>
                </c:pt>
                <c:pt idx="72">
                  <c:v>0.18444106146694217</c:v>
                </c:pt>
                <c:pt idx="73">
                  <c:v>0.18959661702249775</c:v>
                </c:pt>
                <c:pt idx="74">
                  <c:v>0.19482328368916438</c:v>
                </c:pt>
                <c:pt idx="75">
                  <c:v>0.20012106146694214</c:v>
                </c:pt>
                <c:pt idx="76">
                  <c:v>0.20548995035583109</c:v>
                </c:pt>
                <c:pt idx="77">
                  <c:v>0.21092995035583112</c:v>
                </c:pt>
                <c:pt idx="78">
                  <c:v>0.21644106146694214</c:v>
                </c:pt>
                <c:pt idx="79">
                  <c:v>0.22202328368916446</c:v>
                </c:pt>
                <c:pt idx="80">
                  <c:v>0.22767661702249775</c:v>
                </c:pt>
                <c:pt idx="81">
                  <c:v>0.2334010614669422</c:v>
                </c:pt>
                <c:pt idx="82">
                  <c:v>0.2391966170224977</c:v>
                </c:pt>
                <c:pt idx="83">
                  <c:v>0.24506328368916433</c:v>
                </c:pt>
                <c:pt idx="84">
                  <c:v>0.25100106146694218</c:v>
                </c:pt>
                <c:pt idx="85">
                  <c:v>0.25700995035583107</c:v>
                </c:pt>
                <c:pt idx="86">
                  <c:v>0.26308995035583105</c:v>
                </c:pt>
                <c:pt idx="87">
                  <c:v>0.26924106146694221</c:v>
                </c:pt>
                <c:pt idx="88">
                  <c:v>0.27546328368916434</c:v>
                </c:pt>
                <c:pt idx="89">
                  <c:v>0.28175661702249771</c:v>
                </c:pt>
                <c:pt idx="90">
                  <c:v>0.28812106146694227</c:v>
                </c:pt>
                <c:pt idx="91">
                  <c:v>0.29455661702249775</c:v>
                </c:pt>
                <c:pt idx="92">
                  <c:v>0.30106328368916452</c:v>
                </c:pt>
                <c:pt idx="93">
                  <c:v>0.3076410614669422</c:v>
                </c:pt>
                <c:pt idx="94">
                  <c:v>0.31428995035583107</c:v>
                </c:pt>
                <c:pt idx="95">
                  <c:v>0.32100995035583113</c:v>
                </c:pt>
                <c:pt idx="96">
                  <c:v>0.32780106146694227</c:v>
                </c:pt>
                <c:pt idx="97">
                  <c:v>0.33466328368916437</c:v>
                </c:pt>
                <c:pt idx="98">
                  <c:v>0.34159661702249772</c:v>
                </c:pt>
                <c:pt idx="99">
                  <c:v>0.34860106146694209</c:v>
                </c:pt>
                <c:pt idx="100">
                  <c:v>0.35567661702249775</c:v>
                </c:pt>
                <c:pt idx="101">
                  <c:v>0.36282328368916428</c:v>
                </c:pt>
                <c:pt idx="102">
                  <c:v>0.3700410614669421</c:v>
                </c:pt>
                <c:pt idx="103">
                  <c:v>0.37732995035583106</c:v>
                </c:pt>
                <c:pt idx="104">
                  <c:v>0.3846899503558312</c:v>
                </c:pt>
                <c:pt idx="105">
                  <c:v>0.3921210614669422</c:v>
                </c:pt>
                <c:pt idx="106">
                  <c:v>0.39962328368916444</c:v>
                </c:pt>
                <c:pt idx="107">
                  <c:v>0.40719661702249782</c:v>
                </c:pt>
                <c:pt idx="108">
                  <c:v>0.41484106146694227</c:v>
                </c:pt>
                <c:pt idx="109">
                  <c:v>0.42255661702249786</c:v>
                </c:pt>
                <c:pt idx="110">
                  <c:v>0.43034328368916441</c:v>
                </c:pt>
                <c:pt idx="111">
                  <c:v>0.43820106146694232</c:v>
                </c:pt>
                <c:pt idx="112">
                  <c:v>0.44612995035583108</c:v>
                </c:pt>
                <c:pt idx="113">
                  <c:v>0.45412995035583109</c:v>
                </c:pt>
                <c:pt idx="114">
                  <c:v>0.46220106146694212</c:v>
                </c:pt>
                <c:pt idx="115">
                  <c:v>0.47034328368916445</c:v>
                </c:pt>
                <c:pt idx="116">
                  <c:v>0.4785566170224978</c:v>
                </c:pt>
                <c:pt idx="117">
                  <c:v>0.48684106146694206</c:v>
                </c:pt>
                <c:pt idx="118">
                  <c:v>0.49519661702249773</c:v>
                </c:pt>
                <c:pt idx="119">
                  <c:v>0.50362328368916431</c:v>
                </c:pt>
                <c:pt idx="120">
                  <c:v>0.51212106146694203</c:v>
                </c:pt>
                <c:pt idx="121">
                  <c:v>0.52068995035583088</c:v>
                </c:pt>
                <c:pt idx="122">
                  <c:v>0.52932995035583108</c:v>
                </c:pt>
                <c:pt idx="123">
                  <c:v>0.53804106146694208</c:v>
                </c:pt>
                <c:pt idx="124">
                  <c:v>0.54682328368916444</c:v>
                </c:pt>
                <c:pt idx="125">
                  <c:v>0.55567661702249782</c:v>
                </c:pt>
                <c:pt idx="126">
                  <c:v>0.56460106146694244</c:v>
                </c:pt>
                <c:pt idx="127">
                  <c:v>0.57359661702249776</c:v>
                </c:pt>
                <c:pt idx="128">
                  <c:v>0.58266328368916476</c:v>
                </c:pt>
                <c:pt idx="129">
                  <c:v>0.59180106146694234</c:v>
                </c:pt>
                <c:pt idx="130">
                  <c:v>0.60100995035583105</c:v>
                </c:pt>
                <c:pt idx="131">
                  <c:v>0.610289950355831</c:v>
                </c:pt>
                <c:pt idx="132">
                  <c:v>0.6196410614669422</c:v>
                </c:pt>
                <c:pt idx="133">
                  <c:v>0.62906328368916442</c:v>
                </c:pt>
                <c:pt idx="134">
                  <c:v>0.63855661702249777</c:v>
                </c:pt>
                <c:pt idx="135">
                  <c:v>0.64812106146694215</c:v>
                </c:pt>
                <c:pt idx="136">
                  <c:v>0.65775661702249777</c:v>
                </c:pt>
                <c:pt idx="137">
                  <c:v>0.66746328368916441</c:v>
                </c:pt>
                <c:pt idx="138">
                  <c:v>0.67724106146694196</c:v>
                </c:pt>
                <c:pt idx="139">
                  <c:v>0.68708995035583109</c:v>
                </c:pt>
                <c:pt idx="140">
                  <c:v>0.69700995035583069</c:v>
                </c:pt>
                <c:pt idx="141">
                  <c:v>0.70700106146694242</c:v>
                </c:pt>
                <c:pt idx="142">
                  <c:v>0.71706328368916439</c:v>
                </c:pt>
                <c:pt idx="143">
                  <c:v>0.72719661702249783</c:v>
                </c:pt>
                <c:pt idx="144">
                  <c:v>0.7374010614669424</c:v>
                </c:pt>
                <c:pt idx="145">
                  <c:v>0.74767661702249799</c:v>
                </c:pt>
                <c:pt idx="146">
                  <c:v>0.7580232836891645</c:v>
                </c:pt>
                <c:pt idx="147">
                  <c:v>0.76844106146694235</c:v>
                </c:pt>
                <c:pt idx="148">
                  <c:v>0.77892995035583112</c:v>
                </c:pt>
                <c:pt idx="149">
                  <c:v>0.78948995035583114</c:v>
                </c:pt>
                <c:pt idx="150">
                  <c:v>0.80012106146694206</c:v>
                </c:pt>
              </c:numCache>
            </c:numRef>
          </c:yVal>
          <c:smooth val="1"/>
          <c:extLst>
            <c:ext xmlns:c16="http://schemas.microsoft.com/office/drawing/2014/chart" uri="{C3380CC4-5D6E-409C-BE32-E72D297353CC}">
              <c16:uniqueId val="{00000003-901A-4CE4-83F4-75906C9CC573}"/>
            </c:ext>
          </c:extLst>
        </c:ser>
        <c:dLbls>
          <c:showLegendKey val="0"/>
          <c:showVal val="0"/>
          <c:showCatName val="0"/>
          <c:showSerName val="0"/>
          <c:showPercent val="0"/>
          <c:showBubbleSize val="0"/>
        </c:dLbls>
        <c:axId val="361467264"/>
        <c:axId val="361465344"/>
      </c:scatterChart>
      <c:valAx>
        <c:axId val="361445248"/>
        <c:scaling>
          <c:orientation val="minMax"/>
        </c:scaling>
        <c:delete val="0"/>
        <c:axPos val="b"/>
        <c:majorGridlines/>
        <c:numFmt formatCode="General" sourceLinked="1"/>
        <c:majorTickMark val="out"/>
        <c:minorTickMark val="none"/>
        <c:tickLblPos val="nextTo"/>
        <c:crossAx val="361446784"/>
        <c:crosses val="autoZero"/>
        <c:crossBetween val="midCat"/>
      </c:valAx>
      <c:valAx>
        <c:axId val="361446784"/>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361445248"/>
        <c:crosses val="autoZero"/>
        <c:crossBetween val="midCat"/>
      </c:valAx>
      <c:valAx>
        <c:axId val="361465344"/>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361467264"/>
        <c:crosses val="max"/>
        <c:crossBetween val="midCat"/>
      </c:valAx>
      <c:valAx>
        <c:axId val="361467264"/>
        <c:scaling>
          <c:orientation val="minMax"/>
        </c:scaling>
        <c:delete val="1"/>
        <c:axPos val="b"/>
        <c:title>
          <c:tx>
            <c:rich>
              <a:bodyPr/>
              <a:lstStyle/>
              <a:p>
                <a:pPr>
                  <a:defRPr/>
                </a:pPr>
                <a:r>
                  <a:rPr lang="en-US"/>
                  <a:t>Loac</a:t>
                </a:r>
                <a:r>
                  <a:rPr lang="en-US" baseline="0"/>
                  <a:t> Current (A)</a:t>
                </a:r>
                <a:endParaRPr lang="en-US"/>
              </a:p>
            </c:rich>
          </c:tx>
          <c:overlay val="0"/>
        </c:title>
        <c:numFmt formatCode="General" sourceLinked="1"/>
        <c:majorTickMark val="out"/>
        <c:minorTickMark val="none"/>
        <c:tickLblPos val="nextTo"/>
        <c:crossAx val="361465344"/>
        <c:crosses val="autoZero"/>
        <c:crossBetween val="midCat"/>
      </c:valAx>
    </c:plotArea>
    <c:legend>
      <c:legendPos val="r"/>
      <c:layout>
        <c:manualLayout>
          <c:xMode val="edge"/>
          <c:yMode val="edge"/>
          <c:x val="0.51894403926190358"/>
          <c:y val="6.4862204724409449E-3"/>
          <c:w val="0.39609572935704079"/>
          <c:h val="0.12183653099700564"/>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CCM Plant Transfer</a:t>
            </a:r>
            <a:r>
              <a:rPr lang="en-US" baseline="0"/>
              <a:t> Function</a:t>
            </a:r>
            <a:endParaRPr lang="en-US"/>
          </a:p>
        </c:rich>
      </c:tx>
      <c:overlay val="0"/>
    </c:title>
    <c:autoTitleDeleted val="0"/>
    <c:plotArea>
      <c:layout/>
      <c:scatterChart>
        <c:scatterStyle val="smoothMarker"/>
        <c:varyColors val="0"/>
        <c:ser>
          <c:idx val="0"/>
          <c:order val="0"/>
          <c:tx>
            <c:v>Gain(dB)</c:v>
          </c:tx>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Loop_Modeling!$AD$19:$AD$560</c:f>
              <c:numCache>
                <c:formatCode>0.000</c:formatCode>
                <c:ptCount val="542"/>
                <c:pt idx="0">
                  <c:v>34.484158097785624</c:v>
                </c:pt>
                <c:pt idx="1">
                  <c:v>34.444190734535397</c:v>
                </c:pt>
                <c:pt idx="2">
                  <c:v>34.402730324171614</c:v>
                </c:pt>
                <c:pt idx="3">
                  <c:v>34.359736079406908</c:v>
                </c:pt>
                <c:pt idx="4">
                  <c:v>34.315167211535346</c:v>
                </c:pt>
                <c:pt idx="5">
                  <c:v>34.268983019108504</c:v>
                </c:pt>
                <c:pt idx="6">
                  <c:v>34.221142981000149</c:v>
                </c:pt>
                <c:pt idx="7">
                  <c:v>34.171606853601503</c:v>
                </c:pt>
                <c:pt idx="8">
                  <c:v>34.120334771837385</c:v>
                </c:pt>
                <c:pt idx="9">
                  <c:v>34.067287353639848</c:v>
                </c:pt>
                <c:pt idx="10">
                  <c:v>34.012425807463977</c:v>
                </c:pt>
                <c:pt idx="11">
                  <c:v>33.955712042377115</c:v>
                </c:pt>
                <c:pt idx="12">
                  <c:v>33.897108780202061</c:v>
                </c:pt>
                <c:pt idx="13">
                  <c:v>33.836579669145785</c:v>
                </c:pt>
                <c:pt idx="14">
                  <c:v>33.774089398299367</c:v>
                </c:pt>
                <c:pt idx="15">
                  <c:v>33.709603812352967</c:v>
                </c:pt>
                <c:pt idx="16">
                  <c:v>33.643090025832564</c:v>
                </c:pt>
                <c:pt idx="17">
                  <c:v>33.574516536134411</c:v>
                </c:pt>
                <c:pt idx="18">
                  <c:v>33.503853334608131</c:v>
                </c:pt>
                <c:pt idx="19">
                  <c:v>33.431072014922506</c:v>
                </c:pt>
                <c:pt idx="20">
                  <c:v>33.356145877939127</c:v>
                </c:pt>
                <c:pt idx="21">
                  <c:v>33.279050032318253</c:v>
                </c:pt>
                <c:pt idx="22">
                  <c:v>33.199761490090836</c:v>
                </c:pt>
                <c:pt idx="23">
                  <c:v>33.118259256447779</c:v>
                </c:pt>
                <c:pt idx="24">
                  <c:v>33.034524413026908</c:v>
                </c:pt>
                <c:pt idx="25">
                  <c:v>32.948540194013709</c:v>
                </c:pt>
                <c:pt idx="26">
                  <c:v>32.860292054420562</c:v>
                </c:pt>
                <c:pt idx="27">
                  <c:v>32.769767729963021</c:v>
                </c:pt>
                <c:pt idx="28">
                  <c:v>32.676957288017633</c:v>
                </c:pt>
                <c:pt idx="29">
                  <c:v>32.58185316921508</c:v>
                </c:pt>
                <c:pt idx="30">
                  <c:v>32.484450219303163</c:v>
                </c:pt>
                <c:pt idx="31">
                  <c:v>32.384745710995354</c:v>
                </c:pt>
                <c:pt idx="32">
                  <c:v>32.282739355610708</c:v>
                </c:pt>
                <c:pt idx="33">
                  <c:v>32.178433304400393</c:v>
                </c:pt>
                <c:pt idx="34">
                  <c:v>32.071832139549599</c:v>
                </c:pt>
                <c:pt idx="35">
                  <c:v>31.96294285493607</c:v>
                </c:pt>
                <c:pt idx="36">
                  <c:v>31.851774826817604</c:v>
                </c:pt>
                <c:pt idx="37">
                  <c:v>31.738339774711044</c:v>
                </c:pt>
                <c:pt idx="38">
                  <c:v>31.622651712807897</c:v>
                </c:pt>
                <c:pt idx="39">
                  <c:v>31.504726892354157</c:v>
                </c:pt>
                <c:pt idx="40">
                  <c:v>31.384583735492683</c:v>
                </c:pt>
                <c:pt idx="41">
                  <c:v>31.262242761134395</c:v>
                </c:pt>
                <c:pt idx="42">
                  <c:v>31.137726503480977</c:v>
                </c:pt>
                <c:pt idx="43">
                  <c:v>31.011059423871746</c:v>
                </c:pt>
                <c:pt idx="44">
                  <c:v>30.882267816666705</c:v>
                </c:pt>
                <c:pt idx="45">
                  <c:v>30.751379709907901</c:v>
                </c:pt>
                <c:pt idx="46">
                  <c:v>30.618424761522419</c:v>
                </c:pt>
                <c:pt idx="47">
                  <c:v>30.483434151841259</c:v>
                </c:pt>
                <c:pt idx="48">
                  <c:v>30.346440473209626</c:v>
                </c:pt>
                <c:pt idx="49">
                  <c:v>30.207477617458448</c:v>
                </c:pt>
                <c:pt idx="50">
                  <c:v>30.066580661990937</c:v>
                </c:pt>
                <c:pt idx="51">
                  <c:v>29.923785755215459</c:v>
                </c:pt>
                <c:pt idx="52">
                  <c:v>29.779130002026513</c:v>
                </c:pt>
                <c:pt idx="53">
                  <c:v>29.632651349999396</c:v>
                </c:pt>
                <c:pt idx="54">
                  <c:v>29.484388476925272</c:v>
                </c:pt>
                <c:pt idx="55">
                  <c:v>29.334380680265539</c:v>
                </c:pt>
                <c:pt idx="56">
                  <c:v>29.182667769058956</c:v>
                </c:pt>
                <c:pt idx="57">
                  <c:v>29.029289958762309</c:v>
                </c:pt>
                <c:pt idx="58">
                  <c:v>28.874287769454284</c:v>
                </c:pt>
                <c:pt idx="59">
                  <c:v>28.717701927779352</c:v>
                </c:pt>
                <c:pt idx="60">
                  <c:v>28.559573272953806</c:v>
                </c:pt>
                <c:pt idx="61">
                  <c:v>28.399942667106963</c:v>
                </c:pt>
                <c:pt idx="62">
                  <c:v>28.238850910175678</c:v>
                </c:pt>
                <c:pt idx="63">
                  <c:v>28.07633865952495</c:v>
                </c:pt>
                <c:pt idx="64">
                  <c:v>27.912446354417465</c:v>
                </c:pt>
                <c:pt idx="65">
                  <c:v>27.747214145413469</c:v>
                </c:pt>
                <c:pt idx="66">
                  <c:v>27.580681828738665</c:v>
                </c:pt>
                <c:pt idx="67">
                  <c:v>27.412888785621309</c:v>
                </c:pt>
                <c:pt idx="68">
                  <c:v>27.243873926565488</c:v>
                </c:pt>
                <c:pt idx="69">
                  <c:v>27.073675640493708</c:v>
                </c:pt>
                <c:pt idx="70">
                  <c:v>26.902331748667741</c:v>
                </c:pt>
                <c:pt idx="71">
                  <c:v>26.729879463268453</c:v>
                </c:pt>
                <c:pt idx="72">
                  <c:v>26.556355350497537</c:v>
                </c:pt>
                <c:pt idx="73">
                  <c:v>26.38179529804335</c:v>
                </c:pt>
                <c:pt idx="74">
                  <c:v>26.206234486740499</c:v>
                </c:pt>
                <c:pt idx="75">
                  <c:v>26.029707366239556</c:v>
                </c:pt>
                <c:pt idx="76">
                  <c:v>25.85224763449396</c:v>
                </c:pt>
                <c:pt idx="77">
                  <c:v>25.673888220865532</c:v>
                </c:pt>
                <c:pt idx="78">
                  <c:v>25.494661272645342</c:v>
                </c:pt>
                <c:pt idx="79">
                  <c:v>25.314598144782906</c:v>
                </c:pt>
                <c:pt idx="80">
                  <c:v>25.133729392618392</c:v>
                </c:pt>
                <c:pt idx="81">
                  <c:v>24.95208476741276</c:v>
                </c:pt>
                <c:pt idx="82">
                  <c:v>24.769693214473527</c:v>
                </c:pt>
                <c:pt idx="83">
                  <c:v>24.586582873677155</c:v>
                </c:pt>
                <c:pt idx="84">
                  <c:v>24.402781082196213</c:v>
                </c:pt>
                <c:pt idx="85">
                  <c:v>24.218314379243019</c:v>
                </c:pt>
                <c:pt idx="86">
                  <c:v>24.033208512649495</c:v>
                </c:pt>
                <c:pt idx="87">
                  <c:v>23.847488447110795</c:v>
                </c:pt>
                <c:pt idx="88">
                  <c:v>23.661178373925988</c:v>
                </c:pt>
                <c:pt idx="89">
                  <c:v>23.474301722080302</c:v>
                </c:pt>
                <c:pt idx="90">
                  <c:v>23.286881170517816</c:v>
                </c:pt>
                <c:pt idx="91">
                  <c:v>23.098938661466647</c:v>
                </c:pt>
                <c:pt idx="92">
                  <c:v>22.910495414682174</c:v>
                </c:pt>
                <c:pt idx="93">
                  <c:v>22.721571942486808</c:v>
                </c:pt>
                <c:pt idx="94">
                  <c:v>22.532188065489748</c:v>
                </c:pt>
                <c:pt idx="95">
                  <c:v>22.342362928880451</c:v>
                </c:pt>
                <c:pt idx="96">
                  <c:v>22.152115019196316</c:v>
                </c:pt>
                <c:pt idx="97">
                  <c:v>21.961462181474147</c:v>
                </c:pt>
                <c:pt idx="98">
                  <c:v>21.770421636700156</c:v>
                </c:pt>
                <c:pt idx="99">
                  <c:v>21.57900999948291</c:v>
                </c:pt>
                <c:pt idx="100">
                  <c:v>21.387243295879532</c:v>
                </c:pt>
                <c:pt idx="101">
                  <c:v>21.195136981310675</c:v>
                </c:pt>
                <c:pt idx="102">
                  <c:v>21.002705958508322</c:v>
                </c:pt>
                <c:pt idx="103">
                  <c:v>20.809964595444352</c:v>
                </c:pt>
                <c:pt idx="104">
                  <c:v>20.616926743194448</c:v>
                </c:pt>
                <c:pt idx="105">
                  <c:v>20.423605753696677</c:v>
                </c:pt>
                <c:pt idx="106">
                  <c:v>20.230014497368785</c:v>
                </c:pt>
                <c:pt idx="107">
                  <c:v>20.036165380552848</c:v>
                </c:pt>
                <c:pt idx="108">
                  <c:v>19.842070362761127</c:v>
                </c:pt>
                <c:pt idx="109">
                  <c:v>19.647740973698269</c:v>
                </c:pt>
                <c:pt idx="110">
                  <c:v>19.453188330042263</c:v>
                </c:pt>
                <c:pt idx="111">
                  <c:v>19.258423151966479</c:v>
                </c:pt>
                <c:pt idx="112">
                  <c:v>19.063455779390669</c:v>
                </c:pt>
                <c:pt idx="113">
                  <c:v>18.868296187950079</c:v>
                </c:pt>
                <c:pt idx="114">
                  <c:v>18.672954004675518</c:v>
                </c:pt>
                <c:pt idx="115">
                  <c:v>18.477438523378723</c:v>
                </c:pt>
                <c:pt idx="116">
                  <c:v>18.281758719740356</c:v>
                </c:pt>
                <c:pt idx="117">
                  <c:v>18.085923266099059</c:v>
                </c:pt>
                <c:pt idx="118">
                  <c:v>17.889940545942945</c:v>
                </c:pt>
                <c:pt idx="119">
                  <c:v>17.693818668105198</c:v>
                </c:pt>
                <c:pt idx="120">
                  <c:v>17.497565480668161</c:v>
                </c:pt>
                <c:pt idx="121">
                  <c:v>17.301188584580725</c:v>
                </c:pt>
                <c:pt idx="122">
                  <c:v>17.10469534699585</c:v>
                </c:pt>
                <c:pt idx="123">
                  <c:v>16.90809291433488</c:v>
                </c:pt>
                <c:pt idx="124">
                  <c:v>16.711388225088243</c:v>
                </c:pt>
                <c:pt idx="125">
                  <c:v>16.514588022360876</c:v>
                </c:pt>
                <c:pt idx="126">
                  <c:v>16.317698866172371</c:v>
                </c:pt>
                <c:pt idx="127">
                  <c:v>16.120727145523986</c:v>
                </c:pt>
                <c:pt idx="128">
                  <c:v>15.923679090242288</c:v>
                </c:pt>
                <c:pt idx="129">
                  <c:v>15.726560782611632</c:v>
                </c:pt>
                <c:pt idx="130">
                  <c:v>15.529378168809176</c:v>
                </c:pt>
                <c:pt idx="131">
                  <c:v>15.332137070153246</c:v>
                </c:pt>
                <c:pt idx="132">
                  <c:v>15.134843194180101</c:v>
                </c:pt>
                <c:pt idx="133">
                  <c:v>14.937502145561082</c:v>
                </c:pt>
                <c:pt idx="134">
                  <c:v>14.740119436874188</c:v>
                </c:pt>
                <c:pt idx="135">
                  <c:v>14.542700499245951</c:v>
                </c:pt>
                <c:pt idx="136">
                  <c:v>14.345250692874195</c:v>
                </c:pt>
                <c:pt idx="137">
                  <c:v>14.147775317449582</c:v>
                </c:pt>
                <c:pt idx="138">
                  <c:v>13.95027962248783</c:v>
                </c:pt>
                <c:pt idx="139">
                  <c:v>13.752768817589764</c:v>
                </c:pt>
                <c:pt idx="140">
                  <c:v>13.555248082640547</c:v>
                </c:pt>
                <c:pt idx="141">
                  <c:v>13.35772257796634</c:v>
                </c:pt>
                <c:pt idx="142">
                  <c:v>13.160197454460981</c:v>
                </c:pt>
                <c:pt idx="143">
                  <c:v>12.962677863698213</c:v>
                </c:pt>
                <c:pt idx="144">
                  <c:v>12.765168968044458</c:v>
                </c:pt>
                <c:pt idx="145">
                  <c:v>12.567675950786786</c:v>
                </c:pt>
                <c:pt idx="146">
                  <c:v>12.37020402629094</c:v>
                </c:pt>
                <c:pt idx="147">
                  <c:v>12.172758450204118</c:v>
                </c:pt>
                <c:pt idx="148">
                  <c:v>11.975344529718033</c:v>
                </c:pt>
                <c:pt idx="149">
                  <c:v>11.777967633905007</c:v>
                </c:pt>
                <c:pt idx="150">
                  <c:v>11.580633204144048</c:v>
                </c:pt>
                <c:pt idx="151">
                  <c:v>11.383346764649387</c:v>
                </c:pt>
                <c:pt idx="152">
                  <c:v>11.18611393311684</c:v>
                </c:pt>
                <c:pt idx="153">
                  <c:v>10.988940431500836</c:v>
                </c:pt>
                <c:pt idx="154">
                  <c:v>10.791832096938144</c:v>
                </c:pt>
                <c:pt idx="155">
                  <c:v>10.594794892828981</c:v>
                </c:pt>
                <c:pt idx="156">
                  <c:v>10.39783492009146</c:v>
                </c:pt>
                <c:pt idx="157">
                  <c:v>10.200958428600265</c:v>
                </c:pt>
                <c:pt idx="158">
                  <c:v>10.004171828823559</c:v>
                </c:pt>
                <c:pt idx="159">
                  <c:v>9.8074817036694064</c:v>
                </c:pt>
                <c:pt idx="160">
                  <c:v>9.6108948205534066</c:v>
                </c:pt>
                <c:pt idx="161">
                  <c:v>9.4144181436993897</c:v>
                </c:pt>
                <c:pt idx="162">
                  <c:v>9.2180588466818634</c:v>
                </c:pt>
                <c:pt idx="163">
                  <c:v>9.0218243252219334</c:v>
                </c:pt>
                <c:pt idx="164">
                  <c:v>8.8257222102437165</c:v>
                </c:pt>
                <c:pt idx="165">
                  <c:v>8.629760381200807</c:v>
                </c:pt>
                <c:pt idx="166">
                  <c:v>8.4339469796782236</c:v>
                </c:pt>
                <c:pt idx="167">
                  <c:v>8.238290423276597</c:v>
                </c:pt>
                <c:pt idx="168">
                  <c:v>8.0427994197832078</c:v>
                </c:pt>
                <c:pt idx="169">
                  <c:v>7.8474829816320835</c:v>
                </c:pt>
                <c:pt idx="170">
                  <c:v>7.6523504406558107</c:v>
                </c:pt>
                <c:pt idx="171">
                  <c:v>7.4574114631284649</c:v>
                </c:pt>
                <c:pt idx="172">
                  <c:v>7.2626760650973354</c:v>
                </c:pt>
                <c:pt idx="173">
                  <c:v>7.0681546280001939</c:v>
                </c:pt>
                <c:pt idx="174">
                  <c:v>6.8738579145613112</c:v>
                </c:pt>
                <c:pt idx="175">
                  <c:v>6.6797970849574728</c:v>
                </c:pt>
                <c:pt idx="176">
                  <c:v>6.4859837132423959</c:v>
                </c:pt>
                <c:pt idx="177">
                  <c:v>6.2924298040154669</c:v>
                </c:pt>
                <c:pt idx="178">
                  <c:v>6.0991478093173557</c:v>
                </c:pt>
                <c:pt idx="179">
                  <c:v>5.9061506457305759</c:v>
                </c:pt>
                <c:pt idx="180">
                  <c:v>5.7134517116610839</c:v>
                </c:pt>
                <c:pt idx="181">
                  <c:v>5.5210649047719782</c:v>
                </c:pt>
                <c:pt idx="182">
                  <c:v>5.3290046395354711</c:v>
                </c:pt>
                <c:pt idx="183">
                  <c:v>5.1372858648662785</c:v>
                </c:pt>
                <c:pt idx="184">
                  <c:v>4.9459240817929917</c:v>
                </c:pt>
                <c:pt idx="185">
                  <c:v>4.7549353611196601</c:v>
                </c:pt>
                <c:pt idx="186">
                  <c:v>4.5643363610237824</c:v>
                </c:pt>
                <c:pt idx="187">
                  <c:v>4.3741443445309853</c:v>
                </c:pt>
                <c:pt idx="188">
                  <c:v>4.1843771968004821</c:v>
                </c:pt>
                <c:pt idx="189">
                  <c:v>3.9950534421489965</c:v>
                </c:pt>
                <c:pt idx="190">
                  <c:v>3.8061922607321579</c:v>
                </c:pt>
                <c:pt idx="191">
                  <c:v>3.6178135047988702</c:v>
                </c:pt>
                <c:pt idx="192">
                  <c:v>3.4299377144215142</c:v>
                </c:pt>
                <c:pt idx="193">
                  <c:v>3.2425861326015495</c:v>
                </c:pt>
                <c:pt idx="194">
                  <c:v>3.0557807196391336</c:v>
                </c:pt>
                <c:pt idx="195">
                  <c:v>2.869544166648605</c:v>
                </c:pt>
                <c:pt idx="196">
                  <c:v>2.6838999080922159</c:v>
                </c:pt>
                <c:pt idx="197">
                  <c:v>2.498872133196858</c:v>
                </c:pt>
                <c:pt idx="198">
                  <c:v>2.3144857961090164</c:v>
                </c:pt>
                <c:pt idx="199">
                  <c:v>2.1307666246365948</c:v>
                </c:pt>
                <c:pt idx="200">
                  <c:v>1.947741127414784</c:v>
                </c:pt>
                <c:pt idx="201">
                  <c:v>1.7654365993288939</c:v>
                </c:pt>
                <c:pt idx="202">
                  <c:v>1.5838811250154274</c:v>
                </c:pt>
                <c:pt idx="203">
                  <c:v>1.4031035802594316</c:v>
                </c:pt>
                <c:pt idx="204">
                  <c:v>1.2231336310960514</c:v>
                </c:pt>
                <c:pt idx="205">
                  <c:v>1.0440017304205709</c:v>
                </c:pt>
                <c:pt idx="206">
                  <c:v>0.86573911190635755</c:v>
                </c:pt>
                <c:pt idx="207">
                  <c:v>0.68837778102477154</c:v>
                </c:pt>
                <c:pt idx="208">
                  <c:v>0.51195050296103628</c:v>
                </c:pt>
                <c:pt idx="209">
                  <c:v>0.33649078721735975</c:v>
                </c:pt>
                <c:pt idx="210">
                  <c:v>0.16203286869661021</c:v>
                </c:pt>
                <c:pt idx="211">
                  <c:v>-1.1388314937826499E-2</c:v>
                </c:pt>
                <c:pt idx="212">
                  <c:v>-0.18373714982492845</c:v>
                </c:pt>
                <c:pt idx="213">
                  <c:v>-0.35497737658374934</c:v>
                </c:pt>
                <c:pt idx="214">
                  <c:v>-0.52507212528757163</c:v>
                </c:pt>
                <c:pt idx="215">
                  <c:v>-0.69398395490380904</c:v>
                </c:pt>
                <c:pt idx="216">
                  <c:v>-0.86167489735263059</c:v>
                </c:pt>
                <c:pt idx="217">
                  <c:v>-1.0281065063193291</c:v>
                </c:pt>
                <c:pt idx="218">
                  <c:v>-1.1932399109327037</c:v>
                </c:pt>
                <c:pt idx="219">
                  <c:v>-1.3570358743962998</c:v>
                </c:pt>
                <c:pt idx="220">
                  <c:v>-1.5194548576311682</c:v>
                </c:pt>
                <c:pt idx="221">
                  <c:v>-1.6804570879557066</c:v>
                </c:pt>
                <c:pt idx="222">
                  <c:v>-1.840002632792842</c:v>
                </c:pt>
                <c:pt idx="223">
                  <c:v>-1.9980514783564747</c:v>
                </c:pt>
                <c:pt idx="224">
                  <c:v>-2.1545636132254096</c:v>
                </c:pt>
                <c:pt idx="225">
                  <c:v>-2.3094991166701826</c:v>
                </c:pt>
                <c:pt idx="226">
                  <c:v>-2.4628182515493231</c:v>
                </c:pt>
                <c:pt idx="227">
                  <c:v>-2.6144815615418411</c:v>
                </c:pt>
                <c:pt idx="228">
                  <c:v>-2.7644499724322538</c:v>
                </c:pt>
                <c:pt idx="229">
                  <c:v>-2.912684897112376</c:v>
                </c:pt>
                <c:pt idx="230">
                  <c:v>-3.0591483439088223</c:v>
                </c:pt>
                <c:pt idx="231">
                  <c:v>-3.2038030277958667</c:v>
                </c:pt>
                <c:pt idx="232">
                  <c:v>-3.3466124839985274</c:v>
                </c:pt>
                <c:pt idx="233">
                  <c:v>-3.4875411834435632</c:v>
                </c:pt>
                <c:pt idx="234">
                  <c:v>-3.6265546494665486</c:v>
                </c:pt>
                <c:pt idx="235">
                  <c:v>-3.7636195751412416</c:v>
                </c:pt>
                <c:pt idx="236">
                  <c:v>-3.8987039405579296</c:v>
                </c:pt>
                <c:pt idx="237">
                  <c:v>-4.0317771293438707</c:v>
                </c:pt>
                <c:pt idx="238">
                  <c:v>-4.1628100436912421</c:v>
                </c:pt>
                <c:pt idx="239">
                  <c:v>-4.2917752171385324</c:v>
                </c:pt>
                <c:pt idx="240">
                  <c:v>-4.418646924337736</c:v>
                </c:pt>
                <c:pt idx="241">
                  <c:v>-4.5434012870369198</c:v>
                </c:pt>
                <c:pt idx="242">
                  <c:v>-4.6660163755119859</c:v>
                </c:pt>
                <c:pt idx="243">
                  <c:v>-4.7864723046951507</c:v>
                </c:pt>
                <c:pt idx="244">
                  <c:v>-4.9047513242736445</c:v>
                </c:pt>
                <c:pt idx="245">
                  <c:v>-5.0208379020631702</c:v>
                </c:pt>
                <c:pt idx="246">
                  <c:v>-5.1347188000045385</c:v>
                </c:pt>
                <c:pt idx="247">
                  <c:v>-5.2463831421841505</c:v>
                </c:pt>
                <c:pt idx="248">
                  <c:v>-5.3558224743400951</c:v>
                </c:pt>
                <c:pt idx="249">
                  <c:v>-5.4630308143818525</c:v>
                </c:pt>
                <c:pt idx="250">
                  <c:v>-5.5680046935298888</c:v>
                </c:pt>
                <c:pt idx="251">
                  <c:v>-5.6707431877617243</c:v>
                </c:pt>
                <c:pt idx="252">
                  <c:v>-5.7712479393368357</c:v>
                </c:pt>
                <c:pt idx="253">
                  <c:v>-5.869523168263556</c:v>
                </c:pt>
                <c:pt idx="254">
                  <c:v>-5.965575673663416</c:v>
                </c:pt>
                <c:pt idx="255">
                  <c:v>-6.0594148250798332</c:v>
                </c:pt>
                <c:pt idx="256">
                  <c:v>-6.1510525438719803</c:v>
                </c:pt>
                <c:pt idx="257">
                  <c:v>-6.2405032749235909</c:v>
                </c:pt>
                <c:pt idx="258">
                  <c:v>-6.3277839489839414</c:v>
                </c:pt>
                <c:pt idx="259">
                  <c:v>-6.4129139360389615</c:v>
                </c:pt>
                <c:pt idx="260">
                  <c:v>-6.4959149901887709</c:v>
                </c:pt>
                <c:pt idx="261">
                  <c:v>-6.5768111865730861</c:v>
                </c:pt>
                <c:pt idx="262">
                  <c:v>-6.6556288509524988</c:v>
                </c:pt>
                <c:pt idx="263">
                  <c:v>-6.7323964826003717</c:v>
                </c:pt>
                <c:pt idx="264">
                  <c:v>-6.807144671208488</c:v>
                </c:pt>
                <c:pt idx="265">
                  <c:v>-6.8799060085394261</c:v>
                </c:pt>
                <c:pt idx="266">
                  <c:v>-6.9507149955868721</c:v>
                </c:pt>
                <c:pt idx="267">
                  <c:v>-7.0196079460158955</c:v>
                </c:pt>
                <c:pt idx="268">
                  <c:v>-7.0866228866630507</c:v>
                </c:pt>
                <c:pt idx="269">
                  <c:v>-7.1517994558709361</c:v>
                </c:pt>
                <c:pt idx="270">
                  <c:v>-7.215178800419463</c:v>
                </c:pt>
                <c:pt idx="271">
                  <c:v>-7.2768034717956045</c:v>
                </c:pt>
                <c:pt idx="272">
                  <c:v>-7.3367173225156499</c:v>
                </c:pt>
                <c:pt idx="273">
                  <c:v>-7.3949654031781158</c:v>
                </c:pt>
                <c:pt idx="274">
                  <c:v>-7.4515938608879919</c:v>
                </c:pt>
                <c:pt idx="275">
                  <c:v>-7.5066498396453509</c:v>
                </c:pt>
                <c:pt idx="276">
                  <c:v>-7.5601813832445872</c:v>
                </c:pt>
                <c:pt idx="277">
                  <c:v>-7.6122373411772539</c:v>
                </c:pt>
                <c:pt idx="278">
                  <c:v>-7.6628672779789575</c:v>
                </c:pt>
                <c:pt idx="279">
                  <c:v>-7.7121213864043012</c:v>
                </c:pt>
                <c:pt idx="280">
                  <c:v>-7.7600504047592107</c:v>
                </c:pt>
                <c:pt idx="281">
                  <c:v>-7.8067055386631123</c:v>
                </c:pt>
                <c:pt idx="282">
                  <c:v>-7.8521383874600739</c:v>
                </c:pt>
                <c:pt idx="283">
                  <c:v>-7.896400875443077</c:v>
                </c:pt>
                <c:pt idx="284">
                  <c:v>-7.9395451880057424</c:v>
                </c:pt>
                <c:pt idx="285">
                  <c:v>-7.9816237127831977</c:v>
                </c:pt>
                <c:pt idx="286">
                  <c:v>-8.0226889858020822</c:v>
                </c:pt>
                <c:pt idx="287">
                  <c:v>-8.0627936426094724</c:v>
                </c:pt>
                <c:pt idx="288">
                  <c:v>-8.101990374314191</c:v>
                </c:pt>
                <c:pt idx="289">
                  <c:v>-8.1403318884333977</c:v>
                </c:pt>
                <c:pt idx="290">
                  <c:v>-8.1778708744024424</c:v>
                </c:pt>
                <c:pt idx="291">
                  <c:v>-8.2146599735752108</c:v>
                </c:pt>
                <c:pt idx="292">
                  <c:v>-8.2507517535117589</c:v>
                </c:pt>
                <c:pt idx="293">
                  <c:v>-8.2861986863251449</c:v>
                </c:pt>
                <c:pt idx="294">
                  <c:v>-8.3210531308350753</c:v>
                </c:pt>
                <c:pt idx="295">
                  <c:v>-8.3553673182569028</c:v>
                </c:pt>
                <c:pt idx="296">
                  <c:v>-8.389193341134936</c:v>
                </c:pt>
                <c:pt idx="297">
                  <c:v>-8.4225831452145368</c:v>
                </c:pt>
                <c:pt idx="298">
                  <c:v>-8.4555885239325441</c:v>
                </c:pt>
                <c:pt idx="299">
                  <c:v>-8.488261115196762</c:v>
                </c:pt>
                <c:pt idx="300">
                  <c:v>-8.5206524001112385</c:v>
                </c:pt>
                <c:pt idx="301">
                  <c:v>-8.5528137033002256</c:v>
                </c:pt>
                <c:pt idx="302">
                  <c:v>-8.5847961944756008</c:v>
                </c:pt>
                <c:pt idx="303">
                  <c:v>-8.6166508908854862</c:v>
                </c:pt>
                <c:pt idx="304">
                  <c:v>-8.6484286602819225</c:v>
                </c:pt>
                <c:pt idx="305">
                  <c:v>-8.6801802240396224</c:v>
                </c:pt>
                <c:pt idx="306">
                  <c:v>-8.7119561600584223</c:v>
                </c:pt>
                <c:pt idx="307">
                  <c:v>-8.7438069050801541</c:v>
                </c:pt>
                <c:pt idx="308">
                  <c:v>-8.7757827560542996</c:v>
                </c:pt>
                <c:pt idx="309">
                  <c:v>-8.8079338701857619</c:v>
                </c:pt>
                <c:pt idx="310">
                  <c:v>-8.8403102633040085</c:v>
                </c:pt>
                <c:pt idx="311">
                  <c:v>-8.8729618061970115</c:v>
                </c:pt>
                <c:pt idx="312">
                  <c:v>-8.9059382185579103</c:v>
                </c:pt>
                <c:pt idx="313">
                  <c:v>-8.9392890602032775</c:v>
                </c:pt>
                <c:pt idx="314">
                  <c:v>-8.9730637192278238</c:v>
                </c:pt>
                <c:pt idx="315">
                  <c:v>-9.0073113967745364</c:v>
                </c:pt>
                <c:pt idx="316">
                  <c:v>-9.0420810881099474</c:v>
                </c:pt>
                <c:pt idx="317">
                  <c:v>-9.0774215597126382</c:v>
                </c:pt>
                <c:pt idx="318">
                  <c:v>-9.113381322097343</c:v>
                </c:pt>
                <c:pt idx="319">
                  <c:v>-9.1500085981213157</c:v>
                </c:pt>
                <c:pt idx="320">
                  <c:v>-9.1873512865392435</c:v>
                </c:pt>
                <c:pt idx="321">
                  <c:v>-9.2254569206015429</c:v>
                </c:pt>
                <c:pt idx="322">
                  <c:v>-9.2643726215182696</c:v>
                </c:pt>
                <c:pt idx="323">
                  <c:v>-9.3041450466442939</c:v>
                </c:pt>
                <c:pt idx="324">
                  <c:v>-9.3448203322756989</c:v>
                </c:pt>
                <c:pt idx="325">
                  <c:v>-9.3864440309860928</c:v>
                </c:pt>
                <c:pt idx="326">
                  <c:v>-9.4290610434743503</c:v>
                </c:pt>
                <c:pt idx="327">
                  <c:v>-9.4727155449387901</c:v>
                </c:pt>
                <c:pt idx="328">
                  <c:v>-9.5174509060412955</c:v>
                </c:pt>
                <c:pt idx="329">
                  <c:v>-9.5633096085758389</c:v>
                </c:pt>
                <c:pt idx="330">
                  <c:v>-9.610333156008414</c:v>
                </c:pt>
                <c:pt idx="331">
                  <c:v>-9.6585619791110453</c:v>
                </c:pt>
                <c:pt idx="332">
                  <c:v>-9.7080353369687007</c:v>
                </c:pt>
                <c:pt idx="333">
                  <c:v>-9.7587912136974211</c:v>
                </c:pt>
                <c:pt idx="334">
                  <c:v>-9.8108662112689498</c:v>
                </c:pt>
                <c:pt idx="335">
                  <c:v>-9.8642954388957662</c:v>
                </c:pt>
                <c:pt idx="336">
                  <c:v>-9.9191123994897463</c:v>
                </c:pt>
                <c:pt idx="337">
                  <c:v>-9.975348873760483</c:v>
                </c:pt>
                <c:pt idx="338">
                  <c:v>-10.033034802576157</c:v>
                </c:pt>
                <c:pt idx="339">
                  <c:v>-10.092198168254676</c:v>
                </c:pt>
                <c:pt idx="340">
                  <c:v>-10.152864875505887</c:v>
                </c:pt>
                <c:pt idx="341">
                  <c:v>-10.215058632777128</c:v>
                </c:pt>
                <c:pt idx="342">
                  <c:v>-10.278800834796959</c:v>
                </c:pt>
                <c:pt idx="343">
                  <c:v>-10.344110447132843</c:v>
                </c:pt>
                <c:pt idx="344">
                  <c:v>-10.411003893604496</c:v>
                </c:pt>
                <c:pt idx="345">
                  <c:v>-10.479494947400948</c:v>
                </c:pt>
                <c:pt idx="346">
                  <c:v>-10.549594626756706</c:v>
                </c:pt>
                <c:pt idx="347">
                  <c:v>-10.621311096033324</c:v>
                </c:pt>
                <c:pt idx="348">
                  <c:v>-10.69464957304092</c:v>
                </c:pt>
                <c:pt idx="349">
                  <c:v>-10.769612243405277</c:v>
                </c:pt>
                <c:pt idx="350">
                  <c:v>-10.84619818275522</c:v>
                </c:pt>
                <c:pt idx="351">
                  <c:v>-10.924403287461896</c:v>
                </c:pt>
                <c:pt idx="352">
                  <c:v>-11.004220214607958</c:v>
                </c:pt>
                <c:pt idx="353">
                  <c:v>-11.085638331808177</c:v>
                </c:pt>
                <c:pt idx="354">
                  <c:v>-11.16864367743397</c:v>
                </c:pt>
                <c:pt idx="355">
                  <c:v>-11.253218931723563</c:v>
                </c:pt>
                <c:pt idx="356">
                  <c:v>-11.339343399182145</c:v>
                </c:pt>
                <c:pt idx="357">
                  <c:v>-11.426993002591733</c:v>
                </c:pt>
                <c:pt idx="358">
                  <c:v>-11.516140288872514</c:v>
                </c:pt>
                <c:pt idx="359">
                  <c:v>-11.606754446944391</c:v>
                </c:pt>
                <c:pt idx="360">
                  <c:v>-11.698801337659745</c:v>
                </c:pt>
                <c:pt idx="361">
                  <c:v>-11.792243535787762</c:v>
                </c:pt>
                <c:pt idx="362">
                  <c:v>-11.887040383954288</c:v>
                </c:pt>
                <c:pt idx="363">
                  <c:v>-11.983148058359056</c:v>
                </c:pt>
                <c:pt idx="364">
                  <c:v>-12.080519646021923</c:v>
                </c:pt>
                <c:pt idx="365">
                  <c:v>-12.179105233238626</c:v>
                </c:pt>
                <c:pt idx="366">
                  <c:v>-12.278852004868888</c:v>
                </c:pt>
                <c:pt idx="367">
                  <c:v>-12.379704354020191</c:v>
                </c:pt>
                <c:pt idx="368">
                  <c:v>-12.481604001645426</c:v>
                </c:pt>
                <c:pt idx="369">
                  <c:v>-12.584490125531126</c:v>
                </c:pt>
                <c:pt idx="370">
                  <c:v>-12.688299498119351</c:v>
                </c:pt>
                <c:pt idx="371">
                  <c:v>-12.792966632578104</c:v>
                </c:pt>
                <c:pt idx="372">
                  <c:v>-12.898423936518036</c:v>
                </c:pt>
                <c:pt idx="373">
                  <c:v>-13.004601872735522</c:v>
                </c:pt>
                <c:pt idx="374">
                  <c:v>-13.111429126356448</c:v>
                </c:pt>
                <c:pt idx="375">
                  <c:v>-13.218832777748675</c:v>
                </c:pt>
                <c:pt idx="376">
                  <c:v>-13.326738480572724</c:v>
                </c:pt>
                <c:pt idx="377">
                  <c:v>-13.43507064434203</c:v>
                </c:pt>
                <c:pt idx="378">
                  <c:v>-13.543752620867998</c:v>
                </c:pt>
                <c:pt idx="379">
                  <c:v>-13.652706893974489</c:v>
                </c:pt>
                <c:pt idx="380">
                  <c:v>-13.76185527186966</c:v>
                </c:pt>
                <c:pt idx="381">
                  <c:v>-13.871119081571193</c:v>
                </c:pt>
                <c:pt idx="382">
                  <c:v>-13.980419364787309</c:v>
                </c:pt>
                <c:pt idx="383">
                  <c:v>-14.089677074659445</c:v>
                </c:pt>
                <c:pt idx="384">
                  <c:v>-14.1988132727748</c:v>
                </c:pt>
                <c:pt idx="385">
                  <c:v>-14.307749325859289</c:v>
                </c:pt>
                <c:pt idx="386">
                  <c:v>-14.416407101560102</c:v>
                </c:pt>
                <c:pt idx="387">
                  <c:v>-14.524709162722383</c:v>
                </c:pt>
                <c:pt idx="388">
                  <c:v>-14.632578959562256</c:v>
                </c:pt>
                <c:pt idx="389">
                  <c:v>-14.739941019131408</c:v>
                </c:pt>
                <c:pt idx="390">
                  <c:v>-14.846721131461532</c:v>
                </c:pt>
                <c:pt idx="391">
                  <c:v>-14.952846531771307</c:v>
                </c:pt>
                <c:pt idx="392">
                  <c:v>-15.058246078111658</c:v>
                </c:pt>
                <c:pt idx="393">
                  <c:v>-15.16285042382</c:v>
                </c:pt>
                <c:pt idx="394">
                  <c:v>-15.266592184153042</c:v>
                </c:pt>
                <c:pt idx="395">
                  <c:v>-15.369406096466001</c:v>
                </c:pt>
                <c:pt idx="396">
                  <c:v>-15.471229173313661</c:v>
                </c:pt>
                <c:pt idx="397">
                  <c:v>-15.572000847854323</c:v>
                </c:pt>
                <c:pt idx="398">
                  <c:v>-15.671663110955595</c:v>
                </c:pt>
                <c:pt idx="399">
                  <c:v>-15.770160639419311</c:v>
                </c:pt>
                <c:pt idx="400">
                  <c:v>-15.867440914772441</c:v>
                </c:pt>
                <c:pt idx="401">
                  <c:v>-15.963454332101888</c:v>
                </c:pt>
                <c:pt idx="402">
                  <c:v>-16.058154298457911</c:v>
                </c:pt>
                <c:pt idx="403">
                  <c:v>-16.151497320392441</c:v>
                </c:pt>
                <c:pt idx="404">
                  <c:v>-16.243443080261201</c:v>
                </c:pt>
                <c:pt idx="405">
                  <c:v>-16.333954500976581</c:v>
                </c:pt>
                <c:pt idx="406">
                  <c:v>-16.422997798967632</c:v>
                </c:pt>
                <c:pt idx="407">
                  <c:v>-16.510542525178259</c:v>
                </c:pt>
                <c:pt idx="408">
                  <c:v>-16.596561594012439</c:v>
                </c:pt>
                <c:pt idx="409">
                  <c:v>-16.681031300216802</c:v>
                </c:pt>
                <c:pt idx="410">
                  <c:v>-16.76393132377634</c:v>
                </c:pt>
                <c:pt idx="411">
                  <c:v>-16.845244722982969</c:v>
                </c:pt>
                <c:pt idx="412">
                  <c:v>-16.924957915923315</c:v>
                </c:pt>
                <c:pt idx="413">
                  <c:v>-17.00306065071522</c:v>
                </c:pt>
                <c:pt idx="414">
                  <c:v>-17.079545964903243</c:v>
                </c:pt>
                <c:pt idx="415">
                  <c:v>-17.154410134500967</c:v>
                </c:pt>
                <c:pt idx="416">
                  <c:v>-17.22765261324145</c:v>
                </c:pt>
                <c:pt idx="417">
                  <c:v>-17.299275962659276</c:v>
                </c:pt>
                <c:pt idx="418">
                  <c:v>-17.369285773690038</c:v>
                </c:pt>
                <c:pt idx="419">
                  <c:v>-17.437690580521586</c:v>
                </c:pt>
                <c:pt idx="420">
                  <c:v>-17.504501767474729</c:v>
                </c:pt>
                <c:pt idx="421">
                  <c:v>-17.569733469722621</c:v>
                </c:pt>
                <c:pt idx="422">
                  <c:v>-17.633402468683609</c:v>
                </c:pt>
                <c:pt idx="423">
                  <c:v>-17.695528082935994</c:v>
                </c:pt>
                <c:pt idx="424">
                  <c:v>-17.756132055507049</c:v>
                </c:pt>
                <c:pt idx="425">
                  <c:v>-17.815238438387485</c:v>
                </c:pt>
                <c:pt idx="426">
                  <c:v>-17.872873475106775</c:v>
                </c:pt>
                <c:pt idx="427">
                  <c:v>-17.929065482186473</c:v>
                </c:pt>
                <c:pt idx="428">
                  <c:v>-17.983844730258067</c:v>
                </c:pt>
                <c:pt idx="429">
                  <c:v>-18.037243325599906</c:v>
                </c:pt>
                <c:pt idx="430">
                  <c:v>-18.089295092803425</c:v>
                </c:pt>
                <c:pt idx="431">
                  <c:v>-18.140035459235079</c:v>
                </c:pt>
                <c:pt idx="432">
                  <c:v>-18.189501341909594</c:v>
                </c:pt>
                <c:pt idx="433">
                  <c:v>-18.237731037335521</c:v>
                </c:pt>
                <c:pt idx="434">
                  <c:v>-18.28476411484025</c:v>
                </c:pt>
                <c:pt idx="435">
                  <c:v>-18.330641313819832</c:v>
                </c:pt>
                <c:pt idx="436">
                  <c:v>-18.37540444530639</c:v>
                </c:pt>
                <c:pt idx="437">
                  <c:v>-18.419096298180438</c:v>
                </c:pt>
                <c:pt idx="438">
                  <c:v>-18.461760550304284</c:v>
                </c:pt>
                <c:pt idx="439">
                  <c:v>-18.503441684787919</c:v>
                </c:pt>
                <c:pt idx="440">
                  <c:v>-18.54418491155311</c:v>
                </c:pt>
                <c:pt idx="441">
                  <c:v>-18.584036094298774</c:v>
                </c:pt>
                <c:pt idx="442">
                  <c:v>-18.623041682927234</c:v>
                </c:pt>
                <c:pt idx="443">
                  <c:v>-18.661248651439966</c:v>
                </c:pt>
                <c:pt idx="444">
                  <c:v>-18.698704441266049</c:v>
                </c:pt>
                <c:pt idx="445">
                  <c:v>-18.735456909949491</c:v>
                </c:pt>
                <c:pt idx="446">
                  <c:v>-18.771554285074387</c:v>
                </c:pt>
                <c:pt idx="447">
                  <c:v>-18.807045123283039</c:v>
                </c:pt>
                <c:pt idx="448">
                  <c:v>-18.841978274199253</c:v>
                </c:pt>
                <c:pt idx="449">
                  <c:v>-18.876402849048006</c:v>
                </c:pt>
                <c:pt idx="450">
                  <c:v>-18.910368193732253</c:v>
                </c:pt>
                <c:pt idx="451">
                  <c:v>-18.943923866106825</c:v>
                </c:pt>
                <c:pt idx="452">
                  <c:v>-18.977119617167876</c:v>
                </c:pt>
                <c:pt idx="453">
                  <c:v>-19.010005375859674</c:v>
                </c:pt>
                <c:pt idx="454">
                  <c:v>-19.042631237183791</c:v>
                </c:pt>
                <c:pt idx="455">
                  <c:v>-19.075047453284199</c:v>
                </c:pt>
                <c:pt idx="456">
                  <c:v>-19.107304427168376</c:v>
                </c:pt>
                <c:pt idx="457">
                  <c:v>-19.139452708718139</c:v>
                </c:pt>
                <c:pt idx="458">
                  <c:v>-19.171542992634222</c:v>
                </c:pt>
                <c:pt idx="459">
                  <c:v>-19.203626117952112</c:v>
                </c:pt>
                <c:pt idx="460">
                  <c:v>-19.235753068764701</c:v>
                </c:pt>
                <c:pt idx="461">
                  <c:v>-19.267974975781229</c:v>
                </c:pt>
                <c:pt idx="462">
                  <c:v>-19.300343118352835</c:v>
                </c:pt>
                <c:pt idx="463">
                  <c:v>-19.332908926591013</c:v>
                </c:pt>
                <c:pt idx="464">
                  <c:v>-19.365723983209588</c:v>
                </c:pt>
                <c:pt idx="465">
                  <c:v>-19.39884002471992</c:v>
                </c:pt>
                <c:pt idx="466">
                  <c:v>-19.4323089416134</c:v>
                </c:pt>
                <c:pt idx="467">
                  <c:v>-19.466182777168839</c:v>
                </c:pt>
                <c:pt idx="468">
                  <c:v>-19.500513724529888</c:v>
                </c:pt>
                <c:pt idx="469">
                  <c:v>-19.535354121702902</c:v>
                </c:pt>
                <c:pt idx="470">
                  <c:v>-19.570756444135707</c:v>
                </c:pt>
                <c:pt idx="471">
                  <c:v>-19.606773294549541</c:v>
                </c:pt>
                <c:pt idx="472">
                  <c:v>-19.643457389707219</c:v>
                </c:pt>
                <c:pt idx="473">
                  <c:v>-19.680861543816444</c:v>
                </c:pt>
                <c:pt idx="474">
                  <c:v>-19.719038648284901</c:v>
                </c:pt>
                <c:pt idx="475">
                  <c:v>-19.758041647562393</c:v>
                </c:pt>
                <c:pt idx="476">
                  <c:v>-19.797923510827967</c:v>
                </c:pt>
                <c:pt idx="477">
                  <c:v>-19.838737199305463</c:v>
                </c:pt>
                <c:pt idx="478">
                  <c:v>-19.880535629016631</c:v>
                </c:pt>
                <c:pt idx="479">
                  <c:v>-19.923371628815712</c:v>
                </c:pt>
                <c:pt idx="480">
                  <c:v>-19.967297893579175</c:v>
                </c:pt>
                <c:pt idx="481">
                  <c:v>-20.012366932463742</c:v>
                </c:pt>
                <c:pt idx="482">
                  <c:v>-20.058631012186186</c:v>
                </c:pt>
                <c:pt idx="483">
                  <c:v>-20.10614209531855</c:v>
                </c:pt>
                <c:pt idx="484">
                  <c:v>-20.154951773643049</c:v>
                </c:pt>
                <c:pt idx="485">
                  <c:v>-20.205111196654649</c:v>
                </c:pt>
                <c:pt idx="486">
                  <c:v>-20.256670995353169</c:v>
                </c:pt>
                <c:pt idx="487">
                  <c:v>-20.309681201519744</c:v>
                </c:pt>
                <c:pt idx="488">
                  <c:v>-20.364191162724261</c:v>
                </c:pt>
                <c:pt idx="489">
                  <c:v>-20.420249453369696</c:v>
                </c:pt>
                <c:pt idx="490">
                  <c:v>-20.477903782131239</c:v>
                </c:pt>
                <c:pt idx="491">
                  <c:v>-20.537200896207519</c:v>
                </c:pt>
                <c:pt idx="492">
                  <c:v>-20.598186482852491</c:v>
                </c:pt>
                <c:pt idx="493">
                  <c:v>-20.660905068712019</c:v>
                </c:pt>
                <c:pt idx="494">
                  <c:v>-20.725399917538049</c:v>
                </c:pt>
                <c:pt idx="495">
                  <c:v>-20.791712926900455</c:v>
                </c:pt>
                <c:pt idx="496">
                  <c:v>-20.859884524558726</c:v>
                </c:pt>
                <c:pt idx="497">
                  <c:v>-20.92995356519307</c:v>
                </c:pt>
                <c:pt idx="498">
                  <c:v>-21.001957228225123</c:v>
                </c:pt>
                <c:pt idx="499">
                  <c:v>-21.075930917481816</c:v>
                </c:pt>
                <c:pt idx="500">
                  <c:v>-21.151908163473429</c:v>
                </c:pt>
                <c:pt idx="501">
                  <c:v>-21.229920529063225</c:v>
                </c:pt>
                <c:pt idx="502">
                  <c:v>-21.309997519305206</c:v>
                </c:pt>
                <c:pt idx="503">
                  <c:v>-21.392166496217055</c:v>
                </c:pt>
                <c:pt idx="504">
                  <c:v>-21.476452599232793</c:v>
                </c:pt>
                <c:pt idx="505">
                  <c:v>-21.562878672053785</c:v>
                </c:pt>
                <c:pt idx="506">
                  <c:v>-21.651465196571845</c:v>
                </c:pt>
                <c:pt idx="507">
                  <c:v>-21.742230234494873</c:v>
                </c:pt>
                <c:pt idx="508">
                  <c:v>-21.835189377244831</c:v>
                </c:pt>
                <c:pt idx="509">
                  <c:v>-21.930355704631801</c:v>
                </c:pt>
                <c:pt idx="510">
                  <c:v>-22.027739752737304</c:v>
                </c:pt>
                <c:pt idx="511">
                  <c:v>-22.127349491356725</c:v>
                </c:pt>
                <c:pt idx="512">
                  <c:v>-22.229190311270024</c:v>
                </c:pt>
                <c:pt idx="513">
                  <c:v>-22.333265021517651</c:v>
                </c:pt>
                <c:pt idx="514">
                  <c:v>-22.439573856768892</c:v>
                </c:pt>
                <c:pt idx="515">
                  <c:v>-22.548114494776549</c:v>
                </c:pt>
                <c:pt idx="516">
                  <c:v>-22.658882083820178</c:v>
                </c:pt>
                <c:pt idx="517">
                  <c:v>-22.771869279947076</c:v>
                </c:pt>
                <c:pt idx="518">
                  <c:v>-22.887066293734826</c:v>
                </c:pt>
                <c:pt idx="519">
                  <c:v>-23.004460946213598</c:v>
                </c:pt>
                <c:pt idx="520">
                  <c:v>-23.124038733508257</c:v>
                </c:pt>
                <c:pt idx="521">
                  <c:v>-23.24578289969125</c:v>
                </c:pt>
                <c:pt idx="522">
                  <c:v>-23.369674517268905</c:v>
                </c:pt>
                <c:pt idx="523">
                  <c:v>-23.495692574672248</c:v>
                </c:pt>
                <c:pt idx="524">
                  <c:v>-23.62381407007468</c:v>
                </c:pt>
                <c:pt idx="525">
                  <c:v>-23.754014110820894</c:v>
                </c:pt>
                <c:pt idx="526">
                  <c:v>-23.886266017725024</c:v>
                </c:pt>
                <c:pt idx="527">
                  <c:v>-24.020541433477383</c:v>
                </c:pt>
                <c:pt idx="528">
                  <c:v>-24.156810434388419</c:v>
                </c:pt>
                <c:pt idx="529">
                  <c:v>-24.295041644702877</c:v>
                </c:pt>
                <c:pt idx="530">
                  <c:v>-24.435202352720538</c:v>
                </c:pt>
                <c:pt idx="531">
                  <c:v>-24.577258627982982</c:v>
                </c:pt>
                <c:pt idx="532">
                  <c:v>-24.721175438805012</c:v>
                </c:pt>
                <c:pt idx="533">
                  <c:v>-24.866916769464584</c:v>
                </c:pt>
                <c:pt idx="534">
                  <c:v>-25.014445736399452</c:v>
                </c:pt>
                <c:pt idx="535">
                  <c:v>-25.163724702800558</c:v>
                </c:pt>
                <c:pt idx="536">
                  <c:v>-25.314715391040114</c:v>
                </c:pt>
                <c:pt idx="537">
                  <c:v>-25.467378992418539</c:v>
                </c:pt>
                <c:pt idx="538">
                  <c:v>-25.62167627376764</c:v>
                </c:pt>
                <c:pt idx="539">
                  <c:v>-25.777567680497178</c:v>
                </c:pt>
                <c:pt idx="540">
                  <c:v>-25.935013435727722</c:v>
                </c:pt>
                <c:pt idx="541">
                  <c:v>-26.093973635203959</c:v>
                </c:pt>
              </c:numCache>
            </c:numRef>
          </c:yVal>
          <c:smooth val="1"/>
          <c:extLst>
            <c:ext xmlns:c16="http://schemas.microsoft.com/office/drawing/2014/chart" uri="{C3380CC4-5D6E-409C-BE32-E72D297353CC}">
              <c16:uniqueId val="{00000000-69E5-488F-8178-EA81D5C894E7}"/>
            </c:ext>
          </c:extLst>
        </c:ser>
        <c:dLbls>
          <c:showLegendKey val="0"/>
          <c:showVal val="0"/>
          <c:showCatName val="0"/>
          <c:showSerName val="0"/>
          <c:showPercent val="0"/>
          <c:showBubbleSize val="0"/>
        </c:dLbls>
        <c:axId val="555231872"/>
        <c:axId val="555234048"/>
      </c:scatterChart>
      <c:scatterChart>
        <c:scatterStyle val="smoothMarker"/>
        <c:varyColors val="0"/>
        <c:ser>
          <c:idx val="1"/>
          <c:order val="1"/>
          <c:tx>
            <c:v>Phase (deg)</c:v>
          </c:tx>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Loop_Modeling!$AE$19:$AE$560</c:f>
              <c:numCache>
                <c:formatCode>General</c:formatCode>
                <c:ptCount val="542"/>
                <c:pt idx="0">
                  <c:v>-26.479163363771157</c:v>
                </c:pt>
                <c:pt idx="1">
                  <c:v>-27.01110593669976</c:v>
                </c:pt>
                <c:pt idx="2">
                  <c:v>-27.550401823453061</c:v>
                </c:pt>
                <c:pt idx="3">
                  <c:v>-28.096964160741592</c:v>
                </c:pt>
                <c:pt idx="4">
                  <c:v>-28.650694763945616</c:v>
                </c:pt>
                <c:pt idx="5">
                  <c:v>-29.211483890720306</c:v>
                </c:pt>
                <c:pt idx="6">
                  <c:v>-29.779210036570507</c:v>
                </c:pt>
                <c:pt idx="7">
                  <c:v>-30.353739765550426</c:v>
                </c:pt>
                <c:pt idx="8">
                  <c:v>-30.934927579183945</c:v>
                </c:pt>
                <c:pt idx="9">
                  <c:v>-31.522615826605897</c:v>
                </c:pt>
                <c:pt idx="10">
                  <c:v>-32.116634658788001</c:v>
                </c:pt>
                <c:pt idx="11">
                  <c:v>-32.716802029533241</c:v>
                </c:pt>
                <c:pt idx="12">
                  <c:v>-33.322923745700336</c:v>
                </c:pt>
                <c:pt idx="13">
                  <c:v>-33.934793568854978</c:v>
                </c:pt>
                <c:pt idx="14">
                  <c:v>-34.552193370236068</c:v>
                </c:pt>
                <c:pt idx="15">
                  <c:v>-35.174893340574087</c:v>
                </c:pt>
                <c:pt idx="16">
                  <c:v>-35.802652255908505</c:v>
                </c:pt>
                <c:pt idx="17">
                  <c:v>-36.435217800127553</c:v>
                </c:pt>
                <c:pt idx="18">
                  <c:v>-37.0723269444916</c:v>
                </c:pt>
                <c:pt idx="19">
                  <c:v>-37.713706383916133</c:v>
                </c:pt>
                <c:pt idx="20">
                  <c:v>-38.359073029283003</c:v>
                </c:pt>
                <c:pt idx="21">
                  <c:v>-39.008134554523302</c:v>
                </c:pt>
                <c:pt idx="22">
                  <c:v>-39.66058999668013</c:v>
                </c:pt>
                <c:pt idx="23">
                  <c:v>-40.316130406637321</c:v>
                </c:pt>
                <c:pt idx="24">
                  <c:v>-40.974439547656047</c:v>
                </c:pt>
                <c:pt idx="25">
                  <c:v>-41.635194638373896</c:v>
                </c:pt>
                <c:pt idx="26">
                  <c:v>-42.298067136414581</c:v>
                </c:pt>
                <c:pt idx="27">
                  <c:v>-42.962723558322359</c:v>
                </c:pt>
                <c:pt idx="28">
                  <c:v>-43.628826331107255</c:v>
                </c:pt>
                <c:pt idx="29">
                  <c:v>-44.296034670334357</c:v>
                </c:pt>
                <c:pt idx="30">
                  <c:v>-44.964005479376461</c:v>
                </c:pt>
                <c:pt idx="31">
                  <c:v>-45.632394264198425</c:v>
                </c:pt>
                <c:pt idx="32">
                  <c:v>-46.300856057859846</c:v>
                </c:pt>
                <c:pt idx="33">
                  <c:v>-46.969046348808376</c:v>
                </c:pt>
                <c:pt idx="34">
                  <c:v>-47.636622006989526</c:v>
                </c:pt>
                <c:pt idx="35">
                  <c:v>-48.303242201819586</c:v>
                </c:pt>
                <c:pt idx="36">
                  <c:v>-48.968569306185181</c:v>
                </c:pt>
                <c:pt idx="37">
                  <c:v>-49.632269780771878</c:v>
                </c:pt>
                <c:pt idx="38">
                  <c:v>-50.294015033287359</c:v>
                </c:pt>
                <c:pt idx="39">
                  <c:v>-50.953482247417284</c:v>
                </c:pt>
                <c:pt idx="40">
                  <c:v>-51.610355176714435</c:v>
                </c:pt>
                <c:pt idx="41">
                  <c:v>-52.264324899018938</c:v>
                </c:pt>
                <c:pt idx="42">
                  <c:v>-52.915090527454218</c:v>
                </c:pt>
                <c:pt idx="43">
                  <c:v>-53.562359874513618</c:v>
                </c:pt>
                <c:pt idx="44">
                  <c:v>-54.205850066267281</c:v>
                </c:pt>
                <c:pt idx="45">
                  <c:v>-54.845288104231706</c:v>
                </c:pt>
                <c:pt idx="46">
                  <c:v>-55.480411372984634</c:v>
                </c:pt>
                <c:pt idx="47">
                  <c:v>-56.110968092129994</c:v>
                </c:pt>
                <c:pt idx="48">
                  <c:v>-56.736717711761671</c:v>
                </c:pt>
                <c:pt idx="49">
                  <c:v>-57.357431251067659</c:v>
                </c:pt>
                <c:pt idx="50">
                  <c:v>-57.972891580225323</c:v>
                </c:pt>
                <c:pt idx="51">
                  <c:v>-58.582893646196482</c:v>
                </c:pt>
                <c:pt idx="52">
                  <c:v>-59.187244643465689</c:v>
                </c:pt>
                <c:pt idx="53">
                  <c:v>-59.785764131171526</c:v>
                </c:pt>
                <c:pt idx="54">
                  <c:v>-60.378284098429354</c:v>
                </c:pt>
                <c:pt idx="55">
                  <c:v>-60.964648979976914</c:v>
                </c:pt>
                <c:pt idx="56">
                  <c:v>-61.544715624537858</c:v>
                </c:pt>
                <c:pt idx="57">
                  <c:v>-62.118353218539923</c:v>
                </c:pt>
                <c:pt idx="58">
                  <c:v>-62.685443168013784</c:v>
                </c:pt>
                <c:pt idx="59">
                  <c:v>-63.245878941635958</c:v>
                </c:pt>
                <c:pt idx="60">
                  <c:v>-63.799565878004792</c:v>
                </c:pt>
                <c:pt idx="61">
                  <c:v>-64.346420960282117</c:v>
                </c:pt>
                <c:pt idx="62">
                  <c:v>-64.886372561388015</c:v>
                </c:pt>
                <c:pt idx="63">
                  <c:v>-65.419360162912781</c:v>
                </c:pt>
                <c:pt idx="64">
                  <c:v>-65.945334050891191</c:v>
                </c:pt>
                <c:pt idx="65">
                  <c:v>-66.464254991516384</c:v>
                </c:pt>
                <c:pt idx="66">
                  <c:v>-66.976093889782916</c:v>
                </c:pt>
                <c:pt idx="67">
                  <c:v>-67.480831433952616</c:v>
                </c:pt>
                <c:pt idx="68">
                  <c:v>-67.978457728600972</c:v>
                </c:pt>
                <c:pt idx="69">
                  <c:v>-68.468971918872043</c:v>
                </c:pt>
                <c:pt idx="70">
                  <c:v>-68.952381808417286</c:v>
                </c:pt>
                <c:pt idx="71">
                  <c:v>-69.428703473335659</c:v>
                </c:pt>
                <c:pt idx="72">
                  <c:v>-69.89796087427041</c:v>
                </c:pt>
                <c:pt idx="73">
                  <c:v>-70.360185468650414</c:v>
                </c:pt>
                <c:pt idx="74">
                  <c:v>-70.815415824892355</c:v>
                </c:pt>
                <c:pt idx="75">
                  <c:v>-71.263697240220608</c:v>
                </c:pt>
                <c:pt idx="76">
                  <c:v>-71.705081363588391</c:v>
                </c:pt>
                <c:pt idx="77">
                  <c:v>-72.139625825028887</c:v>
                </c:pt>
                <c:pt idx="78">
                  <c:v>-72.567393872606615</c:v>
                </c:pt>
                <c:pt idx="79">
                  <c:v>-72.988454017992552</c:v>
                </c:pt>
                <c:pt idx="80">
                  <c:v>-73.40287969154204</c:v>
                </c:pt>
                <c:pt idx="81">
                  <c:v>-73.810748907621289</c:v>
                </c:pt>
                <c:pt idx="82">
                  <c:v>-74.212143940803784</c:v>
                </c:pt>
                <c:pt idx="83">
                  <c:v>-74.607151013436024</c:v>
                </c:pt>
                <c:pt idx="84">
                  <c:v>-74.995859994967589</c:v>
                </c:pt>
                <c:pt idx="85">
                  <c:v>-75.378364113336957</c:v>
                </c:pt>
                <c:pt idx="86">
                  <c:v>-75.754759678613453</c:v>
                </c:pt>
                <c:pt idx="87">
                  <c:v>-76.125145819011905</c:v>
                </c:pt>
                <c:pt idx="88">
                  <c:v>-76.489624229322359</c:v>
                </c:pt>
                <c:pt idx="89">
                  <c:v>-76.848298931728067</c:v>
                </c:pt>
                <c:pt idx="90">
                  <c:v>-77.201276048924782</c:v>
                </c:pt>
                <c:pt idx="91">
                  <c:v>-77.548663589403915</c:v>
                </c:pt>
                <c:pt idx="92">
                  <c:v>-77.890571244711509</c:v>
                </c:pt>
                <c:pt idx="93">
                  <c:v>-78.227110198460494</c:v>
                </c:pt>
                <c:pt idx="94">
                  <c:v>-78.558392946834346</c:v>
                </c:pt>
                <c:pt idx="95">
                  <c:v>-78.884533130293917</c:v>
                </c:pt>
                <c:pt idx="96">
                  <c:v>-79.205645376176747</c:v>
                </c:pt>
                <c:pt idx="97">
                  <c:v>-79.521845151856411</c:v>
                </c:pt>
                <c:pt idx="98">
                  <c:v>-79.833248628115527</c:v>
                </c:pt>
                <c:pt idx="99">
                  <c:v>-80.139972552374729</c:v>
                </c:pt>
                <c:pt idx="100">
                  <c:v>-80.442134131412672</c:v>
                </c:pt>
                <c:pt idx="101">
                  <c:v>-80.739850923205594</c:v>
                </c:pt>
                <c:pt idx="102">
                  <c:v>-81.033240737514063</c:v>
                </c:pt>
                <c:pt idx="103">
                  <c:v>-81.322421544843777</c:v>
                </c:pt>
                <c:pt idx="104">
                  <c:v>-81.607511393411116</c:v>
                </c:pt>
                <c:pt idx="105">
                  <c:v>-81.888628333744634</c:v>
                </c:pt>
                <c:pt idx="106">
                  <c:v>-82.165890350563487</c:v>
                </c:pt>
                <c:pt idx="107">
                  <c:v>-82.439415301577256</c:v>
                </c:pt>
                <c:pt idx="108">
                  <c:v>-82.709320862861219</c:v>
                </c:pt>
                <c:pt idx="109">
                  <c:v>-82.975724480468557</c:v>
                </c:pt>
                <c:pt idx="110">
                  <c:v>-83.238743327952989</c:v>
                </c:pt>
                <c:pt idx="111">
                  <c:v>-83.498494269481426</c:v>
                </c:pt>
                <c:pt idx="112">
                  <c:v>-83.755093828231068</c:v>
                </c:pt>
                <c:pt idx="113">
                  <c:v>-84.008658159773077</c:v>
                </c:pt>
                <c:pt idx="114">
                  <c:v>-84.259303030156659</c:v>
                </c:pt>
                <c:pt idx="115">
                  <c:v>-84.507143798419776</c:v>
                </c:pt>
                <c:pt idx="116">
                  <c:v>-84.752295403261797</c:v>
                </c:pt>
                <c:pt idx="117">
                  <c:v>-84.994872353626079</c:v>
                </c:pt>
                <c:pt idx="118">
                  <c:v>-85.234988722949865</c:v>
                </c:pt>
                <c:pt idx="119">
                  <c:v>-85.472758146851064</c:v>
                </c:pt>
                <c:pt idx="120">
                  <c:v>-85.708293824030378</c:v>
                </c:pt>
                <c:pt idx="121">
                  <c:v>-85.941708520178878</c:v>
                </c:pt>
                <c:pt idx="122">
                  <c:v>-86.173114574689166</c:v>
                </c:pt>
                <c:pt idx="123">
                  <c:v>-86.402623909979965</c:v>
                </c:pt>
                <c:pt idx="124">
                  <c:v>-86.630348043250351</c:v>
                </c:pt>
                <c:pt idx="125">
                  <c:v>-86.856398100491219</c:v>
                </c:pt>
                <c:pt idx="126">
                  <c:v>-87.080884832588538</c:v>
                </c:pt>
                <c:pt idx="127">
                  <c:v>-87.303918633359331</c:v>
                </c:pt>
                <c:pt idx="128">
                  <c:v>-87.525609559372128</c:v>
                </c:pt>
                <c:pt idx="129">
                  <c:v>-87.746067351408598</c:v>
                </c:pt>
                <c:pt idx="130">
                  <c:v>-87.965401457427888</c:v>
                </c:pt>
                <c:pt idx="131">
                  <c:v>-88.183721056905895</c:v>
                </c:pt>
                <c:pt idx="132">
                  <c:v>-88.401135086422173</c:v>
                </c:pt>
                <c:pt idx="133">
                  <c:v>-88.617752266376726</c:v>
                </c:pt>
                <c:pt idx="134">
                  <c:v>-88.833681128720883</c:v>
                </c:pt>
                <c:pt idx="135">
                  <c:v>-89.04903004559111</c:v>
                </c:pt>
                <c:pt idx="136">
                  <c:v>-89.263907258740701</c:v>
                </c:pt>
                <c:pt idx="137">
                  <c:v>-89.478420909664436</c:v>
                </c:pt>
                <c:pt idx="138">
                  <c:v>-89.692679070316757</c:v>
                </c:pt>
                <c:pt idx="139">
                  <c:v>-89.906789774325233</c:v>
                </c:pt>
                <c:pt idx="140">
                  <c:v>-90.120861048604183</c:v>
                </c:pt>
                <c:pt idx="141">
                  <c:v>-90.335000945274118</c:v>
                </c:pt>
                <c:pt idx="142">
                  <c:v>-90.549317573793843</c:v>
                </c:pt>
                <c:pt idx="143">
                  <c:v>-90.76391913321433</c:v>
                </c:pt>
                <c:pt idx="144">
                  <c:v>-90.978913944461667</c:v>
                </c:pt>
                <c:pt idx="145">
                  <c:v>-91.194410482558538</c:v>
                </c:pt>
                <c:pt idx="146">
                  <c:v>-91.410517408691092</c:v>
                </c:pt>
                <c:pt idx="147">
                  <c:v>-91.627343602029285</c:v>
                </c:pt>
                <c:pt idx="148">
                  <c:v>-91.844998191205235</c:v>
                </c:pt>
                <c:pt idx="149">
                  <c:v>-92.063590585354675</c:v>
                </c:pt>
                <c:pt idx="150">
                  <c:v>-92.283230504622253</c:v>
                </c:pt>
                <c:pt idx="151">
                  <c:v>-92.504028010030169</c:v>
                </c:pt>
                <c:pt idx="152">
                  <c:v>-92.726093532605873</c:v>
                </c:pt>
                <c:pt idx="153">
                  <c:v>-92.949537901662126</c:v>
                </c:pt>
                <c:pt idx="154">
                  <c:v>-93.174472372116</c:v>
                </c:pt>
                <c:pt idx="155">
                  <c:v>-93.401008650733502</c:v>
                </c:pt>
                <c:pt idx="156">
                  <c:v>-93.629258921176515</c:v>
                </c:pt>
                <c:pt idx="157">
                  <c:v>-93.859335867728021</c:v>
                </c:pt>
                <c:pt idx="158">
                  <c:v>-94.091352697562201</c:v>
                </c:pt>
                <c:pt idx="159">
                  <c:v>-94.325423161422535</c:v>
                </c:pt>
                <c:pt idx="160">
                  <c:v>-94.561661572562713</c:v>
                </c:pt>
                <c:pt idx="161">
                  <c:v>-94.800182823798608</c:v>
                </c:pt>
                <c:pt idx="162">
                  <c:v>-95.041102402512195</c:v>
                </c:pt>
                <c:pt idx="163">
                  <c:v>-95.284536403440043</c:v>
                </c:pt>
                <c:pt idx="164">
                  <c:v>-95.530601539071299</c:v>
                </c:pt>
                <c:pt idx="165">
                  <c:v>-95.779415147469834</c:v>
                </c:pt>
                <c:pt idx="166">
                  <c:v>-96.031095197328042</c:v>
                </c:pt>
                <c:pt idx="167">
                  <c:v>-96.285760290048842</c:v>
                </c:pt>
                <c:pt idx="168">
                  <c:v>-96.543529658642385</c:v>
                </c:pt>
                <c:pt idx="169">
                  <c:v>-96.804523163215705</c:v>
                </c:pt>
                <c:pt idx="170">
                  <c:v>-97.068861282820421</c:v>
                </c:pt>
                <c:pt idx="171">
                  <c:v>-97.336665103414731</c:v>
                </c:pt>
                <c:pt idx="172">
                  <c:v>-97.608056301684556</c:v>
                </c:pt>
                <c:pt idx="173">
                  <c:v>-97.883157124458236</c:v>
                </c:pt>
                <c:pt idx="174">
                  <c:v>-98.162090363435809</c:v>
                </c:pt>
                <c:pt idx="175">
                  <c:v>-98.444979324947454</c:v>
                </c:pt>
                <c:pt idx="176">
                  <c:v>-98.731947794439066</c:v>
                </c:pt>
                <c:pt idx="177">
                  <c:v>-99.023119995377471</c:v>
                </c:pt>
                <c:pt idx="178">
                  <c:v>-99.318620542253441</c:v>
                </c:pt>
                <c:pt idx="179">
                  <c:v>-99.61857438735413</c:v>
                </c:pt>
                <c:pt idx="180">
                  <c:v>-99.923106760964046</c:v>
                </c:pt>
                <c:pt idx="181">
                  <c:v>-100.23234310464784</c:v>
                </c:pt>
                <c:pt idx="182">
                  <c:v>-100.54640899725955</c:v>
                </c:pt>
                <c:pt idx="183">
                  <c:v>-100.86543007331612</c:v>
                </c:pt>
                <c:pt idx="184">
                  <c:v>-101.18953193336849</c:v>
                </c:pt>
                <c:pt idx="185">
                  <c:v>-101.51884004600143</c:v>
                </c:pt>
                <c:pt idx="186">
                  <c:v>-101.85347964108874</c:v>
                </c:pt>
                <c:pt idx="187">
                  <c:v>-102.1935755939337</c:v>
                </c:pt>
                <c:pt idx="188">
                  <c:v>-102.53925229992744</c:v>
                </c:pt>
                <c:pt idx="189">
                  <c:v>-102.89063353936109</c:v>
                </c:pt>
                <c:pt idx="190">
                  <c:v>-103.24784233204238</c:v>
                </c:pt>
                <c:pt idx="191">
                  <c:v>-103.61100078137072</c:v>
                </c:pt>
                <c:pt idx="192">
                  <c:v>-103.98022990755194</c:v>
                </c:pt>
                <c:pt idx="193">
                  <c:v>-104.35564946964439</c:v>
                </c:pt>
                <c:pt idx="194">
                  <c:v>-104.73737777616164</c:v>
                </c:pt>
                <c:pt idx="195">
                  <c:v>-105.12553148397956</c:v>
                </c:pt>
                <c:pt idx="196">
                  <c:v>-105.52022538533988</c:v>
                </c:pt>
                <c:pt idx="197">
                  <c:v>-105.92157218277681</c:v>
                </c:pt>
                <c:pt idx="198">
                  <c:v>-106.32968225184644</c:v>
                </c:pt>
                <c:pt idx="199">
                  <c:v>-106.74466339158965</c:v>
                </c:pt>
                <c:pt idx="200">
                  <c:v>-107.16662056272821</c:v>
                </c:pt>
                <c:pt idx="201">
                  <c:v>-107.5956556136545</c:v>
                </c:pt>
                <c:pt idx="202">
                  <c:v>-108.03186699436226</c:v>
                </c:pt>
                <c:pt idx="203">
                  <c:v>-108.47534945854493</c:v>
                </c:pt>
                <c:pt idx="204">
                  <c:v>-108.92619375418762</c:v>
                </c:pt>
                <c:pt idx="205">
                  <c:v>-109.38448630307852</c:v>
                </c:pt>
                <c:pt idx="206">
                  <c:v>-109.85030886977781</c:v>
                </c:pt>
                <c:pt idx="207">
                  <c:v>-110.3237382207061</c:v>
                </c:pt>
                <c:pt idx="208">
                  <c:v>-110.80484577413651</c:v>
                </c:pt>
                <c:pt idx="209">
                  <c:v>-111.29369724201672</c:v>
                </c:pt>
                <c:pt idx="210">
                  <c:v>-111.79035226468955</c:v>
                </c:pt>
                <c:pt idx="211">
                  <c:v>-112.29486403973084</c:v>
                </c:pt>
                <c:pt idx="212">
                  <c:v>-112.80727894628043</c:v>
                </c:pt>
                <c:pt idx="213">
                  <c:v>-113.32763616640706</c:v>
                </c:pt>
                <c:pt idx="214">
                  <c:v>-113.85596730520774</c:v>
                </c:pt>
                <c:pt idx="215">
                  <c:v>-114.3922960115151</c:v>
                </c:pt>
                <c:pt idx="216">
                  <c:v>-114.93663760124954</c:v>
                </c:pt>
                <c:pt idx="217">
                  <c:v>-115.4889986856229</c:v>
                </c:pt>
                <c:pt idx="218">
                  <c:v>-116.04937680655667</c:v>
                </c:pt>
                <c:pt idx="219">
                  <c:v>-116.61776008183892</c:v>
                </c:pt>
                <c:pt idx="220">
                  <c:v>-117.19412686268535</c:v>
                </c:pt>
                <c:pt idx="221">
                  <c:v>-117.77844540650391</c:v>
                </c:pt>
                <c:pt idx="222">
                  <c:v>-118.37067356778296</c:v>
                </c:pt>
                <c:pt idx="223">
                  <c:v>-118.97075851011921</c:v>
                </c:pt>
                <c:pt idx="224">
                  <c:v>-119.57863644247907</c:v>
                </c:pt>
                <c:pt idx="225">
                  <c:v>-120.19423238284296</c:v>
                </c:pt>
                <c:pt idx="226">
                  <c:v>-120.81745995240122</c:v>
                </c:pt>
                <c:pt idx="227">
                  <c:v>-121.44822120346105</c:v>
                </c:pt>
                <c:pt idx="228">
                  <c:v>-122.08640648418711</c:v>
                </c:pt>
                <c:pt idx="229">
                  <c:v>-122.73189434321354</c:v>
                </c:pt>
                <c:pt idx="230">
                  <c:v>-123.38455147704109</c:v>
                </c:pt>
                <c:pt idx="231">
                  <c:v>-124.04423272298172</c:v>
                </c:pt>
                <c:pt idx="232">
                  <c:v>-124.71078110019613</c:v>
                </c:pt>
                <c:pt idx="233">
                  <c:v>-125.38402790113405</c:v>
                </c:pt>
                <c:pt idx="234">
                  <c:v>-126.06379283538317</c:v>
                </c:pt>
                <c:pt idx="235">
                  <c:v>-126.74988422760859</c:v>
                </c:pt>
                <c:pt idx="236">
                  <c:v>-127.4420992708863</c:v>
                </c:pt>
                <c:pt idx="237">
                  <c:v>-128.14022433631854</c:v>
                </c:pt>
                <c:pt idx="238">
                  <c:v>-128.84403533937942</c:v>
                </c:pt>
                <c:pt idx="239">
                  <c:v>-129.55329816295347</c:v>
                </c:pt>
                <c:pt idx="240">
                  <c:v>-130.2677691365331</c:v>
                </c:pt>
                <c:pt idx="241">
                  <c:v>-130.98719557052348</c:v>
                </c:pt>
                <c:pt idx="242">
                  <c:v>-131.71131634406001</c:v>
                </c:pt>
                <c:pt idx="243">
                  <c:v>-132.43986254422239</c:v>
                </c:pt>
                <c:pt idx="244">
                  <c:v>-133.17255815398508</c:v>
                </c:pt>
                <c:pt idx="245">
                  <c:v>-133.90912078572967</c:v>
                </c:pt>
                <c:pt idx="246">
                  <c:v>-134.64926245664296</c:v>
                </c:pt>
                <c:pt idx="247">
                  <c:v>-135.39269040185448</c:v>
                </c:pt>
                <c:pt idx="248">
                  <c:v>-136.13910792073236</c:v>
                </c:pt>
                <c:pt idx="249">
                  <c:v>-136.888215251367</c:v>
                </c:pt>
                <c:pt idx="250">
                  <c:v>-137.639710467936</c:v>
                </c:pt>
                <c:pt idx="251">
                  <c:v>-138.39329039536094</c:v>
                </c:pt>
                <c:pt idx="252">
                  <c:v>-139.14865153545227</c:v>
                </c:pt>
                <c:pt idx="253">
                  <c:v>-139.90549099858646</c:v>
                </c:pt>
                <c:pt idx="254">
                  <c:v>-140.66350743488226</c:v>
                </c:pt>
                <c:pt idx="255">
                  <c:v>-141.42240195882812</c:v>
                </c:pt>
                <c:pt idx="256">
                  <c:v>-142.18187906138078</c:v>
                </c:pt>
                <c:pt idx="257">
                  <c:v>-142.94164750368637</c:v>
                </c:pt>
                <c:pt idx="258">
                  <c:v>-143.70142118676935</c:v>
                </c:pt>
                <c:pt idx="259">
                  <c:v>-144.46091999180567</c:v>
                </c:pt>
                <c:pt idx="260">
                  <c:v>-145.21987058590892</c:v>
                </c:pt>
                <c:pt idx="261">
                  <c:v>-145.97800718874143</c:v>
                </c:pt>
                <c:pt idx="262">
                  <c:v>-146.73507229567019</c:v>
                </c:pt>
                <c:pt idx="263">
                  <c:v>-147.49081735365434</c:v>
                </c:pt>
                <c:pt idx="264">
                  <c:v>-148.24500338652933</c:v>
                </c:pt>
                <c:pt idx="265">
                  <c:v>-148.99740156686553</c:v>
                </c:pt>
                <c:pt idx="266">
                  <c:v>-149.74779373209398</c:v>
                </c:pt>
                <c:pt idx="267">
                  <c:v>-150.49597284312503</c:v>
                </c:pt>
                <c:pt idx="268">
                  <c:v>-151.24174338419763</c:v>
                </c:pt>
                <c:pt idx="269">
                  <c:v>-151.98492170321501</c:v>
                </c:pt>
                <c:pt idx="270">
                  <c:v>-152.72533629231086</c:v>
                </c:pt>
                <c:pt idx="271">
                  <c:v>-153.46282800886118</c:v>
                </c:pt>
                <c:pt idx="272">
                  <c:v>-154.19725023759031</c:v>
                </c:pt>
                <c:pt idx="273">
                  <c:v>-154.92846899483797</c:v>
                </c:pt>
                <c:pt idx="274">
                  <c:v>-155.6563629763985</c:v>
                </c:pt>
                <c:pt idx="275">
                  <c:v>-156.38082355069616</c:v>
                </c:pt>
                <c:pt idx="276">
                  <c:v>-157.1017546993221</c:v>
                </c:pt>
                <c:pt idx="277">
                  <c:v>-157.8190729072156</c:v>
                </c:pt>
                <c:pt idx="278">
                  <c:v>-158.53270700495844</c:v>
                </c:pt>
                <c:pt idx="279">
                  <c:v>-159.24259796581558</c:v>
                </c:pt>
                <c:pt idx="280">
                  <c:v>-159.94869866026076</c:v>
                </c:pt>
                <c:pt idx="281">
                  <c:v>-160.65097357080427</c:v>
                </c:pt>
                <c:pt idx="282">
                  <c:v>-161.34939846997699</c:v>
                </c:pt>
                <c:pt idx="283">
                  <c:v>-162.04396006432165</c:v>
                </c:pt>
                <c:pt idx="284">
                  <c:v>-162.73465560722033</c:v>
                </c:pt>
                <c:pt idx="285">
                  <c:v>-163.4214924833266</c:v>
                </c:pt>
                <c:pt idx="286">
                  <c:v>-164.10448776728353</c:v>
                </c:pt>
                <c:pt idx="287">
                  <c:v>-164.7836677593194</c:v>
                </c:pt>
                <c:pt idx="288">
                  <c:v>-165.45906750017724</c:v>
                </c:pt>
                <c:pt idx="289">
                  <c:v>-166.13073026771016</c:v>
                </c:pt>
                <c:pt idx="290">
                  <c:v>-166.79870705732762</c:v>
                </c:pt>
                <c:pt idx="291">
                  <c:v>-167.46305604831974</c:v>
                </c:pt>
                <c:pt idx="292">
                  <c:v>-168.12384205793902</c:v>
                </c:pt>
                <c:pt idx="293">
                  <c:v>-168.78113598495156</c:v>
                </c:pt>
                <c:pt idx="294">
                  <c:v>-169.43501424422141</c:v>
                </c:pt>
                <c:pt idx="295">
                  <c:v>-170.08555819372916</c:v>
                </c:pt>
                <c:pt idx="296">
                  <c:v>-170.73285355528779</c:v>
                </c:pt>
                <c:pt idx="297">
                  <c:v>-171.3769898300709</c:v>
                </c:pt>
                <c:pt idx="298">
                  <c:v>-172.01805970994505</c:v>
                </c:pt>
                <c:pt idx="299">
                  <c:v>-172.65615848547142</c:v>
                </c:pt>
                <c:pt idx="300">
                  <c:v>-173.29138345134635</c:v>
                </c:pt>
                <c:pt idx="301">
                  <c:v>-173.92383330994471</c:v>
                </c:pt>
                <c:pt idx="302">
                  <c:v>-174.55360757356172</c:v>
                </c:pt>
                <c:pt idx="303">
                  <c:v>-175.1808059658826</c:v>
                </c:pt>
                <c:pt idx="304">
                  <c:v>-175.8055278231611</c:v>
                </c:pt>
                <c:pt idx="305">
                  <c:v>-176.42787149555934</c:v>
                </c:pt>
                <c:pt idx="306">
                  <c:v>-177.04793374908729</c:v>
                </c:pt>
                <c:pt idx="307">
                  <c:v>-177.66580916858587</c:v>
                </c:pt>
                <c:pt idx="308">
                  <c:v>-178.28158956221162</c:v>
                </c:pt>
                <c:pt idx="309">
                  <c:v>-178.895363367926</c:v>
                </c:pt>
                <c:pt idx="310">
                  <c:v>-179.50721506254123</c:v>
                </c:pt>
                <c:pt idx="311">
                  <c:v>179.88277542605567</c:v>
                </c:pt>
                <c:pt idx="312">
                  <c:v>179.27453330278954</c:v>
                </c:pt>
                <c:pt idx="313">
                  <c:v>178.66798948458705</c:v>
                </c:pt>
                <c:pt idx="314">
                  <c:v>178.06308117394696</c:v>
                </c:pt>
                <c:pt idx="315">
                  <c:v>177.45975242583924</c:v>
                </c:pt>
                <c:pt idx="316">
                  <c:v>176.85795470674262</c:v>
                </c:pt>
                <c:pt idx="317">
                  <c:v>176.25764744448648</c:v>
                </c:pt>
                <c:pt idx="318">
                  <c:v>175.65879856739534</c:v>
                </c:pt>
                <c:pt idx="319">
                  <c:v>175.06138503108383</c:v>
                </c:pt>
                <c:pt idx="320">
                  <c:v>174.46539333106995</c:v>
                </c:pt>
                <c:pt idx="321">
                  <c:v>173.87081999921188</c:v>
                </c:pt>
                <c:pt idx="322">
                  <c:v>173.27767208180438</c:v>
                </c:pt>
                <c:pt idx="323">
                  <c:v>172.68596759700102</c:v>
                </c:pt>
                <c:pt idx="324">
                  <c:v>172.09573596907367</c:v>
                </c:pt>
                <c:pt idx="325">
                  <c:v>171.50701843687045</c:v>
                </c:pt>
                <c:pt idx="326">
                  <c:v>170.91986843370142</c:v>
                </c:pt>
                <c:pt idx="327">
                  <c:v>170.3343519357507</c:v>
                </c:pt>
                <c:pt idx="328">
                  <c:v>169.75054777603518</c:v>
                </c:pt>
                <c:pt idx="329">
                  <c:v>169.16854792083211</c:v>
                </c:pt>
                <c:pt idx="330">
                  <c:v>168.58845770547177</c:v>
                </c:pt>
                <c:pt idx="331">
                  <c:v>168.0103960263605</c:v>
                </c:pt>
                <c:pt idx="332">
                  <c:v>167.43449548612639</c:v>
                </c:pt>
                <c:pt idx="333">
                  <c:v>166.86090248882454</c:v>
                </c:pt>
                <c:pt idx="334">
                  <c:v>166.28977728224953</c:v>
                </c:pt>
                <c:pt idx="335">
                  <c:v>165.72129394451733</c:v>
                </c:pt>
                <c:pt idx="336">
                  <c:v>165.15564031228078</c:v>
                </c:pt>
                <c:pt idx="337">
                  <c:v>164.59301784814454</c:v>
                </c:pt>
                <c:pt idx="338">
                  <c:v>164.03364144512889</c:v>
                </c:pt>
                <c:pt idx="339">
                  <c:v>163.47773916633466</c:v>
                </c:pt>
                <c:pt idx="340">
                  <c:v>162.925551918319</c:v>
                </c:pt>
                <c:pt idx="341">
                  <c:v>162.37733305707724</c:v>
                </c:pt>
                <c:pt idx="342">
                  <c:v>161.8333479259675</c:v>
                </c:pt>
                <c:pt idx="343">
                  <c:v>161.29387332536325</c:v>
                </c:pt>
                <c:pt idx="344">
                  <c:v>160.75919691432173</c:v>
                </c:pt>
                <c:pt idx="345">
                  <c:v>160.22961654505437</c:v>
                </c:pt>
                <c:pt idx="346">
                  <c:v>159.70543953152125</c:v>
                </c:pt>
                <c:pt idx="347">
                  <c:v>159.18698185400515</c:v>
                </c:pt>
                <c:pt idx="348">
                  <c:v>158.67456730204643</c:v>
                </c:pt>
                <c:pt idx="349">
                  <c:v>158.16852655866126</c:v>
                </c:pt>
                <c:pt idx="350">
                  <c:v>157.66919622926693</c:v>
                </c:pt>
                <c:pt idx="351">
                  <c:v>157.17691781923205</c:v>
                </c:pt>
                <c:pt idx="352">
                  <c:v>156.69203666442741</c:v>
                </c:pt>
                <c:pt idx="353">
                  <c:v>156.21490081957171</c:v>
                </c:pt>
                <c:pt idx="354">
                  <c:v>155.74585990953534</c:v>
                </c:pt>
                <c:pt idx="355">
                  <c:v>155.28526394910554</c:v>
                </c:pt>
                <c:pt idx="356">
                  <c:v>154.83346213696248</c:v>
                </c:pt>
                <c:pt idx="357">
                  <c:v>154.39080162984243</c:v>
                </c:pt>
                <c:pt idx="358">
                  <c:v>153.95762630300422</c:v>
                </c:pt>
                <c:pt idx="359">
                  <c:v>153.53427550319614</c:v>
                </c:pt>
                <c:pt idx="360">
                  <c:v>153.1210828003488</c:v>
                </c:pt>
                <c:pt idx="361">
                  <c:v>152.71837474417049</c:v>
                </c:pt>
                <c:pt idx="362">
                  <c:v>152.32646963173309</c:v>
                </c:pt>
                <c:pt idx="363">
                  <c:v>151.94567629196604</c:v>
                </c:pt>
                <c:pt idx="364">
                  <c:v>151.57629289278881</c:v>
                </c:pt>
                <c:pt idx="365">
                  <c:v>151.21860577634857</c:v>
                </c:pt>
                <c:pt idx="366">
                  <c:v>150.87288832754956</c:v>
                </c:pt>
                <c:pt idx="367">
                  <c:v>150.53939988074202</c:v>
                </c:pt>
                <c:pt idx="368">
                  <c:v>150.21838466909338</c:v>
                </c:pt>
                <c:pt idx="369">
                  <c:v>149.91007082080895</c:v>
                </c:pt>
                <c:pt idx="370">
                  <c:v>149.6146694060015</c:v>
                </c:pt>
                <c:pt idx="371">
                  <c:v>149.33237353763889</c:v>
                </c:pt>
                <c:pt idx="372">
                  <c:v>149.06335752963361</c:v>
                </c:pt>
                <c:pt idx="373">
                  <c:v>148.8077761147878</c:v>
                </c:pt>
                <c:pt idx="374">
                  <c:v>148.56576372495789</c:v>
                </c:pt>
                <c:pt idx="375">
                  <c:v>148.33743383549546</c:v>
                </c:pt>
                <c:pt idx="376">
                  <c:v>148.12287837570724</c:v>
                </c:pt>
                <c:pt idx="377">
                  <c:v>147.9221672068135</c:v>
                </c:pt>
                <c:pt idx="378">
                  <c:v>147.73534766862835</c:v>
                </c:pt>
                <c:pt idx="379">
                  <c:v>147.56244419595438</c:v>
                </c:pt>
                <c:pt idx="380">
                  <c:v>147.40345800549068</c:v>
                </c:pt>
                <c:pt idx="381">
                  <c:v>147.25836685385653</c:v>
                </c:pt>
                <c:pt idx="382">
                  <c:v>147.1271248671778</c:v>
                </c:pt>
                <c:pt idx="383">
                  <c:v>147.00966244252493</c:v>
                </c:pt>
                <c:pt idx="384">
                  <c:v>146.90588622134638</c:v>
                </c:pt>
                <c:pt idx="385">
                  <c:v>146.81567913490846</c:v>
                </c:pt>
                <c:pt idx="386">
                  <c:v>146.73890052161164</c:v>
                </c:pt>
                <c:pt idx="387">
                  <c:v>146.67538631590455</c:v>
                </c:pt>
                <c:pt idx="388">
                  <c:v>146.62494930837252</c:v>
                </c:pt>
                <c:pt idx="389">
                  <c:v>146.58737947640677</c:v>
                </c:pt>
                <c:pt idx="390">
                  <c:v>146.56244438467277</c:v>
                </c:pt>
                <c:pt idx="391">
                  <c:v>146.54988965439836</c:v>
                </c:pt>
                <c:pt idx="392">
                  <c:v>146.54943950026811</c:v>
                </c:pt>
                <c:pt idx="393">
                  <c:v>146.56079733346812</c:v>
                </c:pt>
                <c:pt idx="394">
                  <c:v>146.58364642913924</c:v>
                </c:pt>
                <c:pt idx="395">
                  <c:v>146.61765065620611</c:v>
                </c:pt>
                <c:pt idx="396">
                  <c:v>146.66245526722759</c:v>
                </c:pt>
                <c:pt idx="397">
                  <c:v>146.71768774557862</c:v>
                </c:pt>
                <c:pt idx="398">
                  <c:v>146.7829587069121</c:v>
                </c:pt>
                <c:pt idx="399">
                  <c:v>146.85786285150297</c:v>
                </c:pt>
                <c:pt idx="400">
                  <c:v>146.94197996369456</c:v>
                </c:pt>
                <c:pt idx="401">
                  <c:v>147.03487595432367</c:v>
                </c:pt>
                <c:pt idx="402">
                  <c:v>147.13610394162993</c:v>
                </c:pt>
                <c:pt idx="403">
                  <c:v>147.24520536583742</c:v>
                </c:pt>
                <c:pt idx="404">
                  <c:v>147.36171113227522</c:v>
                </c:pt>
                <c:pt idx="405">
                  <c:v>147.48514277763093</c:v>
                </c:pt>
                <c:pt idx="406">
                  <c:v>147.61501365369296</c:v>
                </c:pt>
                <c:pt idx="407">
                  <c:v>147.75083012274024</c:v>
                </c:pt>
                <c:pt idx="408">
                  <c:v>147.89209275860159</c:v>
                </c:pt>
                <c:pt idx="409">
                  <c:v>148.03829754731626</c:v>
                </c:pt>
                <c:pt idx="410">
                  <c:v>148.18893708130304</c:v>
                </c:pt>
                <c:pt idx="411">
                  <c:v>148.3435017409833</c:v>
                </c:pt>
                <c:pt idx="412">
                  <c:v>148.50148085790013</c:v>
                </c:pt>
                <c:pt idx="413">
                  <c:v>148.66236385353824</c:v>
                </c:pt>
                <c:pt idx="414">
                  <c:v>148.82564134828237</c:v>
                </c:pt>
                <c:pt idx="415">
                  <c:v>148.9908062352292</c:v>
                </c:pt>
                <c:pt idx="416">
                  <c:v>149.15735471391045</c:v>
                </c:pt>
                <c:pt idx="417">
                  <c:v>149.32478727938215</c:v>
                </c:pt>
                <c:pt idx="418">
                  <c:v>149.49260966256841</c:v>
                </c:pt>
                <c:pt idx="419">
                  <c:v>149.66033371822431</c:v>
                </c:pt>
                <c:pt idx="420">
                  <c:v>149.82747825738568</c:v>
                </c:pt>
                <c:pt idx="421">
                  <c:v>149.99356982171633</c:v>
                </c:pt>
                <c:pt idx="422">
                  <c:v>150.15814339768875</c:v>
                </c:pt>
                <c:pt idx="423">
                  <c:v>150.32074306910866</c:v>
                </c:pt>
                <c:pt idx="424">
                  <c:v>150.48092260702876</c:v>
                </c:pt>
                <c:pt idx="425">
                  <c:v>150.63824599664986</c:v>
                </c:pt>
                <c:pt idx="426">
                  <c:v>150.79228790133905</c:v>
                </c:pt>
                <c:pt idx="427">
                  <c:v>150.94263406438975</c:v>
                </c:pt>
                <c:pt idx="428">
                  <c:v>151.08888164964742</c:v>
                </c:pt>
                <c:pt idx="429">
                  <c:v>151.23063952255387</c:v>
                </c:pt>
                <c:pt idx="430">
                  <c:v>151.36752847358525</c:v>
                </c:pt>
                <c:pt idx="431">
                  <c:v>151.49918138643162</c:v>
                </c:pt>
                <c:pt idx="432">
                  <c:v>151.62524335358543</c:v>
                </c:pt>
                <c:pt idx="433">
                  <c:v>151.74537174230775</c:v>
                </c:pt>
                <c:pt idx="434">
                  <c:v>151.8592362141672</c:v>
                </c:pt>
                <c:pt idx="435">
                  <c:v>151.96651870156037</c:v>
                </c:pt>
                <c:pt idx="436">
                  <c:v>152.06691334476284</c:v>
                </c:pt>
                <c:pt idx="437">
                  <c:v>152.1601263931847</c:v>
                </c:pt>
                <c:pt idx="438">
                  <c:v>152.2458760745711</c:v>
                </c:pt>
                <c:pt idx="439">
                  <c:v>152.32389243592689</c:v>
                </c:pt>
                <c:pt idx="440">
                  <c:v>152.39391715994196</c:v>
                </c:pt>
                <c:pt idx="441">
                  <c:v>152.45570336066683</c:v>
                </c:pt>
                <c:pt idx="442">
                  <c:v>152.50901536212595</c:v>
                </c:pt>
                <c:pt idx="443">
                  <c:v>152.5536284634648</c:v>
                </c:pt>
                <c:pt idx="444">
                  <c:v>152.58932869413505</c:v>
                </c:pt>
                <c:pt idx="445">
                  <c:v>152.61591256246572</c:v>
                </c:pt>
                <c:pt idx="446">
                  <c:v>152.63318680086107</c:v>
                </c:pt>
                <c:pt idx="447">
                  <c:v>152.64096811066793</c:v>
                </c:pt>
                <c:pt idx="448">
                  <c:v>152.63908290962283</c:v>
                </c:pt>
                <c:pt idx="449">
                  <c:v>152.62736708458445</c:v>
                </c:pt>
                <c:pt idx="450">
                  <c:v>152.60566575208674</c:v>
                </c:pt>
                <c:pt idx="451">
                  <c:v>152.57383302906101</c:v>
                </c:pt>
                <c:pt idx="452">
                  <c:v>152.53173181587215</c:v>
                </c:pt>
                <c:pt idx="453">
                  <c:v>152.47923359363548</c:v>
                </c:pt>
                <c:pt idx="454">
                  <c:v>152.41621823757626</c:v>
                </c:pt>
                <c:pt idx="455">
                  <c:v>152.34257384800966</c:v>
                </c:pt>
                <c:pt idx="456">
                  <c:v>152.25819660032062</c:v>
                </c:pt>
                <c:pt idx="457">
                  <c:v>152.16299061513647</c:v>
                </c:pt>
                <c:pt idx="458">
                  <c:v>152.056867849697</c:v>
                </c:pt>
                <c:pt idx="459">
                  <c:v>151.93974801123565</c:v>
                </c:pt>
                <c:pt idx="460">
                  <c:v>151.81155849300626</c:v>
                </c:pt>
                <c:pt idx="461">
                  <c:v>151.6722343334007</c:v>
                </c:pt>
                <c:pt idx="462">
                  <c:v>151.52171819842241</c:v>
                </c:pt>
                <c:pt idx="463">
                  <c:v>151.35996038759947</c:v>
                </c:pt>
                <c:pt idx="464">
                  <c:v>151.18691886323504</c:v>
                </c:pt>
                <c:pt idx="465">
                  <c:v>151.00255930271879</c:v>
                </c:pt>
                <c:pt idx="466">
                  <c:v>150.80685517343042</c:v>
                </c:pt>
                <c:pt idx="467">
                  <c:v>150.5997878295922</c:v>
                </c:pt>
                <c:pt idx="468">
                  <c:v>150.38134663023985</c:v>
                </c:pt>
                <c:pt idx="469">
                  <c:v>150.15152907729146</c:v>
                </c:pt>
                <c:pt idx="470">
                  <c:v>149.91034097251884</c:v>
                </c:pt>
                <c:pt idx="471">
                  <c:v>149.65779659202244</c:v>
                </c:pt>
                <c:pt idx="472">
                  <c:v>149.39391887664112</c:v>
                </c:pt>
                <c:pt idx="473">
                  <c:v>149.11873963652289</c:v>
                </c:pt>
                <c:pt idx="474">
                  <c:v>148.8322997679079</c:v>
                </c:pt>
                <c:pt idx="475">
                  <c:v>148.53464947998148</c:v>
                </c:pt>
                <c:pt idx="476">
                  <c:v>148.22584852948131</c:v>
                </c:pt>
                <c:pt idx="477">
                  <c:v>147.90596646055394</c:v>
                </c:pt>
                <c:pt idx="478">
                  <c:v>147.5750828471962</c:v>
                </c:pt>
                <c:pt idx="479">
                  <c:v>147.23328753544891</c:v>
                </c:pt>
                <c:pt idx="480">
                  <c:v>146.8806808823569</c:v>
                </c:pt>
                <c:pt idx="481">
                  <c:v>146.51737398858054</c:v>
                </c:pt>
                <c:pt idx="482">
                  <c:v>146.14348892141194</c:v>
                </c:pt>
                <c:pt idx="483">
                  <c:v>145.75915892485585</c:v>
                </c:pt>
                <c:pt idx="484">
                  <c:v>145.36452861335087</c:v>
                </c:pt>
                <c:pt idx="485">
                  <c:v>144.95975414565305</c:v>
                </c:pt>
                <c:pt idx="486">
                  <c:v>144.54500337538093</c:v>
                </c:pt>
                <c:pt idx="487">
                  <c:v>144.12045597472351</c:v>
                </c:pt>
                <c:pt idx="488">
                  <c:v>143.68630352785902</c:v>
                </c:pt>
                <c:pt idx="489">
                  <c:v>143.24274959069919</c:v>
                </c:pt>
                <c:pt idx="490">
                  <c:v>142.79000971370633</c:v>
                </c:pt>
                <c:pt idx="491">
                  <c:v>142.32831142467487</c:v>
                </c:pt>
                <c:pt idx="492">
                  <c:v>141.85789416857585</c:v>
                </c:pt>
                <c:pt idx="493">
                  <c:v>141.37900920181258</c:v>
                </c:pt>
                <c:pt idx="494">
                  <c:v>140.89191943851122</c:v>
                </c:pt>
                <c:pt idx="495">
                  <c:v>140.39689924681127</c:v>
                </c:pt>
                <c:pt idx="496">
                  <c:v>139.89423419348839</c:v>
                </c:pt>
                <c:pt idx="497">
                  <c:v>139.38422073565346</c:v>
                </c:pt>
                <c:pt idx="498">
                  <c:v>138.86716585871397</c:v>
                </c:pt>
                <c:pt idx="499">
                  <c:v>138.34338666026528</c:v>
                </c:pt>
                <c:pt idx="500">
                  <c:v>137.81320988008173</c:v>
                </c:pt>
                <c:pt idx="501">
                  <c:v>137.27697137689421</c:v>
                </c:pt>
                <c:pt idx="502">
                  <c:v>136.73501555318867</c:v>
                </c:pt>
                <c:pt idx="503">
                  <c:v>136.18769472978596</c:v>
                </c:pt>
                <c:pt idx="504">
                  <c:v>135.63536847252377</c:v>
                </c:pt>
                <c:pt idx="505">
                  <c:v>135.07840287387327</c:v>
                </c:pt>
                <c:pt idx="506">
                  <c:v>134.517169792847</c:v>
                </c:pt>
                <c:pt idx="507">
                  <c:v>133.95204605703779</c:v>
                </c:pt>
                <c:pt idx="508">
                  <c:v>133.38341263106949</c:v>
                </c:pt>
                <c:pt idx="509">
                  <c:v>132.81165375616655</c:v>
                </c:pt>
                <c:pt idx="510">
                  <c:v>132.23715606588331</c:v>
                </c:pt>
                <c:pt idx="511">
                  <c:v>131.66030768335665</c:v>
                </c:pt>
                <c:pt idx="512">
                  <c:v>131.08149730566589</c:v>
                </c:pt>
                <c:pt idx="513">
                  <c:v>130.50111328107022</c:v>
                </c:pt>
                <c:pt idx="514">
                  <c:v>129.91954268498765</c:v>
                </c:pt>
                <c:pt idx="515">
                  <c:v>129.33717040061399</c:v>
                </c:pt>
                <c:pt idx="516">
                  <c:v>128.75437821003996</c:v>
                </c:pt>
                <c:pt idx="517">
                  <c:v>128.17154390161232</c:v>
                </c:pt>
                <c:pt idx="518">
                  <c:v>127.58904039910249</c:v>
                </c:pt>
                <c:pt idx="519">
                  <c:v>127.0072349180042</c:v>
                </c:pt>
                <c:pt idx="520">
                  <c:v>126.42648815397055</c:v>
                </c:pt>
                <c:pt idx="521">
                  <c:v>125.84715350804483</c:v>
                </c:pt>
                <c:pt idx="522">
                  <c:v>125.26957635292457</c:v>
                </c:pt>
                <c:pt idx="523">
                  <c:v>124.69409334405496</c:v>
                </c:pt>
                <c:pt idx="524">
                  <c:v>124.12103177885766</c:v>
                </c:pt>
                <c:pt idx="525">
                  <c:v>123.5507090069013</c:v>
                </c:pt>
                <c:pt idx="526">
                  <c:v>122.98343189329398</c:v>
                </c:pt>
                <c:pt idx="527">
                  <c:v>122.41949633704382</c:v>
                </c:pt>
                <c:pt idx="528">
                  <c:v>121.85918684561432</c:v>
                </c:pt>
                <c:pt idx="529">
                  <c:v>121.30277616636309</c:v>
                </c:pt>
                <c:pt idx="530">
                  <c:v>120.75052497506901</c:v>
                </c:pt>
                <c:pt idx="531">
                  <c:v>120.20268162124287</c:v>
                </c:pt>
                <c:pt idx="532">
                  <c:v>119.65948192948295</c:v>
                </c:pt>
                <c:pt idx="533">
                  <c:v>119.12114905569554</c:v>
                </c:pt>
                <c:pt idx="534">
                  <c:v>118.58789339662597</c:v>
                </c:pt>
                <c:pt idx="535">
                  <c:v>118.05991255078636</c:v>
                </c:pt>
                <c:pt idx="536">
                  <c:v>117.53739132857018</c:v>
                </c:pt>
                <c:pt idx="537">
                  <c:v>117.02050180906733</c:v>
                </c:pt>
                <c:pt idx="538">
                  <c:v>116.50940344088768</c:v>
                </c:pt>
                <c:pt idx="539">
                  <c:v>116.00424318411338</c:v>
                </c:pt>
                <c:pt idx="540">
                  <c:v>115.5051556903656</c:v>
                </c:pt>
                <c:pt idx="541">
                  <c:v>115.01226351788141</c:v>
                </c:pt>
              </c:numCache>
            </c:numRef>
          </c:yVal>
          <c:smooth val="1"/>
          <c:extLst>
            <c:ext xmlns:c16="http://schemas.microsoft.com/office/drawing/2014/chart" uri="{C3380CC4-5D6E-409C-BE32-E72D297353CC}">
              <c16:uniqueId val="{00000001-69E5-488F-8178-EA81D5C894E7}"/>
            </c:ext>
          </c:extLst>
        </c:ser>
        <c:dLbls>
          <c:showLegendKey val="0"/>
          <c:showVal val="0"/>
          <c:showCatName val="0"/>
          <c:showSerName val="0"/>
          <c:showPercent val="0"/>
          <c:showBubbleSize val="0"/>
        </c:dLbls>
        <c:axId val="555250048"/>
        <c:axId val="555235968"/>
      </c:scatterChart>
      <c:valAx>
        <c:axId val="555231872"/>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555234048"/>
        <c:crosses val="autoZero"/>
        <c:crossBetween val="midCat"/>
      </c:valAx>
      <c:valAx>
        <c:axId val="555234048"/>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555231872"/>
        <c:crosses val="autoZero"/>
        <c:crossBetween val="midCat"/>
        <c:majorUnit val="20"/>
        <c:minorUnit val="10"/>
      </c:valAx>
      <c:valAx>
        <c:axId val="555235968"/>
        <c:scaling>
          <c:orientation val="minMax"/>
          <c:max val="180"/>
          <c:min val="-180"/>
        </c:scaling>
        <c:delete val="0"/>
        <c:axPos val="r"/>
        <c:numFmt formatCode="General" sourceLinked="1"/>
        <c:majorTickMark val="out"/>
        <c:minorTickMark val="none"/>
        <c:tickLblPos val="nextTo"/>
        <c:crossAx val="555250048"/>
        <c:crosses val="max"/>
        <c:crossBetween val="midCat"/>
        <c:majorUnit val="90"/>
        <c:minorUnit val="45"/>
      </c:valAx>
      <c:valAx>
        <c:axId val="555250048"/>
        <c:scaling>
          <c:logBase val="10"/>
          <c:orientation val="minMax"/>
        </c:scaling>
        <c:delete val="1"/>
        <c:axPos val="b"/>
        <c:numFmt formatCode="0.00" sourceLinked="1"/>
        <c:majorTickMark val="out"/>
        <c:minorTickMark val="none"/>
        <c:tickLblPos val="nextTo"/>
        <c:crossAx val="555235968"/>
        <c:crosses val="autoZero"/>
        <c:crossBetween val="midCat"/>
      </c:valAx>
    </c:plotArea>
    <c:legend>
      <c:legendPos val="r"/>
      <c:layout>
        <c:manualLayout>
          <c:xMode val="edge"/>
          <c:yMode val="edge"/>
          <c:x val="0.79880558209512509"/>
          <c:y val="0.14321997959862004"/>
          <c:w val="0.13459449276057311"/>
          <c:h val="0.10691609861199437"/>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Error</a:t>
            </a:r>
            <a:r>
              <a:rPr lang="en-US" baseline="0"/>
              <a:t> Amplifier Transfer</a:t>
            </a:r>
          </a:p>
        </c:rich>
      </c:tx>
      <c:overlay val="0"/>
    </c:title>
    <c:autoTitleDeleted val="0"/>
    <c:plotArea>
      <c:layout/>
      <c:scatterChart>
        <c:scatterStyle val="smoothMarker"/>
        <c:varyColors val="0"/>
        <c:ser>
          <c:idx val="0"/>
          <c:order val="0"/>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Loop_Modeling!$BD$19:$BD$560</c:f>
              <c:numCache>
                <c:formatCode>General</c:formatCode>
                <c:ptCount val="542"/>
                <c:pt idx="0">
                  <c:v>1.3902420626394487</c:v>
                </c:pt>
                <c:pt idx="1">
                  <c:v>1.1913857675116553</c:v>
                </c:pt>
                <c:pt idx="2">
                  <c:v>0.99258305077298759</c:v>
                </c:pt>
                <c:pt idx="3">
                  <c:v>0.79383640655105736</c:v>
                </c:pt>
                <c:pt idx="4">
                  <c:v>0.59514844356113805</c:v>
                </c:pt>
                <c:pt idx="5">
                  <c:v>0.39652189022609702</c:v>
                </c:pt>
                <c:pt idx="6">
                  <c:v>0.19795960000974724</c:v>
                </c:pt>
                <c:pt idx="7">
                  <c:v>-5.3544302600803256E-4</c:v>
                </c:pt>
                <c:pt idx="8">
                  <c:v>-0.19896011843486064</c:v>
                </c:pt>
                <c:pt idx="9">
                  <c:v>-0.39731116336094663</c:v>
                </c:pt>
                <c:pt idx="10">
                  <c:v>-0.59558516626802394</c:v>
                </c:pt>
                <c:pt idx="11">
                  <c:v>-0.7937785604140446</c:v>
                </c:pt>
                <c:pt idx="12">
                  <c:v>-0.99188761706375628</c:v>
                </c:pt>
                <c:pt idx="13">
                  <c:v>-1.1899084384298426</c:v>
                </c:pt>
                <c:pt idx="14">
                  <c:v>-1.3878369503360961</c:v>
                </c:pt>
                <c:pt idx="15">
                  <c:v>-1.5856688945929089</c:v>
                </c:pt>
                <c:pt idx="16">
                  <c:v>-1.783399821077597</c:v>
                </c:pt>
                <c:pt idx="17">
                  <c:v>-1.9810250795113937</c:v>
                </c:pt>
                <c:pt idx="18">
                  <c:v>-2.1785398109250904</c:v>
                </c:pt>
                <c:pt idx="19">
                  <c:v>-2.375938938805811</c:v>
                </c:pt>
                <c:pt idx="20">
                  <c:v>-2.573217159916648</c:v>
                </c:pt>
                <c:pt idx="21">
                  <c:v>-2.7703689347830029</c:v>
                </c:pt>
                <c:pt idx="22">
                  <c:v>-2.9673884778379893</c:v>
                </c:pt>
                <c:pt idx="23">
                  <c:v>-3.1642697472203842</c:v>
                </c:pt>
                <c:pt idx="24">
                  <c:v>-3.3610064342200916</c:v>
                </c:pt>
                <c:pt idx="25">
                  <c:v>-3.557591952364497</c:v>
                </c:pt>
                <c:pt idx="26">
                  <c:v>-3.7540194261424835</c:v>
                </c:pt>
                <c:pt idx="27">
                  <c:v>-3.950281679360951</c:v>
                </c:pt>
                <c:pt idx="28">
                  <c:v>-4.1463712231322436</c:v>
                </c:pt>
                <c:pt idx="29">
                  <c:v>-4.3422802434894958</c:v>
                </c:pt>
                <c:pt idx="30">
                  <c:v>-4.5380005886302079</c:v>
                </c:pt>
                <c:pt idx="31">
                  <c:v>-4.7335237557877603</c:v>
                </c:pt>
                <c:pt idx="32">
                  <c:v>-4.9288408777343076</c:v>
                </c:pt>
                <c:pt idx="33">
                  <c:v>-5.1239427089172658</c:v>
                </c:pt>
                <c:pt idx="34">
                  <c:v>-5.3188196112366537</c:v>
                </c:pt>
                <c:pt idx="35">
                  <c:v>-5.5134615394697226</c:v>
                </c:pt>
                <c:pt idx="36">
                  <c:v>-5.7078580263537484</c:v>
                </c:pt>
                <c:pt idx="37">
                  <c:v>-5.9019981673387445</c:v>
                </c:pt>
                <c:pt idx="38">
                  <c:v>-6.0958706050254836</c:v>
                </c:pt>
                <c:pt idx="39">
                  <c:v>-6.2894635133070196</c:v>
                </c:pt>
                <c:pt idx="40">
                  <c:v>-6.4827645812349246</c:v>
                </c:pt>
                <c:pt idx="41">
                  <c:v>-6.6757609966346196</c:v>
                </c:pt>
                <c:pt idx="42">
                  <c:v>-6.8684394294991939</c:v>
                </c:pt>
                <c:pt idx="43">
                  <c:v>-7.0607860151935666</c:v>
                </c:pt>
                <c:pt idx="44">
                  <c:v>-7.2527863375063726</c:v>
                </c:pt>
                <c:pt idx="45">
                  <c:v>-7.4444254115915296</c:v>
                </c:pt>
                <c:pt idx="46">
                  <c:v>-7.6356876668459117</c:v>
                </c:pt>
                <c:pt idx="47">
                  <c:v>-7.8265569297755917</c:v>
                </c:pt>
                <c:pt idx="48">
                  <c:v>-8.0170164069085263</c:v>
                </c:pt>
                <c:pt idx="49">
                  <c:v>-8.2070486678176131</c:v>
                </c:pt>
                <c:pt idx="50">
                  <c:v>-8.3966356283245602</c:v>
                </c:pt>
                <c:pt idx="51">
                  <c:v>-8.5857585339616787</c:v>
                </c:pt>
                <c:pt idx="52">
                  <c:v>-8.7743979437758632</c:v>
                </c:pt>
                <c:pt idx="53">
                  <c:v>-8.9625337145662911</c:v>
                </c:pt>
                <c:pt idx="54">
                  <c:v>-9.1501449856547126</c:v>
                </c:pt>
                <c:pt idx="55">
                  <c:v>-9.3372101642960672</c:v>
                </c:pt>
                <c:pt idx="56">
                  <c:v>-9.5237069118438971</c:v>
                </c:pt>
                <c:pt idx="57">
                  <c:v>-9.7096121307944934</c:v>
                </c:pt>
                <c:pt idx="58">
                  <c:v>-9.8949019528415061</c:v>
                </c:pt>
                <c:pt idx="59">
                  <c:v>-10.079551728081119</c:v>
                </c:pt>
                <c:pt idx="60">
                  <c:v>-10.263536015516856</c:v>
                </c:pt>
                <c:pt idx="61">
                  <c:v>-10.446828575020833</c:v>
                </c:pt>
                <c:pt idx="62">
                  <c:v>-10.629402360916531</c:v>
                </c:pt>
                <c:pt idx="63">
                  <c:v>-10.811229517356205</c:v>
                </c:pt>
                <c:pt idx="64">
                  <c:v>-10.992281375673427</c:v>
                </c:pt>
                <c:pt idx="65">
                  <c:v>-11.172528453897039</c:v>
                </c:pt>
                <c:pt idx="66">
                  <c:v>-11.351940458620682</c:v>
                </c:pt>
                <c:pt idx="67">
                  <c:v>-11.530486289425747</c:v>
                </c:pt>
                <c:pt idx="68">
                  <c:v>-11.708134046059861</c:v>
                </c:pt>
                <c:pt idx="69">
                  <c:v>-11.884851038577208</c:v>
                </c:pt>
                <c:pt idx="70">
                  <c:v>-12.060603800646215</c:v>
                </c:pt>
                <c:pt idx="71">
                  <c:v>-12.235358106232555</c:v>
                </c:pt>
                <c:pt idx="72">
                  <c:v>-12.409078989860484</c:v>
                </c:pt>
                <c:pt idx="73">
                  <c:v>-12.581730770655046</c:v>
                </c:pt>
                <c:pt idx="74">
                  <c:v>-12.753277080356666</c:v>
                </c:pt>
                <c:pt idx="75">
                  <c:v>-12.923680895495306</c:v>
                </c:pt>
                <c:pt idx="76">
                  <c:v>-13.09290457389714</c:v>
                </c:pt>
                <c:pt idx="77">
                  <c:v>-13.260909895682513</c:v>
                </c:pt>
                <c:pt idx="78">
                  <c:v>-13.427658108897891</c:v>
                </c:pt>
                <c:pt idx="79">
                  <c:v>-13.593109979901181</c:v>
                </c:pt>
                <c:pt idx="80">
                  <c:v>-13.757225848599292</c:v>
                </c:pt>
                <c:pt idx="81">
                  <c:v>-13.919965688606236</c:v>
                </c:pt>
                <c:pt idx="82">
                  <c:v>-14.081289172360368</c:v>
                </c:pt>
                <c:pt idx="83">
                  <c:v>-14.241155741206555</c:v>
                </c:pt>
                <c:pt idx="84">
                  <c:v>-14.399524680408541</c:v>
                </c:pt>
                <c:pt idx="85">
                  <c:v>-14.556355199019018</c:v>
                </c:pt>
                <c:pt idx="86">
                  <c:v>-14.711606514488484</c:v>
                </c:pt>
                <c:pt idx="87">
                  <c:v>-14.865237941849427</c:v>
                </c:pt>
                <c:pt idx="88">
                  <c:v>-15.017208987263437</c:v>
                </c:pt>
                <c:pt idx="89">
                  <c:v>-15.167479445665503</c:v>
                </c:pt>
                <c:pt idx="90">
                  <c:v>-15.316009502191237</c:v>
                </c:pt>
                <c:pt idx="91">
                  <c:v>-15.46275983701835</c:v>
                </c:pt>
                <c:pt idx="92">
                  <c:v>-15.60769173319909</c:v>
                </c:pt>
                <c:pt idx="93">
                  <c:v>-15.750767187010277</c:v>
                </c:pt>
                <c:pt idx="94">
                  <c:v>-15.891949020296224</c:v>
                </c:pt>
                <c:pt idx="95">
                  <c:v>-16.031200994229934</c:v>
                </c:pt>
                <c:pt idx="96">
                  <c:v>-16.168487923873155</c:v>
                </c:pt>
                <c:pt idx="97">
                  <c:v>-16.303775792875811</c:v>
                </c:pt>
                <c:pt idx="98">
                  <c:v>-16.437031867616746</c:v>
                </c:pt>
                <c:pt idx="99">
                  <c:v>-16.568224810058783</c:v>
                </c:pt>
                <c:pt idx="100">
                  <c:v>-16.697324788567165</c:v>
                </c:pt>
                <c:pt idx="101">
                  <c:v>-16.824303585923552</c:v>
                </c:pt>
                <c:pt idx="102">
                  <c:v>-16.94913470376023</c:v>
                </c:pt>
                <c:pt idx="103">
                  <c:v>-17.07179346264002</c:v>
                </c:pt>
                <c:pt idx="104">
                  <c:v>-17.192257097016284</c:v>
                </c:pt>
                <c:pt idx="105">
                  <c:v>-17.310504844328683</c:v>
                </c:pt>
                <c:pt idx="106">
                  <c:v>-17.426518027516082</c:v>
                </c:pt>
                <c:pt idx="107">
                  <c:v>-17.540280130270666</c:v>
                </c:pt>
                <c:pt idx="108">
                  <c:v>-17.65177686440159</c:v>
                </c:pt>
                <c:pt idx="109">
                  <c:v>-17.760996228734111</c:v>
                </c:pt>
                <c:pt idx="110">
                  <c:v>-17.867928559036898</c:v>
                </c:pt>
                <c:pt idx="111">
                  <c:v>-17.972566568539566</c:v>
                </c:pt>
                <c:pt idx="112">
                  <c:v>-18.074905378683624</c:v>
                </c:pt>
                <c:pt idx="113">
                  <c:v>-18.174942539833303</c:v>
                </c:pt>
                <c:pt idx="114">
                  <c:v>-18.272678041761253</c:v>
                </c:pt>
                <c:pt idx="115">
                  <c:v>-18.368114313815362</c:v>
                </c:pt>
                <c:pt idx="116">
                  <c:v>-18.461256214766021</c:v>
                </c:pt>
                <c:pt idx="117">
                  <c:v>-18.552111012424607</c:v>
                </c:pt>
                <c:pt idx="118">
                  <c:v>-18.640688353217335</c:v>
                </c:pt>
                <c:pt idx="119">
                  <c:v>-18.727000221984898</c:v>
                </c:pt>
                <c:pt idx="120">
                  <c:v>-18.811060892364246</c:v>
                </c:pt>
                <c:pt idx="121">
                  <c:v>-18.892886868186707</c:v>
                </c:pt>
                <c:pt idx="122">
                  <c:v>-18.972496816401183</c:v>
                </c:pt>
                <c:pt idx="123">
                  <c:v>-19.049911492092246</c:v>
                </c:pt>
                <c:pt idx="124">
                  <c:v>-19.12515365622567</c:v>
                </c:pt>
                <c:pt idx="125">
                  <c:v>-19.19824798679582</c:v>
                </c:pt>
                <c:pt idx="126">
                  <c:v>-19.269220984092343</c:v>
                </c:pt>
                <c:pt idx="127">
                  <c:v>-19.338100870831465</c:v>
                </c:pt>
                <c:pt idx="128">
                  <c:v>-19.404917487916261</c:v>
                </c:pt>
                <c:pt idx="129">
                  <c:v>-19.469702186599953</c:v>
                </c:pt>
                <c:pt idx="130">
                  <c:v>-19.532487717830275</c:v>
                </c:pt>
                <c:pt idx="131">
                  <c:v>-19.593308119539852</c:v>
                </c:pt>
                <c:pt idx="132">
                  <c:v>-19.652198602637782</c:v>
                </c:pt>
                <c:pt idx="133">
                  <c:v>-19.709195436427159</c:v>
                </c:pt>
                <c:pt idx="134">
                  <c:v>-19.764335834149847</c:v>
                </c:pt>
                <c:pt idx="135">
                  <c:v>-19.817657839318031</c:v>
                </c:pt>
                <c:pt idx="136">
                  <c:v>-19.869200213453979</c:v>
                </c:pt>
                <c:pt idx="137">
                  <c:v>-19.919002325813434</c:v>
                </c:pt>
                <c:pt idx="138">
                  <c:v>-19.967104045619003</c:v>
                </c:pt>
                <c:pt idx="139">
                  <c:v>-20.013545637278753</c:v>
                </c:pt>
                <c:pt idx="140">
                  <c:v>-20.05836765901509</c:v>
                </c:pt>
                <c:pt idx="141">
                  <c:v>-20.101610865271997</c:v>
                </c:pt>
                <c:pt idx="142">
                  <c:v>-20.143316113220713</c:v>
                </c:pt>
                <c:pt idx="143">
                  <c:v>-20.183524273627075</c:v>
                </c:pt>
                <c:pt idx="144">
                  <c:v>-20.222276146296203</c:v>
                </c:pt>
                <c:pt idx="145">
                  <c:v>-20.259612380260226</c:v>
                </c:pt>
                <c:pt idx="146">
                  <c:v>-20.295573398827468</c:v>
                </c:pt>
                <c:pt idx="147">
                  <c:v>-20.330199329569517</c:v>
                </c:pt>
                <c:pt idx="148">
                  <c:v>-20.363529939279456</c:v>
                </c:pt>
                <c:pt idx="149">
                  <c:v>-20.395604573899124</c:v>
                </c:pt>
                <c:pt idx="150">
                  <c:v>-20.426462103376956</c:v>
                </c:pt>
                <c:pt idx="151">
                  <c:v>-20.456140871388818</c:v>
                </c:pt>
                <c:pt idx="152">
                  <c:v>-20.484678649825629</c:v>
                </c:pt>
                <c:pt idx="153">
                  <c:v>-20.51211259792732</c:v>
                </c:pt>
                <c:pt idx="154">
                  <c:v>-20.538479225923378</c:v>
                </c:pt>
                <c:pt idx="155">
                  <c:v>-20.563814363021105</c:v>
                </c:pt>
                <c:pt idx="156">
                  <c:v>-20.588153129568827</c:v>
                </c:pt>
                <c:pt idx="157">
                  <c:v>-20.611529913210006</c:v>
                </c:pt>
                <c:pt idx="158">
                  <c:v>-20.63397834883466</c:v>
                </c:pt>
                <c:pt idx="159">
                  <c:v>-20.655531302128974</c:v>
                </c:pt>
                <c:pt idx="160">
                  <c:v>-20.676220856518121</c:v>
                </c:pt>
                <c:pt idx="161">
                  <c:v>-20.696078303298087</c:v>
                </c:pt>
                <c:pt idx="162">
                  <c:v>-20.715134134748837</c:v>
                </c:pt>
                <c:pt idx="163">
                  <c:v>-20.733418040025096</c:v>
                </c:pt>
                <c:pt idx="164">
                  <c:v>-20.750958903622717</c:v>
                </c:pt>
                <c:pt idx="165">
                  <c:v>-20.767784806223133</c:v>
                </c:pt>
                <c:pt idx="166">
                  <c:v>-20.783923027723109</c:v>
                </c:pt>
                <c:pt idx="167">
                  <c:v>-20.799400052264048</c:v>
                </c:pt>
                <c:pt idx="168">
                  <c:v>-20.814241575080551</c:v>
                </c:pt>
                <c:pt idx="169">
                  <c:v>-20.828472510997006</c:v>
                </c:pt>
                <c:pt idx="170">
                  <c:v>-20.842117004406788</c:v>
                </c:pt>
                <c:pt idx="171">
                  <c:v>-20.855198440579017</c:v>
                </c:pt>
                <c:pt idx="172">
                  <c:v>-20.867739458144342</c:v>
                </c:pt>
                <c:pt idx="173">
                  <c:v>-20.879761962620481</c:v>
                </c:pt>
                <c:pt idx="174">
                  <c:v>-20.891287140847009</c:v>
                </c:pt>
                <c:pt idx="175">
                  <c:v>-20.902335476206751</c:v>
                </c:pt>
                <c:pt idx="176">
                  <c:v>-20.912926764519749</c:v>
                </c:pt>
                <c:pt idx="177">
                  <c:v>-20.923080130503806</c:v>
                </c:pt>
                <c:pt idx="178">
                  <c:v>-20.932814044704294</c:v>
                </c:pt>
                <c:pt idx="179">
                  <c:v>-20.942146340801855</c:v>
                </c:pt>
                <c:pt idx="180">
                  <c:v>-20.951094233216516</c:v>
                </c:pt>
                <c:pt idx="181">
                  <c:v>-20.959674334931528</c:v>
                </c:pt>
                <c:pt idx="182">
                  <c:v>-20.96790267546875</c:v>
                </c:pt>
                <c:pt idx="183">
                  <c:v>-20.975794718952901</c:v>
                </c:pt>
                <c:pt idx="184">
                  <c:v>-20.983365382208493</c:v>
                </c:pt>
                <c:pt idx="185">
                  <c:v>-20.990629052839409</c:v>
                </c:pt>
                <c:pt idx="186">
                  <c:v>-20.997599607245746</c:v>
                </c:pt>
                <c:pt idx="187">
                  <c:v>-21.004290428538166</c:v>
                </c:pt>
                <c:pt idx="188">
                  <c:v>-21.010714424315843</c:v>
                </c:pt>
                <c:pt idx="189">
                  <c:v>-21.01688404427588</c:v>
                </c:pt>
                <c:pt idx="190">
                  <c:v>-21.022811297629076</c:v>
                </c:pt>
                <c:pt idx="191">
                  <c:v>-21.028507770299754</c:v>
                </c:pt>
                <c:pt idx="192">
                  <c:v>-21.03398464189063</c:v>
                </c:pt>
                <c:pt idx="193">
                  <c:v>-21.03925270239629</c:v>
                </c:pt>
                <c:pt idx="194">
                  <c:v>-21.044322368655219</c:v>
                </c:pt>
                <c:pt idx="195">
                  <c:v>-21.04920370052897</c:v>
                </c:pt>
                <c:pt idx="196">
                  <c:v>-21.053906416801695</c:v>
                </c:pt>
                <c:pt idx="197">
                  <c:v>-21.058439910796899</c:v>
                </c:pt>
                <c:pt idx="198">
                  <c:v>-21.062813265707035</c:v>
                </c:pt>
                <c:pt idx="199">
                  <c:v>-21.067035269637799</c:v>
                </c:pt>
                <c:pt idx="200">
                  <c:v>-21.071114430366123</c:v>
                </c:pt>
                <c:pt idx="201">
                  <c:v>-21.075058989816998</c:v>
                </c:pt>
                <c:pt idx="202">
                  <c:v>-21.078876938262525</c:v>
                </c:pt>
                <c:pt idx="203">
                  <c:v>-21.082576028249271</c:v>
                </c:pt>
                <c:pt idx="204">
                  <c:v>-21.086163788260947</c:v>
                </c:pt>
                <c:pt idx="205">
                  <c:v>-21.089647536125227</c:v>
                </c:pt>
                <c:pt idx="206">
                  <c:v>-21.093034392172481</c:v>
                </c:pt>
                <c:pt idx="207">
                  <c:v>-21.096331292157842</c:v>
                </c:pt>
                <c:pt idx="208">
                  <c:v>-21.099544999956716</c:v>
                </c:pt>
                <c:pt idx="209">
                  <c:v>-21.102682120044719</c:v>
                </c:pt>
                <c:pt idx="210">
                  <c:v>-21.105749109775399</c:v>
                </c:pt>
                <c:pt idx="211">
                  <c:v>-21.108752291467091</c:v>
                </c:pt>
                <c:pt idx="212">
                  <c:v>-21.111697864312777</c:v>
                </c:pt>
                <c:pt idx="213">
                  <c:v>-21.114591916126177</c:v>
                </c:pt>
                <c:pt idx="214">
                  <c:v>-21.117440434938</c:v>
                </c:pt>
                <c:pt idx="215">
                  <c:v>-21.120249320456516</c:v>
                </c:pt>
                <c:pt idx="216">
                  <c:v>-21.123024395407445</c:v>
                </c:pt>
                <c:pt idx="217">
                  <c:v>-21.125771416766415</c:v>
                </c:pt>
                <c:pt idx="218">
                  <c:v>-21.128496086901187</c:v>
                </c:pt>
                <c:pt idx="219">
                  <c:v>-21.131204064636279</c:v>
                </c:pt>
                <c:pt idx="220">
                  <c:v>-21.133900976257436</c:v>
                </c:pt>
                <c:pt idx="221">
                  <c:v>-21.136592426468866</c:v>
                </c:pt>
                <c:pt idx="222">
                  <c:v>-21.139284009321702</c:v>
                </c:pt>
                <c:pt idx="223">
                  <c:v>-21.141981319125346</c:v>
                </c:pt>
                <c:pt idx="224">
                  <c:v>-21.144689961361053</c:v>
                </c:pt>
                <c:pt idx="225">
                  <c:v>-21.147415563610181</c:v>
                </c:pt>
                <c:pt idx="226">
                  <c:v>-21.150163786513684</c:v>
                </c:pt>
                <c:pt idx="227">
                  <c:v>-21.152940334779039</c:v>
                </c:pt>
                <c:pt idx="228">
                  <c:v>-21.155750968248764</c:v>
                </c:pt>
                <c:pt idx="229">
                  <c:v>-21.158601513045557</c:v>
                </c:pt>
                <c:pt idx="230">
                  <c:v>-21.161497872810401</c:v>
                </c:pt>
                <c:pt idx="231">
                  <c:v>-21.164446040047281</c:v>
                </c:pt>
                <c:pt idx="232">
                  <c:v>-21.167452107590513</c:v>
                </c:pt>
                <c:pt idx="233">
                  <c:v>-21.170522280206903</c:v>
                </c:pt>
                <c:pt idx="234">
                  <c:v>-21.173662886350026</c:v>
                </c:pt>
                <c:pt idx="235">
                  <c:v>-21.176880390077926</c:v>
                </c:pt>
                <c:pt idx="236">
                  <c:v>-21.180181403148612</c:v>
                </c:pt>
                <c:pt idx="237">
                  <c:v>-21.18357269730723</c:v>
                </c:pt>
                <c:pt idx="238">
                  <c:v>-21.187061216776023</c:v>
                </c:pt>
                <c:pt idx="239">
                  <c:v>-21.190654090960077</c:v>
                </c:pt>
                <c:pt idx="240">
                  <c:v>-21.194358647380827</c:v>
                </c:pt>
                <c:pt idx="241">
                  <c:v>-21.198182424845761</c:v>
                </c:pt>
                <c:pt idx="242">
                  <c:v>-21.202133186867588</c:v>
                </c:pt>
                <c:pt idx="243">
                  <c:v>-21.206218935339244</c:v>
                </c:pt>
                <c:pt idx="244">
                  <c:v>-21.210447924473787</c:v>
                </c:pt>
                <c:pt idx="245">
                  <c:v>-21.214828675016868</c:v>
                </c:pt>
                <c:pt idx="246">
                  <c:v>-21.219369988736219</c:v>
                </c:pt>
                <c:pt idx="247">
                  <c:v>-21.224080963193849</c:v>
                </c:pt>
                <c:pt idx="248">
                  <c:v>-21.228971006803331</c:v>
                </c:pt>
                <c:pt idx="249">
                  <c:v>-21.234049854173417</c:v>
                </c:pt>
                <c:pt idx="250">
                  <c:v>-21.239327581737811</c:v>
                </c:pt>
                <c:pt idx="251">
                  <c:v>-21.244814623668496</c:v>
                </c:pt>
                <c:pt idx="252">
                  <c:v>-21.250521788068262</c:v>
                </c:pt>
                <c:pt idx="253">
                  <c:v>-21.256460273434378</c:v>
                </c:pt>
                <c:pt idx="254">
                  <c:v>-21.262641685385354</c:v>
                </c:pt>
                <c:pt idx="255">
                  <c:v>-21.269078053636807</c:v>
                </c:pt>
                <c:pt idx="256">
                  <c:v>-21.275781849212056</c:v>
                </c:pt>
                <c:pt idx="257">
                  <c:v>-21.282766001867529</c:v>
                </c:pt>
                <c:pt idx="258">
                  <c:v>-21.290043917711117</c:v>
                </c:pt>
                <c:pt idx="259">
                  <c:v>-21.29762949698701</c:v>
                </c:pt>
                <c:pt idx="260">
                  <c:v>-21.305537151995715</c:v>
                </c:pt>
                <c:pt idx="261">
                  <c:v>-21.313781825115051</c:v>
                </c:pt>
                <c:pt idx="262">
                  <c:v>-21.322379006881491</c:v>
                </c:pt>
                <c:pt idx="263">
                  <c:v>-21.331344754086622</c:v>
                </c:pt>
                <c:pt idx="264">
                  <c:v>-21.340695707838684</c:v>
                </c:pt>
                <c:pt idx="265">
                  <c:v>-21.350449111532008</c:v>
                </c:pt>
                <c:pt idx="266">
                  <c:v>-21.360622828662315</c:v>
                </c:pt>
                <c:pt idx="267">
                  <c:v>-21.37123536041824</c:v>
                </c:pt>
                <c:pt idx="268">
                  <c:v>-21.382305862973308</c:v>
                </c:pt>
                <c:pt idx="269">
                  <c:v>-21.393854164395371</c:v>
                </c:pt>
                <c:pt idx="270">
                  <c:v>-21.405900781082671</c:v>
                </c:pt>
                <c:pt idx="271">
                  <c:v>-21.418466933628192</c:v>
                </c:pt>
                <c:pt idx="272">
                  <c:v>-21.43157456200672</c:v>
                </c:pt>
                <c:pt idx="273">
                  <c:v>-21.445246339968925</c:v>
                </c:pt>
                <c:pt idx="274">
                  <c:v>-21.45950568852086</c:v>
                </c:pt>
                <c:pt idx="275">
                  <c:v>-21.474376788357041</c:v>
                </c:pt>
                <c:pt idx="276">
                  <c:v>-21.489884591107391</c:v>
                </c:pt>
                <c:pt idx="277">
                  <c:v>-21.506054829250001</c:v>
                </c:pt>
                <c:pt idx="278">
                  <c:v>-21.522914024533168</c:v>
                </c:pt>
                <c:pt idx="279">
                  <c:v>-21.540489494741596</c:v>
                </c:pt>
                <c:pt idx="280">
                  <c:v>-21.558809358634971</c:v>
                </c:pt>
                <c:pt idx="281">
                  <c:v>-21.577902538878419</c:v>
                </c:pt>
                <c:pt idx="282">
                  <c:v>-21.597798762778378</c:v>
                </c:pt>
                <c:pt idx="283">
                  <c:v>-21.618528560631411</c:v>
                </c:pt>
                <c:pt idx="284">
                  <c:v>-21.640123261487659</c:v>
                </c:pt>
                <c:pt idx="285">
                  <c:v>-21.662614986127519</c:v>
                </c:pt>
                <c:pt idx="286">
                  <c:v>-21.686036637046566</c:v>
                </c:pt>
                <c:pt idx="287">
                  <c:v>-21.71042188524201</c:v>
                </c:pt>
                <c:pt idx="288">
                  <c:v>-21.735805153596736</c:v>
                </c:pt>
                <c:pt idx="289">
                  <c:v>-21.762221596654268</c:v>
                </c:pt>
                <c:pt idx="290">
                  <c:v>-21.789707076588453</c:v>
                </c:pt>
                <c:pt idx="291">
                  <c:v>-21.818298135172572</c:v>
                </c:pt>
                <c:pt idx="292">
                  <c:v>-21.848031961565219</c:v>
                </c:pt>
                <c:pt idx="293">
                  <c:v>-21.878946355740027</c:v>
                </c:pt>
                <c:pt idx="294">
                  <c:v>-21.911079687402967</c:v>
                </c:pt>
                <c:pt idx="295">
                  <c:v>-21.944470850256138</c:v>
                </c:pt>
                <c:pt idx="296">
                  <c:v>-21.979159211489542</c:v>
                </c:pt>
                <c:pt idx="297">
                  <c:v>-22.01518455640667</c:v>
                </c:pt>
                <c:pt idx="298">
                  <c:v>-22.052587028116577</c:v>
                </c:pt>
                <c:pt idx="299">
                  <c:v>-22.091407062256327</c:v>
                </c:pt>
                <c:pt idx="300">
                  <c:v>-22.1316853167421</c:v>
                </c:pt>
                <c:pt idx="301">
                  <c:v>-22.173462596586372</c:v>
                </c:pt>
                <c:pt idx="302">
                  <c:v>-22.216779773857283</c:v>
                </c:pt>
                <c:pt idx="303">
                  <c:v>-22.261677702902144</c:v>
                </c:pt>
                <c:pt idx="304">
                  <c:v>-22.308197131002654</c:v>
                </c:pt>
                <c:pt idx="305">
                  <c:v>-22.356378604679659</c:v>
                </c:pt>
                <c:pt idx="306">
                  <c:v>-22.406262371913712</c:v>
                </c:pt>
                <c:pt idx="307">
                  <c:v>-22.457888280603274</c:v>
                </c:pt>
                <c:pt idx="308">
                  <c:v>-22.511295673631714</c:v>
                </c:pt>
                <c:pt idx="309">
                  <c:v>-22.566523280970738</c:v>
                </c:pt>
                <c:pt idx="310">
                  <c:v>-22.623609109296957</c:v>
                </c:pt>
                <c:pt idx="311">
                  <c:v>-22.682590329651795</c:v>
                </c:pt>
                <c:pt idx="312">
                  <c:v>-22.7435031637213</c:v>
                </c:pt>
                <c:pt idx="313">
                  <c:v>-22.80638276935931</c:v>
                </c:pt>
                <c:pt idx="314">
                  <c:v>-22.871263126017052</c:v>
                </c:pt>
                <c:pt idx="315">
                  <c:v>-22.93817692077829</c:v>
                </c:pt>
                <c:pt idx="316">
                  <c:v>-23.007155435731583</c:v>
                </c:pt>
                <c:pt idx="317">
                  <c:v>-23.078228437429349</c:v>
                </c:pt>
                <c:pt idx="318">
                  <c:v>-23.151424069205522</c:v>
                </c:pt>
                <c:pt idx="319">
                  <c:v>-23.226768747125011</c:v>
                </c:pt>
                <c:pt idx="320">
                  <c:v>-23.304287060341601</c:v>
                </c:pt>
                <c:pt idx="321">
                  <c:v>-23.384001676626784</c:v>
                </c:pt>
                <c:pt idx="322">
                  <c:v>-23.465933253815038</c:v>
                </c:pt>
                <c:pt idx="323">
                  <c:v>-23.550100357878026</c:v>
                </c:pt>
                <c:pt idx="324">
                  <c:v>-23.636519388305111</c:v>
                </c:pt>
                <c:pt idx="325">
                  <c:v>-23.725204511415448</c:v>
                </c:pt>
                <c:pt idx="326">
                  <c:v>-23.8161676021716</c:v>
                </c:pt>
                <c:pt idx="327">
                  <c:v>-23.909418194998779</c:v>
                </c:pt>
                <c:pt idx="328">
                  <c:v>-24.004963444040758</c:v>
                </c:pt>
                <c:pt idx="329">
                  <c:v>-24.102808093204565</c:v>
                </c:pt>
                <c:pt idx="330">
                  <c:v>-24.202954456261388</c:v>
                </c:pt>
                <c:pt idx="331">
                  <c:v>-24.305402407181013</c:v>
                </c:pt>
                <c:pt idx="332">
                  <c:v>-24.410149380789864</c:v>
                </c:pt>
                <c:pt idx="333">
                  <c:v>-24.517190383744165</c:v>
                </c:pt>
                <c:pt idx="334">
                  <c:v>-24.6265180157217</c:v>
                </c:pt>
                <c:pt idx="335">
                  <c:v>-24.738122500643428</c:v>
                </c:pt>
                <c:pt idx="336">
                  <c:v>-24.851991727645768</c:v>
                </c:pt>
                <c:pt idx="337">
                  <c:v>-24.968111301443884</c:v>
                </c:pt>
                <c:pt idx="338">
                  <c:v>-25.086464601644746</c:v>
                </c:pt>
                <c:pt idx="339">
                  <c:v>-25.207032850498191</c:v>
                </c:pt>
                <c:pt idx="340">
                  <c:v>-25.329795188510182</c:v>
                </c:pt>
                <c:pt idx="341">
                  <c:v>-25.454728757283508</c:v>
                </c:pt>
                <c:pt idx="342">
                  <c:v>-25.581808788908415</c:v>
                </c:pt>
                <c:pt idx="343">
                  <c:v>-25.711008701182415</c:v>
                </c:pt>
                <c:pt idx="344">
                  <c:v>-25.84230019791374</c:v>
                </c:pt>
                <c:pt idx="345">
                  <c:v>-25.97565337354375</c:v>
                </c:pt>
                <c:pt idx="346">
                  <c:v>-26.111036821310705</c:v>
                </c:pt>
                <c:pt idx="347">
                  <c:v>-26.248417744182376</c:v>
                </c:pt>
                <c:pt idx="348">
                  <c:v>-26.387762067788827</c:v>
                </c:pt>
                <c:pt idx="349">
                  <c:v>-26.529034554606081</c:v>
                </c:pt>
                <c:pt idx="350">
                  <c:v>-26.672198918663952</c:v>
                </c:pt>
                <c:pt idx="351">
                  <c:v>-26.817217940083225</c:v>
                </c:pt>
                <c:pt idx="352">
                  <c:v>-26.964053578783428</c:v>
                </c:pt>
                <c:pt idx="353">
                  <c:v>-27.112667086743038</c:v>
                </c:pt>
                <c:pt idx="354">
                  <c:v>-27.263019118242234</c:v>
                </c:pt>
                <c:pt idx="355">
                  <c:v>-27.415069837563721</c:v>
                </c:pt>
                <c:pt idx="356">
                  <c:v>-27.568779023680804</c:v>
                </c:pt>
                <c:pt idx="357">
                  <c:v>-27.724106171513512</c:v>
                </c:pt>
                <c:pt idx="358">
                  <c:v>-27.881010589385649</c:v>
                </c:pt>
                <c:pt idx="359">
                  <c:v>-28.039451492369626</c:v>
                </c:pt>
                <c:pt idx="360">
                  <c:v>-28.199388091258527</c:v>
                </c:pt>
                <c:pt idx="361">
                  <c:v>-28.360779676953463</c:v>
                </c:pt>
                <c:pt idx="362">
                  <c:v>-28.523585700105478</c:v>
                </c:pt>
                <c:pt idx="363">
                  <c:v>-28.687765845895502</c:v>
                </c:pt>
                <c:pt idx="364">
                  <c:v>-28.853280103881175</c:v>
                </c:pt>
                <c:pt idx="365">
                  <c:v>-29.020088832878645</c:v>
                </c:pt>
                <c:pt idx="366">
                  <c:v>-29.188152820886117</c:v>
                </c:pt>
                <c:pt idx="367">
                  <c:v>-29.357433340089262</c:v>
                </c:pt>
                <c:pt idx="368">
                  <c:v>-29.527892197019028</c:v>
                </c:pt>
                <c:pt idx="369">
                  <c:v>-29.699491777960475</c:v>
                </c:pt>
                <c:pt idx="370">
                  <c:v>-29.872195089734568</c:v>
                </c:pt>
                <c:pt idx="371">
                  <c:v>-30.045965795995599</c:v>
                </c:pt>
                <c:pt idx="372">
                  <c:v>-30.220768249203559</c:v>
                </c:pt>
                <c:pt idx="373">
                  <c:v>-30.396567518446986</c:v>
                </c:pt>
                <c:pt idx="374">
                  <c:v>-30.57332941330035</c:v>
                </c:pt>
                <c:pt idx="375">
                  <c:v>-30.751020503911768</c:v>
                </c:pt>
                <c:pt idx="376">
                  <c:v>-30.929608137520908</c:v>
                </c:pt>
                <c:pt idx="377">
                  <c:v>-31.109060451611853</c:v>
                </c:pt>
                <c:pt idx="378">
                  <c:v>-31.289346383908132</c:v>
                </c:pt>
                <c:pt idx="379">
                  <c:v>-31.470435679416244</c:v>
                </c:pt>
                <c:pt idx="380">
                  <c:v>-31.652298894722595</c:v>
                </c:pt>
                <c:pt idx="381">
                  <c:v>-31.834907399746662</c:v>
                </c:pt>
                <c:pt idx="382">
                  <c:v>-32.018233377148746</c:v>
                </c:pt>
                <c:pt idx="383">
                  <c:v>-32.202249819584068</c:v>
                </c:pt>
                <c:pt idx="384">
                  <c:v>-32.3869305249913</c:v>
                </c:pt>
                <c:pt idx="385">
                  <c:v>-32.572250090094329</c:v>
                </c:pt>
                <c:pt idx="386">
                  <c:v>-32.758183902291179</c:v>
                </c:pt>
                <c:pt idx="387">
                  <c:v>-32.944708130093147</c:v>
                </c:pt>
                <c:pt idx="388">
                  <c:v>-33.13179971227261</c:v>
                </c:pt>
                <c:pt idx="389">
                  <c:v>-33.319436345866421</c:v>
                </c:pt>
                <c:pt idx="390">
                  <c:v>-33.507596473174928</c:v>
                </c:pt>
                <c:pt idx="391">
                  <c:v>-33.696259267889943</c:v>
                </c:pt>
                <c:pt idx="392">
                  <c:v>-33.885404620471448</c:v>
                </c:pt>
                <c:pt idx="393">
                  <c:v>-34.075013122890823</c:v>
                </c:pt>
                <c:pt idx="394">
                  <c:v>-34.265066052845555</c:v>
                </c:pt>
                <c:pt idx="395">
                  <c:v>-34.455545357545233</c:v>
                </c:pt>
                <c:pt idx="396">
                  <c:v>-34.646433637158808</c:v>
                </c:pt>
                <c:pt idx="397">
                  <c:v>-34.837714128008699</c:v>
                </c:pt>
                <c:pt idx="398">
                  <c:v>-35.029370685586493</c:v>
                </c:pt>
                <c:pt idx="399">
                  <c:v>-35.221387767462886</c:v>
                </c:pt>
                <c:pt idx="400">
                  <c:v>-35.413750416152311</c:v>
                </c:pt>
                <c:pt idx="401">
                  <c:v>-35.606444241992982</c:v>
                </c:pt>
                <c:pt idx="402">
                  <c:v>-35.79945540609274</c:v>
                </c:pt>
                <c:pt idx="403">
                  <c:v>-35.992770603386916</c:v>
                </c:pt>
                <c:pt idx="404">
                  <c:v>-36.186377045850882</c:v>
                </c:pt>
                <c:pt idx="405">
                  <c:v>-36.380262445903867</c:v>
                </c:pt>
                <c:pt idx="406">
                  <c:v>-36.574415000035295</c:v>
                </c:pt>
                <c:pt idx="407">
                  <c:v>-36.768823372683556</c:v>
                </c:pt>
                <c:pt idx="408">
                  <c:v>-36.96347668039121</c:v>
                </c:pt>
                <c:pt idx="409">
                  <c:v>-37.15836447625761</c:v>
                </c:pt>
                <c:pt idx="410">
                  <c:v>-37.353476734706945</c:v>
                </c:pt>
                <c:pt idx="411">
                  <c:v>-37.548803836586913</c:v>
                </c:pt>
                <c:pt idx="412">
                  <c:v>-37.744336554609824</c:v>
                </c:pt>
                <c:pt idx="413">
                  <c:v>-37.940066039147155</c:v>
                </c:pt>
                <c:pt idx="414">
                  <c:v>-38.135983804382775</c:v>
                </c:pt>
                <c:pt idx="415">
                  <c:v>-38.332081714833528</c:v>
                </c:pt>
                <c:pt idx="416">
                  <c:v>-38.528351972238745</c:v>
                </c:pt>
                <c:pt idx="417">
                  <c:v>-38.724787102820521</c:v>
                </c:pt>
                <c:pt idx="418">
                  <c:v>-38.921379944917831</c:v>
                </c:pt>
                <c:pt idx="419">
                  <c:v>-39.118123636990418</c:v>
                </c:pt>
                <c:pt idx="420">
                  <c:v>-39.315011605994073</c:v>
                </c:pt>
                <c:pt idx="421">
                  <c:v>-39.512037556120347</c:v>
                </c:pt>
                <c:pt idx="422">
                  <c:v>-39.709195457901885</c:v>
                </c:pt>
                <c:pt idx="423">
                  <c:v>-39.906479537672951</c:v>
                </c:pt>
                <c:pt idx="424">
                  <c:v>-40.103884267385325</c:v>
                </c:pt>
                <c:pt idx="425">
                  <c:v>-40.301404354769517</c:v>
                </c:pt>
                <c:pt idx="426">
                  <c:v>-40.49903473383673</c:v>
                </c:pt>
                <c:pt idx="427">
                  <c:v>-40.696770555715048</c:v>
                </c:pt>
                <c:pt idx="428">
                  <c:v>-40.894607179810613</c:v>
                </c:pt>
                <c:pt idx="429">
                  <c:v>-41.09254016528886</c:v>
                </c:pt>
                <c:pt idx="430">
                  <c:v>-41.290565262865684</c:v>
                </c:pt>
                <c:pt idx="431">
                  <c:v>-41.488678406901997</c:v>
                </c:pt>
                <c:pt idx="432">
                  <c:v>-41.68687570779344</c:v>
                </c:pt>
                <c:pt idx="433">
                  <c:v>-41.885153444646505</c:v>
                </c:pt>
                <c:pt idx="434">
                  <c:v>-42.083508058232646</c:v>
                </c:pt>
                <c:pt idx="435">
                  <c:v>-42.281936144214058</c:v>
                </c:pt>
                <c:pt idx="436">
                  <c:v>-42.480434446630049</c:v>
                </c:pt>
                <c:pt idx="437">
                  <c:v>-42.67899985163794</c:v>
                </c:pt>
                <c:pt idx="438">
                  <c:v>-42.877629381500064</c:v>
                </c:pt>
                <c:pt idx="439">
                  <c:v>-43.076320188807635</c:v>
                </c:pt>
                <c:pt idx="440">
                  <c:v>-43.275069550935463</c:v>
                </c:pt>
                <c:pt idx="441">
                  <c:v>-43.473874864717565</c:v>
                </c:pt>
                <c:pt idx="442">
                  <c:v>-43.672733641338546</c:v>
                </c:pt>
                <c:pt idx="443">
                  <c:v>-43.871643501430846</c:v>
                </c:pt>
                <c:pt idx="444">
                  <c:v>-44.070602170371636</c:v>
                </c:pt>
                <c:pt idx="445">
                  <c:v>-44.26960747377295</c:v>
                </c:pt>
                <c:pt idx="446">
                  <c:v>-44.468657333156131</c:v>
                </c:pt>
                <c:pt idx="447">
                  <c:v>-44.667749761805496</c:v>
                </c:pt>
                <c:pt idx="448">
                  <c:v>-44.866882860793567</c:v>
                </c:pt>
                <c:pt idx="449">
                  <c:v>-45.066054815171995</c:v>
                </c:pt>
                <c:pt idx="450">
                  <c:v>-45.265263890321414</c:v>
                </c:pt>
                <c:pt idx="451">
                  <c:v>-45.464508428454366</c:v>
                </c:pt>
                <c:pt idx="452">
                  <c:v>-45.663786845265371</c:v>
                </c:pt>
                <c:pt idx="453">
                  <c:v>-45.863097626722364</c:v>
                </c:pt>
                <c:pt idx="454">
                  <c:v>-46.062439325994006</c:v>
                </c:pt>
                <c:pt idx="455">
                  <c:v>-46.261810560507605</c:v>
                </c:pt>
                <c:pt idx="456">
                  <c:v>-46.461210009131626</c:v>
                </c:pt>
                <c:pt idx="457">
                  <c:v>-46.660636409479366</c:v>
                </c:pt>
                <c:pt idx="458">
                  <c:v>-46.860088555327536</c:v>
                </c:pt>
                <c:pt idx="459">
                  <c:v>-47.059565294145443</c:v>
                </c:pt>
                <c:pt idx="460">
                  <c:v>-47.259065524730907</c:v>
                </c:pt>
                <c:pt idx="461">
                  <c:v>-47.458588194947154</c:v>
                </c:pt>
                <c:pt idx="462">
                  <c:v>-47.658132299558702</c:v>
                </c:pt>
                <c:pt idx="463">
                  <c:v>-47.85769687815926</c:v>
                </c:pt>
                <c:pt idx="464">
                  <c:v>-48.057281013191272</c:v>
                </c:pt>
                <c:pt idx="465">
                  <c:v>-48.256883828049467</c:v>
                </c:pt>
                <c:pt idx="466">
                  <c:v>-48.456504485268553</c:v>
                </c:pt>
                <c:pt idx="467">
                  <c:v>-48.656142184788642</c:v>
                </c:pt>
                <c:pt idx="468">
                  <c:v>-48.85579616229731</c:v>
                </c:pt>
                <c:pt idx="469">
                  <c:v>-49.05546568764332</c:v>
                </c:pt>
                <c:pt idx="470">
                  <c:v>-49.255150063319817</c:v>
                </c:pt>
                <c:pt idx="471">
                  <c:v>-49.454848623014755</c:v>
                </c:pt>
                <c:pt idx="472">
                  <c:v>-49.654560730223729</c:v>
                </c:pt>
                <c:pt idx="473">
                  <c:v>-49.854285776924748</c:v>
                </c:pt>
                <c:pt idx="474">
                  <c:v>-50.054023182310331</c:v>
                </c:pt>
                <c:pt idx="475">
                  <c:v>-50.253772391576376</c:v>
                </c:pt>
                <c:pt idx="476">
                  <c:v>-50.453532874763589</c:v>
                </c:pt>
                <c:pt idx="477">
                  <c:v>-50.653304125650152</c:v>
                </c:pt>
                <c:pt idx="478">
                  <c:v>-50.853085660693857</c:v>
                </c:pt>
                <c:pt idx="479">
                  <c:v>-51.052877018020048</c:v>
                </c:pt>
                <c:pt idx="480">
                  <c:v>-51.252677756455221</c:v>
                </c:pt>
                <c:pt idx="481">
                  <c:v>-51.452487454602348</c:v>
                </c:pt>
                <c:pt idx="482">
                  <c:v>-51.652305709958533</c:v>
                </c:pt>
                <c:pt idx="483">
                  <c:v>-51.852132138070218</c:v>
                </c:pt>
                <c:pt idx="484">
                  <c:v>-52.051966371727197</c:v>
                </c:pt>
                <c:pt idx="485">
                  <c:v>-52.251808060191422</c:v>
                </c:pt>
                <c:pt idx="486">
                  <c:v>-52.451656868460724</c:v>
                </c:pt>
                <c:pt idx="487">
                  <c:v>-52.651512476564626</c:v>
                </c:pt>
                <c:pt idx="488">
                  <c:v>-52.851374578892482</c:v>
                </c:pt>
                <c:pt idx="489">
                  <c:v>-53.051242883550159</c:v>
                </c:pt>
                <c:pt idx="490">
                  <c:v>-53.251117111746112</c:v>
                </c:pt>
                <c:pt idx="491">
                  <c:v>-53.45099699720511</c:v>
                </c:pt>
                <c:pt idx="492">
                  <c:v>-53.650882285607651</c:v>
                </c:pt>
                <c:pt idx="493">
                  <c:v>-53.850772734053642</c:v>
                </c:pt>
                <c:pt idx="494">
                  <c:v>-54.050668110551769</c:v>
                </c:pt>
                <c:pt idx="495">
                  <c:v>-54.2505681935301</c:v>
                </c:pt>
                <c:pt idx="496">
                  <c:v>-54.45047277136905</c:v>
                </c:pt>
                <c:pt idx="497">
                  <c:v>-54.650381641955327</c:v>
                </c:pt>
                <c:pt idx="498">
                  <c:v>-54.850294612255588</c:v>
                </c:pt>
                <c:pt idx="499">
                  <c:v>-55.050211497909338</c:v>
                </c:pt>
                <c:pt idx="500">
                  <c:v>-55.250132122839865</c:v>
                </c:pt>
                <c:pt idx="501">
                  <c:v>-55.450056318882659</c:v>
                </c:pt>
                <c:pt idx="502">
                  <c:v>-55.649983925430213</c:v>
                </c:pt>
                <c:pt idx="503">
                  <c:v>-55.84991478909329</c:v>
                </c:pt>
                <c:pt idx="504">
                  <c:v>-56.049848763376502</c:v>
                </c:pt>
                <c:pt idx="505">
                  <c:v>-56.24978570836938</c:v>
                </c:pt>
                <c:pt idx="506">
                  <c:v>-56.449725490450355</c:v>
                </c:pt>
                <c:pt idx="507">
                  <c:v>-56.649667982004686</c:v>
                </c:pt>
                <c:pt idx="508">
                  <c:v>-56.849613061154415</c:v>
                </c:pt>
                <c:pt idx="509">
                  <c:v>-57.049560611501128</c:v>
                </c:pt>
                <c:pt idx="510">
                  <c:v>-57.24951052187982</c:v>
                </c:pt>
                <c:pt idx="511">
                  <c:v>-57.449462686123468</c:v>
                </c:pt>
                <c:pt idx="512">
                  <c:v>-57.649417002838973</c:v>
                </c:pt>
                <c:pt idx="513">
                  <c:v>-57.849373375192243</c:v>
                </c:pt>
                <c:pt idx="514">
                  <c:v>-58.049331710703882</c:v>
                </c:pt>
                <c:pt idx="515">
                  <c:v>-58.249291921053171</c:v>
                </c:pt>
                <c:pt idx="516">
                  <c:v>-58.449253921891625</c:v>
                </c:pt>
                <c:pt idx="517">
                  <c:v>-58.649217632663493</c:v>
                </c:pt>
                <c:pt idx="518">
                  <c:v>-58.849182976436751</c:v>
                </c:pt>
                <c:pt idx="519">
                  <c:v>-59.049149879738707</c:v>
                </c:pt>
                <c:pt idx="520">
                  <c:v>-59.2491182724022</c:v>
                </c:pt>
                <c:pt idx="521">
                  <c:v>-59.449088087415291</c:v>
                </c:pt>
                <c:pt idx="522">
                  <c:v>-59.649059260780781</c:v>
                </c:pt>
                <c:pt idx="523">
                  <c:v>-59.849031731379903</c:v>
                </c:pt>
                <c:pt idx="524">
                  <c:v>-60.049005440843288</c:v>
                </c:pt>
                <c:pt idx="525">
                  <c:v>-60.248980333427056</c:v>
                </c:pt>
                <c:pt idx="526">
                  <c:v>-60.448956355895248</c:v>
                </c:pt>
                <c:pt idx="527">
                  <c:v>-60.648933457406585</c:v>
                </c:pt>
                <c:pt idx="528">
                  <c:v>-60.848911589406882</c:v>
                </c:pt>
                <c:pt idx="529">
                  <c:v>-61.048890705526517</c:v>
                </c:pt>
                <c:pt idx="530">
                  <c:v>-61.248870761481918</c:v>
                </c:pt>
                <c:pt idx="531">
                  <c:v>-61.448851714981593</c:v>
                </c:pt>
                <c:pt idx="532">
                  <c:v>-61.648833525636995</c:v>
                </c:pt>
                <c:pt idx="533">
                  <c:v>-61.848816154876758</c:v>
                </c:pt>
                <c:pt idx="534">
                  <c:v>-62.048799565864499</c:v>
                </c:pt>
                <c:pt idx="535">
                  <c:v>-62.248783723421752</c:v>
                </c:pt>
                <c:pt idx="536">
                  <c:v>-62.448768593952408</c:v>
                </c:pt>
                <c:pt idx="537">
                  <c:v>-62.648754145372116</c:v>
                </c:pt>
                <c:pt idx="538">
                  <c:v>-62.84874034704022</c:v>
                </c:pt>
                <c:pt idx="539">
                  <c:v>-63.048727169694551</c:v>
                </c:pt>
                <c:pt idx="540">
                  <c:v>-63.248714585389905</c:v>
                </c:pt>
                <c:pt idx="541">
                  <c:v>-63.448702567438168</c:v>
                </c:pt>
              </c:numCache>
            </c:numRef>
          </c:yVal>
          <c:smooth val="1"/>
          <c:extLst>
            <c:ext xmlns:c16="http://schemas.microsoft.com/office/drawing/2014/chart" uri="{C3380CC4-5D6E-409C-BE32-E72D297353CC}">
              <c16:uniqueId val="{00000000-0B5D-4E78-BD48-CC54C4E43363}"/>
            </c:ext>
          </c:extLst>
        </c:ser>
        <c:dLbls>
          <c:showLegendKey val="0"/>
          <c:showVal val="0"/>
          <c:showCatName val="0"/>
          <c:showSerName val="0"/>
          <c:showPercent val="0"/>
          <c:showBubbleSize val="0"/>
        </c:dLbls>
        <c:axId val="555280640"/>
        <c:axId val="365437312"/>
      </c:scatterChart>
      <c:scatterChart>
        <c:scatterStyle val="smoothMarker"/>
        <c:varyColors val="0"/>
        <c:ser>
          <c:idx val="1"/>
          <c:order val="1"/>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Loop_Modeling!$BE$19:$BE$560</c:f>
              <c:numCache>
                <c:formatCode>General</c:formatCode>
                <c:ptCount val="542"/>
                <c:pt idx="0">
                  <c:v>94.258266329572024</c:v>
                </c:pt>
                <c:pt idx="1">
                  <c:v>94.357068677533761</c:v>
                </c:pt>
                <c:pt idx="2">
                  <c:v>94.458144996679195</c:v>
                </c:pt>
                <c:pt idx="3">
                  <c:v>94.561546308957645</c:v>
                </c:pt>
                <c:pt idx="4">
                  <c:v>94.667324687584141</c:v>
                </c:pt>
                <c:pt idx="5">
                  <c:v>94.77553327195146</c:v>
                </c:pt>
                <c:pt idx="6">
                  <c:v>94.886226282233906</c:v>
                </c:pt>
                <c:pt idx="7">
                  <c:v>94.999459033630473</c:v>
                </c:pt>
                <c:pt idx="8">
                  <c:v>95.115287950194315</c:v>
                </c:pt>
                <c:pt idx="9">
                  <c:v>95.233770578188725</c:v>
                </c:pt>
                <c:pt idx="10">
                  <c:v>95.354965598906787</c:v>
                </c:pt>
                <c:pt idx="11">
                  <c:v>95.47893284088704</c:v>
                </c:pt>
                <c:pt idx="12">
                  <c:v>95.60573329145204</c:v>
                </c:pt>
                <c:pt idx="13">
                  <c:v>95.735429107492251</c:v>
                </c:pt>
                <c:pt idx="14">
                  <c:v>95.8680836254117</c:v>
                </c:pt>
                <c:pt idx="15">
                  <c:v>96.003761370146279</c:v>
                </c:pt>
                <c:pt idx="16">
                  <c:v>96.142528063159133</c:v>
                </c:pt>
                <c:pt idx="17">
                  <c:v>96.284450629311564</c:v>
                </c:pt>
                <c:pt idx="18">
                  <c:v>96.429597202501114</c:v>
                </c:pt>
                <c:pt idx="19">
                  <c:v>96.57803712995107</c:v>
                </c:pt>
                <c:pt idx="20">
                  <c:v>96.729840975028083</c:v>
                </c:pt>
                <c:pt idx="21">
                  <c:v>96.885080518457485</c:v>
                </c:pt>
                <c:pt idx="22">
                  <c:v>97.043828757797058</c:v>
                </c:pt>
                <c:pt idx="23">
                  <c:v>97.206159905022488</c:v>
                </c:pt>
                <c:pt idx="24">
                  <c:v>97.372149382066524</c:v>
                </c:pt>
                <c:pt idx="25">
                  <c:v>97.541873814148744</c:v>
                </c:pt>
                <c:pt idx="26">
                  <c:v>97.715411020718307</c:v>
                </c:pt>
                <c:pt idx="27">
                  <c:v>97.892840003827075</c:v>
                </c:pt>
                <c:pt idx="28">
                  <c:v>98.074240933736291</c:v>
                </c:pt>
                <c:pt idx="29">
                  <c:v>98.259695131552434</c:v>
                </c:pt>
                <c:pt idx="30">
                  <c:v>98.449285048674838</c:v>
                </c:pt>
                <c:pt idx="31">
                  <c:v>98.643094242829306</c:v>
                </c:pt>
                <c:pt idx="32">
                  <c:v>98.841207350446865</c:v>
                </c:pt>
                <c:pt idx="33">
                  <c:v>99.043710055140593</c:v>
                </c:pt>
                <c:pt idx="34">
                  <c:v>99.250689052016753</c:v>
                </c:pt>
                <c:pt idx="35">
                  <c:v>99.462232007548621</c:v>
                </c:pt>
                <c:pt idx="36">
                  <c:v>99.678427514729094</c:v>
                </c:pt>
                <c:pt idx="37">
                  <c:v>99.899365043204725</c:v>
                </c:pt>
                <c:pt idx="38">
                  <c:v>100.12513488408594</c:v>
                </c:pt>
                <c:pt idx="39">
                  <c:v>100.35582808911538</c:v>
                </c:pt>
                <c:pt idx="40">
                  <c:v>100.59153640386515</c:v>
                </c:pt>
                <c:pt idx="41">
                  <c:v>100.83235219462716</c:v>
                </c:pt>
                <c:pt idx="42">
                  <c:v>101.07836836864682</c:v>
                </c:pt>
                <c:pt idx="43">
                  <c:v>101.32967828734688</c:v>
                </c:pt>
                <c:pt idx="44">
                  <c:v>101.58637567217836</c:v>
                </c:pt>
                <c:pt idx="45">
                  <c:v>101.84855450272953</c:v>
                </c:pt>
                <c:pt idx="46">
                  <c:v>102.11630890672149</c:v>
                </c:pt>
                <c:pt idx="47">
                  <c:v>102.38973304151395</c:v>
                </c:pt>
                <c:pt idx="48">
                  <c:v>102.66892096674678</c:v>
                </c:pt>
                <c:pt idx="49">
                  <c:v>102.95396650774194</c:v>
                </c:pt>
                <c:pt idx="50">
                  <c:v>103.24496310929797</c:v>
                </c:pt>
                <c:pt idx="51">
                  <c:v>103.54200367951321</c:v>
                </c:pt>
                <c:pt idx="52">
                  <c:v>103.84518042328753</c:v>
                </c:pt>
                <c:pt idx="53">
                  <c:v>104.15458466516627</c:v>
                </c:pt>
                <c:pt idx="54">
                  <c:v>104.470306661206</c:v>
                </c:pt>
                <c:pt idx="55">
                  <c:v>104.79243539956913</c:v>
                </c:pt>
                <c:pt idx="56">
                  <c:v>105.12105838957866</c:v>
                </c:pt>
                <c:pt idx="57">
                  <c:v>105.45626143899946</c:v>
                </c:pt>
                <c:pt idx="58">
                  <c:v>105.7981284193522</c:v>
                </c:pt>
                <c:pt idx="59">
                  <c:v>106.14674101910835</c:v>
                </c:pt>
                <c:pt idx="60">
                  <c:v>106.5021784846719</c:v>
                </c:pt>
                <c:pt idx="61">
                  <c:v>106.86451734910634</c:v>
                </c:pt>
                <c:pt idx="62">
                  <c:v>107.23383114863709</c:v>
                </c:pt>
                <c:pt idx="63">
                  <c:v>107.61019012703179</c:v>
                </c:pt>
                <c:pt idx="64">
                  <c:v>107.99366092804236</c:v>
                </c:pt>
                <c:pt idx="65">
                  <c:v>108.38430627618513</c:v>
                </c:pt>
                <c:pt idx="66">
                  <c:v>108.78218464623458</c:v>
                </c:pt>
                <c:pt idx="67">
                  <c:v>109.18734992191345</c:v>
                </c:pt>
                <c:pt idx="68">
                  <c:v>109.5998510443777</c:v>
                </c:pt>
                <c:pt idx="69">
                  <c:v>110.01973165122364</c:v>
                </c:pt>
                <c:pt idx="70">
                  <c:v>110.44702970687135</c:v>
                </c:pt>
                <c:pt idx="71">
                  <c:v>110.8817771253274</c:v>
                </c:pt>
                <c:pt idx="72">
                  <c:v>111.32399938646941</c:v>
                </c:pt>
                <c:pt idx="73">
                  <c:v>111.77371514716064</c:v>
                </c:pt>
                <c:pt idx="74">
                  <c:v>112.2309358486483</c:v>
                </c:pt>
                <c:pt idx="75">
                  <c:v>112.69566532187871</c:v>
                </c:pt>
                <c:pt idx="76">
                  <c:v>113.16789939251846</c:v>
                </c:pt>
                <c:pt idx="77">
                  <c:v>113.64762548764465</c:v>
                </c:pt>
                <c:pt idx="78">
                  <c:v>114.13482224623137</c:v>
                </c:pt>
                <c:pt idx="79">
                  <c:v>114.62945913572513</c:v>
                </c:pt>
                <c:pt idx="80">
                  <c:v>115.13149607716257</c:v>
                </c:pt>
                <c:pt idx="81">
                  <c:v>115.6408830814312</c:v>
                </c:pt>
                <c:pt idx="82">
                  <c:v>116.15755989941337</c:v>
                </c:pt>
                <c:pt idx="83">
                  <c:v>116.68145568888748</c:v>
                </c:pt>
                <c:pt idx="84">
                  <c:v>117.21248870115559</c:v>
                </c:pt>
                <c:pt idx="85">
                  <c:v>117.75056599046871</c:v>
                </c:pt>
                <c:pt idx="86">
                  <c:v>118.29558314937603</c:v>
                </c:pt>
                <c:pt idx="87">
                  <c:v>118.847424073166</c:v>
                </c:pt>
                <c:pt idx="88">
                  <c:v>119.40596075657585</c:v>
                </c:pt>
                <c:pt idx="89">
                  <c:v>119.97105312591486</c:v>
                </c:pt>
                <c:pt idx="90">
                  <c:v>120.54254890968897</c:v>
                </c:pt>
                <c:pt idx="91">
                  <c:v>121.12028355071459</c:v>
                </c:pt>
                <c:pt idx="92">
                  <c:v>121.70408016255898</c:v>
                </c:pt>
                <c:pt idx="93">
                  <c:v>122.29374953297413</c:v>
                </c:pt>
                <c:pt idx="94">
                  <c:v>122.88909017675159</c:v>
                </c:pt>
                <c:pt idx="95">
                  <c:v>123.48988844016232</c:v>
                </c:pt>
                <c:pt idx="96">
                  <c:v>124.09591865883019</c:v>
                </c:pt>
                <c:pt idx="97">
                  <c:v>124.70694337053193</c:v>
                </c:pt>
                <c:pt idx="98">
                  <c:v>125.3227135840261</c:v>
                </c:pt>
                <c:pt idx="99">
                  <c:v>125.94296910457591</c:v>
                </c:pt>
                <c:pt idx="100">
                  <c:v>126.5674389163772</c:v>
                </c:pt>
                <c:pt idx="101">
                  <c:v>127.19584162160811</c:v>
                </c:pt>
                <c:pt idx="102">
                  <c:v>127.82788593530576</c:v>
                </c:pt>
                <c:pt idx="103">
                  <c:v>128.46327123475601</c:v>
                </c:pt>
                <c:pt idx="104">
                  <c:v>129.10168816154052</c:v>
                </c:pt>
                <c:pt idx="105">
                  <c:v>129.74281927386244</c:v>
                </c:pt>
                <c:pt idx="106">
                  <c:v>130.38633974623789</c:v>
                </c:pt>
                <c:pt idx="107">
                  <c:v>131.03191811314392</c:v>
                </c:pt>
                <c:pt idx="108">
                  <c:v>131.67921705272133</c:v>
                </c:pt>
                <c:pt idx="109">
                  <c:v>132.32789420618994</c:v>
                </c:pt>
                <c:pt idx="110">
                  <c:v>132.97760302822206</c:v>
                </c:pt>
                <c:pt idx="111">
                  <c:v>133.62799366316378</c:v>
                </c:pt>
                <c:pt idx="112">
                  <c:v>134.27871384168995</c:v>
                </c:pt>
                <c:pt idx="113">
                  <c:v>134.92940979223641</c:v>
                </c:pt>
                <c:pt idx="114">
                  <c:v>135.57972716137704</c:v>
                </c:pt>
                <c:pt idx="115">
                  <c:v>136.22931193720487</c:v>
                </c:pt>
                <c:pt idx="116">
                  <c:v>136.87781136973871</c:v>
                </c:pt>
                <c:pt idx="117">
                  <c:v>137.52487488241729</c:v>
                </c:pt>
                <c:pt idx="118">
                  <c:v>138.17015496883715</c:v>
                </c:pt>
                <c:pt idx="119">
                  <c:v>138.81330806908176</c:v>
                </c:pt>
                <c:pt idx="120">
                  <c:v>139.4539954202117</c:v>
                </c:pt>
                <c:pt idx="121">
                  <c:v>140.09188387580602</c:v>
                </c:pt>
                <c:pt idx="122">
                  <c:v>140.72664668978172</c:v>
                </c:pt>
                <c:pt idx="123">
                  <c:v>141.35796426014778</c:v>
                </c:pt>
                <c:pt idx="124">
                  <c:v>141.9855248287725</c:v>
                </c:pt>
                <c:pt idx="125">
                  <c:v>142.60902513374464</c:v>
                </c:pt>
                <c:pt idx="126">
                  <c:v>143.22817101140791</c:v>
                </c:pt>
                <c:pt idx="127">
                  <c:v>143.84267794566466</c:v>
                </c:pt>
                <c:pt idx="128">
                  <c:v>144.45227156269169</c:v>
                </c:pt>
                <c:pt idx="129">
                  <c:v>145.05668806973489</c:v>
                </c:pt>
                <c:pt idx="130">
                  <c:v>145.6556746371715</c:v>
                </c:pt>
                <c:pt idx="131">
                  <c:v>146.24898972355371</c:v>
                </c:pt>
                <c:pt idx="132">
                  <c:v>146.83640334381738</c:v>
                </c:pt>
                <c:pt idx="133">
                  <c:v>147.41769728132607</c:v>
                </c:pt>
                <c:pt idx="134">
                  <c:v>147.99266524482636</c:v>
                </c:pt>
                <c:pt idx="135">
                  <c:v>148.56111297180826</c:v>
                </c:pt>
                <c:pt idx="136">
                  <c:v>149.12285828010437</c:v>
                </c:pt>
                <c:pt idx="137">
                  <c:v>149.67773106988361</c:v>
                </c:pt>
                <c:pt idx="138">
                  <c:v>150.22557327846351</c:v>
                </c:pt>
                <c:pt idx="139">
                  <c:v>150.76623879059807</c:v>
                </c:pt>
                <c:pt idx="140">
                  <c:v>151.29959330707337</c:v>
                </c:pt>
                <c:pt idx="141">
                  <c:v>151.82551417459925</c:v>
                </c:pt>
                <c:pt idx="142">
                  <c:v>152.34389018007269</c:v>
                </c:pt>
                <c:pt idx="143">
                  <c:v>152.85462131236358</c:v>
                </c:pt>
                <c:pt idx="144">
                  <c:v>153.35761849479505</c:v>
                </c:pt>
                <c:pt idx="145">
                  <c:v>153.85280329148208</c:v>
                </c:pt>
                <c:pt idx="146">
                  <c:v>154.34010759066078</c:v>
                </c:pt>
                <c:pt idx="147">
                  <c:v>154.81947326807142</c:v>
                </c:pt>
                <c:pt idx="148">
                  <c:v>155.29085183337367</c:v>
                </c:pt>
                <c:pt idx="149">
                  <c:v>155.7542040624638</c:v>
                </c:pt>
                <c:pt idx="150">
                  <c:v>156.20949961843502</c:v>
                </c:pt>
                <c:pt idx="151">
                  <c:v>156.65671666378739</c:v>
                </c:pt>
                <c:pt idx="152">
                  <c:v>157.09584146633898</c:v>
                </c:pt>
                <c:pt idx="153">
                  <c:v>157.52686800113435</c:v>
                </c:pt>
                <c:pt idx="154">
                  <c:v>157.94979755047908</c:v>
                </c:pt>
                <c:pt idx="155">
                  <c:v>158.3646383040649</c:v>
                </c:pt>
                <c:pt idx="156">
                  <c:v>158.77140496098016</c:v>
                </c:pt>
                <c:pt idx="157">
                  <c:v>159.17011833523304</c:v>
                </c:pt>
                <c:pt idx="158">
                  <c:v>159.56080496625236</c:v>
                </c:pt>
                <c:pt idx="159">
                  <c:v>159.94349673566717</c:v>
                </c:pt>
                <c:pt idx="160">
                  <c:v>160.3182304915166</c:v>
                </c:pt>
                <c:pt idx="161">
                  <c:v>160.68504768088704</c:v>
                </c:pt>
                <c:pt idx="162">
                  <c:v>161.04399399183816</c:v>
                </c:pt>
                <c:pt idx="163">
                  <c:v>161.3951190053418</c:v>
                </c:pt>
                <c:pt idx="164">
                  <c:v>161.73847585783349</c:v>
                </c:pt>
                <c:pt idx="165">
                  <c:v>162.07412091486199</c:v>
                </c:pt>
                <c:pt idx="166">
                  <c:v>162.40211345620929</c:v>
                </c:pt>
                <c:pt idx="167">
                  <c:v>162.72251537275963</c:v>
                </c:pt>
                <c:pt idx="168">
                  <c:v>163.03539087529964</c:v>
                </c:pt>
                <c:pt idx="169">
                  <c:v>163.34080621535301</c:v>
                </c:pt>
                <c:pt idx="170">
                  <c:v>163.63882941807734</c:v>
                </c:pt>
                <c:pt idx="171">
                  <c:v>163.92953002718335</c:v>
                </c:pt>
                <c:pt idx="172">
                  <c:v>164.21297886177783</c:v>
                </c:pt>
                <c:pt idx="173">
                  <c:v>164.48924778498107</c:v>
                </c:pt>
                <c:pt idx="174">
                  <c:v>164.75840948412039</c:v>
                </c:pt>
                <c:pt idx="175">
                  <c:v>165.02053726226805</c:v>
                </c:pt>
                <c:pt idx="176">
                  <c:v>165.27570484084998</c:v>
                </c:pt>
                <c:pt idx="177">
                  <c:v>165.52398617303393</c:v>
                </c:pt>
                <c:pt idx="178">
                  <c:v>165.76545526757204</c:v>
                </c:pt>
                <c:pt idx="179">
                  <c:v>166.00018602276384</c:v>
                </c:pt>
                <c:pt idx="180">
                  <c:v>166.22825207018374</c:v>
                </c:pt>
                <c:pt idx="181">
                  <c:v>166.44972662781026</c:v>
                </c:pt>
                <c:pt idx="182">
                  <c:v>166.66468236218753</c:v>
                </c:pt>
                <c:pt idx="183">
                  <c:v>166.87319125924046</c:v>
                </c:pt>
                <c:pt idx="184">
                  <c:v>167.07532450337081</c:v>
                </c:pt>
                <c:pt idx="185">
                  <c:v>167.27115236445306</c:v>
                </c:pt>
                <c:pt idx="186">
                  <c:v>167.46074409236144</c:v>
                </c:pt>
                <c:pt idx="187">
                  <c:v>167.64416781865381</c:v>
                </c:pt>
                <c:pt idx="188">
                  <c:v>167.82149046505421</c:v>
                </c:pt>
                <c:pt idx="189">
                  <c:v>167.992777658374</c:v>
                </c:pt>
                <c:pt idx="190">
                  <c:v>168.15809365152811</c:v>
                </c:pt>
                <c:pt idx="191">
                  <c:v>168.31750125030646</c:v>
                </c:pt>
                <c:pt idx="192">
                  <c:v>168.4710617455724</c:v>
                </c:pt>
                <c:pt idx="193">
                  <c:v>168.61883485057436</c:v>
                </c:pt>
                <c:pt idx="194">
                  <c:v>168.76087864306177</c:v>
                </c:pt>
                <c:pt idx="195">
                  <c:v>168.89724951191332</c:v>
                </c:pt>
                <c:pt idx="196">
                  <c:v>169.02800210799583</c:v>
                </c:pt>
                <c:pt idx="197">
                  <c:v>169.15318929898081</c:v>
                </c:pt>
                <c:pt idx="198">
                  <c:v>169.27286212786592</c:v>
                </c:pt>
                <c:pt idx="199">
                  <c:v>169.38706977495011</c:v>
                </c:pt>
                <c:pt idx="200">
                  <c:v>169.49585952303221</c:v>
                </c:pt>
                <c:pt idx="201">
                  <c:v>169.59927672561</c:v>
                </c:pt>
                <c:pt idx="202">
                  <c:v>169.69736477786972</c:v>
                </c:pt>
                <c:pt idx="203">
                  <c:v>169.79016509026806</c:v>
                </c:pt>
                <c:pt idx="204">
                  <c:v>169.87771706451946</c:v>
                </c:pt>
                <c:pt idx="205">
                  <c:v>169.96005807181297</c:v>
                </c:pt>
                <c:pt idx="206">
                  <c:v>170.03722343309386</c:v>
                </c:pt>
                <c:pt idx="207">
                  <c:v>170.10924640125708</c:v>
                </c:pt>
                <c:pt idx="208">
                  <c:v>170.17615814510697</c:v>
                </c:pt>
                <c:pt idx="209">
                  <c:v>170.23798773495182</c:v>
                </c:pt>
                <c:pt idx="210">
                  <c:v>170.29476212970948</c:v>
                </c:pt>
                <c:pt idx="211">
                  <c:v>170.34650616540912</c:v>
                </c:pt>
                <c:pt idx="212">
                  <c:v>170.39324254498732</c:v>
                </c:pt>
                <c:pt idx="213">
                  <c:v>170.4349918292817</c:v>
                </c:pt>
                <c:pt idx="214">
                  <c:v>170.47177242913693</c:v>
                </c:pt>
                <c:pt idx="215">
                  <c:v>170.50360059854643</c:v>
                </c:pt>
                <c:pt idx="216">
                  <c:v>170.53049042876063</c:v>
                </c:pt>
                <c:pt idx="217">
                  <c:v>170.55245384330345</c:v>
                </c:pt>
                <c:pt idx="218">
                  <c:v>170.56950059384286</c:v>
                </c:pt>
                <c:pt idx="219">
                  <c:v>170.58163825687544</c:v>
                </c:pt>
                <c:pt idx="220">
                  <c:v>170.58887223118606</c:v>
                </c:pt>
                <c:pt idx="221">
                  <c:v>170.59120573605961</c:v>
                </c:pt>
                <c:pt idx="222">
                  <c:v>170.58863981022023</c:v>
                </c:pt>
                <c:pt idx="223">
                  <c:v>170.58117331149194</c:v>
                </c:pt>
                <c:pt idx="224">
                  <c:v>170.56880291717243</c:v>
                </c:pt>
                <c:pt idx="225">
                  <c:v>170.55152312512692</c:v>
                </c:pt>
                <c:pt idx="226">
                  <c:v>170.52932625561309</c:v>
                </c:pt>
                <c:pt idx="227">
                  <c:v>170.50220245385606</c:v>
                </c:pt>
                <c:pt idx="228">
                  <c:v>170.47013969340273</c:v>
                </c:pt>
                <c:pt idx="229">
                  <c:v>170.43312378028958</c:v>
                </c:pt>
                <c:pt idx="230">
                  <c:v>170.39113835806916</c:v>
                </c:pt>
                <c:pt idx="231">
                  <c:v>170.34416491374554</c:v>
                </c:pt>
                <c:pt idx="232">
                  <c:v>170.29218278468062</c:v>
                </c:pt>
                <c:pt idx="233">
                  <c:v>170.23516916653827</c:v>
                </c:pt>
                <c:pt idx="234">
                  <c:v>170.1730991223464</c:v>
                </c:pt>
                <c:pt idx="235">
                  <c:v>170.10594559275967</c:v>
                </c:pt>
                <c:pt idx="236">
                  <c:v>170.03367940762132</c:v>
                </c:pt>
                <c:pt idx="237">
                  <c:v>169.95626929892705</c:v>
                </c:pt>
                <c:pt idx="238">
                  <c:v>169.87368191530493</c:v>
                </c:pt>
                <c:pt idx="239">
                  <c:v>169.78588183813602</c:v>
                </c:pt>
                <c:pt idx="240">
                  <c:v>169.69283159944899</c:v>
                </c:pt>
                <c:pt idx="241">
                  <c:v>169.59449170173247</c:v>
                </c:pt>
                <c:pt idx="242">
                  <c:v>169.49082063981999</c:v>
                </c:pt>
                <c:pt idx="243">
                  <c:v>169.3817749250131</c:v>
                </c:pt>
                <c:pt idx="244">
                  <c:v>169.26730911161803</c:v>
                </c:pt>
                <c:pt idx="245">
                  <c:v>169.14737582608342</c:v>
                </c:pt>
                <c:pt idx="246">
                  <c:v>169.02192579893949</c:v>
                </c:pt>
                <c:pt idx="247">
                  <c:v>168.89090789974702</c:v>
                </c:pt>
                <c:pt idx="248">
                  <c:v>168.75426917527983</c:v>
                </c:pt>
                <c:pt idx="249">
                  <c:v>168.61195489117532</c:v>
                </c:pt>
                <c:pt idx="250">
                  <c:v>168.46390857729756</c:v>
                </c:pt>
                <c:pt idx="251">
                  <c:v>168.31007207707418</c:v>
                </c:pt>
                <c:pt idx="252">
                  <c:v>168.15038560107581</c:v>
                </c:pt>
                <c:pt idx="253">
                  <c:v>167.98478778512055</c:v>
                </c:pt>
                <c:pt idx="254">
                  <c:v>167.81321575319842</c:v>
                </c:pt>
                <c:pt idx="255">
                  <c:v>167.63560518552262</c:v>
                </c:pt>
                <c:pt idx="256">
                  <c:v>167.4518903920245</c:v>
                </c:pt>
                <c:pt idx="257">
                  <c:v>167.26200439161815</c:v>
                </c:pt>
                <c:pt idx="258">
                  <c:v>167.06587899757633</c:v>
                </c:pt>
                <c:pt idx="259">
                  <c:v>166.86344490936332</c:v>
                </c:pt>
                <c:pt idx="260">
                  <c:v>166.6546318112814</c:v>
                </c:pt>
                <c:pt idx="261">
                  <c:v>166.43936847829363</c:v>
                </c:pt>
                <c:pt idx="262">
                  <c:v>166.2175828893931</c:v>
                </c:pt>
                <c:pt idx="263">
                  <c:v>165.98920234889212</c:v>
                </c:pt>
                <c:pt idx="264">
                  <c:v>165.75415361600849</c:v>
                </c:pt>
                <c:pt idx="265">
                  <c:v>165.51236304312431</c:v>
                </c:pt>
                <c:pt idx="266">
                  <c:v>165.26375672309428</c:v>
                </c:pt>
                <c:pt idx="267">
                  <c:v>165.00826064597274</c:v>
                </c:pt>
                <c:pt idx="268">
                  <c:v>164.74580086552436</c:v>
                </c:pt>
                <c:pt idx="269">
                  <c:v>164.47630367586822</c:v>
                </c:pt>
                <c:pt idx="270">
                  <c:v>164.1996957985954</c:v>
                </c:pt>
                <c:pt idx="271">
                  <c:v>163.91590458067728</c:v>
                </c:pt>
                <c:pt idx="272">
                  <c:v>163.62485820346191</c:v>
                </c:pt>
                <c:pt idx="273">
                  <c:v>163.32648590302264</c:v>
                </c:pt>
                <c:pt idx="274">
                  <c:v>163.02071820209684</c:v>
                </c:pt>
                <c:pt idx="275">
                  <c:v>162.70748715380452</c:v>
                </c:pt>
                <c:pt idx="276">
                  <c:v>162.3867265972973</c:v>
                </c:pt>
                <c:pt idx="277">
                  <c:v>162.05837242543501</c:v>
                </c:pt>
                <c:pt idx="278">
                  <c:v>161.72236286452122</c:v>
                </c:pt>
                <c:pt idx="279">
                  <c:v>161.37863876607324</c:v>
                </c:pt>
                <c:pt idx="280">
                  <c:v>161.02714391051438</c:v>
                </c:pt>
                <c:pt idx="281">
                  <c:v>160.66782532260584</c:v>
                </c:pt>
                <c:pt idx="282">
                  <c:v>160.30063359833275</c:v>
                </c:pt>
                <c:pt idx="283">
                  <c:v>159.9255232428674</c:v>
                </c:pt>
                <c:pt idx="284">
                  <c:v>159.54245301912019</c:v>
                </c:pt>
                <c:pt idx="285">
                  <c:v>159.15138630627177</c:v>
                </c:pt>
                <c:pt idx="286">
                  <c:v>158.75229146755615</c:v>
                </c:pt>
                <c:pt idx="287">
                  <c:v>158.34514222642645</c:v>
                </c:pt>
                <c:pt idx="288">
                  <c:v>157.92991805010098</c:v>
                </c:pt>
                <c:pt idx="289">
                  <c:v>157.50660453932903</c:v>
                </c:pt>
                <c:pt idx="290">
                  <c:v>157.07519382306845</c:v>
                </c:pt>
                <c:pt idx="291">
                  <c:v>156.63568495660317</c:v>
                </c:pt>
                <c:pt idx="292">
                  <c:v>156.1880843214638</c:v>
                </c:pt>
                <c:pt idx="293">
                  <c:v>155.73240602534992</c:v>
                </c:pt>
                <c:pt idx="294">
                  <c:v>155.26867230008122</c:v>
                </c:pt>
                <c:pt idx="295">
                  <c:v>154.79691389544084</c:v>
                </c:pt>
                <c:pt idx="296">
                  <c:v>154.31717046660725</c:v>
                </c:pt>
                <c:pt idx="297">
                  <c:v>153.82949095271434</c:v>
                </c:pt>
                <c:pt idx="298">
                  <c:v>153.33393394392911</c:v>
                </c:pt>
                <c:pt idx="299">
                  <c:v>152.83056803429724</c:v>
                </c:pt>
                <c:pt idx="300">
                  <c:v>152.31947215748184</c:v>
                </c:pt>
                <c:pt idx="301">
                  <c:v>151.80073590241238</c:v>
                </c:pt>
                <c:pt idx="302">
                  <c:v>151.2744598057773</c:v>
                </c:pt>
                <c:pt idx="303">
                  <c:v>150.74075561822528</c:v>
                </c:pt>
                <c:pt idx="304">
                  <c:v>150.19974654111056</c:v>
                </c:pt>
                <c:pt idx="305">
                  <c:v>149.6515674306095</c:v>
                </c:pt>
                <c:pt idx="306">
                  <c:v>149.09636496606291</c:v>
                </c:pt>
                <c:pt idx="307">
                  <c:v>148.53429777946803</c:v>
                </c:pt>
                <c:pt idx="308">
                  <c:v>147.96553654314272</c:v>
                </c:pt>
                <c:pt idx="309">
                  <c:v>147.39026401273236</c:v>
                </c:pt>
                <c:pt idx="310">
                  <c:v>146.80867502291539</c:v>
                </c:pt>
                <c:pt idx="311">
                  <c:v>146.22097643339663</c:v>
                </c:pt>
                <c:pt idx="312">
                  <c:v>145.62738702304287</c:v>
                </c:pt>
                <c:pt idx="313">
                  <c:v>145.02813733034313</c:v>
                </c:pt>
                <c:pt idx="314">
                  <c:v>144.42346943872511</c:v>
                </c:pt>
                <c:pt idx="315">
                  <c:v>143.81363670565815</c:v>
                </c:pt>
                <c:pt idx="316">
                  <c:v>143.19890343490829</c:v>
                </c:pt>
                <c:pt idx="317">
                  <c:v>142.57954449177225</c:v>
                </c:pt>
                <c:pt idx="318">
                  <c:v>141.9558448616088</c:v>
                </c:pt>
                <c:pt idx="319">
                  <c:v>141.3280991524999</c:v>
                </c:pt>
                <c:pt idx="320">
                  <c:v>140.69661104339698</c:v>
                </c:pt>
                <c:pt idx="321">
                  <c:v>140.06169267964228</c:v>
                </c:pt>
                <c:pt idx="322">
                  <c:v>139.4236640182902</c:v>
                </c:pt>
                <c:pt idx="323">
                  <c:v>138.78285212616876</c:v>
                </c:pt>
                <c:pt idx="324">
                  <c:v>138.13959043413658</c:v>
                </c:pt>
                <c:pt idx="325">
                  <c:v>137.49421795146375</c:v>
                </c:pt>
                <c:pt idx="326">
                  <c:v>136.84707844471455</c:v>
                </c:pt>
                <c:pt idx="327">
                  <c:v>136.19851958591113</c:v>
                </c:pt>
                <c:pt idx="328">
                  <c:v>135.54889207511417</c:v>
                </c:pt>
                <c:pt idx="329">
                  <c:v>134.89854874285186</c:v>
                </c:pt>
                <c:pt idx="330">
                  <c:v>134.24784363807331</c:v>
                </c:pt>
                <c:pt idx="331">
                  <c:v>133.59713110746469</c:v>
                </c:pt>
                <c:pt idx="332">
                  <c:v>132.9467648720757</c:v>
                </c:pt>
                <c:pt idx="333">
                  <c:v>132.29709710723225</c:v>
                </c:pt>
                <c:pt idx="334">
                  <c:v>131.64847753167714</c:v>
                </c:pt>
                <c:pt idx="335">
                  <c:v>131.00125251175467</c:v>
                </c:pt>
                <c:pt idx="336">
                  <c:v>130.35576418629847</c:v>
                </c:pt>
                <c:pt idx="337">
                  <c:v>129.7123496176126</c:v>
                </c:pt>
                <c:pt idx="338">
                  <c:v>129.07133997364517</c:v>
                </c:pt>
                <c:pt idx="339">
                  <c:v>128.43305974609177</c:v>
                </c:pt>
                <c:pt idx="340">
                  <c:v>127.7978260087486</c:v>
                </c:pt>
                <c:pt idx="341">
                  <c:v>127.16594771999357</c:v>
                </c:pt>
                <c:pt idx="342">
                  <c:v>126.53772507278458</c:v>
                </c:pt>
                <c:pt idx="343">
                  <c:v>125.91344889506075</c:v>
                </c:pt>
                <c:pt idx="344">
                  <c:v>125.29340010290159</c:v>
                </c:pt>
                <c:pt idx="345">
                  <c:v>124.6778492082713</c:v>
                </c:pt>
                <c:pt idx="346">
                  <c:v>124.06705588264181</c:v>
                </c:pt>
                <c:pt idx="347">
                  <c:v>123.46126857726422</c:v>
                </c:pt>
                <c:pt idx="348">
                  <c:v>122.86072420033956</c:v>
                </c:pt>
                <c:pt idx="349">
                  <c:v>122.26564785086946</c:v>
                </c:pt>
                <c:pt idx="350">
                  <c:v>121.67625260848854</c:v>
                </c:pt>
                <c:pt idx="351">
                  <c:v>121.09273937816313</c:v>
                </c:pt>
                <c:pt idx="352">
                  <c:v>120.51529678824156</c:v>
                </c:pt>
                <c:pt idx="353">
                  <c:v>119.94410113999608</c:v>
                </c:pt>
                <c:pt idx="354">
                  <c:v>119.37931640647463</c:v>
                </c:pt>
                <c:pt idx="355">
                  <c:v>118.82109427822448</c:v>
                </c:pt>
                <c:pt idx="356">
                  <c:v>118.26957425321304</c:v>
                </c:pt>
                <c:pt idx="357">
                  <c:v>117.72488376809699</c:v>
                </c:pt>
                <c:pt idx="358">
                  <c:v>117.18713836784923</c:v>
                </c:pt>
                <c:pt idx="359">
                  <c:v>116.65644191065351</c:v>
                </c:pt>
                <c:pt idx="360">
                  <c:v>116.13288680491222</c:v>
                </c:pt>
                <c:pt idx="361">
                  <c:v>115.61655427520039</c:v>
                </c:pt>
                <c:pt idx="362">
                  <c:v>115.10751465399143</c:v>
                </c:pt>
                <c:pt idx="363">
                  <c:v>114.60582769603361</c:v>
                </c:pt>
                <c:pt idx="364">
                  <c:v>114.11154291231111</c:v>
                </c:pt>
                <c:pt idx="365">
                  <c:v>113.62469992062199</c:v>
                </c:pt>
                <c:pt idx="366">
                  <c:v>113.14532880990595</c:v>
                </c:pt>
                <c:pt idx="367">
                  <c:v>112.67345051559171</c:v>
                </c:pt>
                <c:pt idx="368">
                  <c:v>112.20907720336238</c:v>
                </c:pt>
                <c:pt idx="369">
                  <c:v>111.75221265890124</c:v>
                </c:pt>
                <c:pt idx="370">
                  <c:v>111.30285268132577</c:v>
                </c:pt>
                <c:pt idx="371">
                  <c:v>110.86098547819728</c:v>
                </c:pt>
                <c:pt idx="372">
                  <c:v>110.42659206014542</c:v>
                </c:pt>
                <c:pt idx="373">
                  <c:v>109.999646633328</c:v>
                </c:pt>
                <c:pt idx="374">
                  <c:v>109.58011698810482</c:v>
                </c:pt>
                <c:pt idx="375">
                  <c:v>109.16796488247209</c:v>
                </c:pt>
                <c:pt idx="376">
                  <c:v>108.76314641896457</c:v>
                </c:pt>
                <c:pt idx="377">
                  <c:v>108.36561241388333</c:v>
                </c:pt>
                <c:pt idx="378">
                  <c:v>107.97530875785765</c:v>
                </c:pt>
                <c:pt idx="379">
                  <c:v>107.59217676689177</c:v>
                </c:pt>
                <c:pt idx="380">
                  <c:v>107.216153523174</c:v>
                </c:pt>
                <c:pt idx="381">
                  <c:v>106.84717220505856</c:v>
                </c:pt>
                <c:pt idx="382">
                  <c:v>106.4851624057395</c:v>
                </c:pt>
                <c:pt idx="383">
                  <c:v>106.1300504402473</c:v>
                </c:pt>
                <c:pt idx="384">
                  <c:v>105.78175964049821</c:v>
                </c:pt>
                <c:pt idx="385">
                  <c:v>105.44021063821229</c:v>
                </c:pt>
                <c:pt idx="386">
                  <c:v>105.10532163560616</c:v>
                </c:pt>
                <c:pt idx="387">
                  <c:v>104.77700866383051</c:v>
                </c:pt>
                <c:pt idx="388">
                  <c:v>104.45518582919684</c:v>
                </c:pt>
                <c:pt idx="389">
                  <c:v>104.13976554729301</c:v>
                </c:pt>
                <c:pt idx="390">
                  <c:v>103.83065876513781</c:v>
                </c:pt>
                <c:pt idx="391">
                  <c:v>103.52777517157412</c:v>
                </c:pt>
                <c:pt idx="392">
                  <c:v>103.2310233961329</c:v>
                </c:pt>
                <c:pt idx="393">
                  <c:v>102.94031119663956</c:v>
                </c:pt>
                <c:pt idx="394">
                  <c:v>102.65554563585758</c:v>
                </c:pt>
                <c:pt idx="395">
                  <c:v>102.37663324748921</c:v>
                </c:pt>
                <c:pt idx="396">
                  <c:v>102.10348019187123</c:v>
                </c:pt>
                <c:pt idx="397">
                  <c:v>101.83599240171641</c:v>
                </c:pt>
                <c:pt idx="398">
                  <c:v>101.57407571826472</c:v>
                </c:pt>
                <c:pt idx="399">
                  <c:v>101.31763601821356</c:v>
                </c:pt>
                <c:pt idx="400">
                  <c:v>101.06657933179959</c:v>
                </c:pt>
                <c:pt idx="401">
                  <c:v>100.82081195241099</c:v>
                </c:pt>
                <c:pt idx="402">
                  <c:v>100.58024053810207</c:v>
                </c:pt>
                <c:pt idx="403">
                  <c:v>100.34477220538434</c:v>
                </c:pt>
                <c:pt idx="404">
                  <c:v>100.11431461566266</c:v>
                </c:pt>
                <c:pt idx="405">
                  <c:v>99.888776054677081</c:v>
                </c:pt>
                <c:pt idx="406">
                  <c:v>99.668065505305762</c:v>
                </c:pt>
                <c:pt idx="407">
                  <c:v>99.45209271407721</c:v>
                </c:pt>
                <c:pt idx="408">
                  <c:v>99.240768251726607</c:v>
                </c:pt>
                <c:pt idx="409">
                  <c:v>99.034003568126067</c:v>
                </c:pt>
                <c:pt idx="410">
                  <c:v>98.831711041906033</c:v>
                </c:pt>
                <c:pt idx="411">
                  <c:v>98.6338040250712</c:v>
                </c:pt>
                <c:pt idx="412">
                  <c:v>98.440196882911025</c:v>
                </c:pt>
                <c:pt idx="413">
                  <c:v>98.250805029484027</c:v>
                </c:pt>
                <c:pt idx="414">
                  <c:v>98.06554495895071</c:v>
                </c:pt>
                <c:pt idx="415">
                  <c:v>97.884334273015085</c:v>
                </c:pt>
                <c:pt idx="416">
                  <c:v>97.707091704724803</c:v>
                </c:pt>
                <c:pt idx="417">
                  <c:v>97.533737138866186</c:v>
                </c:pt>
                <c:pt idx="418">
                  <c:v>97.364191629183566</c:v>
                </c:pt>
                <c:pt idx="419">
                  <c:v>97.198377412636304</c:v>
                </c:pt>
                <c:pt idx="420">
                  <c:v>97.036217920899603</c:v>
                </c:pt>
                <c:pt idx="421">
                  <c:v>96.877637789304202</c:v>
                </c:pt>
                <c:pt idx="422">
                  <c:v>96.722562863398522</c:v>
                </c:pt>
                <c:pt idx="423">
                  <c:v>96.570920203307764</c:v>
                </c:pt>
                <c:pt idx="424">
                  <c:v>96.422638086056537</c:v>
                </c:pt>
                <c:pt idx="425">
                  <c:v>96.277646006008609</c:v>
                </c:pt>
                <c:pt idx="426">
                  <c:v>96.135874673572502</c:v>
                </c:pt>
                <c:pt idx="427">
                  <c:v>95.997256012311041</c:v>
                </c:pt>
                <c:pt idx="428">
                  <c:v>95.86172315458586</c:v>
                </c:pt>
                <c:pt idx="429">
                  <c:v>95.729210435857311</c:v>
                </c:pt>
                <c:pt idx="430">
                  <c:v>95.59965338775865</c:v>
                </c:pt>
                <c:pt idx="431">
                  <c:v>95.472988730049309</c:v>
                </c:pt>
                <c:pt idx="432">
                  <c:v>95.349154361550887</c:v>
                </c:pt>
                <c:pt idx="433">
                  <c:v>95.228089350159351</c:v>
                </c:pt>
                <c:pt idx="434">
                  <c:v>95.109733922024162</c:v>
                </c:pt>
                <c:pt idx="435">
                  <c:v>94.994029449975088</c:v>
                </c:pt>
                <c:pt idx="436">
                  <c:v>94.880918441276748</c:v>
                </c:pt>
                <c:pt idx="437">
                  <c:v>94.770344524782089</c:v>
                </c:pt>
                <c:pt idx="438">
                  <c:v>94.662252437552226</c:v>
                </c:pt>
                <c:pt idx="439">
                  <c:v>94.55658801100644</c:v>
                </c:pt>
                <c:pt idx="440">
                  <c:v>94.453298156660196</c:v>
                </c:pt>
                <c:pt idx="441">
                  <c:v>94.352330851506252</c:v>
                </c:pt>
                <c:pt idx="442">
                  <c:v>94.253635123088529</c:v>
                </c:pt>
                <c:pt idx="443">
                  <c:v>94.1571610343169</c:v>
                </c:pt>
                <c:pt idx="444">
                  <c:v>94.062859668065087</c:v>
                </c:pt>
                <c:pt idx="445">
                  <c:v>93.970683111592692</c:v>
                </c:pt>
                <c:pt idx="446">
                  <c:v>93.880584440828599</c:v>
                </c:pt>
                <c:pt idx="447">
                  <c:v>93.792517704549553</c:v>
                </c:pt>
                <c:pt idx="448">
                  <c:v>93.706437908485867</c:v>
                </c:pt>
                <c:pt idx="449">
                  <c:v>93.62230099938364</c:v>
                </c:pt>
                <c:pt idx="450">
                  <c:v>93.540063849049886</c:v>
                </c:pt>
                <c:pt idx="451">
                  <c:v>93.459684238405458</c:v>
                </c:pt>
                <c:pt idx="452">
                  <c:v>93.381120841568247</c:v>
                </c:pt>
                <c:pt idx="453">
                  <c:v>93.304333209987192</c:v>
                </c:pt>
                <c:pt idx="454">
                  <c:v>93.229281756645946</c:v>
                </c:pt>
                <c:pt idx="455">
                  <c:v>93.15592774035359</c:v>
                </c:pt>
                <c:pt idx="456">
                  <c:v>93.0842332501378</c:v>
                </c:pt>
                <c:pt idx="457">
                  <c:v>93.01416118975439</c:v>
                </c:pt>
                <c:pt idx="458">
                  <c:v>92.94567526232629</c:v>
                </c:pt>
                <c:pt idx="459">
                  <c:v>92.878739955123578</c:v>
                </c:pt>
                <c:pt idx="460">
                  <c:v>92.813320524494415</c:v>
                </c:pt>
                <c:pt idx="461">
                  <c:v>92.749382980956554</c:v>
                </c:pt>
                <c:pt idx="462">
                  <c:v>92.686894074457456</c:v>
                </c:pt>
                <c:pt idx="463">
                  <c:v>92.625821279810339</c:v>
                </c:pt>
                <c:pt idx="464">
                  <c:v>92.566132782312238</c:v>
                </c:pt>
                <c:pt idx="465">
                  <c:v>92.507797463550546</c:v>
                </c:pt>
                <c:pt idx="466">
                  <c:v>92.45078488740161</c:v>
                </c:pt>
                <c:pt idx="467">
                  <c:v>92.395065286226512</c:v>
                </c:pt>
                <c:pt idx="468">
                  <c:v>92.340609547267107</c:v>
                </c:pt>
                <c:pt idx="469">
                  <c:v>92.287389199245297</c:v>
                </c:pt>
                <c:pt idx="470">
                  <c:v>92.23537639916789</c:v>
                </c:pt>
                <c:pt idx="471">
                  <c:v>92.184543919338793</c:v>
                </c:pt>
                <c:pt idx="472">
                  <c:v>92.134865134580181</c:v>
                </c:pt>
                <c:pt idx="473">
                  <c:v>92.086314009663084</c:v>
                </c:pt>
                <c:pt idx="474">
                  <c:v>92.038865086948803</c:v>
                </c:pt>
                <c:pt idx="475">
                  <c:v>91.992493474240277</c:v>
                </c:pt>
                <c:pt idx="476">
                  <c:v>91.947174832844183</c:v>
                </c:pt>
                <c:pt idx="477">
                  <c:v>91.902885365842891</c:v>
                </c:pt>
                <c:pt idx="478">
                  <c:v>91.859601806575569</c:v>
                </c:pt>
                <c:pt idx="479">
                  <c:v>91.817301407327747</c:v>
                </c:pt>
                <c:pt idx="480">
                  <c:v>91.775961928227829</c:v>
                </c:pt>
                <c:pt idx="481">
                  <c:v>91.735561626349337</c:v>
                </c:pt>
                <c:pt idx="482">
                  <c:v>91.696079245017401</c:v>
                </c:pt>
                <c:pt idx="483">
                  <c:v>91.657494003317453</c:v>
                </c:pt>
                <c:pt idx="484">
                  <c:v>91.619785585804607</c:v>
                </c:pt>
                <c:pt idx="485">
                  <c:v>91.582934132411381</c:v>
                </c:pt>
                <c:pt idx="486">
                  <c:v>91.546920228551784</c:v>
                </c:pt>
                <c:pt idx="487">
                  <c:v>91.511724895419434</c:v>
                </c:pt>
                <c:pt idx="488">
                  <c:v>91.477329580477388</c:v>
                </c:pt>
                <c:pt idx="489">
                  <c:v>91.443716148137341</c:v>
                </c:pt>
                <c:pt idx="490">
                  <c:v>91.410866870625341</c:v>
                </c:pt>
                <c:pt idx="491">
                  <c:v>91.378764419032024</c:v>
                </c:pt>
                <c:pt idx="492">
                  <c:v>91.347391854544227</c:v>
                </c:pt>
                <c:pt idx="493">
                  <c:v>91.316732619855486</c:v>
                </c:pt>
                <c:pt idx="494">
                  <c:v>91.286770530752946</c:v>
                </c:pt>
                <c:pt idx="495">
                  <c:v>91.257489767877573</c:v>
                </c:pt>
                <c:pt idx="496">
                  <c:v>91.228874868655126</c:v>
                </c:pt>
                <c:pt idx="497">
                  <c:v>91.200910719395225</c:v>
                </c:pt>
                <c:pt idx="498">
                  <c:v>91.173582547555398</c:v>
                </c:pt>
                <c:pt idx="499">
                  <c:v>91.146875914167666</c:v>
                </c:pt>
                <c:pt idx="500">
                  <c:v>91.120776706424721</c:v>
                </c:pt>
                <c:pt idx="501">
                  <c:v>91.095271130422887</c:v>
                </c:pt>
                <c:pt idx="502">
                  <c:v>91.070345704059193</c:v>
                </c:pt>
                <c:pt idx="503">
                  <c:v>91.045987250079662</c:v>
                </c:pt>
                <c:pt idx="504">
                  <c:v>91.022182889276067</c:v>
                </c:pt>
                <c:pt idx="505">
                  <c:v>90.99892003382881</c:v>
                </c:pt>
                <c:pt idx="506">
                  <c:v>90.976186380792413</c:v>
                </c:pt>
                <c:pt idx="507">
                  <c:v>90.953969905721777</c:v>
                </c:pt>
                <c:pt idx="508">
                  <c:v>90.932258856435951</c:v>
                </c:pt>
                <c:pt idx="509">
                  <c:v>90.911041746917022</c:v>
                </c:pt>
                <c:pt idx="510">
                  <c:v>90.890307351341519</c:v>
                </c:pt>
                <c:pt idx="511">
                  <c:v>90.870044698241642</c:v>
                </c:pt>
                <c:pt idx="512">
                  <c:v>90.850243064793673</c:v>
                </c:pt>
                <c:pt idx="513">
                  <c:v>90.830891971231495</c:v>
                </c:pt>
                <c:pt idx="514">
                  <c:v>90.81198117538203</c:v>
                </c:pt>
                <c:pt idx="515">
                  <c:v>90.793500667320785</c:v>
                </c:pt>
                <c:pt idx="516">
                  <c:v>90.775440664144668</c:v>
                </c:pt>
                <c:pt idx="517">
                  <c:v>90.757791604859833</c:v>
                </c:pt>
                <c:pt idx="518">
                  <c:v>90.74054414538233</c:v>
                </c:pt>
                <c:pt idx="519">
                  <c:v>90.723689153648863</c:v>
                </c:pt>
                <c:pt idx="520">
                  <c:v>90.707217704835841</c:v>
                </c:pt>
                <c:pt idx="521">
                  <c:v>90.691121076684013</c:v>
                </c:pt>
                <c:pt idx="522">
                  <c:v>90.675390744927043</c:v>
                </c:pt>
                <c:pt idx="523">
                  <c:v>90.660018378821235</c:v>
                </c:pt>
                <c:pt idx="524">
                  <c:v>90.644995836774612</c:v>
                </c:pt>
                <c:pt idx="525">
                  <c:v>90.630315162073359</c:v>
                </c:pt>
                <c:pt idx="526">
                  <c:v>90.615968578703246</c:v>
                </c:pt>
                <c:pt idx="527">
                  <c:v>90.601948487264281</c:v>
                </c:pt>
                <c:pt idx="528">
                  <c:v>90.588247460976476</c:v>
                </c:pt>
                <c:pt idx="529">
                  <c:v>90.574858241774734</c:v>
                </c:pt>
                <c:pt idx="530">
                  <c:v>90.561773736491105</c:v>
                </c:pt>
                <c:pt idx="531">
                  <c:v>90.548987013122357</c:v>
                </c:pt>
                <c:pt idx="532">
                  <c:v>90.536491297181186</c:v>
                </c:pt>
                <c:pt idx="533">
                  <c:v>90.524279968129051</c:v>
                </c:pt>
                <c:pt idx="534">
                  <c:v>90.512346555889124</c:v>
                </c:pt>
                <c:pt idx="535">
                  <c:v>90.500684737437282</c:v>
                </c:pt>
                <c:pt idx="536">
                  <c:v>90.489288333469858</c:v>
                </c:pt>
                <c:pt idx="537">
                  <c:v>90.478151305146042</c:v>
                </c:pt>
                <c:pt idx="538">
                  <c:v>90.467267750903588</c:v>
                </c:pt>
                <c:pt idx="539">
                  <c:v>90.456631903346178</c:v>
                </c:pt>
                <c:pt idx="540">
                  <c:v>90.446238126200726</c:v>
                </c:pt>
                <c:pt idx="541">
                  <c:v>90.436080911343296</c:v>
                </c:pt>
              </c:numCache>
            </c:numRef>
          </c:yVal>
          <c:smooth val="1"/>
          <c:extLst>
            <c:ext xmlns:c16="http://schemas.microsoft.com/office/drawing/2014/chart" uri="{C3380CC4-5D6E-409C-BE32-E72D297353CC}">
              <c16:uniqueId val="{00000001-0B5D-4E78-BD48-CC54C4E43363}"/>
            </c:ext>
          </c:extLst>
        </c:ser>
        <c:dLbls>
          <c:showLegendKey val="0"/>
          <c:showVal val="0"/>
          <c:showCatName val="0"/>
          <c:showSerName val="0"/>
          <c:showPercent val="0"/>
          <c:showBubbleSize val="0"/>
        </c:dLbls>
        <c:axId val="365441024"/>
        <c:axId val="365439232"/>
      </c:scatterChart>
      <c:valAx>
        <c:axId val="555280640"/>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65437312"/>
        <c:crosses val="autoZero"/>
        <c:crossBetween val="midCat"/>
      </c:valAx>
      <c:valAx>
        <c:axId val="365437312"/>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555280640"/>
        <c:crosses val="autoZero"/>
        <c:crossBetween val="midCat"/>
        <c:majorUnit val="20"/>
        <c:minorUnit val="10"/>
      </c:valAx>
      <c:valAx>
        <c:axId val="365439232"/>
        <c:scaling>
          <c:orientation val="minMax"/>
          <c:max val="180"/>
          <c:min val="-180"/>
        </c:scaling>
        <c:delete val="0"/>
        <c:axPos val="r"/>
        <c:numFmt formatCode="General" sourceLinked="1"/>
        <c:majorTickMark val="out"/>
        <c:minorTickMark val="none"/>
        <c:tickLblPos val="nextTo"/>
        <c:crossAx val="365441024"/>
        <c:crosses val="max"/>
        <c:crossBetween val="midCat"/>
        <c:majorUnit val="90"/>
        <c:minorUnit val="45"/>
      </c:valAx>
      <c:valAx>
        <c:axId val="365441024"/>
        <c:scaling>
          <c:logBase val="10"/>
          <c:orientation val="minMax"/>
        </c:scaling>
        <c:delete val="1"/>
        <c:axPos val="b"/>
        <c:numFmt formatCode="0.00" sourceLinked="1"/>
        <c:majorTickMark val="out"/>
        <c:minorTickMark val="none"/>
        <c:tickLblPos val="nextTo"/>
        <c:crossAx val="365439232"/>
        <c:crosses val="autoZero"/>
        <c:crossBetween val="midCat"/>
      </c:valAx>
    </c:plotArea>
    <c:legend>
      <c:legendPos val="r"/>
      <c:layout>
        <c:manualLayout>
          <c:xMode val="edge"/>
          <c:yMode val="edge"/>
          <c:x val="0.79880558209512509"/>
          <c:y val="0.14321997959862004"/>
          <c:w val="0.13485048155591431"/>
          <c:h val="0.10528624969913696"/>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CCM Control Loop Transfer Function</a:t>
            </a:r>
          </a:p>
        </c:rich>
      </c:tx>
      <c:overlay val="0"/>
    </c:title>
    <c:autoTitleDeleted val="0"/>
    <c:plotArea>
      <c:layout/>
      <c:scatterChart>
        <c:scatterStyle val="smoothMarker"/>
        <c:varyColors val="0"/>
        <c:ser>
          <c:idx val="0"/>
          <c:order val="0"/>
          <c:tx>
            <c:v>Gain (dB)</c:v>
          </c:tx>
          <c:spPr>
            <a:ln w="38100">
              <a:solidFill>
                <a:srgbClr val="FF0000"/>
              </a:solidFill>
            </a:ln>
          </c:spPr>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Loop_Modeling!$BG$19:$BG$560</c:f>
              <c:numCache>
                <c:formatCode>0.000</c:formatCode>
                <c:ptCount val="542"/>
                <c:pt idx="0">
                  <c:v>35.874400160425068</c:v>
                </c:pt>
                <c:pt idx="1">
                  <c:v>35.635576502047051</c:v>
                </c:pt>
                <c:pt idx="2">
                  <c:v>35.395313374944614</c:v>
                </c:pt>
                <c:pt idx="3">
                  <c:v>35.153572485957966</c:v>
                </c:pt>
                <c:pt idx="4">
                  <c:v>34.910315655096475</c:v>
                </c:pt>
                <c:pt idx="5">
                  <c:v>34.665504909334601</c:v>
                </c:pt>
                <c:pt idx="6">
                  <c:v>34.419102581009902</c:v>
                </c:pt>
                <c:pt idx="7">
                  <c:v>34.1710714105755</c:v>
                </c:pt>
                <c:pt idx="8">
                  <c:v>33.921374653402523</c:v>
                </c:pt>
                <c:pt idx="9">
                  <c:v>33.669976190278895</c:v>
                </c:pt>
                <c:pt idx="10">
                  <c:v>33.41684064119594</c:v>
                </c:pt>
                <c:pt idx="11">
                  <c:v>33.161933481963061</c:v>
                </c:pt>
                <c:pt idx="12">
                  <c:v>32.905221163138314</c:v>
                </c:pt>
                <c:pt idx="13">
                  <c:v>32.646671230715945</c:v>
                </c:pt>
                <c:pt idx="14">
                  <c:v>32.38625244796328</c:v>
                </c:pt>
                <c:pt idx="15">
                  <c:v>32.123934917760053</c:v>
                </c:pt>
                <c:pt idx="16">
                  <c:v>31.859690204754976</c:v>
                </c:pt>
                <c:pt idx="17">
                  <c:v>31.593491456623006</c:v>
                </c:pt>
                <c:pt idx="18">
                  <c:v>31.32531352368304</c:v>
                </c:pt>
                <c:pt idx="19">
                  <c:v>31.0551330761167</c:v>
                </c:pt>
                <c:pt idx="20">
                  <c:v>30.782928718022475</c:v>
                </c:pt>
                <c:pt idx="21">
                  <c:v>30.508681097535259</c:v>
                </c:pt>
                <c:pt idx="22">
                  <c:v>30.23237301225285</c:v>
                </c:pt>
                <c:pt idx="23">
                  <c:v>29.953989509227398</c:v>
                </c:pt>
                <c:pt idx="24">
                  <c:v>29.67351797880681</c:v>
                </c:pt>
                <c:pt idx="25">
                  <c:v>29.390948241649216</c:v>
                </c:pt>
                <c:pt idx="26">
                  <c:v>29.106272628278095</c:v>
                </c:pt>
                <c:pt idx="27">
                  <c:v>28.819486050602077</c:v>
                </c:pt>
                <c:pt idx="28">
                  <c:v>28.530586064885377</c:v>
                </c:pt>
                <c:pt idx="29">
                  <c:v>28.2395729257256</c:v>
                </c:pt>
                <c:pt idx="30">
                  <c:v>27.946449630672944</c:v>
                </c:pt>
                <c:pt idx="31">
                  <c:v>27.651221955207589</c:v>
                </c:pt>
                <c:pt idx="32">
                  <c:v>27.353898477876413</c:v>
                </c:pt>
                <c:pt idx="33">
                  <c:v>27.054490595483131</c:v>
                </c:pt>
                <c:pt idx="34">
                  <c:v>26.753012528312951</c:v>
                </c:pt>
                <c:pt idx="35">
                  <c:v>26.449481315466358</c:v>
                </c:pt>
                <c:pt idx="36">
                  <c:v>26.143916800463842</c:v>
                </c:pt>
                <c:pt idx="37">
                  <c:v>25.836341607372301</c:v>
                </c:pt>
                <c:pt idx="38">
                  <c:v>25.526781107782401</c:v>
                </c:pt>
                <c:pt idx="39">
                  <c:v>25.215263379047151</c:v>
                </c:pt>
                <c:pt idx="40">
                  <c:v>24.901819154257737</c:v>
                </c:pt>
                <c:pt idx="41">
                  <c:v>24.586481764499769</c:v>
                </c:pt>
                <c:pt idx="42">
                  <c:v>24.269287073981758</c:v>
                </c:pt>
                <c:pt idx="43">
                  <c:v>23.950273408678157</c:v>
                </c:pt>
                <c:pt idx="44">
                  <c:v>23.629481479160329</c:v>
                </c:pt>
                <c:pt idx="45">
                  <c:v>23.306954298316395</c:v>
                </c:pt>
                <c:pt idx="46">
                  <c:v>22.982737094676501</c:v>
                </c:pt>
                <c:pt idx="47">
                  <c:v>22.656877222065667</c:v>
                </c:pt>
                <c:pt idx="48">
                  <c:v>22.32942406630109</c:v>
                </c:pt>
                <c:pt idx="49">
                  <c:v>22.000428949640831</c:v>
                </c:pt>
                <c:pt idx="50">
                  <c:v>21.669945033666373</c:v>
                </c:pt>
                <c:pt idx="51">
                  <c:v>21.338027221253775</c:v>
                </c:pt>
                <c:pt idx="52">
                  <c:v>21.004732058250646</c:v>
                </c:pt>
                <c:pt idx="53">
                  <c:v>20.670117635433098</c:v>
                </c:pt>
                <c:pt idx="54">
                  <c:v>20.334243491270556</c:v>
                </c:pt>
                <c:pt idx="55">
                  <c:v>19.997170515969476</c:v>
                </c:pt>
                <c:pt idx="56">
                  <c:v>19.658960857215064</c:v>
                </c:pt>
                <c:pt idx="57">
                  <c:v>19.319677827967816</c:v>
                </c:pt>
                <c:pt idx="58">
                  <c:v>18.979385816612783</c:v>
                </c:pt>
                <c:pt idx="59">
                  <c:v>18.638150199698231</c:v>
                </c:pt>
                <c:pt idx="60">
                  <c:v>18.296037257436954</c:v>
                </c:pt>
                <c:pt idx="61">
                  <c:v>17.953114092086125</c:v>
                </c:pt>
                <c:pt idx="62">
                  <c:v>17.609448549259149</c:v>
                </c:pt>
                <c:pt idx="63">
                  <c:v>17.265109142168743</c:v>
                </c:pt>
                <c:pt idx="64">
                  <c:v>16.92016497874404</c:v>
                </c:pt>
                <c:pt idx="65">
                  <c:v>16.574685691516436</c:v>
                </c:pt>
                <c:pt idx="66">
                  <c:v>16.228741370117987</c:v>
                </c:pt>
                <c:pt idx="67">
                  <c:v>15.882402496195558</c:v>
                </c:pt>
                <c:pt idx="68">
                  <c:v>15.535739880505627</c:v>
                </c:pt>
                <c:pt idx="69">
                  <c:v>15.188824601916497</c:v>
                </c:pt>
                <c:pt idx="70">
                  <c:v>14.841727948021529</c:v>
                </c:pt>
                <c:pt idx="71">
                  <c:v>14.494521357035911</c:v>
                </c:pt>
                <c:pt idx="72">
                  <c:v>14.147276360637049</c:v>
                </c:pt>
                <c:pt idx="73">
                  <c:v>13.800064527388313</c:v>
                </c:pt>
                <c:pt idx="74">
                  <c:v>13.452957406383831</c:v>
                </c:pt>
                <c:pt idx="75">
                  <c:v>13.106026470744238</c:v>
                </c:pt>
                <c:pt idx="76">
                  <c:v>12.759343060596821</c:v>
                </c:pt>
                <c:pt idx="77">
                  <c:v>12.412978325183015</c:v>
                </c:pt>
                <c:pt idx="78">
                  <c:v>12.067003163747444</c:v>
                </c:pt>
                <c:pt idx="79">
                  <c:v>11.721488164881711</c:v>
                </c:pt>
                <c:pt idx="80">
                  <c:v>11.376503544019101</c:v>
                </c:pt>
                <c:pt idx="81">
                  <c:v>11.03211907880652</c:v>
                </c:pt>
                <c:pt idx="82">
                  <c:v>10.688404042113163</c:v>
                </c:pt>
                <c:pt idx="83">
                  <c:v>10.345427132470601</c:v>
                </c:pt>
                <c:pt idx="84">
                  <c:v>10.003256401787661</c:v>
                </c:pt>
                <c:pt idx="85">
                  <c:v>9.6619591802239917</c:v>
                </c:pt>
                <c:pt idx="86">
                  <c:v>9.3216019981610145</c:v>
                </c:pt>
                <c:pt idx="87">
                  <c:v>8.9822505052613657</c:v>
                </c:pt>
                <c:pt idx="88">
                  <c:v>8.6439693866625582</c:v>
                </c:pt>
                <c:pt idx="89">
                  <c:v>8.306822276414799</c:v>
                </c:pt>
                <c:pt idx="90">
                  <c:v>7.9708716683265894</c:v>
                </c:pt>
                <c:pt idx="91">
                  <c:v>7.6361788244482964</c:v>
                </c:pt>
                <c:pt idx="92">
                  <c:v>7.302803681483093</c:v>
                </c:pt>
                <c:pt idx="93">
                  <c:v>6.9708047554765438</c:v>
                </c:pt>
                <c:pt idx="94">
                  <c:v>6.6402390451935256</c:v>
                </c:pt>
                <c:pt idx="95">
                  <c:v>6.3111619346505083</c:v>
                </c:pt>
                <c:pt idx="96">
                  <c:v>5.983627095323155</c:v>
                </c:pt>
                <c:pt idx="97">
                  <c:v>5.6576863885983393</c:v>
                </c:pt>
                <c:pt idx="98">
                  <c:v>5.3333897690834071</c:v>
                </c:pt>
                <c:pt idx="99">
                  <c:v>5.0107851894241087</c:v>
                </c:pt>
                <c:pt idx="100">
                  <c:v>4.6899185073123633</c:v>
                </c:pt>
                <c:pt idx="101">
                  <c:v>4.3708333953871099</c:v>
                </c:pt>
                <c:pt idx="102">
                  <c:v>4.0535712547481042</c:v>
                </c:pt>
                <c:pt idx="103">
                  <c:v>3.738171132804351</c:v>
                </c:pt>
                <c:pt idx="104">
                  <c:v>3.4246696461781765</c:v>
                </c:pt>
                <c:pt idx="105">
                  <c:v>3.1131009093680162</c:v>
                </c:pt>
                <c:pt idx="106">
                  <c:v>2.8034964698527212</c:v>
                </c:pt>
                <c:pt idx="107">
                  <c:v>2.4958852502821811</c:v>
                </c:pt>
                <c:pt idx="108">
                  <c:v>2.1902934983595319</c:v>
                </c:pt>
                <c:pt idx="109">
                  <c:v>1.8867447449641614</c:v>
                </c:pt>
                <c:pt idx="110">
                  <c:v>1.5852597710053669</c:v>
                </c:pt>
                <c:pt idx="111">
                  <c:v>1.285856583426912</c:v>
                </c:pt>
                <c:pt idx="112">
                  <c:v>0.98855040070704459</c:v>
                </c:pt>
                <c:pt idx="113">
                  <c:v>0.69335364811677613</c:v>
                </c:pt>
                <c:pt idx="114">
                  <c:v>0.40027596291426126</c:v>
                </c:pt>
                <c:pt idx="115">
                  <c:v>0.10932420956336483</c:v>
                </c:pt>
                <c:pt idx="116">
                  <c:v>-0.17949749502566756</c:v>
                </c:pt>
                <c:pt idx="117">
                  <c:v>-0.46618774632554921</c:v>
                </c:pt>
                <c:pt idx="118">
                  <c:v>-0.75074780727438994</c:v>
                </c:pt>
                <c:pt idx="119">
                  <c:v>-1.0331815538796996</c:v>
                </c:pt>
                <c:pt idx="120">
                  <c:v>-1.3134954116960806</c:v>
                </c:pt>
                <c:pt idx="121">
                  <c:v>-1.5916982836059881</c:v>
                </c:pt>
                <c:pt idx="122">
                  <c:v>-1.8678014694053313</c:v>
                </c:pt>
                <c:pt idx="123">
                  <c:v>-2.1418185777573671</c:v>
                </c:pt>
                <c:pt idx="124">
                  <c:v>-2.4137654311374237</c:v>
                </c:pt>
                <c:pt idx="125">
                  <c:v>-2.6836599644349439</c:v>
                </c:pt>
                <c:pt idx="126">
                  <c:v>-2.9515221179199722</c:v>
                </c:pt>
                <c:pt idx="127">
                  <c:v>-3.2173737253074881</c:v>
                </c:pt>
                <c:pt idx="128">
                  <c:v>-3.4812383976739691</c:v>
                </c:pt>
                <c:pt idx="129">
                  <c:v>-3.7431414039883144</c:v>
                </c:pt>
                <c:pt idx="130">
                  <c:v>-4.0031095490211026</c:v>
                </c:pt>
                <c:pt idx="131">
                  <c:v>-4.2611710493866086</c:v>
                </c:pt>
                <c:pt idx="132">
                  <c:v>-4.5173554084576875</c:v>
                </c:pt>
                <c:pt idx="133">
                  <c:v>-4.7716932908660779</c:v>
                </c:pt>
                <c:pt idx="134">
                  <c:v>-5.0242163972756559</c:v>
                </c:pt>
                <c:pt idx="135">
                  <c:v>-5.2749573400720777</c:v>
                </c:pt>
                <c:pt idx="136">
                  <c:v>-5.5239495205797766</c:v>
                </c:pt>
                <c:pt idx="137">
                  <c:v>-5.7712270083638471</c:v>
                </c:pt>
                <c:pt idx="138">
                  <c:v>-6.0168244231311698</c:v>
                </c:pt>
                <c:pt idx="139">
                  <c:v>-6.2607768196889859</c:v>
                </c:pt>
                <c:pt idx="140">
                  <c:v>-6.5031195763745444</c:v>
                </c:pt>
                <c:pt idx="141">
                  <c:v>-6.7438882873056478</c:v>
                </c:pt>
                <c:pt idx="142">
                  <c:v>-6.983118658759726</c:v>
                </c:pt>
                <c:pt idx="143">
                  <c:v>-7.2208464099288685</c:v>
                </c:pt>
                <c:pt idx="144">
                  <c:v>-7.4571071782517393</c:v>
                </c:pt>
                <c:pt idx="145">
                  <c:v>-7.6919364294734436</c:v>
                </c:pt>
                <c:pt idx="146">
                  <c:v>-7.9253693725365171</c:v>
                </c:pt>
                <c:pt idx="147">
                  <c:v>-8.1574408793654118</c:v>
                </c:pt>
                <c:pt idx="148">
                  <c:v>-8.3881854095614319</c:v>
                </c:pt>
                <c:pt idx="149">
                  <c:v>-8.6176369399941226</c:v>
                </c:pt>
                <c:pt idx="150">
                  <c:v>-8.8458288992329006</c:v>
                </c:pt>
                <c:pt idx="151">
                  <c:v>-9.0727941067394209</c:v>
                </c:pt>
                <c:pt idx="152">
                  <c:v>-9.2985647167087961</c:v>
                </c:pt>
                <c:pt idx="153">
                  <c:v>-9.5231721664264803</c:v>
                </c:pt>
                <c:pt idx="154">
                  <c:v>-9.7466471289852379</c:v>
                </c:pt>
                <c:pt idx="155">
                  <c:v>-9.9690194701921335</c:v>
                </c:pt>
                <c:pt idx="156">
                  <c:v>-10.190318209477363</c:v>
                </c:pt>
                <c:pt idx="157">
                  <c:v>-10.410571484609733</c:v>
                </c:pt>
                <c:pt idx="158">
                  <c:v>-10.629806520011103</c:v>
                </c:pt>
                <c:pt idx="159">
                  <c:v>-10.848049598459561</c:v>
                </c:pt>
                <c:pt idx="160">
                  <c:v>-11.065326035964718</c:v>
                </c:pt>
                <c:pt idx="161">
                  <c:v>-11.281660159598697</c:v>
                </c:pt>
                <c:pt idx="162">
                  <c:v>-11.497075288066975</c:v>
                </c:pt>
                <c:pt idx="163">
                  <c:v>-11.711593714803177</c:v>
                </c:pt>
                <c:pt idx="164">
                  <c:v>-11.925236693378995</c:v>
                </c:pt>
                <c:pt idx="165">
                  <c:v>-12.138024425022326</c:v>
                </c:pt>
                <c:pt idx="166">
                  <c:v>-12.349976048044891</c:v>
                </c:pt>
                <c:pt idx="167">
                  <c:v>-12.561109628987456</c:v>
                </c:pt>
                <c:pt idx="168">
                  <c:v>-12.771442155297326</c:v>
                </c:pt>
                <c:pt idx="169">
                  <c:v>-12.980989529364908</c:v>
                </c:pt>
                <c:pt idx="170">
                  <c:v>-13.189766563750965</c:v>
                </c:pt>
                <c:pt idx="171">
                  <c:v>-13.397786977450536</c:v>
                </c:pt>
                <c:pt idx="172">
                  <c:v>-13.605063393046997</c:v>
                </c:pt>
                <c:pt idx="173">
                  <c:v>-13.811607334620303</c:v>
                </c:pt>
                <c:pt idx="174">
                  <c:v>-14.017429226285685</c:v>
                </c:pt>
                <c:pt idx="175">
                  <c:v>-14.22253839124928</c:v>
                </c:pt>
                <c:pt idx="176">
                  <c:v>-14.426943051277362</c:v>
                </c:pt>
                <c:pt idx="177">
                  <c:v>-14.630650326488341</c:v>
                </c:pt>
                <c:pt idx="178">
                  <c:v>-14.833666235386929</c:v>
                </c:pt>
                <c:pt idx="179">
                  <c:v>-15.0359956950713</c:v>
                </c:pt>
                <c:pt idx="180">
                  <c:v>-15.237642521555415</c:v>
                </c:pt>
                <c:pt idx="181">
                  <c:v>-15.438609430159534</c:v>
                </c:pt>
                <c:pt idx="182">
                  <c:v>-15.638898035933259</c:v>
                </c:pt>
                <c:pt idx="183">
                  <c:v>-15.838508854086646</c:v>
                </c:pt>
                <c:pt idx="184">
                  <c:v>-16.037441300415509</c:v>
                </c:pt>
                <c:pt idx="185">
                  <c:v>-16.235693691719739</c:v>
                </c:pt>
                <c:pt idx="186">
                  <c:v>-16.43326324622198</c:v>
                </c:pt>
                <c:pt idx="187">
                  <c:v>-16.630146084007183</c:v>
                </c:pt>
                <c:pt idx="188">
                  <c:v>-16.826337227515353</c:v>
                </c:pt>
                <c:pt idx="189">
                  <c:v>-17.021830602126858</c:v>
                </c:pt>
                <c:pt idx="190">
                  <c:v>-17.216619036896919</c:v>
                </c:pt>
                <c:pt idx="191">
                  <c:v>-17.410694265500879</c:v>
                </c:pt>
                <c:pt idx="192">
                  <c:v>-17.604046927469096</c:v>
                </c:pt>
                <c:pt idx="193">
                  <c:v>-17.796666569794727</c:v>
                </c:pt>
                <c:pt idx="194">
                  <c:v>-17.988541649016099</c:v>
                </c:pt>
                <c:pt idx="195">
                  <c:v>-18.179659533880393</c:v>
                </c:pt>
                <c:pt idx="196">
                  <c:v>-18.370006508709483</c:v>
                </c:pt>
                <c:pt idx="197">
                  <c:v>-18.559567777600051</c:v>
                </c:pt>
                <c:pt idx="198">
                  <c:v>-18.748327469598028</c:v>
                </c:pt>
                <c:pt idx="199">
                  <c:v>-18.936268645001185</c:v>
                </c:pt>
                <c:pt idx="200">
                  <c:v>-19.123373302951343</c:v>
                </c:pt>
                <c:pt idx="201">
                  <c:v>-19.309622390488105</c:v>
                </c:pt>
                <c:pt idx="202">
                  <c:v>-19.494995813247098</c:v>
                </c:pt>
                <c:pt idx="203">
                  <c:v>-19.679472447989834</c:v>
                </c:pt>
                <c:pt idx="204">
                  <c:v>-19.863030157164893</c:v>
                </c:pt>
                <c:pt idx="205">
                  <c:v>-20.045645805704659</c:v>
                </c:pt>
                <c:pt idx="206">
                  <c:v>-20.227295280266127</c:v>
                </c:pt>
                <c:pt idx="207">
                  <c:v>-20.407953511133066</c:v>
                </c:pt>
                <c:pt idx="208">
                  <c:v>-20.587594496995681</c:v>
                </c:pt>
                <c:pt idx="209">
                  <c:v>-20.766191332827361</c:v>
                </c:pt>
                <c:pt idx="210">
                  <c:v>-20.943716241078786</c:v>
                </c:pt>
                <c:pt idx="211">
                  <c:v>-21.12014060640492</c:v>
                </c:pt>
                <c:pt idx="212">
                  <c:v>-21.295435014137709</c:v>
                </c:pt>
                <c:pt idx="213">
                  <c:v>-21.469569292709924</c:v>
                </c:pt>
                <c:pt idx="214">
                  <c:v>-21.64251256022558</c:v>
                </c:pt>
                <c:pt idx="215">
                  <c:v>-21.814233275360323</c:v>
                </c:pt>
                <c:pt idx="216">
                  <c:v>-21.98469929276007</c:v>
                </c:pt>
                <c:pt idx="217">
                  <c:v>-22.153877923085741</c:v>
                </c:pt>
                <c:pt idx="218">
                  <c:v>-22.321735997833887</c:v>
                </c:pt>
                <c:pt idx="219">
                  <c:v>-22.488239939032585</c:v>
                </c:pt>
                <c:pt idx="220">
                  <c:v>-22.653355833888611</c:v>
                </c:pt>
                <c:pt idx="221">
                  <c:v>-22.817049514424575</c:v>
                </c:pt>
                <c:pt idx="222">
                  <c:v>-22.979286642114545</c:v>
                </c:pt>
                <c:pt idx="223">
                  <c:v>-23.140032797481819</c:v>
                </c:pt>
                <c:pt idx="224">
                  <c:v>-23.299253574586466</c:v>
                </c:pt>
                <c:pt idx="225">
                  <c:v>-23.45691468028037</c:v>
                </c:pt>
                <c:pt idx="226">
                  <c:v>-23.612982038063002</c:v>
                </c:pt>
                <c:pt idx="227">
                  <c:v>-23.76742189632089</c:v>
                </c:pt>
                <c:pt idx="228">
                  <c:v>-23.92020094068101</c:v>
                </c:pt>
                <c:pt idx="229">
                  <c:v>-24.071286410157935</c:v>
                </c:pt>
                <c:pt idx="230">
                  <c:v>-24.220646216719221</c:v>
                </c:pt>
                <c:pt idx="231">
                  <c:v>-24.368249067843145</c:v>
                </c:pt>
                <c:pt idx="232">
                  <c:v>-24.514064591589033</c:v>
                </c:pt>
                <c:pt idx="233">
                  <c:v>-24.658063463650471</c:v>
                </c:pt>
                <c:pt idx="234">
                  <c:v>-24.800217535816579</c:v>
                </c:pt>
                <c:pt idx="235">
                  <c:v>-24.940499965219168</c:v>
                </c:pt>
                <c:pt idx="236">
                  <c:v>-25.078885343706542</c:v>
                </c:pt>
                <c:pt idx="237">
                  <c:v>-25.215349826651096</c:v>
                </c:pt>
                <c:pt idx="238">
                  <c:v>-25.34987126046726</c:v>
                </c:pt>
                <c:pt idx="239">
                  <c:v>-25.48242930809861</c:v>
                </c:pt>
                <c:pt idx="240">
                  <c:v>-25.613005571718567</c:v>
                </c:pt>
                <c:pt idx="241">
                  <c:v>-25.741583711882679</c:v>
                </c:pt>
                <c:pt idx="242">
                  <c:v>-25.868149562379571</c:v>
                </c:pt>
                <c:pt idx="243">
                  <c:v>-25.9926912400344</c:v>
                </c:pt>
                <c:pt idx="244">
                  <c:v>-26.11519924874743</c:v>
                </c:pt>
                <c:pt idx="245">
                  <c:v>-26.235666577080046</c:v>
                </c:pt>
                <c:pt idx="246">
                  <c:v>-26.354088788740757</c:v>
                </c:pt>
                <c:pt idx="247">
                  <c:v>-26.470464105378003</c:v>
                </c:pt>
                <c:pt idx="248">
                  <c:v>-26.584793481143425</c:v>
                </c:pt>
                <c:pt idx="249">
                  <c:v>-26.697080668555273</c:v>
                </c:pt>
                <c:pt idx="250">
                  <c:v>-26.807332275267697</c:v>
                </c:pt>
                <c:pt idx="251">
                  <c:v>-26.915557811430233</c:v>
                </c:pt>
                <c:pt idx="252">
                  <c:v>-27.021769727405108</c:v>
                </c:pt>
                <c:pt idx="253">
                  <c:v>-27.125983441697944</c:v>
                </c:pt>
                <c:pt idx="254">
                  <c:v>-27.228217359048767</c:v>
                </c:pt>
                <c:pt idx="255">
                  <c:v>-27.328492878716638</c:v>
                </c:pt>
                <c:pt idx="256">
                  <c:v>-27.426834393084029</c:v>
                </c:pt>
                <c:pt idx="257">
                  <c:v>-27.523269276791108</c:v>
                </c:pt>
                <c:pt idx="258">
                  <c:v>-27.61782786669507</c:v>
                </c:pt>
                <c:pt idx="259">
                  <c:v>-27.710543433025979</c:v>
                </c:pt>
                <c:pt idx="260">
                  <c:v>-27.80145214218448</c:v>
                </c:pt>
                <c:pt idx="261">
                  <c:v>-27.890593011688143</c:v>
                </c:pt>
                <c:pt idx="262">
                  <c:v>-27.978007857833987</c:v>
                </c:pt>
                <c:pt idx="263">
                  <c:v>-28.063741236687004</c:v>
                </c:pt>
                <c:pt idx="264">
                  <c:v>-28.147840379047175</c:v>
                </c:pt>
                <c:pt idx="265">
                  <c:v>-28.230355120071422</c:v>
                </c:pt>
                <c:pt idx="266">
                  <c:v>-28.311337824249193</c:v>
                </c:pt>
                <c:pt idx="267">
                  <c:v>-28.390843306434128</c:v>
                </c:pt>
                <c:pt idx="268">
                  <c:v>-28.468928749636365</c:v>
                </c:pt>
                <c:pt idx="269">
                  <c:v>-28.545653620266318</c:v>
                </c:pt>
                <c:pt idx="270">
                  <c:v>-28.621079581502137</c:v>
                </c:pt>
                <c:pt idx="271">
                  <c:v>-28.695270405423805</c:v>
                </c:pt>
                <c:pt idx="272">
                  <c:v>-28.768291884522373</c:v>
                </c:pt>
                <c:pt idx="273">
                  <c:v>-28.840211743147037</c:v>
                </c:pt>
                <c:pt idx="274">
                  <c:v>-28.911099549408842</c:v>
                </c:pt>
                <c:pt idx="275">
                  <c:v>-28.981026628002397</c:v>
                </c:pt>
                <c:pt idx="276">
                  <c:v>-29.05006597435198</c:v>
                </c:pt>
                <c:pt idx="277">
                  <c:v>-29.118292170427257</c:v>
                </c:pt>
                <c:pt idx="278">
                  <c:v>-29.185781302512133</c:v>
                </c:pt>
                <c:pt idx="279">
                  <c:v>-29.252610881145891</c:v>
                </c:pt>
                <c:pt idx="280">
                  <c:v>-29.318859763394194</c:v>
                </c:pt>
                <c:pt idx="281">
                  <c:v>-29.384608077541539</c:v>
                </c:pt>
                <c:pt idx="282">
                  <c:v>-29.449937150238462</c:v>
                </c:pt>
                <c:pt idx="283">
                  <c:v>-29.514929436074482</c:v>
                </c:pt>
                <c:pt idx="284">
                  <c:v>-29.579668449493401</c:v>
                </c:pt>
                <c:pt idx="285">
                  <c:v>-29.644238698910716</c:v>
                </c:pt>
                <c:pt idx="286">
                  <c:v>-29.708725622848643</c:v>
                </c:pt>
                <c:pt idx="287">
                  <c:v>-29.77321552785147</c:v>
                </c:pt>
                <c:pt idx="288">
                  <c:v>-29.837795527910927</c:v>
                </c:pt>
                <c:pt idx="289">
                  <c:v>-29.902553485087662</c:v>
                </c:pt>
                <c:pt idx="290">
                  <c:v>-29.967577950990901</c:v>
                </c:pt>
                <c:pt idx="291">
                  <c:v>-30.032958108747781</c:v>
                </c:pt>
                <c:pt idx="292">
                  <c:v>-30.098783715076976</c:v>
                </c:pt>
                <c:pt idx="293">
                  <c:v>-30.165145042065159</c:v>
                </c:pt>
                <c:pt idx="294">
                  <c:v>-30.23213281823805</c:v>
                </c:pt>
                <c:pt idx="295">
                  <c:v>-30.29983816851303</c:v>
                </c:pt>
                <c:pt idx="296">
                  <c:v>-30.368352552624486</c:v>
                </c:pt>
                <c:pt idx="297">
                  <c:v>-30.437767701621215</c:v>
                </c:pt>
                <c:pt idx="298">
                  <c:v>-30.508175552049135</c:v>
                </c:pt>
                <c:pt idx="299">
                  <c:v>-30.579668177453087</c:v>
                </c:pt>
                <c:pt idx="300">
                  <c:v>-30.652337716853335</c:v>
                </c:pt>
                <c:pt idx="301">
                  <c:v>-30.726276299886596</c:v>
                </c:pt>
                <c:pt idx="302">
                  <c:v>-30.80157596833288</c:v>
                </c:pt>
                <c:pt idx="303">
                  <c:v>-30.878328593787622</c:v>
                </c:pt>
                <c:pt idx="304">
                  <c:v>-30.956625791284594</c:v>
                </c:pt>
                <c:pt idx="305">
                  <c:v>-31.036558828719272</c:v>
                </c:pt>
                <c:pt idx="306">
                  <c:v>-31.118218531972133</c:v>
                </c:pt>
                <c:pt idx="307">
                  <c:v>-31.20169518568343</c:v>
                </c:pt>
                <c:pt idx="308">
                  <c:v>-31.287078429685998</c:v>
                </c:pt>
                <c:pt idx="309">
                  <c:v>-31.374457151156502</c:v>
                </c:pt>
                <c:pt idx="310">
                  <c:v>-31.463919372600969</c:v>
                </c:pt>
                <c:pt idx="311">
                  <c:v>-31.555552135848792</c:v>
                </c:pt>
                <c:pt idx="312">
                  <c:v>-31.6494413822792</c:v>
                </c:pt>
                <c:pt idx="313">
                  <c:v>-31.745671829562589</c:v>
                </c:pt>
                <c:pt idx="314">
                  <c:v>-31.844326845244872</c:v>
                </c:pt>
                <c:pt idx="315">
                  <c:v>-31.945488317552847</c:v>
                </c:pt>
                <c:pt idx="316">
                  <c:v>-32.049236523841529</c:v>
                </c:pt>
                <c:pt idx="317">
                  <c:v>-32.155649997141978</c:v>
                </c:pt>
                <c:pt idx="318">
                  <c:v>-32.264805391302865</c:v>
                </c:pt>
                <c:pt idx="319">
                  <c:v>-32.376777345246325</c:v>
                </c:pt>
                <c:pt idx="320">
                  <c:v>-32.491638346880841</c:v>
                </c:pt>
                <c:pt idx="321">
                  <c:v>-32.609458597228311</c:v>
                </c:pt>
                <c:pt idx="322">
                  <c:v>-32.730305875333322</c:v>
                </c:pt>
                <c:pt idx="323">
                  <c:v>-32.854245404522317</c:v>
                </c:pt>
                <c:pt idx="324">
                  <c:v>-32.981339720580792</c:v>
                </c:pt>
                <c:pt idx="325">
                  <c:v>-33.111648542401525</c:v>
                </c:pt>
                <c:pt idx="326">
                  <c:v>-33.245228645645945</c:v>
                </c:pt>
                <c:pt idx="327">
                  <c:v>-33.382133739937579</c:v>
                </c:pt>
                <c:pt idx="328">
                  <c:v>-33.522414350082073</c:v>
                </c:pt>
                <c:pt idx="329">
                  <c:v>-33.666117701780401</c:v>
                </c:pt>
                <c:pt idx="330">
                  <c:v>-33.813287612269832</c:v>
                </c:pt>
                <c:pt idx="331">
                  <c:v>-33.963964386292062</c:v>
                </c:pt>
                <c:pt idx="332">
                  <c:v>-34.118184717758567</c:v>
                </c:pt>
                <c:pt idx="333">
                  <c:v>-34.275981597441572</c:v>
                </c:pt>
                <c:pt idx="334">
                  <c:v>-34.437384226990631</c:v>
                </c:pt>
                <c:pt idx="335">
                  <c:v>-34.60241793953918</c:v>
                </c:pt>
                <c:pt idx="336">
                  <c:v>-34.771104127135501</c:v>
                </c:pt>
                <c:pt idx="337">
                  <c:v>-34.943460175204372</c:v>
                </c:pt>
                <c:pt idx="338">
                  <c:v>-35.119499404220896</c:v>
                </c:pt>
                <c:pt idx="339">
                  <c:v>-35.299231018752849</c:v>
                </c:pt>
                <c:pt idx="340">
                  <c:v>-35.482660064016073</c:v>
                </c:pt>
                <c:pt idx="341">
                  <c:v>-35.66978739006062</c:v>
                </c:pt>
                <c:pt idx="342">
                  <c:v>-35.860609623705393</c:v>
                </c:pt>
                <c:pt idx="343">
                  <c:v>-36.055119148315249</c:v>
                </c:pt>
                <c:pt idx="344">
                  <c:v>-36.253304091518224</c:v>
                </c:pt>
                <c:pt idx="345">
                  <c:v>-36.455148320944716</c:v>
                </c:pt>
                <c:pt idx="346">
                  <c:v>-36.66063144806742</c:v>
                </c:pt>
                <c:pt idx="347">
                  <c:v>-36.869728840215679</c:v>
                </c:pt>
                <c:pt idx="348">
                  <c:v>-37.082411640829768</c:v>
                </c:pt>
                <c:pt idx="349">
                  <c:v>-37.298646798011333</c:v>
                </c:pt>
                <c:pt idx="350">
                  <c:v>-37.518397101419147</c:v>
                </c:pt>
                <c:pt idx="351">
                  <c:v>-37.741621227545117</c:v>
                </c:pt>
                <c:pt idx="352">
                  <c:v>-37.968273793391361</c:v>
                </c:pt>
                <c:pt idx="353">
                  <c:v>-38.198305418551236</c:v>
                </c:pt>
                <c:pt idx="354">
                  <c:v>-38.431662795676232</c:v>
                </c:pt>
                <c:pt idx="355">
                  <c:v>-38.668288769287265</c:v>
                </c:pt>
                <c:pt idx="356">
                  <c:v>-38.908122422862952</c:v>
                </c:pt>
                <c:pt idx="357">
                  <c:v>-39.151099174105248</c:v>
                </c:pt>
                <c:pt idx="358">
                  <c:v>-39.397150878258202</c:v>
                </c:pt>
                <c:pt idx="359">
                  <c:v>-39.646205939314058</c:v>
                </c:pt>
                <c:pt idx="360">
                  <c:v>-39.898189428918236</c:v>
                </c:pt>
                <c:pt idx="361">
                  <c:v>-40.153023212741218</c:v>
                </c:pt>
                <c:pt idx="362">
                  <c:v>-40.410626084059771</c:v>
                </c:pt>
                <c:pt idx="363">
                  <c:v>-40.670913904254547</c:v>
                </c:pt>
                <c:pt idx="364">
                  <c:v>-40.933799749903095</c:v>
                </c:pt>
                <c:pt idx="365">
                  <c:v>-41.199194066117279</c:v>
                </c:pt>
                <c:pt idx="366">
                  <c:v>-41.467004825755005</c:v>
                </c:pt>
                <c:pt idx="367">
                  <c:v>-41.737137694109457</c:v>
                </c:pt>
                <c:pt idx="368">
                  <c:v>-42.009496198664458</c:v>
                </c:pt>
                <c:pt idx="369">
                  <c:v>-42.2839819034916</c:v>
                </c:pt>
                <c:pt idx="370">
                  <c:v>-42.560494587853917</c:v>
                </c:pt>
                <c:pt idx="371">
                  <c:v>-42.838932428573706</c:v>
                </c:pt>
                <c:pt idx="372">
                  <c:v>-43.119192185721602</c:v>
                </c:pt>
                <c:pt idx="373">
                  <c:v>-43.401169391182499</c:v>
                </c:pt>
                <c:pt idx="374">
                  <c:v>-43.684758539656798</c:v>
                </c:pt>
                <c:pt idx="375">
                  <c:v>-43.969853281660448</c:v>
                </c:pt>
                <c:pt idx="376">
                  <c:v>-44.25634661809363</c:v>
                </c:pt>
                <c:pt idx="377">
                  <c:v>-44.544131095953887</c:v>
                </c:pt>
                <c:pt idx="378">
                  <c:v>-44.83309900477613</c:v>
                </c:pt>
                <c:pt idx="379">
                  <c:v>-45.123142573390723</c:v>
                </c:pt>
                <c:pt idx="380">
                  <c:v>-45.414154166592269</c:v>
                </c:pt>
                <c:pt idx="381">
                  <c:v>-45.706026481317856</c:v>
                </c:pt>
                <c:pt idx="382">
                  <c:v>-45.998652741936041</c:v>
                </c:pt>
                <c:pt idx="383">
                  <c:v>-46.29192689424351</c:v>
                </c:pt>
                <c:pt idx="384">
                  <c:v>-46.585743797766085</c:v>
                </c:pt>
                <c:pt idx="385">
                  <c:v>-46.87999941595362</c:v>
                </c:pt>
                <c:pt idx="386">
                  <c:v>-47.174591003851283</c:v>
                </c:pt>
                <c:pt idx="387">
                  <c:v>-47.469417292815535</c:v>
                </c:pt>
                <c:pt idx="388">
                  <c:v>-47.764378671834862</c:v>
                </c:pt>
                <c:pt idx="389">
                  <c:v>-48.059377364997822</c:v>
                </c:pt>
                <c:pt idx="390">
                  <c:v>-48.354317604636464</c:v>
                </c:pt>
                <c:pt idx="391">
                  <c:v>-48.649105799661243</c:v>
                </c:pt>
                <c:pt idx="392">
                  <c:v>-48.943650698583092</c:v>
                </c:pt>
                <c:pt idx="393">
                  <c:v>-49.237863546710813</c:v>
                </c:pt>
                <c:pt idx="394">
                  <c:v>-49.531658236998595</c:v>
                </c:pt>
                <c:pt idx="395">
                  <c:v>-49.824951454011213</c:v>
                </c:pt>
                <c:pt idx="396">
                  <c:v>-50.117662810472481</c:v>
                </c:pt>
                <c:pt idx="397">
                  <c:v>-50.409714975863018</c:v>
                </c:pt>
                <c:pt idx="398">
                  <c:v>-50.701033796542099</c:v>
                </c:pt>
                <c:pt idx="399">
                  <c:v>-50.99154840688221</c:v>
                </c:pt>
                <c:pt idx="400">
                  <c:v>-51.28119133092477</c:v>
                </c:pt>
                <c:pt idx="401">
                  <c:v>-51.569898574094864</c:v>
                </c:pt>
                <c:pt idx="402">
                  <c:v>-51.857609704550669</c:v>
                </c:pt>
                <c:pt idx="403">
                  <c:v>-52.144267923779346</c:v>
                </c:pt>
                <c:pt idx="404">
                  <c:v>-52.429820126112077</c:v>
                </c:pt>
                <c:pt idx="405">
                  <c:v>-52.714216946880448</c:v>
                </c:pt>
                <c:pt idx="406">
                  <c:v>-52.997412799002916</c:v>
                </c:pt>
                <c:pt idx="407">
                  <c:v>-53.279365897861823</c:v>
                </c:pt>
                <c:pt idx="408">
                  <c:v>-53.560038274403666</c:v>
                </c:pt>
                <c:pt idx="409">
                  <c:v>-53.839395776474426</c:v>
                </c:pt>
                <c:pt idx="410">
                  <c:v>-54.117408058483285</c:v>
                </c:pt>
                <c:pt idx="411">
                  <c:v>-54.394048559569882</c:v>
                </c:pt>
                <c:pt idx="412">
                  <c:v>-54.669294470533131</c:v>
                </c:pt>
                <c:pt idx="413">
                  <c:v>-54.94312668986236</c:v>
                </c:pt>
                <c:pt idx="414">
                  <c:v>-55.215529769286029</c:v>
                </c:pt>
                <c:pt idx="415">
                  <c:v>-55.486491849334499</c:v>
                </c:pt>
                <c:pt idx="416">
                  <c:v>-55.756004585480213</c:v>
                </c:pt>
                <c:pt idx="417">
                  <c:v>-56.024063065479808</c:v>
                </c:pt>
                <c:pt idx="418">
                  <c:v>-56.290665718607855</c:v>
                </c:pt>
                <c:pt idx="419">
                  <c:v>-56.555814217511973</c:v>
                </c:pt>
                <c:pt idx="420">
                  <c:v>-56.81951337346878</c:v>
                </c:pt>
                <c:pt idx="421">
                  <c:v>-57.081771025842983</c:v>
                </c:pt>
                <c:pt idx="422">
                  <c:v>-57.342597926585519</c:v>
                </c:pt>
                <c:pt idx="423">
                  <c:v>-57.602007620608966</c:v>
                </c:pt>
                <c:pt idx="424">
                  <c:v>-57.860016322892385</c:v>
                </c:pt>
                <c:pt idx="425">
                  <c:v>-58.116642793157006</c:v>
                </c:pt>
                <c:pt idx="426">
                  <c:v>-58.371908208943481</c:v>
                </c:pt>
                <c:pt idx="427">
                  <c:v>-58.625836037901557</c:v>
                </c:pt>
                <c:pt idx="428">
                  <c:v>-58.878451910068677</c:v>
                </c:pt>
                <c:pt idx="429">
                  <c:v>-59.129783490888734</c:v>
                </c:pt>
                <c:pt idx="430">
                  <c:v>-59.379860355669109</c:v>
                </c:pt>
                <c:pt idx="431">
                  <c:v>-59.628713866137062</c:v>
                </c:pt>
                <c:pt idx="432">
                  <c:v>-59.876377049703031</c:v>
                </c:pt>
                <c:pt idx="433">
                  <c:v>-60.12288448198202</c:v>
                </c:pt>
                <c:pt idx="434">
                  <c:v>-60.368272173072896</c:v>
                </c:pt>
                <c:pt idx="435">
                  <c:v>-60.612577458033883</c:v>
                </c:pt>
                <c:pt idx="436">
                  <c:v>-60.855838891936436</c:v>
                </c:pt>
                <c:pt idx="437">
                  <c:v>-61.098096149818375</c:v>
                </c:pt>
                <c:pt idx="438">
                  <c:v>-61.339389931804348</c:v>
                </c:pt>
                <c:pt idx="439">
                  <c:v>-61.579761873595558</c:v>
                </c:pt>
                <c:pt idx="440">
                  <c:v>-61.81925446248858</c:v>
                </c:pt>
                <c:pt idx="441">
                  <c:v>-62.05791095901634</c:v>
                </c:pt>
                <c:pt idx="442">
                  <c:v>-62.295775324265776</c:v>
                </c:pt>
                <c:pt idx="443">
                  <c:v>-62.532892152870815</c:v>
                </c:pt>
                <c:pt idx="444">
                  <c:v>-62.769306611637681</c:v>
                </c:pt>
                <c:pt idx="445">
                  <c:v>-63.005064383722441</c:v>
                </c:pt>
                <c:pt idx="446">
                  <c:v>-63.240211618230518</c:v>
                </c:pt>
                <c:pt idx="447">
                  <c:v>-63.474794885088535</c:v>
                </c:pt>
                <c:pt idx="448">
                  <c:v>-63.708861134992816</c:v>
                </c:pt>
                <c:pt idx="449">
                  <c:v>-63.942457664220001</c:v>
                </c:pt>
                <c:pt idx="450">
                  <c:v>-64.17563208405366</c:v>
                </c:pt>
                <c:pt idx="451">
                  <c:v>-64.408432294561194</c:v>
                </c:pt>
                <c:pt idx="452">
                  <c:v>-64.640906462433236</c:v>
                </c:pt>
                <c:pt idx="453">
                  <c:v>-64.873103002582042</c:v>
                </c:pt>
                <c:pt idx="454">
                  <c:v>-65.10507056317779</c:v>
                </c:pt>
                <c:pt idx="455">
                  <c:v>-65.336858013791797</c:v>
                </c:pt>
                <c:pt idx="456">
                  <c:v>-65.568514436300006</c:v>
                </c:pt>
                <c:pt idx="457">
                  <c:v>-65.800089118197491</c:v>
                </c:pt>
                <c:pt idx="458">
                  <c:v>-66.031631547961751</c:v>
                </c:pt>
                <c:pt idx="459">
                  <c:v>-66.263191412097541</c:v>
                </c:pt>
                <c:pt idx="460">
                  <c:v>-66.494818593495609</c:v>
                </c:pt>
                <c:pt idx="461">
                  <c:v>-66.726563170728383</c:v>
                </c:pt>
                <c:pt idx="462">
                  <c:v>-66.958475417911544</c:v>
                </c:pt>
                <c:pt idx="463">
                  <c:v>-67.190605804750277</c:v>
                </c:pt>
                <c:pt idx="464">
                  <c:v>-67.423004996400863</c:v>
                </c:pt>
                <c:pt idx="465">
                  <c:v>-67.655723852769384</c:v>
                </c:pt>
                <c:pt idx="466">
                  <c:v>-67.888813426881967</c:v>
                </c:pt>
                <c:pt idx="467">
                  <c:v>-68.122324961957489</c:v>
                </c:pt>
                <c:pt idx="468">
                  <c:v>-68.356309886827205</c:v>
                </c:pt>
                <c:pt idx="469">
                  <c:v>-68.590819809346229</c:v>
                </c:pt>
                <c:pt idx="470">
                  <c:v>-68.825906507455528</c:v>
                </c:pt>
                <c:pt idx="471">
                  <c:v>-69.061621917564295</c:v>
                </c:pt>
                <c:pt idx="472">
                  <c:v>-69.298018119930944</c:v>
                </c:pt>
                <c:pt idx="473">
                  <c:v>-69.535147320741203</c:v>
                </c:pt>
                <c:pt idx="474">
                  <c:v>-69.773061830595239</c:v>
                </c:pt>
                <c:pt idx="475">
                  <c:v>-70.01181403913877</c:v>
                </c:pt>
                <c:pt idx="476">
                  <c:v>-70.251456385591567</c:v>
                </c:pt>
                <c:pt idx="477">
                  <c:v>-70.492041324955608</c:v>
                </c:pt>
                <c:pt idx="478">
                  <c:v>-70.73362128971047</c:v>
                </c:pt>
                <c:pt idx="479">
                  <c:v>-70.976248646835757</c:v>
                </c:pt>
                <c:pt idx="480">
                  <c:v>-71.219975650034371</c:v>
                </c:pt>
                <c:pt idx="481">
                  <c:v>-71.464854387066097</c:v>
                </c:pt>
                <c:pt idx="482">
                  <c:v>-71.710936722144737</c:v>
                </c:pt>
                <c:pt idx="483">
                  <c:v>-71.958274233388764</c:v>
                </c:pt>
                <c:pt idx="484">
                  <c:v>-72.206918145370253</c:v>
                </c:pt>
                <c:pt idx="485">
                  <c:v>-72.456919256846078</c:v>
                </c:pt>
                <c:pt idx="486">
                  <c:v>-72.708327863813892</c:v>
                </c:pt>
                <c:pt idx="487">
                  <c:v>-72.961193678084385</c:v>
                </c:pt>
                <c:pt idx="488">
                  <c:v>-73.215565741616743</c:v>
                </c:pt>
                <c:pt idx="489">
                  <c:v>-73.47149233691988</c:v>
                </c:pt>
                <c:pt idx="490">
                  <c:v>-73.729020893877347</c:v>
                </c:pt>
                <c:pt idx="491">
                  <c:v>-73.988197893412632</c:v>
                </c:pt>
                <c:pt idx="492">
                  <c:v>-74.249068768460134</c:v>
                </c:pt>
                <c:pt idx="493">
                  <c:v>-74.511677802765647</c:v>
                </c:pt>
                <c:pt idx="494">
                  <c:v>-74.77606802808981</c:v>
                </c:pt>
                <c:pt idx="495">
                  <c:v>-75.042281120430545</c:v>
                </c:pt>
                <c:pt idx="496">
                  <c:v>-75.310357295927759</c:v>
                </c:pt>
                <c:pt idx="497">
                  <c:v>-75.580335207148423</c:v>
                </c:pt>
                <c:pt idx="498">
                  <c:v>-75.852251840480733</c:v>
                </c:pt>
                <c:pt idx="499">
                  <c:v>-76.126142415391143</c:v>
                </c:pt>
                <c:pt idx="500">
                  <c:v>-76.40204028631328</c:v>
                </c:pt>
                <c:pt idx="501">
                  <c:v>-76.679976847945866</c:v>
                </c:pt>
                <c:pt idx="502">
                  <c:v>-76.959981444735405</c:v>
                </c:pt>
                <c:pt idx="503">
                  <c:v>-77.242081285310363</c:v>
                </c:pt>
                <c:pt idx="504">
                  <c:v>-77.526301362609303</c:v>
                </c:pt>
                <c:pt idx="505">
                  <c:v>-77.812664380423172</c:v>
                </c:pt>
                <c:pt idx="506">
                  <c:v>-78.101190687022196</c:v>
                </c:pt>
                <c:pt idx="507">
                  <c:v>-78.391898216499555</c:v>
                </c:pt>
                <c:pt idx="508">
                  <c:v>-78.684802438399245</c:v>
                </c:pt>
                <c:pt idx="509">
                  <c:v>-78.979916316132929</c:v>
                </c:pt>
                <c:pt idx="510">
                  <c:v>-79.277250274617117</c:v>
                </c:pt>
                <c:pt idx="511">
                  <c:v>-79.576812177480193</c:v>
                </c:pt>
                <c:pt idx="512">
                  <c:v>-79.87860731410899</c:v>
                </c:pt>
                <c:pt idx="513">
                  <c:v>-80.182638396709905</c:v>
                </c:pt>
                <c:pt idx="514">
                  <c:v>-80.488905567472784</c:v>
                </c:pt>
                <c:pt idx="515">
                  <c:v>-80.797406415829727</c:v>
                </c:pt>
                <c:pt idx="516">
                  <c:v>-81.108136005711799</c:v>
                </c:pt>
                <c:pt idx="517">
                  <c:v>-81.421086912610576</c:v>
                </c:pt>
                <c:pt idx="518">
                  <c:v>-81.736249270171584</c:v>
                </c:pt>
                <c:pt idx="519">
                  <c:v>-82.053610825952305</c:v>
                </c:pt>
                <c:pt idx="520">
                  <c:v>-82.373157005910457</c:v>
                </c:pt>
                <c:pt idx="521">
                  <c:v>-82.69487098710654</c:v>
                </c:pt>
                <c:pt idx="522">
                  <c:v>-83.018733778049679</c:v>
                </c:pt>
                <c:pt idx="523">
                  <c:v>-83.344724306052157</c:v>
                </c:pt>
                <c:pt idx="524">
                  <c:v>-83.672819510917961</c:v>
                </c:pt>
                <c:pt idx="525">
                  <c:v>-84.002994444247946</c:v>
                </c:pt>
                <c:pt idx="526">
                  <c:v>-84.335222373620269</c:v>
                </c:pt>
                <c:pt idx="527">
                  <c:v>-84.669474890883976</c:v>
                </c:pt>
                <c:pt idx="528">
                  <c:v>-85.0057220237953</c:v>
                </c:pt>
                <c:pt idx="529">
                  <c:v>-85.343932350229395</c:v>
                </c:pt>
                <c:pt idx="530">
                  <c:v>-85.684073114202448</c:v>
                </c:pt>
                <c:pt idx="531">
                  <c:v>-86.026110342964586</c:v>
                </c:pt>
                <c:pt idx="532">
                  <c:v>-86.370008964442007</c:v>
                </c:pt>
                <c:pt idx="533">
                  <c:v>-86.715732924341324</c:v>
                </c:pt>
                <c:pt idx="534">
                  <c:v>-87.063245302263951</c:v>
                </c:pt>
                <c:pt idx="535">
                  <c:v>-87.412508426222288</c:v>
                </c:pt>
                <c:pt idx="536">
                  <c:v>-87.763483984992519</c:v>
                </c:pt>
                <c:pt idx="537">
                  <c:v>-88.116133137790655</c:v>
                </c:pt>
                <c:pt idx="538">
                  <c:v>-88.470416620807868</c:v>
                </c:pt>
                <c:pt idx="539">
                  <c:v>-88.826294850191729</c:v>
                </c:pt>
                <c:pt idx="540">
                  <c:v>-89.183728021117616</c:v>
                </c:pt>
                <c:pt idx="541">
                  <c:v>-89.542676202642127</c:v>
                </c:pt>
              </c:numCache>
            </c:numRef>
          </c:yVal>
          <c:smooth val="1"/>
          <c:extLst>
            <c:ext xmlns:c16="http://schemas.microsoft.com/office/drawing/2014/chart" uri="{C3380CC4-5D6E-409C-BE32-E72D297353CC}">
              <c16:uniqueId val="{00000000-7AB1-42AA-8DBD-6D7B5452EF93}"/>
            </c:ext>
          </c:extLst>
        </c:ser>
        <c:dLbls>
          <c:showLegendKey val="0"/>
          <c:showVal val="0"/>
          <c:showCatName val="0"/>
          <c:showSerName val="0"/>
          <c:showPercent val="0"/>
          <c:showBubbleSize val="0"/>
        </c:dLbls>
        <c:axId val="365455232"/>
        <c:axId val="365465600"/>
      </c:scatterChart>
      <c:scatterChart>
        <c:scatterStyle val="smoothMarker"/>
        <c:varyColors val="0"/>
        <c:ser>
          <c:idx val="1"/>
          <c:order val="1"/>
          <c:tx>
            <c:v>Phase (deg)</c:v>
          </c:tx>
          <c:spPr>
            <a:ln w="38100">
              <a:solidFill>
                <a:schemeClr val="tx1">
                  <a:lumMod val="95000"/>
                  <a:lumOff val="5000"/>
                </a:schemeClr>
              </a:solidFill>
              <a:prstDash val="sysDash"/>
            </a:ln>
          </c:spPr>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Loop_Modeling!$BH$19:$BH$560</c:f>
              <c:numCache>
                <c:formatCode>General</c:formatCode>
                <c:ptCount val="542"/>
                <c:pt idx="0">
                  <c:v>67.779102965800888</c:v>
                </c:pt>
                <c:pt idx="1">
                  <c:v>67.345962740834011</c:v>
                </c:pt>
                <c:pt idx="2">
                  <c:v>66.907743173226123</c:v>
                </c:pt>
                <c:pt idx="3">
                  <c:v>66.464582148216095</c:v>
                </c:pt>
                <c:pt idx="4">
                  <c:v>66.016629923638504</c:v>
                </c:pt>
                <c:pt idx="5">
                  <c:v>65.564049381231129</c:v>
                </c:pt>
                <c:pt idx="6">
                  <c:v>65.107016245663374</c:v>
                </c:pt>
                <c:pt idx="7">
                  <c:v>64.645719268080043</c:v>
                </c:pt>
                <c:pt idx="8">
                  <c:v>64.180360371010408</c:v>
                </c:pt>
                <c:pt idx="9">
                  <c:v>63.711154751582832</c:v>
                </c:pt>
                <c:pt idx="10">
                  <c:v>63.238330940118807</c:v>
                </c:pt>
                <c:pt idx="11">
                  <c:v>62.762130811353842</c:v>
                </c:pt>
                <c:pt idx="12">
                  <c:v>62.282809545751675</c:v>
                </c:pt>
                <c:pt idx="13">
                  <c:v>61.800635538637266</c:v>
                </c:pt>
                <c:pt idx="14">
                  <c:v>61.31589025517561</c:v>
                </c:pt>
                <c:pt idx="15">
                  <c:v>60.828868029572249</c:v>
                </c:pt>
                <c:pt idx="16">
                  <c:v>60.339875807250657</c:v>
                </c:pt>
                <c:pt idx="17">
                  <c:v>59.849232829184011</c:v>
                </c:pt>
                <c:pt idx="18">
                  <c:v>59.357270258009564</c:v>
                </c:pt>
                <c:pt idx="19">
                  <c:v>58.864330746035051</c:v>
                </c:pt>
                <c:pt idx="20">
                  <c:v>58.370767945745058</c:v>
                </c:pt>
                <c:pt idx="21">
                  <c:v>57.876945963934133</c:v>
                </c:pt>
                <c:pt idx="22">
                  <c:v>57.383238761116999</c:v>
                </c:pt>
                <c:pt idx="23">
                  <c:v>56.890029498385225</c:v>
                </c:pt>
                <c:pt idx="24">
                  <c:v>56.397709834410506</c:v>
                </c:pt>
                <c:pt idx="25">
                  <c:v>55.906679175774968</c:v>
                </c:pt>
                <c:pt idx="26">
                  <c:v>55.417343884303733</c:v>
                </c:pt>
                <c:pt idx="27">
                  <c:v>54.930116445504801</c:v>
                </c:pt>
                <c:pt idx="28">
                  <c:v>54.445414602629057</c:v>
                </c:pt>
                <c:pt idx="29">
                  <c:v>53.963660461218069</c:v>
                </c:pt>
                <c:pt idx="30">
                  <c:v>53.485279569298385</c:v>
                </c:pt>
                <c:pt idx="31">
                  <c:v>53.010699978630861</c:v>
                </c:pt>
                <c:pt idx="32">
                  <c:v>52.540351292587047</c:v>
                </c:pt>
                <c:pt idx="33">
                  <c:v>52.074663706332139</c:v>
                </c:pt>
                <c:pt idx="34">
                  <c:v>51.614067045027255</c:v>
                </c:pt>
                <c:pt idx="35">
                  <c:v>51.158989805729</c:v>
                </c:pt>
                <c:pt idx="36">
                  <c:v>50.709858208543913</c:v>
                </c:pt>
                <c:pt idx="37">
                  <c:v>50.267095262432797</c:v>
                </c:pt>
                <c:pt idx="38">
                  <c:v>49.8311198507987</c:v>
                </c:pt>
                <c:pt idx="39">
                  <c:v>49.40234584169805</c:v>
                </c:pt>
                <c:pt idx="40">
                  <c:v>48.981181227150778</c:v>
                </c:pt>
                <c:pt idx="41">
                  <c:v>48.568027295608118</c:v>
                </c:pt>
                <c:pt idx="42">
                  <c:v>48.163277841192595</c:v>
                </c:pt>
                <c:pt idx="43">
                  <c:v>47.767318412833255</c:v>
                </c:pt>
                <c:pt idx="44">
                  <c:v>47.380525605911096</c:v>
                </c:pt>
                <c:pt idx="45">
                  <c:v>47.003266398497949</c:v>
                </c:pt>
                <c:pt idx="46">
                  <c:v>46.635897533736809</c:v>
                </c:pt>
                <c:pt idx="47">
                  <c:v>46.278764949383991</c:v>
                </c:pt>
                <c:pt idx="48">
                  <c:v>45.932203254985083</c:v>
                </c:pt>
                <c:pt idx="49">
                  <c:v>45.596535256674287</c:v>
                </c:pt>
                <c:pt idx="50">
                  <c:v>45.272071529072647</c:v>
                </c:pt>
                <c:pt idx="51">
                  <c:v>44.959110033316719</c:v>
                </c:pt>
                <c:pt idx="52">
                  <c:v>44.657935779821869</c:v>
                </c:pt>
                <c:pt idx="53">
                  <c:v>44.368820533994729</c:v>
                </c:pt>
                <c:pt idx="54">
                  <c:v>44.092022562776677</c:v>
                </c:pt>
                <c:pt idx="55">
                  <c:v>43.827786419592215</c:v>
                </c:pt>
                <c:pt idx="56">
                  <c:v>43.576342765040792</c:v>
                </c:pt>
                <c:pt idx="57">
                  <c:v>43.337908220459532</c:v>
                </c:pt>
                <c:pt idx="58">
                  <c:v>43.112685251338419</c:v>
                </c:pt>
                <c:pt idx="59">
                  <c:v>42.900862077472425</c:v>
                </c:pt>
                <c:pt idx="60">
                  <c:v>42.702612606667145</c:v>
                </c:pt>
                <c:pt idx="61">
                  <c:v>42.518096388824262</c:v>
                </c:pt>
                <c:pt idx="62">
                  <c:v>42.347458587249065</c:v>
                </c:pt>
                <c:pt idx="63">
                  <c:v>42.190829964119004</c:v>
                </c:pt>
                <c:pt idx="64">
                  <c:v>42.048326877151119</c:v>
                </c:pt>
                <c:pt idx="65">
                  <c:v>41.920051284668745</c:v>
                </c:pt>
                <c:pt idx="66">
                  <c:v>41.806090756451681</c:v>
                </c:pt>
                <c:pt idx="67">
                  <c:v>41.706518487960821</c:v>
                </c:pt>
                <c:pt idx="68">
                  <c:v>41.621393315776729</c:v>
                </c:pt>
                <c:pt idx="69">
                  <c:v>41.550759732351644</c:v>
                </c:pt>
                <c:pt idx="70">
                  <c:v>41.494647898454026</c:v>
                </c:pt>
                <c:pt idx="71">
                  <c:v>41.453073651991751</c:v>
                </c:pt>
                <c:pt idx="72">
                  <c:v>41.426038512198964</c:v>
                </c:pt>
                <c:pt idx="73">
                  <c:v>41.413529678510244</c:v>
                </c:pt>
                <c:pt idx="74">
                  <c:v>41.415520023755917</c:v>
                </c:pt>
                <c:pt idx="75">
                  <c:v>41.431968081658098</c:v>
                </c:pt>
                <c:pt idx="76">
                  <c:v>41.462818028930108</c:v>
                </c:pt>
                <c:pt idx="77">
                  <c:v>41.507999662615767</c:v>
                </c:pt>
                <c:pt idx="78">
                  <c:v>41.567428373624757</c:v>
                </c:pt>
                <c:pt idx="79">
                  <c:v>41.641005117732597</c:v>
                </c:pt>
                <c:pt idx="80">
                  <c:v>41.728616385620583</c:v>
                </c:pt>
                <c:pt idx="81">
                  <c:v>41.830134173809931</c:v>
                </c:pt>
                <c:pt idx="82">
                  <c:v>41.945415958609559</c:v>
                </c:pt>
                <c:pt idx="83">
                  <c:v>42.074304675451508</c:v>
                </c:pt>
                <c:pt idx="84">
                  <c:v>42.216628706187969</c:v>
                </c:pt>
                <c:pt idx="85">
                  <c:v>42.372201877131779</c:v>
                </c:pt>
                <c:pt idx="86">
                  <c:v>42.540823470762653</c:v>
                </c:pt>
                <c:pt idx="87">
                  <c:v>42.722278254154105</c:v>
                </c:pt>
                <c:pt idx="88">
                  <c:v>42.916336527253506</c:v>
                </c:pt>
                <c:pt idx="89">
                  <c:v>43.122754194186811</c:v>
                </c:pt>
                <c:pt idx="90">
                  <c:v>43.341272860764228</c:v>
                </c:pt>
                <c:pt idx="91">
                  <c:v>43.571619961310759</c:v>
                </c:pt>
                <c:pt idx="92">
                  <c:v>43.813508917847514</c:v>
                </c:pt>
                <c:pt idx="93">
                  <c:v>44.066639334513596</c:v>
                </c:pt>
                <c:pt idx="94">
                  <c:v>44.330697229917227</c:v>
                </c:pt>
                <c:pt idx="95">
                  <c:v>44.605355309868521</c:v>
                </c:pt>
                <c:pt idx="96">
                  <c:v>44.890273282653553</c:v>
                </c:pt>
                <c:pt idx="97">
                  <c:v>45.1850982186754</c:v>
                </c:pt>
                <c:pt idx="98">
                  <c:v>45.489464955910449</c:v>
                </c:pt>
                <c:pt idx="99">
                  <c:v>45.802996552201094</c:v>
                </c:pt>
                <c:pt idx="100">
                  <c:v>46.125304784964705</c:v>
                </c:pt>
                <c:pt idx="101">
                  <c:v>46.45599069840253</c:v>
                </c:pt>
                <c:pt idx="102">
                  <c:v>46.794645197791766</c:v>
                </c:pt>
                <c:pt idx="103">
                  <c:v>47.140849689912208</c:v>
                </c:pt>
                <c:pt idx="104">
                  <c:v>47.494176768129556</c:v>
                </c:pt>
                <c:pt idx="105">
                  <c:v>47.854190940117945</c:v>
                </c:pt>
                <c:pt idx="106">
                  <c:v>48.220449395674528</c:v>
                </c:pt>
                <c:pt idx="107">
                  <c:v>48.592502811566696</c:v>
                </c:pt>
                <c:pt idx="108">
                  <c:v>48.969896189860094</c:v>
                </c:pt>
                <c:pt idx="109">
                  <c:v>49.352169725721403</c:v>
                </c:pt>
                <c:pt idx="110">
                  <c:v>49.738859700269053</c:v>
                </c:pt>
                <c:pt idx="111">
                  <c:v>50.129499393682359</c:v>
                </c:pt>
                <c:pt idx="112">
                  <c:v>50.52362001345891</c:v>
                </c:pt>
                <c:pt idx="113">
                  <c:v>50.920751632463343</c:v>
                </c:pt>
                <c:pt idx="114">
                  <c:v>51.320424131220413</c:v>
                </c:pt>
                <c:pt idx="115">
                  <c:v>51.722168138785115</c:v>
                </c:pt>
                <c:pt idx="116">
                  <c:v>52.125515966476911</c:v>
                </c:pt>
                <c:pt idx="117">
                  <c:v>52.530002528791215</c:v>
                </c:pt>
                <c:pt idx="118">
                  <c:v>52.935166245887274</c:v>
                </c:pt>
                <c:pt idx="119">
                  <c:v>53.3405499222307</c:v>
                </c:pt>
                <c:pt idx="120">
                  <c:v>53.745701596181334</c:v>
                </c:pt>
                <c:pt idx="121">
                  <c:v>54.15017535562712</c:v>
                </c:pt>
                <c:pt idx="122">
                  <c:v>54.553532115092572</c:v>
                </c:pt>
                <c:pt idx="123">
                  <c:v>54.955340350167788</c:v>
                </c:pt>
                <c:pt idx="124">
                  <c:v>55.355176785522183</c:v>
                </c:pt>
                <c:pt idx="125">
                  <c:v>55.752627033253461</c:v>
                </c:pt>
                <c:pt idx="126">
                  <c:v>56.147286178819364</c:v>
                </c:pt>
                <c:pt idx="127">
                  <c:v>56.538759312305352</c:v>
                </c:pt>
                <c:pt idx="128">
                  <c:v>56.926662003319542</c:v>
                </c:pt>
                <c:pt idx="129">
                  <c:v>57.310620718326319</c:v>
                </c:pt>
                <c:pt idx="130">
                  <c:v>57.690273179743642</c:v>
                </c:pt>
                <c:pt idx="131">
                  <c:v>58.065268666647853</c:v>
                </c:pt>
                <c:pt idx="132">
                  <c:v>58.435268257395172</c:v>
                </c:pt>
                <c:pt idx="133">
                  <c:v>58.799945014949337</c:v>
                </c:pt>
                <c:pt idx="134">
                  <c:v>59.158984116105522</c:v>
                </c:pt>
                <c:pt idx="135">
                  <c:v>59.512082926217118</c:v>
                </c:pt>
                <c:pt idx="136">
                  <c:v>59.858951021363666</c:v>
                </c:pt>
                <c:pt idx="137">
                  <c:v>60.199310160219149</c:v>
                </c:pt>
                <c:pt idx="138">
                  <c:v>60.532894208146779</c:v>
                </c:pt>
                <c:pt idx="139">
                  <c:v>60.859449016272876</c:v>
                </c:pt>
                <c:pt idx="140">
                  <c:v>61.178732258469239</c:v>
                </c:pt>
                <c:pt idx="141">
                  <c:v>61.490513229325138</c:v>
                </c:pt>
                <c:pt idx="142">
                  <c:v>61.794572606278834</c:v>
                </c:pt>
                <c:pt idx="143">
                  <c:v>62.090702179149176</c:v>
                </c:pt>
                <c:pt idx="144">
                  <c:v>62.378704550333325</c:v>
                </c:pt>
                <c:pt idx="145">
                  <c:v>62.658392808923502</c:v>
                </c:pt>
                <c:pt idx="146">
                  <c:v>62.929590181969637</c:v>
                </c:pt>
                <c:pt idx="147">
                  <c:v>63.192129666042142</c:v>
                </c:pt>
                <c:pt idx="148">
                  <c:v>63.44585364216838</c:v>
                </c:pt>
                <c:pt idx="149">
                  <c:v>63.690613477109103</c:v>
                </c:pt>
                <c:pt idx="150">
                  <c:v>63.926269113812801</c:v>
                </c:pt>
                <c:pt idx="151">
                  <c:v>64.152688653757238</c:v>
                </c:pt>
                <c:pt idx="152">
                  <c:v>64.369747933733095</c:v>
                </c:pt>
                <c:pt idx="153">
                  <c:v>64.577330099472263</c:v>
                </c:pt>
                <c:pt idx="154">
                  <c:v>64.775325178363033</c:v>
                </c:pt>
                <c:pt idx="155">
                  <c:v>64.963629653331324</c:v>
                </c:pt>
                <c:pt idx="156">
                  <c:v>65.142146039803578</c:v>
                </c:pt>
                <c:pt idx="157">
                  <c:v>65.310782467505135</c:v>
                </c:pt>
                <c:pt idx="158">
                  <c:v>65.469452268690119</c:v>
                </c:pt>
                <c:pt idx="159">
                  <c:v>65.618073574244633</c:v>
                </c:pt>
                <c:pt idx="160">
                  <c:v>65.756568918953775</c:v>
                </c:pt>
                <c:pt idx="161">
                  <c:v>65.884864857088488</c:v>
                </c:pt>
                <c:pt idx="162">
                  <c:v>66.00289158932604</c:v>
                </c:pt>
                <c:pt idx="163">
                  <c:v>66.110582601901726</c:v>
                </c:pt>
                <c:pt idx="164">
                  <c:v>66.207874318762094</c:v>
                </c:pt>
                <c:pt idx="165">
                  <c:v>66.294705767392145</c:v>
                </c:pt>
                <c:pt idx="166">
                  <c:v>66.371018258881207</c:v>
                </c:pt>
                <c:pt idx="167">
                  <c:v>66.436755082710761</c:v>
                </c:pt>
                <c:pt idx="168">
                  <c:v>66.491861216657284</c:v>
                </c:pt>
                <c:pt idx="169">
                  <c:v>66.536283052137364</c:v>
                </c:pt>
                <c:pt idx="170">
                  <c:v>66.569968135256929</c:v>
                </c:pt>
                <c:pt idx="171">
                  <c:v>66.592864923768659</c:v>
                </c:pt>
                <c:pt idx="172">
                  <c:v>66.604922560093286</c:v>
                </c:pt>
                <c:pt idx="173">
                  <c:v>66.606090660522781</c:v>
                </c:pt>
                <c:pt idx="174">
                  <c:v>66.596319120684626</c:v>
                </c:pt>
                <c:pt idx="175">
                  <c:v>66.57555793732061</c:v>
                </c:pt>
                <c:pt idx="176">
                  <c:v>66.543757046410917</c:v>
                </c:pt>
                <c:pt idx="177">
                  <c:v>66.500866177656476</c:v>
                </c:pt>
                <c:pt idx="178">
                  <c:v>66.446834725318595</c:v>
                </c:pt>
                <c:pt idx="179">
                  <c:v>66.381611635409683</c:v>
                </c:pt>
                <c:pt idx="180">
                  <c:v>66.305145309219739</c:v>
                </c:pt>
                <c:pt idx="181">
                  <c:v>66.217383523162468</c:v>
                </c:pt>
                <c:pt idx="182">
                  <c:v>66.118273364928044</c:v>
                </c:pt>
                <c:pt idx="183">
                  <c:v>66.007761185924252</c:v>
                </c:pt>
                <c:pt idx="184">
                  <c:v>65.885792570002295</c:v>
                </c:pt>
                <c:pt idx="185">
                  <c:v>65.752312318451629</c:v>
                </c:pt>
                <c:pt idx="186">
                  <c:v>65.607264451272655</c:v>
                </c:pt>
                <c:pt idx="187">
                  <c:v>65.450592224720083</c:v>
                </c:pt>
                <c:pt idx="188">
                  <c:v>65.282238165126827</c:v>
                </c:pt>
                <c:pt idx="189">
                  <c:v>65.102144119013005</c:v>
                </c:pt>
                <c:pt idx="190">
                  <c:v>64.910251319485738</c:v>
                </c:pt>
                <c:pt idx="191">
                  <c:v>64.706500468935758</c:v>
                </c:pt>
                <c:pt idx="192">
                  <c:v>64.490831838020512</c:v>
                </c:pt>
                <c:pt idx="193">
                  <c:v>64.263185380930011</c:v>
                </c:pt>
                <c:pt idx="194">
                  <c:v>64.023500866900093</c:v>
                </c:pt>
                <c:pt idx="195">
                  <c:v>63.771718027933659</c:v>
                </c:pt>
                <c:pt idx="196">
                  <c:v>63.507776722655919</c:v>
                </c:pt>
                <c:pt idx="197">
                  <c:v>63.231617116203935</c:v>
                </c:pt>
                <c:pt idx="198">
                  <c:v>62.943179876019492</c:v>
                </c:pt>
                <c:pt idx="199">
                  <c:v>62.642406383360516</c:v>
                </c:pt>
                <c:pt idx="200">
                  <c:v>62.329238960303961</c:v>
                </c:pt>
                <c:pt idx="201">
                  <c:v>62.003621111955489</c:v>
                </c:pt>
                <c:pt idx="202">
                  <c:v>61.665497783507448</c:v>
                </c:pt>
                <c:pt idx="203">
                  <c:v>61.314815631723164</c:v>
                </c:pt>
                <c:pt idx="204">
                  <c:v>60.951523310331865</c:v>
                </c:pt>
                <c:pt idx="205">
                  <c:v>60.575571768734463</c:v>
                </c:pt>
                <c:pt idx="206">
                  <c:v>60.186914563316037</c:v>
                </c:pt>
                <c:pt idx="207">
                  <c:v>59.785508180550977</c:v>
                </c:pt>
                <c:pt idx="208">
                  <c:v>59.371312370970415</c:v>
                </c:pt>
                <c:pt idx="209">
                  <c:v>58.94429049293506</c:v>
                </c:pt>
                <c:pt idx="210">
                  <c:v>58.504409865019923</c:v>
                </c:pt>
                <c:pt idx="211">
                  <c:v>58.051642125678264</c:v>
                </c:pt>
                <c:pt idx="212">
                  <c:v>57.585963598706876</c:v>
                </c:pt>
                <c:pt idx="213">
                  <c:v>57.107355662874653</c:v>
                </c:pt>
                <c:pt idx="214">
                  <c:v>56.615805123929178</c:v>
                </c:pt>
                <c:pt idx="215">
                  <c:v>56.111304587031306</c:v>
                </c:pt>
                <c:pt idx="216">
                  <c:v>55.593852827511093</c:v>
                </c:pt>
                <c:pt idx="217">
                  <c:v>55.063455157680544</c:v>
                </c:pt>
                <c:pt idx="218">
                  <c:v>54.520123787286209</c:v>
                </c:pt>
                <c:pt idx="219">
                  <c:v>53.963878175036477</c:v>
                </c:pt>
                <c:pt idx="220">
                  <c:v>53.394745368500686</c:v>
                </c:pt>
                <c:pt idx="221">
                  <c:v>52.812760329555672</c:v>
                </c:pt>
                <c:pt idx="222">
                  <c:v>52.217966242437306</c:v>
                </c:pt>
                <c:pt idx="223">
                  <c:v>51.610414801372741</c:v>
                </c:pt>
                <c:pt idx="224">
                  <c:v>50.990166474693289</c:v>
                </c:pt>
                <c:pt idx="225">
                  <c:v>50.357290742283958</c:v>
                </c:pt>
                <c:pt idx="226">
                  <c:v>49.711866303211842</c:v>
                </c:pt>
                <c:pt idx="227">
                  <c:v>49.053981250394997</c:v>
                </c:pt>
                <c:pt idx="228">
                  <c:v>48.38373320921562</c:v>
                </c:pt>
                <c:pt idx="229">
                  <c:v>47.701229437075988</c:v>
                </c:pt>
                <c:pt idx="230">
                  <c:v>47.006586881028042</c:v>
                </c:pt>
                <c:pt idx="231">
                  <c:v>46.299932190763805</c:v>
                </c:pt>
                <c:pt idx="232">
                  <c:v>45.581401684484476</c:v>
                </c:pt>
                <c:pt idx="233">
                  <c:v>44.851141265404195</c:v>
                </c:pt>
                <c:pt idx="234">
                  <c:v>44.109306286963161</c:v>
                </c:pt>
                <c:pt idx="235">
                  <c:v>43.356061365151049</c:v>
                </c:pt>
                <c:pt idx="236">
                  <c:v>42.59158013673499</c:v>
                </c:pt>
                <c:pt idx="237">
                  <c:v>41.816044962608544</c:v>
                </c:pt>
                <c:pt idx="238">
                  <c:v>41.02964657592559</c:v>
                </c:pt>
                <c:pt idx="239">
                  <c:v>40.232583675182539</c:v>
                </c:pt>
                <c:pt idx="240">
                  <c:v>39.425062462915875</c:v>
                </c:pt>
                <c:pt idx="241">
                  <c:v>38.607296131208997</c:v>
                </c:pt>
                <c:pt idx="242">
                  <c:v>37.779504295760006</c:v>
                </c:pt>
                <c:pt idx="243">
                  <c:v>36.941912380790683</c:v>
                </c:pt>
                <c:pt idx="244">
                  <c:v>36.094750957632989</c:v>
                </c:pt>
                <c:pt idx="245">
                  <c:v>35.238255040353756</c:v>
                </c:pt>
                <c:pt idx="246">
                  <c:v>34.372663342296512</c:v>
                </c:pt>
                <c:pt idx="247">
                  <c:v>33.498217497892554</c:v>
                </c:pt>
                <c:pt idx="248">
                  <c:v>32.615161254547502</c:v>
                </c:pt>
                <c:pt idx="249">
                  <c:v>31.723739639808414</c:v>
                </c:pt>
                <c:pt idx="250">
                  <c:v>30.824198109361522</c:v>
                </c:pt>
                <c:pt idx="251">
                  <c:v>29.916781681713204</c:v>
                </c:pt>
                <c:pt idx="252">
                  <c:v>29.001734065623541</c:v>
                </c:pt>
                <c:pt idx="253">
                  <c:v>28.079296786534051</c:v>
                </c:pt>
                <c:pt idx="254">
                  <c:v>27.149708318316158</c:v>
                </c:pt>
                <c:pt idx="255">
                  <c:v>26.213203226694475</c:v>
                </c:pt>
                <c:pt idx="256">
                  <c:v>25.270011330643733</c:v>
                </c:pt>
                <c:pt idx="257">
                  <c:v>24.320356887931748</c:v>
                </c:pt>
                <c:pt idx="258">
                  <c:v>23.364457810806936</c:v>
                </c:pt>
                <c:pt idx="259">
                  <c:v>22.402524917557642</c:v>
                </c:pt>
                <c:pt idx="260">
                  <c:v>21.434761225372398</c:v>
                </c:pt>
                <c:pt idx="261">
                  <c:v>20.461361289552158</c:v>
                </c:pt>
                <c:pt idx="262">
                  <c:v>19.482510593722914</c:v>
                </c:pt>
                <c:pt idx="263">
                  <c:v>18.498384995237803</c:v>
                </c:pt>
                <c:pt idx="264">
                  <c:v>17.509150229479214</c:v>
                </c:pt>
                <c:pt idx="265">
                  <c:v>16.514961476258783</c:v>
                </c:pt>
                <c:pt idx="266">
                  <c:v>15.515962991000274</c:v>
                </c:pt>
                <c:pt idx="267">
                  <c:v>14.51228780284772</c:v>
                </c:pt>
                <c:pt idx="268">
                  <c:v>13.504057481326749</c:v>
                </c:pt>
                <c:pt idx="269">
                  <c:v>12.491381972653214</c:v>
                </c:pt>
                <c:pt idx="270">
                  <c:v>11.474359506284523</c:v>
                </c:pt>
                <c:pt idx="271">
                  <c:v>10.45307657181608</c:v>
                </c:pt>
                <c:pt idx="272">
                  <c:v>9.4276079658716103</c:v>
                </c:pt>
                <c:pt idx="273">
                  <c:v>8.3980169081846601</c:v>
                </c:pt>
                <c:pt idx="274">
                  <c:v>7.3643552256983309</c:v>
                </c:pt>
                <c:pt idx="275">
                  <c:v>6.3266636031083738</c:v>
                </c:pt>
                <c:pt idx="276">
                  <c:v>5.2849718979752005</c:v>
                </c:pt>
                <c:pt idx="277">
                  <c:v>4.2392995182194149</c:v>
                </c:pt>
                <c:pt idx="278">
                  <c:v>3.1896558595627709</c:v>
                </c:pt>
                <c:pt idx="279">
                  <c:v>2.1360408002576223</c:v>
                </c:pt>
                <c:pt idx="280">
                  <c:v>1.0784452502536261</c:v>
                </c:pt>
                <c:pt idx="281">
                  <c:v>1.6851751801557707E-2</c:v>
                </c:pt>
                <c:pt idx="282">
                  <c:v>-1.0487648716442473</c:v>
                </c:pt>
                <c:pt idx="283">
                  <c:v>-2.1184368214542726</c:v>
                </c:pt>
                <c:pt idx="284">
                  <c:v>-3.1922025881001272</c:v>
                </c:pt>
                <c:pt idx="285">
                  <c:v>-4.2701061770548199</c:v>
                </c:pt>
                <c:pt idx="286">
                  <c:v>-5.3521962997273862</c:v>
                </c:pt>
                <c:pt idx="287">
                  <c:v>-6.4385255328929389</c:v>
                </c:pt>
                <c:pt idx="288">
                  <c:v>-7.5291494500762788</c:v>
                </c:pt>
                <c:pt idx="289">
                  <c:v>-8.6241257283811521</c:v>
                </c:pt>
                <c:pt idx="290">
                  <c:v>-9.7235132342591886</c:v>
                </c:pt>
                <c:pt idx="291">
                  <c:v>-10.827371091716531</c:v>
                </c:pt>
                <c:pt idx="292">
                  <c:v>-11.935757736475212</c:v>
                </c:pt>
                <c:pt idx="293">
                  <c:v>-13.048729959601634</c:v>
                </c:pt>
                <c:pt idx="294">
                  <c:v>-14.166341944140225</c:v>
                </c:pt>
                <c:pt idx="295">
                  <c:v>-15.288644298288293</c:v>
                </c:pt>
                <c:pt idx="296">
                  <c:v>-16.415683088680559</c:v>
                </c:pt>
                <c:pt idx="297">
                  <c:v>-17.547498877356556</c:v>
                </c:pt>
                <c:pt idx="298">
                  <c:v>-18.684125766015981</c:v>
                </c:pt>
                <c:pt idx="299">
                  <c:v>-19.825590451174161</c:v>
                </c:pt>
                <c:pt idx="300">
                  <c:v>-20.971911293864402</c:v>
                </c:pt>
                <c:pt idx="301">
                  <c:v>-22.12309740753226</c:v>
                </c:pt>
                <c:pt idx="302">
                  <c:v>-23.279147767784327</c:v>
                </c:pt>
                <c:pt idx="303">
                  <c:v>-24.440050347657383</c:v>
                </c:pt>
                <c:pt idx="304">
                  <c:v>-25.605781282050554</c:v>
                </c:pt>
                <c:pt idx="305">
                  <c:v>-26.776304064949873</c:v>
                </c:pt>
                <c:pt idx="306">
                  <c:v>-27.951568783024392</c:v>
                </c:pt>
                <c:pt idx="307">
                  <c:v>-29.131511389117829</c:v>
                </c:pt>
                <c:pt idx="308">
                  <c:v>-30.316053019068935</c:v>
                </c:pt>
                <c:pt idx="309">
                  <c:v>-31.5050993551936</c:v>
                </c:pt>
                <c:pt idx="310">
                  <c:v>-32.698540039625783</c:v>
                </c:pt>
                <c:pt idx="311">
                  <c:v>-33.896248140547733</c:v>
                </c:pt>
                <c:pt idx="312">
                  <c:v>-35.098079674167522</c:v>
                </c:pt>
                <c:pt idx="313">
                  <c:v>-36.303873185069698</c:v>
                </c:pt>
                <c:pt idx="314">
                  <c:v>-37.513449387328038</c:v>
                </c:pt>
                <c:pt idx="315">
                  <c:v>-38.726610868502583</c:v>
                </c:pt>
                <c:pt idx="316">
                  <c:v>-39.943141858349023</c:v>
                </c:pt>
                <c:pt idx="317">
                  <c:v>-41.162808063741174</c:v>
                </c:pt>
                <c:pt idx="318">
                  <c:v>-42.385356570995711</c:v>
                </c:pt>
                <c:pt idx="319">
                  <c:v>-43.610515816416275</c:v>
                </c:pt>
                <c:pt idx="320">
                  <c:v>-44.837995625532962</c:v>
                </c:pt>
                <c:pt idx="321">
                  <c:v>-46.067487321145776</c:v>
                </c:pt>
                <c:pt idx="322">
                  <c:v>-47.298663899905392</c:v>
                </c:pt>
                <c:pt idx="323">
                  <c:v>-48.531180276830156</c:v>
                </c:pt>
                <c:pt idx="324">
                  <c:v>-49.764673596789699</c:v>
                </c:pt>
                <c:pt idx="325">
                  <c:v>-50.998763611665716</c:v>
                </c:pt>
                <c:pt idx="326">
                  <c:v>-52.233053121584177</c:v>
                </c:pt>
                <c:pt idx="327">
                  <c:v>-53.467128478338118</c:v>
                </c:pt>
                <c:pt idx="328">
                  <c:v>-54.700560148850698</c:v>
                </c:pt>
                <c:pt idx="329">
                  <c:v>-55.932903336316144</c:v>
                </c:pt>
                <c:pt idx="330">
                  <c:v>-57.163698656454962</c:v>
                </c:pt>
                <c:pt idx="331">
                  <c:v>-58.392472866174806</c:v>
                </c:pt>
                <c:pt idx="332">
                  <c:v>-59.618739641797902</c:v>
                </c:pt>
                <c:pt idx="333">
                  <c:v>-60.84200040394326</c:v>
                </c:pt>
                <c:pt idx="334">
                  <c:v>-62.061745186073402</c:v>
                </c:pt>
                <c:pt idx="335">
                  <c:v>-63.277453543728065</c:v>
                </c:pt>
                <c:pt idx="336">
                  <c:v>-64.488595501420789</c:v>
                </c:pt>
                <c:pt idx="337">
                  <c:v>-65.694632534242842</c:v>
                </c:pt>
                <c:pt idx="338">
                  <c:v>-66.895018581225912</c:v>
                </c:pt>
                <c:pt idx="339">
                  <c:v>-68.089201087573628</c:v>
                </c:pt>
                <c:pt idx="340">
                  <c:v>-69.276622072932355</c:v>
                </c:pt>
                <c:pt idx="341">
                  <c:v>-70.456719222929209</c:v>
                </c:pt>
                <c:pt idx="342">
                  <c:v>-71.628927001247902</c:v>
                </c:pt>
                <c:pt idx="343">
                  <c:v>-72.792677779575982</c:v>
                </c:pt>
                <c:pt idx="344">
                  <c:v>-73.94740298277668</c:v>
                </c:pt>
                <c:pt idx="345">
                  <c:v>-75.09253424667429</c:v>
                </c:pt>
                <c:pt idx="346">
                  <c:v>-76.22750458583694</c:v>
                </c:pt>
                <c:pt idx="347">
                  <c:v>-77.351749568730654</c:v>
                </c:pt>
                <c:pt idx="348">
                  <c:v>-78.464708497613998</c:v>
                </c:pt>
                <c:pt idx="349">
                  <c:v>-79.565825590469288</c:v>
                </c:pt>
                <c:pt idx="350">
                  <c:v>-80.654551162244573</c:v>
                </c:pt>
                <c:pt idx="351">
                  <c:v>-81.730342802604838</c:v>
                </c:pt>
                <c:pt idx="352">
                  <c:v>-82.792666547331038</c:v>
                </c:pt>
                <c:pt idx="353">
                  <c:v>-83.840998040432225</c:v>
                </c:pt>
                <c:pt idx="354">
                  <c:v>-84.87482368399003</c:v>
                </c:pt>
                <c:pt idx="355">
                  <c:v>-85.89364177266998</c:v>
                </c:pt>
                <c:pt idx="356">
                  <c:v>-86.896963609824496</c:v>
                </c:pt>
                <c:pt idx="357">
                  <c:v>-87.884314602060599</c:v>
                </c:pt>
                <c:pt idx="358">
                  <c:v>-88.855235329146538</c:v>
                </c:pt>
                <c:pt idx="359">
                  <c:v>-89.809282586150346</c:v>
                </c:pt>
                <c:pt idx="360">
                  <c:v>-90.74603039473898</c:v>
                </c:pt>
                <c:pt idx="361">
                  <c:v>-91.665070980629125</c:v>
                </c:pt>
                <c:pt idx="362">
                  <c:v>-92.566015714275451</c:v>
                </c:pt>
                <c:pt idx="363">
                  <c:v>-93.448496012000362</c:v>
                </c:pt>
                <c:pt idx="364">
                  <c:v>-94.312164194900078</c:v>
                </c:pt>
                <c:pt idx="365">
                  <c:v>-95.156694303029411</c:v>
                </c:pt>
                <c:pt idx="366">
                  <c:v>-95.98178286254452</c:v>
                </c:pt>
                <c:pt idx="367">
                  <c:v>-96.787149603666265</c:v>
                </c:pt>
                <c:pt idx="368">
                  <c:v>-97.572538127544206</c:v>
                </c:pt>
                <c:pt idx="369">
                  <c:v>-98.337716520289803</c:v>
                </c:pt>
                <c:pt idx="370">
                  <c:v>-99.082477912672758</c:v>
                </c:pt>
                <c:pt idx="371">
                  <c:v>-99.806640984163835</c:v>
                </c:pt>
                <c:pt idx="372">
                  <c:v>-100.51005041022094</c:v>
                </c:pt>
                <c:pt idx="373">
                  <c:v>-101.19257725188422</c:v>
                </c:pt>
                <c:pt idx="374">
                  <c:v>-101.85411928693725</c:v>
                </c:pt>
                <c:pt idx="375">
                  <c:v>-102.49460128203239</c:v>
                </c:pt>
                <c:pt idx="376">
                  <c:v>-103.11397520532822</c:v>
                </c:pt>
                <c:pt idx="377">
                  <c:v>-103.71222037930313</c:v>
                </c:pt>
                <c:pt idx="378">
                  <c:v>-104.28934357351403</c:v>
                </c:pt>
                <c:pt idx="379">
                  <c:v>-104.84537903715386</c:v>
                </c:pt>
                <c:pt idx="380">
                  <c:v>-105.38038847133531</c:v>
                </c:pt>
                <c:pt idx="381">
                  <c:v>-105.89446094108494</c:v>
                </c:pt>
                <c:pt idx="382">
                  <c:v>-106.38771272708266</c:v>
                </c:pt>
                <c:pt idx="383">
                  <c:v>-106.8602871172278</c:v>
                </c:pt>
                <c:pt idx="384">
                  <c:v>-107.31235413815544</c:v>
                </c:pt>
                <c:pt idx="385">
                  <c:v>-107.74411022687922</c:v>
                </c:pt>
                <c:pt idx="386">
                  <c:v>-108.15577784278214</c:v>
                </c:pt>
                <c:pt idx="387">
                  <c:v>-108.54760502026494</c:v>
                </c:pt>
                <c:pt idx="388">
                  <c:v>-108.91986486243066</c:v>
                </c:pt>
                <c:pt idx="389">
                  <c:v>-109.27285497630021</c:v>
                </c:pt>
                <c:pt idx="390">
                  <c:v>-109.60689685018946</c:v>
                </c:pt>
                <c:pt idx="391">
                  <c:v>-109.92233517402749</c:v>
                </c:pt>
                <c:pt idx="392">
                  <c:v>-110.219537103599</c:v>
                </c:pt>
                <c:pt idx="393">
                  <c:v>-110.49889146989236</c:v>
                </c:pt>
                <c:pt idx="394">
                  <c:v>-110.76080793500311</c:v>
                </c:pt>
                <c:pt idx="395">
                  <c:v>-111.00571609630472</c:v>
                </c:pt>
                <c:pt idx="396">
                  <c:v>-111.23406454090113</c:v>
                </c:pt>
                <c:pt idx="397">
                  <c:v>-111.44631985270497</c:v>
                </c:pt>
                <c:pt idx="398">
                  <c:v>-111.64296557482322</c:v>
                </c:pt>
                <c:pt idx="399">
                  <c:v>-111.82450113028351</c:v>
                </c:pt>
                <c:pt idx="400">
                  <c:v>-111.99144070450582</c:v>
                </c:pt>
                <c:pt idx="401">
                  <c:v>-112.14431209326536</c:v>
                </c:pt>
                <c:pt idx="402">
                  <c:v>-112.28365552026804</c:v>
                </c:pt>
                <c:pt idx="403">
                  <c:v>-112.41002242877822</c:v>
                </c:pt>
                <c:pt idx="404">
                  <c:v>-112.52397425206208</c:v>
                </c:pt>
                <c:pt idx="405">
                  <c:v>-112.62608116769196</c:v>
                </c:pt>
                <c:pt idx="406">
                  <c:v>-112.71692084100123</c:v>
                </c:pt>
                <c:pt idx="407">
                  <c:v>-112.79707716318255</c:v>
                </c:pt>
                <c:pt idx="408">
                  <c:v>-112.86713898967183</c:v>
                </c:pt>
                <c:pt idx="409">
                  <c:v>-112.9276988845577</c:v>
                </c:pt>
                <c:pt idx="410">
                  <c:v>-112.97935187679094</c:v>
                </c:pt>
                <c:pt idx="411">
                  <c:v>-113.02269423394551</c:v>
                </c:pt>
                <c:pt idx="412">
                  <c:v>-113.05832225918877</c:v>
                </c:pt>
                <c:pt idx="413">
                  <c:v>-113.08683111697769</c:v>
                </c:pt>
                <c:pt idx="414">
                  <c:v>-113.10881369276696</c:v>
                </c:pt>
                <c:pt idx="415">
                  <c:v>-113.12485949175569</c:v>
                </c:pt>
                <c:pt idx="416">
                  <c:v>-113.1355535813648</c:v>
                </c:pt>
                <c:pt idx="417">
                  <c:v>-113.14147558175165</c:v>
                </c:pt>
                <c:pt idx="418">
                  <c:v>-113.14319870824797</c:v>
                </c:pt>
                <c:pt idx="419">
                  <c:v>-113.1412888691393</c:v>
                </c:pt>
                <c:pt idx="420">
                  <c:v>-113.13630382171462</c:v>
                </c:pt>
                <c:pt idx="421">
                  <c:v>-113.12879238897946</c:v>
                </c:pt>
                <c:pt idx="422">
                  <c:v>-113.11929373891279</c:v>
                </c:pt>
                <c:pt idx="423">
                  <c:v>-113.10833672758359</c:v>
                </c:pt>
                <c:pt idx="424">
                  <c:v>-113.09643930691475</c:v>
                </c:pt>
                <c:pt idx="425">
                  <c:v>-113.08410799734155</c:v>
                </c:pt>
                <c:pt idx="426">
                  <c:v>-113.07183742508838</c:v>
                </c:pt>
                <c:pt idx="427">
                  <c:v>-113.06010992329929</c:v>
                </c:pt>
                <c:pt idx="428">
                  <c:v>-113.04939519576671</c:v>
                </c:pt>
                <c:pt idx="429">
                  <c:v>-113.0401500415887</c:v>
                </c:pt>
                <c:pt idx="430">
                  <c:v>-113.03281813865607</c:v>
                </c:pt>
                <c:pt idx="431">
                  <c:v>-113.02782988351906</c:v>
                </c:pt>
                <c:pt idx="432">
                  <c:v>-113.02560228486365</c:v>
                </c:pt>
                <c:pt idx="433">
                  <c:v>-113.0265389075329</c:v>
                </c:pt>
                <c:pt idx="434">
                  <c:v>-113.03102986380866</c:v>
                </c:pt>
                <c:pt idx="435">
                  <c:v>-113.03945184846455</c:v>
                </c:pt>
                <c:pt idx="436">
                  <c:v>-113.0521682139604</c:v>
                </c:pt>
                <c:pt idx="437">
                  <c:v>-113.0695290820332</c:v>
                </c:pt>
                <c:pt idx="438">
                  <c:v>-113.09187148787662</c:v>
                </c:pt>
                <c:pt idx="439">
                  <c:v>-113.11951955306665</c:v>
                </c:pt>
                <c:pt idx="440">
                  <c:v>-113.15278468339787</c:v>
                </c:pt>
                <c:pt idx="441">
                  <c:v>-113.19196578782692</c:v>
                </c:pt>
                <c:pt idx="442">
                  <c:v>-113.23734951478549</c:v>
                </c:pt>
                <c:pt idx="443">
                  <c:v>-113.28921050221828</c:v>
                </c:pt>
                <c:pt idx="444">
                  <c:v>-113.34781163779988</c:v>
                </c:pt>
                <c:pt idx="445">
                  <c:v>-113.41340432594161</c:v>
                </c:pt>
                <c:pt idx="446">
                  <c:v>-113.48622875831033</c:v>
                </c:pt>
                <c:pt idx="447">
                  <c:v>-113.56651418478249</c:v>
                </c:pt>
                <c:pt idx="448">
                  <c:v>-113.6544791818913</c:v>
                </c:pt>
                <c:pt idx="449">
                  <c:v>-113.75033191603194</c:v>
                </c:pt>
                <c:pt idx="450">
                  <c:v>-113.85427039886335</c:v>
                </c:pt>
                <c:pt idx="451">
                  <c:v>-113.96648273253354</c:v>
                </c:pt>
                <c:pt idx="452">
                  <c:v>-114.08714734255962</c:v>
                </c:pt>
                <c:pt idx="453">
                  <c:v>-114.21643319637727</c:v>
                </c:pt>
                <c:pt idx="454">
                  <c:v>-114.35450000577779</c:v>
                </c:pt>
                <c:pt idx="455">
                  <c:v>-114.50149841163673</c:v>
                </c:pt>
                <c:pt idx="456">
                  <c:v>-114.6575701495416</c:v>
                </c:pt>
                <c:pt idx="457">
                  <c:v>-114.82284819510916</c:v>
                </c:pt>
                <c:pt idx="458">
                  <c:v>-114.99745688797665</c:v>
                </c:pt>
                <c:pt idx="459">
                  <c:v>-115.18151203364079</c:v>
                </c:pt>
                <c:pt idx="460">
                  <c:v>-115.37512098249934</c:v>
                </c:pt>
                <c:pt idx="461">
                  <c:v>-115.57838268564281</c:v>
                </c:pt>
                <c:pt idx="462">
                  <c:v>-115.79138772712018</c:v>
                </c:pt>
                <c:pt idx="463">
                  <c:v>-116.01421833259015</c:v>
                </c:pt>
                <c:pt idx="464">
                  <c:v>-116.24694835445271</c:v>
                </c:pt>
                <c:pt idx="465">
                  <c:v>-116.48964323373069</c:v>
                </c:pt>
                <c:pt idx="466">
                  <c:v>-116.74235993916793</c:v>
                </c:pt>
                <c:pt idx="467">
                  <c:v>-117.00514688418129</c:v>
                </c:pt>
                <c:pt idx="468">
                  <c:v>-117.27804382249302</c:v>
                </c:pt>
                <c:pt idx="469">
                  <c:v>-117.56108172346326</c:v>
                </c:pt>
                <c:pt idx="470">
                  <c:v>-117.8542826283133</c:v>
                </c:pt>
                <c:pt idx="471">
                  <c:v>-118.1576594886388</c:v>
                </c:pt>
                <c:pt idx="472">
                  <c:v>-118.47121598877868</c:v>
                </c:pt>
                <c:pt idx="473">
                  <c:v>-118.79494635381407</c:v>
                </c:pt>
                <c:pt idx="474">
                  <c:v>-119.12883514514326</c:v>
                </c:pt>
                <c:pt idx="475">
                  <c:v>-119.47285704577818</c:v>
                </c:pt>
                <c:pt idx="476">
                  <c:v>-119.82697663767452</c:v>
                </c:pt>
                <c:pt idx="477">
                  <c:v>-120.19114817360304</c:v>
                </c:pt>
                <c:pt idx="478">
                  <c:v>-120.56531534622822</c:v>
                </c:pt>
                <c:pt idx="479">
                  <c:v>-120.94941105722336</c:v>
                </c:pt>
                <c:pt idx="480">
                  <c:v>-121.34335718941531</c:v>
                </c:pt>
                <c:pt idx="481">
                  <c:v>-121.74706438507012</c:v>
                </c:pt>
                <c:pt idx="482">
                  <c:v>-122.1604318335706</c:v>
                </c:pt>
                <c:pt idx="483">
                  <c:v>-122.58334707182678</c:v>
                </c:pt>
                <c:pt idx="484">
                  <c:v>-123.01568580084442</c:v>
                </c:pt>
                <c:pt idx="485">
                  <c:v>-123.45731172193557</c:v>
                </c:pt>
                <c:pt idx="486">
                  <c:v>-123.90807639606746</c:v>
                </c:pt>
                <c:pt idx="487">
                  <c:v>-124.36781912985707</c:v>
                </c:pt>
                <c:pt idx="488">
                  <c:v>-124.83636689166354</c:v>
                </c:pt>
                <c:pt idx="489">
                  <c:v>-125.31353426116338</c:v>
                </c:pt>
                <c:pt idx="490">
                  <c:v>-125.79912341566838</c:v>
                </c:pt>
                <c:pt idx="491">
                  <c:v>-126.29292415629308</c:v>
                </c:pt>
                <c:pt idx="492">
                  <c:v>-126.79471397687988</c:v>
                </c:pt>
                <c:pt idx="493">
                  <c:v>-127.30425817833201</c:v>
                </c:pt>
                <c:pt idx="494">
                  <c:v>-127.82131003073599</c:v>
                </c:pt>
                <c:pt idx="495">
                  <c:v>-128.34561098531125</c:v>
                </c:pt>
                <c:pt idx="496">
                  <c:v>-128.8768909378565</c:v>
                </c:pt>
                <c:pt idx="497">
                  <c:v>-129.41486854495145</c:v>
                </c:pt>
                <c:pt idx="498">
                  <c:v>-129.95925159373056</c:v>
                </c:pt>
                <c:pt idx="499">
                  <c:v>-130.50973742556678</c:v>
                </c:pt>
                <c:pt idx="500">
                  <c:v>-131.06601341349341</c:v>
                </c:pt>
                <c:pt idx="501">
                  <c:v>-131.62775749268278</c:v>
                </c:pt>
                <c:pt idx="502">
                  <c:v>-132.19463874275198</c:v>
                </c:pt>
                <c:pt idx="503">
                  <c:v>-132.76631802013443</c:v>
                </c:pt>
                <c:pt idx="504">
                  <c:v>-133.34244863820015</c:v>
                </c:pt>
                <c:pt idx="505">
                  <c:v>-133.9226770922979</c:v>
                </c:pt>
                <c:pt idx="506">
                  <c:v>-134.50664382636057</c:v>
                </c:pt>
                <c:pt idx="507">
                  <c:v>-135.09398403724043</c:v>
                </c:pt>
                <c:pt idx="508">
                  <c:v>-135.68432851249455</c:v>
                </c:pt>
                <c:pt idx="509">
                  <c:v>-136.27730449691643</c:v>
                </c:pt>
                <c:pt idx="510">
                  <c:v>-136.8725365827751</c:v>
                </c:pt>
                <c:pt idx="511">
                  <c:v>-137.46964761840172</c:v>
                </c:pt>
                <c:pt idx="512">
                  <c:v>-138.06825962954048</c:v>
                </c:pt>
                <c:pt idx="513">
                  <c:v>-138.66799474769826</c:v>
                </c:pt>
                <c:pt idx="514">
                  <c:v>-139.26847613963028</c:v>
                </c:pt>
                <c:pt idx="515">
                  <c:v>-139.86932893206526</c:v>
                </c:pt>
                <c:pt idx="516">
                  <c:v>-140.47018112581537</c:v>
                </c:pt>
                <c:pt idx="517">
                  <c:v>-141.07066449352786</c:v>
                </c:pt>
                <c:pt idx="518">
                  <c:v>-141.67041545551521</c:v>
                </c:pt>
                <c:pt idx="519">
                  <c:v>-142.26907592834695</c:v>
                </c:pt>
                <c:pt idx="520">
                  <c:v>-142.86629414119358</c:v>
                </c:pt>
                <c:pt idx="521">
                  <c:v>-143.46172541527113</c:v>
                </c:pt>
                <c:pt idx="522">
                  <c:v>-144.05503290214841</c:v>
                </c:pt>
                <c:pt idx="523">
                  <c:v>-144.64588827712379</c:v>
                </c:pt>
                <c:pt idx="524">
                  <c:v>-145.23397238436777</c:v>
                </c:pt>
                <c:pt idx="525">
                  <c:v>-145.81897583102534</c:v>
                </c:pt>
                <c:pt idx="526">
                  <c:v>-146.40059952800277</c:v>
                </c:pt>
                <c:pt idx="527">
                  <c:v>-146.97855517569192</c:v>
                </c:pt>
                <c:pt idx="528">
                  <c:v>-147.55256569340912</c:v>
                </c:pt>
                <c:pt idx="529">
                  <c:v>-148.12236559186212</c:v>
                </c:pt>
                <c:pt idx="530">
                  <c:v>-148.68770128843988</c:v>
                </c:pt>
                <c:pt idx="531">
                  <c:v>-149.24833136563475</c:v>
                </c:pt>
                <c:pt idx="532">
                  <c:v>-149.80402677333581</c:v>
                </c:pt>
                <c:pt idx="533">
                  <c:v>-150.35457097617541</c:v>
                </c:pt>
                <c:pt idx="534">
                  <c:v>-150.89976004748488</c:v>
                </c:pt>
                <c:pt idx="535">
                  <c:v>-151.43940271177632</c:v>
                </c:pt>
                <c:pt idx="536">
                  <c:v>-151.97332033795996</c:v>
                </c:pt>
                <c:pt idx="537">
                  <c:v>-152.50134688578657</c:v>
                </c:pt>
                <c:pt idx="538">
                  <c:v>-153.0233288082087</c:v>
                </c:pt>
                <c:pt idx="539">
                  <c:v>-153.53912491254039</c:v>
                </c:pt>
                <c:pt idx="540">
                  <c:v>-154.04860618343366</c:v>
                </c:pt>
                <c:pt idx="541">
                  <c:v>-154.5516555707753</c:v>
                </c:pt>
              </c:numCache>
            </c:numRef>
          </c:yVal>
          <c:smooth val="1"/>
          <c:extLst>
            <c:ext xmlns:c16="http://schemas.microsoft.com/office/drawing/2014/chart" uri="{C3380CC4-5D6E-409C-BE32-E72D297353CC}">
              <c16:uniqueId val="{00000001-7AB1-42AA-8DBD-6D7B5452EF93}"/>
            </c:ext>
          </c:extLst>
        </c:ser>
        <c:dLbls>
          <c:showLegendKey val="0"/>
          <c:showVal val="0"/>
          <c:showCatName val="0"/>
          <c:showSerName val="0"/>
          <c:showPercent val="0"/>
          <c:showBubbleSize val="0"/>
        </c:dLbls>
        <c:axId val="365469056"/>
        <c:axId val="365467520"/>
      </c:scatterChart>
      <c:valAx>
        <c:axId val="365455232"/>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65465600"/>
        <c:crosses val="autoZero"/>
        <c:crossBetween val="midCat"/>
      </c:valAx>
      <c:valAx>
        <c:axId val="365465600"/>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a:solidFill>
                  <a:srgbClr val="FF0000"/>
                </a:solidFill>
              </a:defRPr>
            </a:pPr>
            <a:endParaRPr lang="en-US"/>
          </a:p>
        </c:txPr>
        <c:crossAx val="365455232"/>
        <c:crosses val="autoZero"/>
        <c:crossBetween val="midCat"/>
        <c:majorUnit val="20"/>
        <c:minorUnit val="10"/>
      </c:valAx>
      <c:valAx>
        <c:axId val="365467520"/>
        <c:scaling>
          <c:orientation val="minMax"/>
          <c:max val="180"/>
          <c:min val="-180"/>
        </c:scaling>
        <c:delete val="0"/>
        <c:axPos val="r"/>
        <c:numFmt formatCode="General" sourceLinked="1"/>
        <c:majorTickMark val="out"/>
        <c:minorTickMark val="none"/>
        <c:tickLblPos val="nextTo"/>
        <c:txPr>
          <a:bodyPr/>
          <a:lstStyle/>
          <a:p>
            <a:pPr>
              <a:defRPr>
                <a:solidFill>
                  <a:schemeClr val="tx1">
                    <a:lumMod val="95000"/>
                    <a:lumOff val="5000"/>
                  </a:schemeClr>
                </a:solidFill>
              </a:defRPr>
            </a:pPr>
            <a:endParaRPr lang="en-US"/>
          </a:p>
        </c:txPr>
        <c:crossAx val="365469056"/>
        <c:crosses val="max"/>
        <c:crossBetween val="midCat"/>
        <c:majorUnit val="90"/>
        <c:minorUnit val="45"/>
      </c:valAx>
      <c:valAx>
        <c:axId val="365469056"/>
        <c:scaling>
          <c:logBase val="10"/>
          <c:orientation val="minMax"/>
        </c:scaling>
        <c:delete val="1"/>
        <c:axPos val="b"/>
        <c:numFmt formatCode="0.00" sourceLinked="1"/>
        <c:majorTickMark val="out"/>
        <c:minorTickMark val="none"/>
        <c:tickLblPos val="nextTo"/>
        <c:crossAx val="365467520"/>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DCM Plant Transfer</a:t>
            </a:r>
            <a:r>
              <a:rPr lang="en-US" baseline="0"/>
              <a:t> Function</a:t>
            </a:r>
            <a:endParaRPr lang="en-US"/>
          </a:p>
        </c:rich>
      </c:tx>
      <c:overlay val="0"/>
    </c:title>
    <c:autoTitleDeleted val="0"/>
    <c:plotArea>
      <c:layout/>
      <c:scatterChart>
        <c:scatterStyle val="smoothMarker"/>
        <c:varyColors val="0"/>
        <c:ser>
          <c:idx val="0"/>
          <c:order val="0"/>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Loop_Modeling!$AQ$19:$AQ$560</c:f>
              <c:numCache>
                <c:formatCode>General</c:formatCode>
                <c:ptCount val="542"/>
                <c:pt idx="0">
                  <c:v>51.211245680862163</c:v>
                </c:pt>
                <c:pt idx="1">
                  <c:v>51.171162598873472</c:v>
                </c:pt>
                <c:pt idx="2">
                  <c:v>51.129583233285167</c:v>
                </c:pt>
                <c:pt idx="3">
                  <c:v>51.086466789428478</c:v>
                </c:pt>
                <c:pt idx="4">
                  <c:v>51.041772477702274</c:v>
                </c:pt>
                <c:pt idx="5">
                  <c:v>50.995459602586671</c:v>
                </c:pt>
                <c:pt idx="6">
                  <c:v>50.947487656026468</c:v>
                </c:pt>
                <c:pt idx="7">
                  <c:v>50.897816414923099</c:v>
                </c:pt>
                <c:pt idx="8">
                  <c:v>50.846406042420362</c:v>
                </c:pt>
                <c:pt idx="9">
                  <c:v>50.793217192617341</c:v>
                </c:pt>
                <c:pt idx="10">
                  <c:v>50.738211118288334</c:v>
                </c:pt>
                <c:pt idx="11">
                  <c:v>50.681349781137392</c:v>
                </c:pt>
                <c:pt idx="12">
                  <c:v>50.622595964064288</c:v>
                </c:pt>
                <c:pt idx="13">
                  <c:v>50.561913384869456</c:v>
                </c:pt>
                <c:pt idx="14">
                  <c:v>50.499266810779972</c:v>
                </c:pt>
                <c:pt idx="15">
                  <c:v>50.434622173138102</c:v>
                </c:pt>
                <c:pt idx="16">
                  <c:v>50.367946681555864</c:v>
                </c:pt>
                <c:pt idx="17">
                  <c:v>50.299208936809244</c:v>
                </c:pt>
                <c:pt idx="18">
                  <c:v>50.228379041722263</c:v>
                </c:pt>
                <c:pt idx="19">
                  <c:v>50.155428709272712</c:v>
                </c:pt>
                <c:pt idx="20">
                  <c:v>50.080331367145234</c:v>
                </c:pt>
                <c:pt idx="21">
                  <c:v>50.00306225795633</c:v>
                </c:pt>
                <c:pt idx="22">
                  <c:v>49.923598534385441</c:v>
                </c:pt>
                <c:pt idx="23">
                  <c:v>49.84191934846622</c:v>
                </c:pt>
                <c:pt idx="24">
                  <c:v>49.758005934319996</c:v>
                </c:pt>
                <c:pt idx="25">
                  <c:v>49.67184168365111</c:v>
                </c:pt>
                <c:pt idx="26">
                  <c:v>49.583412213372512</c:v>
                </c:pt>
                <c:pt idx="27">
                  <c:v>49.492705424785697</c:v>
                </c:pt>
                <c:pt idx="28">
                  <c:v>49.399711553802732</c:v>
                </c:pt>
                <c:pt idx="29">
                  <c:v>49.304423211772608</c:v>
                </c:pt>
                <c:pt idx="30">
                  <c:v>49.206835416549936</c:v>
                </c:pt>
                <c:pt idx="31">
                  <c:v>49.106945613530385</c:v>
                </c:pt>
                <c:pt idx="32">
                  <c:v>49.004753686464362</c:v>
                </c:pt>
                <c:pt idx="33">
                  <c:v>48.900261957951727</c:v>
                </c:pt>
                <c:pt idx="34">
                  <c:v>48.793475179612919</c:v>
                </c:pt>
                <c:pt idx="35">
                  <c:v>48.684400512025796</c:v>
                </c:pt>
                <c:pt idx="36">
                  <c:v>48.573047494606115</c:v>
                </c:pt>
                <c:pt idx="37">
                  <c:v>48.459428005701675</c:v>
                </c:pt>
                <c:pt idx="38">
                  <c:v>48.34355621325156</c:v>
                </c:pt>
                <c:pt idx="39">
                  <c:v>48.225448516443038</c:v>
                </c:pt>
                <c:pt idx="40">
                  <c:v>48.105123478871114</c:v>
                </c:pt>
                <c:pt idx="41">
                  <c:v>47.982601753769963</c:v>
                </c:pt>
                <c:pt idx="42">
                  <c:v>47.85790600194445</c:v>
                </c:pt>
                <c:pt idx="43">
                  <c:v>47.731060803077042</c:v>
                </c:pt>
                <c:pt idx="44">
                  <c:v>47.602092561124323</c:v>
                </c:pt>
                <c:pt idx="45">
                  <c:v>47.471029404547878</c:v>
                </c:pt>
                <c:pt idx="46">
                  <c:v>47.337901082143432</c:v>
                </c:pt>
                <c:pt idx="47">
                  <c:v>47.202738855242544</c:v>
                </c:pt>
                <c:pt idx="48">
                  <c:v>47.065575387063241</c:v>
                </c:pt>
                <c:pt idx="49">
                  <c:v>46.926444629976594</c:v>
                </c:pt>
                <c:pt idx="50">
                  <c:v>46.785381711442959</c:v>
                </c:pt>
                <c:pt idx="51">
                  <c:v>46.642422819346258</c:v>
                </c:pt>
                <c:pt idx="52">
                  <c:v>46.497605087425235</c:v>
                </c:pt>
                <c:pt idx="53">
                  <c:v>46.350966481464759</c:v>
                </c:pt>
                <c:pt idx="54">
                  <c:v>46.202545686869527</c:v>
                </c:pt>
                <c:pt idx="55">
                  <c:v>46.052381998196232</c:v>
                </c:pt>
                <c:pt idx="56">
                  <c:v>45.900515211172397</c:v>
                </c:pt>
                <c:pt idx="57">
                  <c:v>45.746985517679832</c:v>
                </c:pt>
                <c:pt idx="58">
                  <c:v>45.591833404127293</c:v>
                </c:pt>
                <c:pt idx="59">
                  <c:v>45.435099553584422</c:v>
                </c:pt>
                <c:pt idx="60">
                  <c:v>45.276824751996408</c:v>
                </c:pt>
                <c:pt idx="61">
                  <c:v>45.117049798745583</c:v>
                </c:pt>
                <c:pt idx="62">
                  <c:v>44.955815421777103</c:v>
                </c:pt>
                <c:pt idx="63">
                  <c:v>44.793162197454457</c:v>
                </c:pt>
                <c:pt idx="64">
                  <c:v>44.629130475266344</c:v>
                </c:pt>
                <c:pt idx="65">
                  <c:v>44.463760307461044</c:v>
                </c:pt>
                <c:pt idx="66">
                  <c:v>44.297091383643348</c:v>
                </c:pt>
                <c:pt idx="67">
                  <c:v>44.129162970332338</c:v>
                </c:pt>
                <c:pt idx="68">
                  <c:v>43.960013855443087</c:v>
                </c:pt>
                <c:pt idx="69">
                  <c:v>43.789682297624296</c:v>
                </c:pt>
                <c:pt idx="70">
                  <c:v>43.618205980356706</c:v>
                </c:pt>
                <c:pt idx="71">
                  <c:v>43.445621970692592</c:v>
                </c:pt>
                <c:pt idx="72">
                  <c:v>43.271966682495915</c:v>
                </c:pt>
                <c:pt idx="73">
                  <c:v>43.097275844024537</c:v>
                </c:pt>
                <c:pt idx="74">
                  <c:v>42.921584469682479</c:v>
                </c:pt>
                <c:pt idx="75">
                  <c:v>42.74492683575663</c:v>
                </c:pt>
                <c:pt idx="76">
                  <c:v>42.567336459945565</c:v>
                </c:pt>
                <c:pt idx="77">
                  <c:v>42.388846084479013</c:v>
                </c:pt>
                <c:pt idx="78">
                  <c:v>42.209487662624916</c:v>
                </c:pt>
                <c:pt idx="79">
                  <c:v>42.02929234837675</c:v>
                </c:pt>
                <c:pt idx="80">
                  <c:v>41.84829048911417</c:v>
                </c:pt>
                <c:pt idx="81">
                  <c:v>41.666511621032797</c:v>
                </c:pt>
                <c:pt idx="82">
                  <c:v>41.483984467138583</c:v>
                </c:pt>
                <c:pt idx="83">
                  <c:v>41.300736937610097</c:v>
                </c:pt>
                <c:pt idx="84">
                  <c:v>41.116796132333761</c:v>
                </c:pt>
                <c:pt idx="85">
                  <c:v>40.932188345425331</c:v>
                </c:pt>
                <c:pt idx="86">
                  <c:v>40.746939071557051</c:v>
                </c:pt>
                <c:pt idx="87">
                  <c:v>40.561073013916342</c:v>
                </c:pt>
                <c:pt idx="88">
                  <c:v>40.374614093631791</c:v>
                </c:pt>
                <c:pt idx="89">
                  <c:v>40.187585460506781</c:v>
                </c:pt>
                <c:pt idx="90">
                  <c:v>40.000009504914324</c:v>
                </c:pt>
                <c:pt idx="91">
                  <c:v>39.811907870709689</c:v>
                </c:pt>
                <c:pt idx="92">
                  <c:v>39.623301469030267</c:v>
                </c:pt>
                <c:pt idx="93">
                  <c:v>39.434210492858185</c:v>
                </c:pt>
                <c:pt idx="94">
                  <c:v>39.244654432229545</c:v>
                </c:pt>
                <c:pt idx="95">
                  <c:v>39.054652089983676</c:v>
                </c:pt>
                <c:pt idx="96">
                  <c:v>38.864221597952067</c:v>
                </c:pt>
                <c:pt idx="97">
                  <c:v>38.673380433495296</c:v>
                </c:pt>
                <c:pt idx="98">
                  <c:v>38.482145436303419</c:v>
                </c:pt>
                <c:pt idx="99">
                  <c:v>38.290532825382058</c:v>
                </c:pt>
                <c:pt idx="100">
                  <c:v>38.098558216153776</c:v>
                </c:pt>
                <c:pt idx="101">
                  <c:v>37.906236637610206</c:v>
                </c:pt>
                <c:pt idx="102">
                  <c:v>37.713582549456653</c:v>
                </c:pt>
                <c:pt idx="103">
                  <c:v>37.520609859196867</c:v>
                </c:pt>
                <c:pt idx="104">
                  <c:v>37.327331939110636</c:v>
                </c:pt>
                <c:pt idx="105">
                  <c:v>37.133761643082615</c:v>
                </c:pt>
                <c:pt idx="106">
                  <c:v>36.939911323244445</c:v>
                </c:pt>
                <c:pt idx="107">
                  <c:v>36.745792846398203</c:v>
                </c:pt>
                <c:pt idx="108">
                  <c:v>36.551417610191372</c:v>
                </c:pt>
                <c:pt idx="109">
                  <c:v>36.356796559019521</c:v>
                </c:pt>
                <c:pt idx="110">
                  <c:v>36.161940199634117</c:v>
                </c:pt>
                <c:pt idx="111">
                  <c:v>35.966858616438415</c:v>
                </c:pt>
                <c:pt idx="112">
                  <c:v>35.771561486455113</c:v>
                </c:pt>
                <c:pt idx="113">
                  <c:v>35.576058093954039</c:v>
                </c:pt>
                <c:pt idx="114">
                  <c:v>35.380357344729568</c:v>
                </c:pt>
                <c:pt idx="115">
                  <c:v>35.184467780019929</c:v>
                </c:pt>
                <c:pt idx="116">
                  <c:v>34.988397590062881</c:v>
                </c:pt>
                <c:pt idx="117">
                  <c:v>34.792154627283807</c:v>
                </c:pt>
                <c:pt idx="118">
                  <c:v>34.595746419113908</c:v>
                </c:pt>
                <c:pt idx="119">
                  <c:v>34.399180180438243</c:v>
                </c:pt>
                <c:pt idx="120">
                  <c:v>34.202462825673734</c:v>
                </c:pt>
                <c:pt idx="121">
                  <c:v>34.005600980479322</c:v>
                </c:pt>
                <c:pt idx="122">
                  <c:v>33.808600993101507</c:v>
                </c:pt>
                <c:pt idx="123">
                  <c:v>33.611468945357977</c:v>
                </c:pt>
                <c:pt idx="124">
                  <c:v>33.41421066326572</c:v>
                </c:pt>
                <c:pt idx="125">
                  <c:v>33.216831727317462</c:v>
                </c:pt>
                <c:pt idx="126">
                  <c:v>33.019337482412958</c:v>
                </c:pt>
                <c:pt idx="127">
                  <c:v>32.82173304745222</c:v>
                </c:pt>
                <c:pt idx="128">
                  <c:v>32.624023324597189</c:v>
                </c:pt>
                <c:pt idx="129">
                  <c:v>32.426213008208364</c:v>
                </c:pt>
                <c:pt idx="130">
                  <c:v>32.228306593466094</c:v>
                </c:pt>
                <c:pt idx="131">
                  <c:v>32.030308384681973</c:v>
                </c:pt>
                <c:pt idx="132">
                  <c:v>31.832222503311019</c:v>
                </c:pt>
                <c:pt idx="133">
                  <c:v>31.634052895670216</c:v>
                </c:pt>
                <c:pt idx="134">
                  <c:v>31.435803340373578</c:v>
                </c:pt>
                <c:pt idx="135">
                  <c:v>31.237477455492233</c:v>
                </c:pt>
                <c:pt idx="136">
                  <c:v>31.039078705446066</c:v>
                </c:pt>
                <c:pt idx="137">
                  <c:v>30.840610407637609</c:v>
                </c:pt>
                <c:pt idx="138">
                  <c:v>30.642075738835011</c:v>
                </c:pt>
                <c:pt idx="139">
                  <c:v>30.443477741312904</c:v>
                </c:pt>
                <c:pt idx="140">
                  <c:v>30.244819328759874</c:v>
                </c:pt>
                <c:pt idx="141">
                  <c:v>30.046103291959415</c:v>
                </c:pt>
                <c:pt idx="142">
                  <c:v>29.847332304253989</c:v>
                </c:pt>
                <c:pt idx="143">
                  <c:v>29.648508926798979</c:v>
                </c:pt>
                <c:pt idx="144">
                  <c:v>29.449635613614504</c:v>
                </c:pt>
                <c:pt idx="145">
                  <c:v>29.250714716443209</c:v>
                </c:pt>
                <c:pt idx="146">
                  <c:v>29.051748489420977</c:v>
                </c:pt>
                <c:pt idx="147">
                  <c:v>28.852739093567688</c:v>
                </c:pt>
                <c:pt idx="148">
                  <c:v>28.653688601106705</c:v>
                </c:pt>
                <c:pt idx="149">
                  <c:v>28.45459899961763</c:v>
                </c:pt>
                <c:pt idx="150">
                  <c:v>28.255472196031391</c:v>
                </c:pt>
                <c:pt idx="151">
                  <c:v>28.056310020472722</c:v>
                </c:pt>
                <c:pt idx="152">
                  <c:v>27.857114229958135</c:v>
                </c:pt>
                <c:pt idx="153">
                  <c:v>27.657886511953738</c:v>
                </c:pt>
                <c:pt idx="154">
                  <c:v>27.458628487800691</c:v>
                </c:pt>
                <c:pt idx="155">
                  <c:v>27.259341716013981</c:v>
                </c:pt>
                <c:pt idx="156">
                  <c:v>27.060027695459283</c:v>
                </c:pt>
                <c:pt idx="157">
                  <c:v>26.860687868414903</c:v>
                </c:pt>
                <c:pt idx="158">
                  <c:v>26.661323623523963</c:v>
                </c:pt>
                <c:pt idx="159">
                  <c:v>26.461936298641589</c:v>
                </c:pt>
                <c:pt idx="160">
                  <c:v>26.262527183583021</c:v>
                </c:pt>
                <c:pt idx="161">
                  <c:v>26.063097522777539</c:v>
                </c:pt>
                <c:pt idx="162">
                  <c:v>25.863648517833049</c:v>
                </c:pt>
                <c:pt idx="163">
                  <c:v>25.664181330015957</c:v>
                </c:pt>
                <c:pt idx="164">
                  <c:v>25.464697082651586</c:v>
                </c:pt>
                <c:pt idx="165">
                  <c:v>25.265196863449422</c:v>
                </c:pt>
                <c:pt idx="166">
                  <c:v>25.065681726757379</c:v>
                </c:pt>
                <c:pt idx="167">
                  <c:v>24.866152695749435</c:v>
                </c:pt>
                <c:pt idx="168">
                  <c:v>24.666610764551585</c:v>
                </c:pt>
                <c:pt idx="169">
                  <c:v>24.467056900309569</c:v>
                </c:pt>
                <c:pt idx="170">
                  <c:v>24.267492045202104</c:v>
                </c:pt>
                <c:pt idx="171">
                  <c:v>24.067917118404971</c:v>
                </c:pt>
                <c:pt idx="172">
                  <c:v>23.868333018008169</c:v>
                </c:pt>
                <c:pt idx="173">
                  <c:v>23.668740622890702</c:v>
                </c:pt>
                <c:pt idx="174">
                  <c:v>23.469140794557379</c:v>
                </c:pt>
                <c:pt idx="175">
                  <c:v>23.26953437893976</c:v>
                </c:pt>
                <c:pt idx="176">
                  <c:v>23.069922208166428</c:v>
                </c:pt>
                <c:pt idx="177">
                  <c:v>22.870305102304638</c:v>
                </c:pt>
                <c:pt idx="178">
                  <c:v>22.670683871078523</c:v>
                </c:pt>
                <c:pt idx="179">
                  <c:v>22.471059315565569</c:v>
                </c:pt>
                <c:pt idx="180">
                  <c:v>22.271432229876336</c:v>
                </c:pt>
                <c:pt idx="181">
                  <c:v>22.071803402819341</c:v>
                </c:pt>
                <c:pt idx="182">
                  <c:v>21.872173619556158</c:v>
                </c:pt>
                <c:pt idx="183">
                  <c:v>21.672543663248291</c:v>
                </c:pt>
                <c:pt idx="184">
                  <c:v>21.472914316700621</c:v>
                </c:pt>
                <c:pt idx="185">
                  <c:v>21.273286364004008</c:v>
                </c:pt>
                <c:pt idx="186">
                  <c:v>21.073660592180662</c:v>
                </c:pt>
                <c:pt idx="187">
                  <c:v>20.874037792835026</c:v>
                </c:pt>
                <c:pt idx="188">
                  <c:v>20.674418763814785</c:v>
                </c:pt>
                <c:pt idx="189">
                  <c:v>20.47480431088406</c:v>
                </c:pt>
                <c:pt idx="190">
                  <c:v>20.275195249412921</c:v>
                </c:pt>
                <c:pt idx="191">
                  <c:v>20.075592406086287</c:v>
                </c:pt>
                <c:pt idx="192">
                  <c:v>19.875996620635799</c:v>
                </c:pt>
                <c:pt idx="193">
                  <c:v>19.676408747598639</c:v>
                </c:pt>
                <c:pt idx="194">
                  <c:v>19.476829658105398</c:v>
                </c:pt>
                <c:pt idx="195">
                  <c:v>19.27726024170266</c:v>
                </c:pt>
                <c:pt idx="196">
                  <c:v>19.077701408211954</c:v>
                </c:pt>
                <c:pt idx="197">
                  <c:v>18.878154089630062</c:v>
                </c:pt>
                <c:pt idx="198">
                  <c:v>18.678619242074205</c:v>
                </c:pt>
                <c:pt idx="199">
                  <c:v>18.479097847775396</c:v>
                </c:pt>
                <c:pt idx="200">
                  <c:v>18.279590917124693</c:v>
                </c:pt>
                <c:pt idx="201">
                  <c:v>18.080099490775979</c:v>
                </c:pt>
                <c:pt idx="202">
                  <c:v>17.880624641809167</c:v>
                </c:pt>
                <c:pt idx="203">
                  <c:v>17.681167477958734</c:v>
                </c:pt>
                <c:pt idx="204">
                  <c:v>17.481729143911142</c:v>
                </c:pt>
                <c:pt idx="205">
                  <c:v>17.282310823676053</c:v>
                </c:pt>
                <c:pt idx="206">
                  <c:v>17.082913743035913</c:v>
                </c:pt>
                <c:pt idx="207">
                  <c:v>16.883539172078113</c:v>
                </c:pt>
                <c:pt idx="208">
                  <c:v>16.684188427815275</c:v>
                </c:pt>
                <c:pt idx="209">
                  <c:v>16.484862876897914</c:v>
                </c:pt>
                <c:pt idx="210">
                  <c:v>16.285563938424907</c:v>
                </c:pt>
                <c:pt idx="211">
                  <c:v>16.086293086856941</c:v>
                </c:pt>
                <c:pt idx="212">
                  <c:v>15.887051855038488</c:v>
                </c:pt>
                <c:pt idx="213">
                  <c:v>15.687841837333163</c:v>
                </c:pt>
                <c:pt idx="214">
                  <c:v>15.488664692879293</c:v>
                </c:pt>
                <c:pt idx="215">
                  <c:v>15.289522148970416</c:v>
                </c:pt>
                <c:pt idx="216">
                  <c:v>15.090416004567572</c:v>
                </c:pt>
                <c:pt idx="217">
                  <c:v>14.891348133948938</c:v>
                </c:pt>
                <c:pt idx="218">
                  <c:v>14.692320490503761</c:v>
                </c:pt>
                <c:pt idx="219">
                  <c:v>14.493335110676773</c:v>
                </c:pt>
                <c:pt idx="220">
                  <c:v>14.294394118069839</c:v>
                </c:pt>
                <c:pt idx="221">
                  <c:v>14.095499727707956</c:v>
                </c:pt>
                <c:pt idx="222">
                  <c:v>13.896654250476615</c:v>
                </c:pt>
                <c:pt idx="223">
                  <c:v>13.697860097737426</c:v>
                </c:pt>
                <c:pt idx="224">
                  <c:v>13.49911978613026</c:v>
                </c:pt>
                <c:pt idx="225">
                  <c:v>13.300435942568924</c:v>
                </c:pt>
                <c:pt idx="226">
                  <c:v>13.101811309437918</c:v>
                </c:pt>
                <c:pt idx="227">
                  <c:v>12.903248749999408</c:v>
                </c:pt>
                <c:pt idx="228">
                  <c:v>12.704751254017593</c:v>
                </c:pt>
                <c:pt idx="229">
                  <c:v>12.506321943608388</c:v>
                </c:pt>
                <c:pt idx="230">
                  <c:v>12.307964079324504</c:v>
                </c:pt>
                <c:pt idx="231">
                  <c:v>12.109681066482645</c:v>
                </c:pt>
                <c:pt idx="232">
                  <c:v>11.911476461743177</c:v>
                </c:pt>
                <c:pt idx="233">
                  <c:v>11.713353979949495</c:v>
                </c:pt>
                <c:pt idx="234">
                  <c:v>11.515317501237002</c:v>
                </c:pt>
                <c:pt idx="235">
                  <c:v>11.317371078421161</c:v>
                </c:pt>
                <c:pt idx="236">
                  <c:v>11.119518944671627</c:v>
                </c:pt>
                <c:pt idx="237">
                  <c:v>10.921765521483769</c:v>
                </c:pt>
                <c:pt idx="238">
                  <c:v>10.724115426954906</c:v>
                </c:pt>
                <c:pt idx="239">
                  <c:v>10.526573484374868</c:v>
                </c:pt>
                <c:pt idx="240">
                  <c:v>10.329144731140079</c:v>
                </c:pt>
                <c:pt idx="241">
                  <c:v>10.131834427998388</c:v>
                </c:pt>
                <c:pt idx="242">
                  <c:v>9.9346480686349672</c:v>
                </c:pt>
                <c:pt idx="243">
                  <c:v>9.7375913896063029</c:v>
                </c:pt>
                <c:pt idx="244">
                  <c:v>9.5406703806300222</c:v>
                </c:pt>
                <c:pt idx="245">
                  <c:v>9.3438912952392066</c:v>
                </c:pt>
                <c:pt idx="246">
                  <c:v>9.147260661806591</c:v>
                </c:pt>
                <c:pt idx="247">
                  <c:v>8.9507852949467512</c:v>
                </c:pt>
                <c:pt idx="248">
                  <c:v>8.7544723073009383</c:v>
                </c:pt>
                <c:pt idx="249">
                  <c:v>8.5583291217097699</c:v>
                </c:pt>
                <c:pt idx="250">
                  <c:v>8.3623634837785836</c:v>
                </c:pt>
                <c:pt idx="251">
                  <c:v>8.1665834748379957</c:v>
                </c:pt>
                <c:pt idx="252">
                  <c:v>7.9709975253021206</c:v>
                </c:pt>
                <c:pt idx="253">
                  <c:v>7.7756144284249382</c:v>
                </c:pt>
                <c:pt idx="254">
                  <c:v>7.5804433544546317</c:v>
                </c:pt>
                <c:pt idx="255">
                  <c:v>7.3854938651833457</c:v>
                </c:pt>
                <c:pt idx="256">
                  <c:v>7.1907759288888187</c:v>
                </c:pt>
                <c:pt idx="257">
                  <c:v>6.9962999356612112</c:v>
                </c:pt>
                <c:pt idx="258">
                  <c:v>6.8020767131085087</c:v>
                </c:pt>
                <c:pt idx="259">
                  <c:v>6.6081175424280838</c:v>
                </c:pt>
                <c:pt idx="260">
                  <c:v>6.414434174833695</c:v>
                </c:pt>
                <c:pt idx="261">
                  <c:v>6.2210388483197114</c:v>
                </c:pt>
                <c:pt idx="262">
                  <c:v>6.0279443047455761</c:v>
                </c:pt>
                <c:pt idx="263">
                  <c:v>5.8351638072167065</c:v>
                </c:pt>
                <c:pt idx="264">
                  <c:v>5.6427111577364624</c:v>
                </c:pt>
                <c:pt idx="265">
                  <c:v>5.4506007150993927</c:v>
                </c:pt>
                <c:pt idx="266">
                  <c:v>5.2588474129907636</c:v>
                </c:pt>
                <c:pt idx="267">
                  <c:v>5.0674667782539329</c:v>
                </c:pt>
                <c:pt idx="268">
                  <c:v>4.8764749492819588</c:v>
                </c:pt>
                <c:pt idx="269">
                  <c:v>4.6858886944840474</c:v>
                </c:pt>
                <c:pt idx="270">
                  <c:v>4.4957254307727359</c:v>
                </c:pt>
                <c:pt idx="271">
                  <c:v>4.3060032420103758</c:v>
                </c:pt>
                <c:pt idx="272">
                  <c:v>4.1167408973494988</c:v>
                </c:pt>
                <c:pt idx="273">
                  <c:v>3.9279578693924866</c:v>
                </c:pt>
                <c:pt idx="274">
                  <c:v>3.7396743520906819</c:v>
                </c:pt>
                <c:pt idx="275">
                  <c:v>3.5519112782961972</c:v>
                </c:pt>
                <c:pt idx="276">
                  <c:v>3.3646903368700354</c:v>
                </c:pt>
                <c:pt idx="277">
                  <c:v>3.178033989245503</c:v>
                </c:pt>
                <c:pt idx="278">
                  <c:v>2.9919654853350326</c:v>
                </c:pt>
                <c:pt idx="279">
                  <c:v>2.806508878662302</c:v>
                </c:pt>
                <c:pt idx="280">
                  <c:v>2.6216890405925524</c:v>
                </c:pt>
                <c:pt idx="281">
                  <c:v>2.4375316735258652</c:v>
                </c:pt>
                <c:pt idx="282">
                  <c:v>2.2540633229097864</c:v>
                </c:pt>
                <c:pt idx="283">
                  <c:v>2.0713113879198417</c:v>
                </c:pt>
                <c:pt idx="284">
                  <c:v>1.8893041306477727</c:v>
                </c:pt>
                <c:pt idx="285">
                  <c:v>1.708070683630585</c:v>
                </c:pt>
                <c:pt idx="286">
                  <c:v>1.5276410555457909</c:v>
                </c:pt>
                <c:pt idx="287">
                  <c:v>1.3480461348909054</c:v>
                </c:pt>
                <c:pt idx="288">
                  <c:v>1.169317691461</c:v>
                </c:pt>
                <c:pt idx="289">
                  <c:v>0.99148837543069113</c:v>
                </c:pt>
                <c:pt idx="290">
                  <c:v>0.81459171384516171</c:v>
                </c:pt>
                <c:pt idx="291">
                  <c:v>0.63866210431976289</c:v>
                </c:pt>
                <c:pt idx="292">
                  <c:v>0.46373480574894033</c:v>
                </c:pt>
                <c:pt idx="293">
                  <c:v>0.28984592582187418</c:v>
                </c:pt>
                <c:pt idx="294">
                  <c:v>0.11703240514798516</c:v>
                </c:pt>
                <c:pt idx="295">
                  <c:v>-5.4668002203402899E-2</c:v>
                </c:pt>
                <c:pt idx="296">
                  <c:v>-0.22521675193700946</c:v>
                </c:pt>
                <c:pt idx="297">
                  <c:v>-0.39457453671894771</c:v>
                </c:pt>
                <c:pt idx="298">
                  <c:v>-0.56270131748562913</c:v>
                </c:pt>
                <c:pt idx="299">
                  <c:v>-0.72955635902803573</c:v>
                </c:pt>
                <c:pt idx="300">
                  <c:v>-0.89509826998814102</c:v>
                </c:pt>
                <c:pt idx="301">
                  <c:v>-1.0592850473832658</c:v>
                </c:pt>
                <c:pt idx="302">
                  <c:v>-1.2220741257512693</c:v>
                </c:pt>
                <c:pt idx="303">
                  <c:v>-1.3834224309812746</c:v>
                </c:pt>
                <c:pt idx="304">
                  <c:v>-1.543286438865211</c:v>
                </c:pt>
                <c:pt idx="305">
                  <c:v>-1.7016222383702848</c:v>
                </c:pt>
                <c:pt idx="306">
                  <c:v>-1.8583855995963594</c:v>
                </c:pt>
                <c:pt idx="307">
                  <c:v>-2.0135320463408837</c:v>
                </c:pt>
                <c:pt idx="308">
                  <c:v>-2.1670169331510705</c:v>
                </c:pt>
                <c:pt idx="309">
                  <c:v>-2.318795526696185</c:v>
                </c:pt>
                <c:pt idx="310">
                  <c:v>-2.4688230912451874</c:v>
                </c:pt>
                <c:pt idx="311">
                  <c:v>-2.6170549779833987</c:v>
                </c:pt>
                <c:pt idx="312">
                  <c:v>-2.7634467178506306</c:v>
                </c:pt>
                <c:pt idx="313">
                  <c:v>-2.9079541175302963</c:v>
                </c:pt>
                <c:pt idx="314">
                  <c:v>-3.0505333581661835</c:v>
                </c:pt>
                <c:pt idx="315">
                  <c:v>-3.1911410963308628</c:v>
                </c:pt>
                <c:pt idx="316">
                  <c:v>-3.3297345667196976</c:v>
                </c:pt>
                <c:pt idx="317">
                  <c:v>-3.4662716859949998</c:v>
                </c:pt>
                <c:pt idx="318">
                  <c:v>-3.6007111571597701</c:v>
                </c:pt>
                <c:pt idx="319">
                  <c:v>-3.7330125737988604</c:v>
                </c:pt>
                <c:pt idx="320">
                  <c:v>-3.8631365234896018</c:v>
                </c:pt>
                <c:pt idx="321">
                  <c:v>-3.9910446896523699</c:v>
                </c:pt>
                <c:pt idx="322">
                  <c:v>-4.116699951088564</c:v>
                </c:pt>
                <c:pt idx="323">
                  <c:v>-4.2400664784368427</c:v>
                </c:pt>
                <c:pt idx="324">
                  <c:v>-4.3611098267709227</c:v>
                </c:pt>
                <c:pt idx="325">
                  <c:v>-4.4797970235615923</c:v>
                </c:pt>
                <c:pt idx="326">
                  <c:v>-4.5960966512372821</c:v>
                </c:pt>
                <c:pt idx="327">
                  <c:v>-4.7099789235965579</c:v>
                </c:pt>
                <c:pt idx="328">
                  <c:v>-4.8214157553544617</c:v>
                </c:pt>
                <c:pt idx="329">
                  <c:v>-4.9303808241457956</c:v>
                </c:pt>
                <c:pt idx="330">
                  <c:v>-5.036849624354077</c:v>
                </c:pt>
                <c:pt idx="331">
                  <c:v>-5.1407995121962138</c:v>
                </c:pt>
                <c:pt idx="332">
                  <c:v>-5.242209741556314</c:v>
                </c:pt>
                <c:pt idx="333">
                  <c:v>-5.3410614901380891</c:v>
                </c:pt>
                <c:pt idx="334">
                  <c:v>-5.4373378755856088</c:v>
                </c:pt>
                <c:pt idx="335">
                  <c:v>-5.5310239613082857</c:v>
                </c:pt>
                <c:pt idx="336">
                  <c:v>-5.6221067518390209</c:v>
                </c:pt>
                <c:pt idx="337">
                  <c:v>-5.7105751776478995</c:v>
                </c:pt>
                <c:pt idx="338">
                  <c:v>-5.7964200694300239</c:v>
                </c:pt>
                <c:pt idx="339">
                  <c:v>-5.879634121985081</c:v>
                </c:pt>
                <c:pt idx="340">
                  <c:v>-5.9602118478992399</c:v>
                </c:pt>
                <c:pt idx="341">
                  <c:v>-6.0381495213379992</c:v>
                </c:pt>
                <c:pt idx="342">
                  <c:v>-6.1134451123443343</c:v>
                </c:pt>
                <c:pt idx="343">
                  <c:v>-6.186098212125172</c:v>
                </c:pt>
                <c:pt idx="344">
                  <c:v>-6.2561099498875352</c:v>
                </c:pt>
                <c:pt idx="345">
                  <c:v>-6.3234829018566518</c:v>
                </c:pt>
                <c:pt idx="346">
                  <c:v>-6.3882209931758194</c:v>
                </c:pt>
                <c:pt idx="347">
                  <c:v>-6.450329393440275</c:v>
                </c:pt>
                <c:pt idx="348">
                  <c:v>-6.5098144066675632</c:v>
                </c:pt>
                <c:pt idx="349">
                  <c:v>-6.566683356543292</c:v>
                </c:pt>
                <c:pt idx="350">
                  <c:v>-6.6209444678093909</c:v>
                </c:pt>
                <c:pt idx="351">
                  <c:v>-6.672606744682259</c:v>
                </c:pt>
                <c:pt idx="352">
                  <c:v>-6.7216798471979988</c:v>
                </c:pt>
                <c:pt idx="353">
                  <c:v>-6.7681739663827809</c:v>
                </c:pt>
                <c:pt idx="354">
                  <c:v>-6.8120996991415534</c:v>
                </c:pt>
                <c:pt idx="355">
                  <c:v>-6.8534679237411815</c:v>
                </c:pt>
                <c:pt idx="356">
                  <c:v>-6.8922896767458566</c:v>
                </c:pt>
                <c:pt idx="357">
                  <c:v>-6.9285760322334706</c:v>
                </c:pt>
                <c:pt idx="358">
                  <c:v>-6.9623379840890038</c:v>
                </c:pt>
                <c:pt idx="359">
                  <c:v>-6.9935863321344875</c:v>
                </c:pt>
                <c:pt idx="360">
                  <c:v>-7.0223315728123303</c:v>
                </c:pt>
                <c:pt idx="361">
                  <c:v>-7.0485837950963806</c:v>
                </c:pt>
                <c:pt idx="362">
                  <c:v>-7.0723525822561353</c:v>
                </c:pt>
                <c:pt idx="363">
                  <c:v>-7.0936469200529126</c:v>
                </c:pt>
                <c:pt idx="364">
                  <c:v>-7.1124751118954324</c:v>
                </c:pt>
                <c:pt idx="365">
                  <c:v>-7.128844701433124</c:v>
                </c:pt>
                <c:pt idx="366">
                  <c:v>-7.1427624030142614</c:v>
                </c:pt>
                <c:pt idx="367">
                  <c:v>-7.1542340403847406</c:v>
                </c:pt>
                <c:pt idx="368">
                  <c:v>-7.1632644939543884</c:v>
                </c:pt>
                <c:pt idx="369">
                  <c:v>-7.1698576569061121</c:v>
                </c:pt>
                <c:pt idx="370">
                  <c:v>-7.1740164003750371</c:v>
                </c:pt>
                <c:pt idx="371">
                  <c:v>-7.1757425478753678</c:v>
                </c:pt>
                <c:pt idx="372">
                  <c:v>-7.1750368591044591</c:v>
                </c:pt>
                <c:pt idx="373">
                  <c:v>-7.1718990232054391</c:v>
                </c:pt>
                <c:pt idx="374">
                  <c:v>-7.1663276615221765</c:v>
                </c:pt>
                <c:pt idx="375">
                  <c:v>-7.1583203398331108</c:v>
                </c:pt>
                <c:pt idx="376">
                  <c:v>-7.1478735900020709</c:v>
                </c:pt>
                <c:pt idx="377">
                  <c:v>-7.1349829409369248</c:v>
                </c:pt>
                <c:pt idx="378">
                  <c:v>-7.1196429586989218</c:v>
                </c:pt>
                <c:pt idx="379">
                  <c:v>-7.101847295555924</c:v>
                </c:pt>
                <c:pt idx="380">
                  <c:v>-7.0815887477250508</c:v>
                </c:pt>
                <c:pt idx="381">
                  <c:v>-7.0588593214990771</c:v>
                </c:pt>
                <c:pt idx="382">
                  <c:v>-7.0336503074014791</c:v>
                </c:pt>
                <c:pt idx="383">
                  <c:v>-7.005952361964594</c:v>
                </c:pt>
                <c:pt idx="384">
                  <c:v>-6.9757555966744142</c:v>
                </c:pt>
                <c:pt idx="385">
                  <c:v>-6.9430496735740954</c:v>
                </c:pt>
                <c:pt idx="386">
                  <c:v>-6.9078239069701883</c:v>
                </c:pt>
                <c:pt idx="387">
                  <c:v>-6.8700673706346329</c:v>
                </c:pt>
                <c:pt idx="388">
                  <c:v>-6.8297690098482278</c:v>
                </c:pt>
                <c:pt idx="389">
                  <c:v>-6.7869177575873749</c:v>
                </c:pt>
                <c:pt idx="390">
                  <c:v>-6.7415026541109331</c:v>
                </c:pt>
                <c:pt idx="391">
                  <c:v>-6.6935129691664415</c:v>
                </c:pt>
                <c:pt idx="392">
                  <c:v>-6.6429383259999355</c:v>
                </c:pt>
                <c:pt idx="393">
                  <c:v>-6.5897688263233398</c:v>
                </c:pt>
                <c:pt idx="394">
                  <c:v>-6.5339951753697987</c:v>
                </c:pt>
                <c:pt idx="395">
                  <c:v>-6.475608806150305</c:v>
                </c:pt>
                <c:pt idx="396">
                  <c:v>-6.4146020020145142</c:v>
                </c:pt>
                <c:pt idx="397">
                  <c:v>-6.3509680166170632</c:v>
                </c:pt>
                <c:pt idx="398">
                  <c:v>-6.2847011903971008</c:v>
                </c:pt>
                <c:pt idx="399">
                  <c:v>-6.2157970626944659</c:v>
                </c:pt>
                <c:pt idx="400">
                  <c:v>-6.1442524786493413</c:v>
                </c:pt>
                <c:pt idx="401">
                  <c:v>-6.0700656900683958</c:v>
                </c:pt>
                <c:pt idx="402">
                  <c:v>-5.9932364494815635</c:v>
                </c:pt>
                <c:pt idx="403">
                  <c:v>-5.9137660966670671</c:v>
                </c:pt>
                <c:pt idx="404">
                  <c:v>-5.8316576369832696</c:v>
                </c:pt>
                <c:pt idx="405">
                  <c:v>-5.7469158109146168</c:v>
                </c:pt>
                <c:pt idx="406">
                  <c:v>-5.6595471543160318</c:v>
                </c:pt>
                <c:pt idx="407">
                  <c:v>-5.5695600489227832</c:v>
                </c:pt>
                <c:pt idx="408">
                  <c:v>-5.4769647627807476</c:v>
                </c:pt>
                <c:pt idx="409">
                  <c:v>-5.3817734803452977</c:v>
                </c:pt>
                <c:pt idx="410">
                  <c:v>-5.2840003220920284</c:v>
                </c:pt>
                <c:pt idx="411">
                  <c:v>-5.1836613535785858</c:v>
                </c:pt>
                <c:pt idx="412">
                  <c:v>-5.0807745839955736</c:v>
                </c:pt>
                <c:pt idx="413">
                  <c:v>-4.9753599543386322</c:v>
                </c:pt>
                <c:pt idx="414">
                  <c:v>-4.8674393154269255</c:v>
                </c:pt>
                <c:pt idx="415">
                  <c:v>-4.7570363960830715</c:v>
                </c:pt>
                <c:pt idx="416">
                  <c:v>-4.6441767618722531</c:v>
                </c:pt>
                <c:pt idx="417">
                  <c:v>-4.5288877648754058</c:v>
                </c:pt>
                <c:pt idx="418">
                  <c:v>-4.4111984850416226</c:v>
                </c:pt>
                <c:pt idx="419">
                  <c:v>-4.2911396637263035</c:v>
                </c:pt>
                <c:pt idx="420">
                  <c:v>-4.1687436300730685</c:v>
                </c:pt>
                <c:pt idx="421">
                  <c:v>-4.0440442209428191</c:v>
                </c:pt>
                <c:pt idx="422">
                  <c:v>-3.917076695124476</c:v>
                </c:pt>
                <c:pt idx="423">
                  <c:v>-3.7878776425867984</c:v>
                </c:pt>
                <c:pt idx="424">
                  <c:v>-3.6564848895456121</c:v>
                </c:pt>
                <c:pt idx="425">
                  <c:v>-3.5229374001228519</c:v>
                </c:pt>
                <c:pt idx="426">
                  <c:v>-3.3872751753719976</c:v>
                </c:pt>
                <c:pt idx="427">
                  <c:v>-3.2495391504305822</c:v>
                </c:pt>
                <c:pt idx="428">
                  <c:v>-3.1097710905387785</c:v>
                </c:pt>
                <c:pt idx="429">
                  <c:v>-2.968013486636369</c:v>
                </c:pt>
                <c:pt idx="430">
                  <c:v>-2.8243094512168443</c:v>
                </c:pt>
                <c:pt idx="431">
                  <c:v>-2.6787026150758031</c:v>
                </c:pt>
                <c:pt idx="432">
                  <c:v>-2.5312370255496903</c:v>
                </c:pt>
                <c:pt idx="433">
                  <c:v>-2.3819570467905176</c:v>
                </c:pt>
                <c:pt idx="434">
                  <c:v>-2.2309072625762765</c:v>
                </c:pt>
                <c:pt idx="435">
                  <c:v>-2.0781323820990352</c:v>
                </c:pt>
                <c:pt idx="436">
                  <c:v>-1.9236771491270221</c:v>
                </c:pt>
                <c:pt idx="437">
                  <c:v>-1.7675862548779278</c:v>
                </c:pt>
                <c:pt idx="438">
                  <c:v>-1.6099042548916984</c:v>
                </c:pt>
                <c:pt idx="439">
                  <c:v>-1.4506754901403927</c:v>
                </c:pt>
                <c:pt idx="440">
                  <c:v>-1.2899440125591943</c:v>
                </c:pt>
                <c:pt idx="441">
                  <c:v>-1.1277535151413978</c:v>
                </c:pt>
                <c:pt idx="442">
                  <c:v>-0.96414726668939066</c:v>
                </c:pt>
                <c:pt idx="443">
                  <c:v>-0.79916805127703372</c:v>
                </c:pt>
                <c:pt idx="444">
                  <c:v>-0.63285811243679368</c:v>
                </c:pt>
                <c:pt idx="445">
                  <c:v>-0.46525910205046395</c:v>
                </c:pt>
                <c:pt idx="446">
                  <c:v>-0.29641203389232162</c:v>
                </c:pt>
                <c:pt idx="447">
                  <c:v>-0.12635724174060162</c:v>
                </c:pt>
                <c:pt idx="448">
                  <c:v>4.486565804637016E-2</c:v>
                </c:pt>
                <c:pt idx="449">
                  <c:v>0.21721779961992702</c:v>
                </c:pt>
                <c:pt idx="450">
                  <c:v>0.39066109654329934</c:v>
                </c:pt>
                <c:pt idx="451">
                  <c:v>0.56515826666724123</c:v>
                </c:pt>
                <c:pt idx="452">
                  <c:v>0.74067285315781639</c:v>
                </c:pt>
                <c:pt idx="453">
                  <c:v>0.91716924185645643</c:v>
                </c:pt>
                <c:pt idx="454">
                  <c:v>1.0946126751687493</c:v>
                </c:pt>
                <c:pt idx="455">
                  <c:v>1.2729692626779663</c:v>
                </c:pt>
                <c:pt idx="456">
                  <c:v>1.4522059886807015</c:v>
                </c:pt>
                <c:pt idx="457">
                  <c:v>1.6322907168501781</c:v>
                </c:pt>
                <c:pt idx="458">
                  <c:v>1.8131921922237741</c:v>
                </c:pt>
                <c:pt idx="459">
                  <c:v>1.99488004071415</c:v>
                </c:pt>
                <c:pt idx="460">
                  <c:v>2.177324766338224</c:v>
                </c:pt>
                <c:pt idx="461">
                  <c:v>2.3604977463526557</c:v>
                </c:pt>
                <c:pt idx="462">
                  <c:v>2.5443712244810306</c:v>
                </c:pt>
                <c:pt idx="463">
                  <c:v>2.728918302409316</c:v>
                </c:pt>
                <c:pt idx="464">
                  <c:v>2.9141129297208144</c:v>
                </c:pt>
                <c:pt idx="465">
                  <c:v>3.099929892432491</c:v>
                </c:pt>
                <c:pt idx="466">
                  <c:v>3.2863448002893443</c:v>
                </c:pt>
                <c:pt idx="467">
                  <c:v>3.4733340729620994</c:v>
                </c:pt>
                <c:pt idx="468">
                  <c:v>3.6608749252883266</c:v>
                </c:pt>
                <c:pt idx="469">
                  <c:v>3.8489453516868908</c:v>
                </c:pt>
                <c:pt idx="470">
                  <c:v>4.037524109867797</c:v>
                </c:pt>
                <c:pt idx="471">
                  <c:v>4.22659070395218</c:v>
                </c:pt>
                <c:pt idx="472">
                  <c:v>4.4161253671070728</c:v>
                </c:pt>
                <c:pt idx="473">
                  <c:v>4.6061090437944925</c:v>
                </c:pt>
                <c:pt idx="474">
                  <c:v>4.7965233717251099</c:v>
                </c:pt>
                <c:pt idx="475">
                  <c:v>4.987350663598618</c:v>
                </c:pt>
                <c:pt idx="476">
                  <c:v>5.1785738887093968</c:v>
                </c:pt>
                <c:pt idx="477">
                  <c:v>5.3701766544839691</c:v>
                </c:pt>
                <c:pt idx="478">
                  <c:v>5.5621431880162744</c:v>
                </c:pt>
                <c:pt idx="479">
                  <c:v>5.7544583176557733</c:v>
                </c:pt>
                <c:pt idx="480">
                  <c:v>5.9471074547010927</c:v>
                </c:pt>
                <c:pt idx="481">
                  <c:v>6.1400765752436604</c:v>
                </c:pt>
                <c:pt idx="482">
                  <c:v>6.3333522022047273</c:v>
                </c:pt>
                <c:pt idx="483">
                  <c:v>6.5269213875987457</c:v>
                </c:pt>
                <c:pt idx="484">
                  <c:v>6.720771695057822</c:v>
                </c:pt>
                <c:pt idx="485">
                  <c:v>6.9148911826430881</c:v>
                </c:pt>
                <c:pt idx="486">
                  <c:v>7.1092683859681047</c:v>
                </c:pt>
                <c:pt idx="487">
                  <c:v>7.3038923016535175</c:v>
                </c:pt>
                <c:pt idx="488">
                  <c:v>7.4987523711315243</c:v>
                </c:pt>
                <c:pt idx="489">
                  <c:v>7.6938384648131439</c:v>
                </c:pt>
                <c:pt idx="490">
                  <c:v>7.8891408666308909</c:v>
                </c:pt>
                <c:pt idx="491">
                  <c:v>8.0846502589652189</c:v>
                </c:pt>
                <c:pt idx="492">
                  <c:v>8.2803577079617483</c:v>
                </c:pt>
                <c:pt idx="493">
                  <c:v>8.4762546492446482</c:v>
                </c:pt>
                <c:pt idx="494">
                  <c:v>8.6723328740276227</c:v>
                </c:pt>
                <c:pt idx="495">
                  <c:v>8.8685845156261287</c:v>
                </c:pt>
                <c:pt idx="496">
                  <c:v>9.0650020363682966</c:v>
                </c:pt>
                <c:pt idx="497">
                  <c:v>9.2615782149046861</c:v>
                </c:pt>
                <c:pt idx="498">
                  <c:v>9.4583061339136361</c:v>
                </c:pt>
                <c:pt idx="499">
                  <c:v>9.6551791681982504</c:v>
                </c:pt>
                <c:pt idx="500">
                  <c:v>9.8521909731710622</c:v>
                </c:pt>
                <c:pt idx="501">
                  <c:v>10.049335473720078</c:v>
                </c:pt>
                <c:pt idx="502">
                  <c:v>10.246606853451583</c:v>
                </c:pt>
                <c:pt idx="503">
                  <c:v>10.443999544300883</c:v>
                </c:pt>
                <c:pt idx="504">
                  <c:v>10.641508216505892</c:v>
                </c:pt>
                <c:pt idx="505">
                  <c:v>10.839127768934784</c:v>
                </c:pt>
                <c:pt idx="506">
                  <c:v>11.036853319759869</c:v>
                </c:pt>
                <c:pt idx="507">
                  <c:v>11.234680197469755</c:v>
                </c:pt>
                <c:pt idx="508">
                  <c:v>11.432603932211459</c:v>
                </c:pt>
                <c:pt idx="509">
                  <c:v>11.630620247453363</c:v>
                </c:pt>
                <c:pt idx="510">
                  <c:v>11.828725051960058</c:v>
                </c:pt>
                <c:pt idx="511">
                  <c:v>12.026914432072056</c:v>
                </c:pt>
                <c:pt idx="512">
                  <c:v>12.225184644278748</c:v>
                </c:pt>
                <c:pt idx="513">
                  <c:v>12.42353210807833</c:v>
                </c:pt>
                <c:pt idx="514">
                  <c:v>12.621953399114485</c:v>
                </c:pt>
                <c:pt idx="515">
                  <c:v>12.820445242580956</c:v>
                </c:pt>
                <c:pt idx="516">
                  <c:v>13.01900450688678</c:v>
                </c:pt>
                <c:pt idx="517">
                  <c:v>13.217628197571932</c:v>
                </c:pt>
                <c:pt idx="518">
                  <c:v>13.416313451465946</c:v>
                </c:pt>
                <c:pt idx="519">
                  <c:v>13.615057531080899</c:v>
                </c:pt>
                <c:pt idx="520">
                  <c:v>13.813857819231321</c:v>
                </c:pt>
                <c:pt idx="521">
                  <c:v>14.012711813871556</c:v>
                </c:pt>
                <c:pt idx="522">
                  <c:v>14.211617123144098</c:v>
                </c:pt>
                <c:pt idx="523">
                  <c:v>14.410571460631045</c:v>
                </c:pt>
                <c:pt idx="524">
                  <c:v>14.609572640801048</c:v>
                </c:pt>
                <c:pt idx="525">
                  <c:v>14.808618574644253</c:v>
                </c:pt>
                <c:pt idx="526">
                  <c:v>15.007707265488648</c:v>
                </c:pt>
                <c:pt idx="527">
                  <c:v>15.206836804990861</c:v>
                </c:pt>
                <c:pt idx="528">
                  <c:v>15.406005369294435</c:v>
                </c:pt>
                <c:pt idx="529">
                  <c:v>15.605211215349982</c:v>
                </c:pt>
                <c:pt idx="530">
                  <c:v>15.804452677389524</c:v>
                </c:pt>
                <c:pt idx="531">
                  <c:v>16.003728163550555</c:v>
                </c:pt>
                <c:pt idx="532">
                  <c:v>16.203036152642433</c:v>
                </c:pt>
                <c:pt idx="533">
                  <c:v>16.402375191051352</c:v>
                </c:pt>
                <c:pt idx="534">
                  <c:v>16.601743889775452</c:v>
                </c:pt>
                <c:pt idx="535">
                  <c:v>16.801140921588825</c:v>
                </c:pt>
                <c:pt idx="536">
                  <c:v>17.000565018324828</c:v>
                </c:pt>
                <c:pt idx="537">
                  <c:v>17.200014968277571</c:v>
                </c:pt>
                <c:pt idx="538">
                  <c:v>17.399489613714817</c:v>
                </c:pt>
                <c:pt idx="539">
                  <c:v>17.59898784849727</c:v>
                </c:pt>
                <c:pt idx="540">
                  <c:v>17.798508615802191</c:v>
                </c:pt>
                <c:pt idx="541">
                  <c:v>17.998050905944194</c:v>
                </c:pt>
              </c:numCache>
            </c:numRef>
          </c:yVal>
          <c:smooth val="1"/>
          <c:extLst>
            <c:ext xmlns:c16="http://schemas.microsoft.com/office/drawing/2014/chart" uri="{C3380CC4-5D6E-409C-BE32-E72D297353CC}">
              <c16:uniqueId val="{00000000-F7C0-4EEE-87E3-EE720F12A204}"/>
            </c:ext>
          </c:extLst>
        </c:ser>
        <c:dLbls>
          <c:showLegendKey val="0"/>
          <c:showVal val="0"/>
          <c:showCatName val="0"/>
          <c:showSerName val="0"/>
          <c:showPercent val="0"/>
          <c:showBubbleSize val="0"/>
        </c:dLbls>
        <c:axId val="555304064"/>
        <c:axId val="555305984"/>
      </c:scatterChart>
      <c:scatterChart>
        <c:scatterStyle val="smoothMarker"/>
        <c:varyColors val="0"/>
        <c:ser>
          <c:idx val="1"/>
          <c:order val="1"/>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Loop_Modeling!$AR$19:$AR$560</c:f>
              <c:numCache>
                <c:formatCode>General</c:formatCode>
                <c:ptCount val="542"/>
                <c:pt idx="0">
                  <c:v>-26.352075609045055</c:v>
                </c:pt>
                <c:pt idx="1">
                  <c:v>-26.880678036747732</c:v>
                </c:pt>
                <c:pt idx="2">
                  <c:v>-27.41653637932399</c:v>
                </c:pt>
                <c:pt idx="3">
                  <c:v>-27.959560786891583</c:v>
                </c:pt>
                <c:pt idx="4">
                  <c:v>-28.50965001951181</c:v>
                </c:pt>
                <c:pt idx="5">
                  <c:v>-29.06669121199932</c:v>
                </c:pt>
                <c:pt idx="6">
                  <c:v>-29.630559670920622</c:v>
                </c:pt>
                <c:pt idx="7">
                  <c:v>-30.201118706930298</c:v>
                </c:pt>
                <c:pt idx="8">
                  <c:v>-30.778219505536399</c:v>
                </c:pt>
                <c:pt idx="9">
                  <c:v>-31.36170103928464</c:v>
                </c:pt>
                <c:pt idx="10">
                  <c:v>-31.951390024211989</c:v>
                </c:pt>
                <c:pt idx="11">
                  <c:v>-32.547100923236258</c:v>
                </c:pt>
                <c:pt idx="12">
                  <c:v>-33.148635998926572</c:v>
                </c:pt>
                <c:pt idx="13">
                  <c:v>-33.755785417825386</c:v>
                </c:pt>
                <c:pt idx="14">
                  <c:v>-34.368327408184769</c:v>
                </c:pt>
                <c:pt idx="15">
                  <c:v>-34.986028472625598</c:v>
                </c:pt>
                <c:pt idx="16">
                  <c:v>-35.608643656833493</c:v>
                </c:pt>
                <c:pt idx="17">
                  <c:v>-36.235916874979949</c:v>
                </c:pt>
                <c:pt idx="18">
                  <c:v>-36.867581292090357</c:v>
                </c:pt>
                <c:pt idx="19">
                  <c:v>-37.503359763101422</c:v>
                </c:pt>
                <c:pt idx="20">
                  <c:v>-38.142965327827312</c:v>
                </c:pt>
                <c:pt idx="21">
                  <c:v>-38.786101760543389</c:v>
                </c:pt>
                <c:pt idx="22">
                  <c:v>-39.432464172351303</c:v>
                </c:pt>
                <c:pt idx="23">
                  <c:v>-40.081739663967042</c:v>
                </c:pt>
                <c:pt idx="24">
                  <c:v>-40.733608026037615</c:v>
                </c:pt>
                <c:pt idx="25">
                  <c:v>-41.387742483598309</c:v>
                </c:pt>
                <c:pt idx="26">
                  <c:v>-42.043810480782014</c:v>
                </c:pt>
                <c:pt idx="27">
                  <c:v>-42.701474501461945</c:v>
                </c:pt>
                <c:pt idx="28">
                  <c:v>-43.360392921080397</c:v>
                </c:pt>
                <c:pt idx="29">
                  <c:v>-44.020220884573028</c:v>
                </c:pt>
                <c:pt idx="30">
                  <c:v>-44.680611204982</c:v>
                </c:pt>
                <c:pt idx="31">
                  <c:v>-45.341215277111097</c:v>
                </c:pt>
                <c:pt idx="32">
                  <c:v>-46.001684000397155</c:v>
                </c:pt>
                <c:pt idx="33">
                  <c:v>-46.661668705060585</c:v>
                </c:pt>
                <c:pt idx="34">
                  <c:v>-47.320822075561452</c:v>
                </c:pt>
                <c:pt idx="35">
                  <c:v>-47.978799065411394</c:v>
                </c:pt>
                <c:pt idx="36">
                  <c:v>-48.635257797513077</c:v>
                </c:pt>
                <c:pt idx="37">
                  <c:v>-49.289860444345145</c:v>
                </c:pt>
                <c:pt idx="38">
                  <c:v>-49.94227408257742</c:v>
                </c:pt>
                <c:pt idx="39">
                  <c:v>-50.592171516978276</c:v>
                </c:pt>
                <c:pt idx="40">
                  <c:v>-51.239232068840366</c:v>
                </c:pt>
                <c:pt idx="41">
                  <c:v>-51.883142324562712</c:v>
                </c:pt>
                <c:pt idx="42">
                  <c:v>-52.523596840453266</c:v>
                </c:pt>
                <c:pt idx="43">
                  <c:v>-53.1602988003199</c:v>
                </c:pt>
                <c:pt idx="44">
                  <c:v>-53.792960622905014</c:v>
                </c:pt>
                <c:pt idx="45">
                  <c:v>-54.421304516754255</c:v>
                </c:pt>
                <c:pt idx="46">
                  <c:v>-55.04506298063415</c:v>
                </c:pt>
                <c:pt idx="47">
                  <c:v>-55.663979248154284</c:v>
                </c:pt>
                <c:pt idx="48">
                  <c:v>-56.277807675763263</c:v>
                </c:pt>
                <c:pt idx="49">
                  <c:v>-56.886314073819499</c:v>
                </c:pt>
                <c:pt idx="50">
                  <c:v>-57.489275980904637</c:v>
                </c:pt>
                <c:pt idx="51">
                  <c:v>-58.086482882030083</c:v>
                </c:pt>
                <c:pt idx="52">
                  <c:v>-58.677736371811164</c:v>
                </c:pt>
                <c:pt idx="53">
                  <c:v>-59.262850264080669</c:v>
                </c:pt>
                <c:pt idx="54">
                  <c:v>-59.841650649771395</c:v>
                </c:pt>
                <c:pt idx="55">
                  <c:v>-60.413975905214642</c:v>
                </c:pt>
                <c:pt idx="56">
                  <c:v>-60.979676653270886</c:v>
                </c:pt>
                <c:pt idx="57">
                  <c:v>-61.538615679943533</c:v>
                </c:pt>
                <c:pt idx="58">
                  <c:v>-62.090667809308421</c:v>
                </c:pt>
                <c:pt idx="59">
                  <c:v>-62.635719739739457</c:v>
                </c:pt>
                <c:pt idx="60">
                  <c:v>-63.173669844512141</c:v>
                </c:pt>
                <c:pt idx="61">
                  <c:v>-63.704427939931215</c:v>
                </c:pt>
                <c:pt idx="62">
                  <c:v>-64.227915024158165</c:v>
                </c:pt>
                <c:pt idx="63">
                  <c:v>-64.744062989908542</c:v>
                </c:pt>
                <c:pt idx="64">
                  <c:v>-65.25281431415064</c:v>
                </c:pt>
                <c:pt idx="65">
                  <c:v>-65.754121727879351</c:v>
                </c:pt>
                <c:pt idx="66">
                  <c:v>-66.247947868945118</c:v>
                </c:pt>
                <c:pt idx="67">
                  <c:v>-66.734264920818347</c:v>
                </c:pt>
                <c:pt idx="68">
                  <c:v>-67.213054240036442</c:v>
                </c:pt>
                <c:pt idx="69">
                  <c:v>-67.684305974945673</c:v>
                </c:pt>
                <c:pt idx="70">
                  <c:v>-68.148018678204124</c:v>
                </c:pt>
                <c:pt idx="71">
                  <c:v>-68.604198915341669</c:v>
                </c:pt>
                <c:pt idx="72">
                  <c:v>-69.052860871523521</c:v>
                </c:pt>
                <c:pt idx="73">
                  <c:v>-69.494025958483647</c:v>
                </c:pt>
                <c:pt idx="74">
                  <c:v>-69.927722423436819</c:v>
                </c:pt>
                <c:pt idx="75">
                  <c:v>-70.353984961602379</c:v>
                </c:pt>
                <c:pt idx="76">
                  <c:v>-70.772854333814749</c:v>
                </c:pt>
                <c:pt idx="77">
                  <c:v>-71.184376990531987</c:v>
                </c:pt>
                <c:pt idx="78">
                  <c:v>-71.588604703398346</c:v>
                </c:pt>
                <c:pt idx="79">
                  <c:v>-71.985594205371982</c:v>
                </c:pt>
                <c:pt idx="80">
                  <c:v>-72.3754068402813</c:v>
                </c:pt>
                <c:pt idx="81">
                  <c:v>-72.758108222547406</c:v>
                </c:pt>
                <c:pt idx="82">
                  <c:v>-73.133767907675292</c:v>
                </c:pt>
                <c:pt idx="83">
                  <c:v>-73.502459074010062</c:v>
                </c:pt>
                <c:pt idx="84">
                  <c:v>-73.864258216135525</c:v>
                </c:pt>
                <c:pt idx="85">
                  <c:v>-74.219244850200056</c:v>
                </c:pt>
                <c:pt idx="86">
                  <c:v>-74.567501231361021</c:v>
                </c:pt>
                <c:pt idx="87">
                  <c:v>-74.909112083453437</c:v>
                </c:pt>
                <c:pt idx="88">
                  <c:v>-75.244164340919781</c:v>
                </c:pt>
                <c:pt idx="89">
                  <c:v>-75.572746902963189</c:v>
                </c:pt>
                <c:pt idx="90">
                  <c:v>-75.89495039983511</c:v>
                </c:pt>
                <c:pt idx="91">
                  <c:v>-76.210866971108075</c:v>
                </c:pt>
                <c:pt idx="92">
                  <c:v>-76.52059005574452</c:v>
                </c:pt>
                <c:pt idx="93">
                  <c:v>-76.824214193730015</c:v>
                </c:pt>
                <c:pt idx="94">
                  <c:v>-77.121834839006709</c:v>
                </c:pt>
                <c:pt idx="95">
                  <c:v>-77.413548183413511</c:v>
                </c:pt>
                <c:pt idx="96">
                  <c:v>-77.699450991317875</c:v>
                </c:pt>
                <c:pt idx="97">
                  <c:v>-77.979640444603177</c:v>
                </c:pt>
                <c:pt idx="98">
                  <c:v>-78.254213997663072</c:v>
                </c:pt>
                <c:pt idx="99">
                  <c:v>-78.523269242041323</c:v>
                </c:pt>
                <c:pt idx="100">
                  <c:v>-78.786903780349874</c:v>
                </c:pt>
                <c:pt idx="101">
                  <c:v>-79.045215109091018</c:v>
                </c:pt>
                <c:pt idx="102">
                  <c:v>-79.298300510010918</c:v>
                </c:pt>
                <c:pt idx="103">
                  <c:v>-79.546256949607951</c:v>
                </c:pt>
                <c:pt idx="104">
                  <c:v>-79.78918098642589</c:v>
                </c:pt>
                <c:pt idx="105">
                  <c:v>-80.027168685762717</c:v>
                </c:pt>
                <c:pt idx="106">
                  <c:v>-80.260315541435318</c:v>
                </c:pt>
                <c:pt idx="107">
                  <c:v>-80.488716404242183</c:v>
                </c:pt>
                <c:pt idx="108">
                  <c:v>-80.712465416781001</c:v>
                </c:pt>
                <c:pt idx="109">
                  <c:v>-80.931655954280956</c:v>
                </c:pt>
                <c:pt idx="110">
                  <c:v>-81.1463805711237</c:v>
                </c:pt>
                <c:pt idx="111">
                  <c:v>-81.356730952734466</c:v>
                </c:pt>
                <c:pt idx="112">
                  <c:v>-81.562797872538255</c:v>
                </c:pt>
                <c:pt idx="113">
                  <c:v>-81.764671153684418</c:v>
                </c:pt>
                <c:pt idx="114">
                  <c:v>-81.9624396352568</c:v>
                </c:pt>
                <c:pt idx="115">
                  <c:v>-82.156191142696414</c:v>
                </c:pt>
                <c:pt idx="116">
                  <c:v>-82.346012462176063</c:v>
                </c:pt>
                <c:pt idx="117">
                  <c:v>-82.531989318677319</c:v>
                </c:pt>
                <c:pt idx="118">
                  <c:v>-82.714206357531921</c:v>
                </c:pt>
                <c:pt idx="119">
                  <c:v>-82.892747129200956</c:v>
                </c:pt>
                <c:pt idx="120">
                  <c:v>-83.067694077075458</c:v>
                </c:pt>
                <c:pt idx="121">
                  <c:v>-83.239128528094383</c:v>
                </c:pt>
                <c:pt idx="122">
                  <c:v>-83.407130685984285</c:v>
                </c:pt>
                <c:pt idx="123">
                  <c:v>-83.571779626937783</c:v>
                </c:pt>
                <c:pt idx="124">
                  <c:v>-83.733153297555148</c:v>
                </c:pt>
                <c:pt idx="125">
                  <c:v>-83.891328514885075</c:v>
                </c:pt>
                <c:pt idx="126">
                  <c:v>-84.046380968409352</c:v>
                </c:pt>
                <c:pt idx="127">
                  <c:v>-84.198385223823266</c:v>
                </c:pt>
                <c:pt idx="128">
                  <c:v>-84.347414728475414</c:v>
                </c:pt>
                <c:pt idx="129">
                  <c:v>-84.493541818336297</c:v>
                </c:pt>
                <c:pt idx="130">
                  <c:v>-84.636837726372946</c:v>
                </c:pt>
                <c:pt idx="131">
                  <c:v>-84.777372592215997</c:v>
                </c:pt>
                <c:pt idx="132">
                  <c:v>-84.915215473011003</c:v>
                </c:pt>
                <c:pt idx="133">
                  <c:v>-85.050434355353872</c:v>
                </c:pt>
                <c:pt idx="134">
                  <c:v>-85.183096168215755</c:v>
                </c:pt>
                <c:pt idx="135">
                  <c:v>-85.313266796769241</c:v>
                </c:pt>
                <c:pt idx="136">
                  <c:v>-85.441011097034448</c:v>
                </c:pt>
                <c:pt idx="137">
                  <c:v>-85.566392911267187</c:v>
                </c:pt>
                <c:pt idx="138">
                  <c:v>-85.68947508401871</c:v>
                </c:pt>
                <c:pt idx="139">
                  <c:v>-85.810319478799997</c:v>
                </c:pt>
                <c:pt idx="140">
                  <c:v>-85.928986995288668</c:v>
                </c:pt>
                <c:pt idx="141">
                  <c:v>-86.045537587022025</c:v>
                </c:pt>
                <c:pt idx="142">
                  <c:v>-86.160030279521706</c:v>
                </c:pt>
                <c:pt idx="143">
                  <c:v>-86.2725231888016</c:v>
                </c:pt>
                <c:pt idx="144">
                  <c:v>-86.383073540213346</c:v>
                </c:pt>
                <c:pt idx="145">
                  <c:v>-86.491737687586991</c:v>
                </c:pt>
                <c:pt idx="146">
                  <c:v>-86.598571132628194</c:v>
                </c:pt>
                <c:pt idx="147">
                  <c:v>-86.703628544536485</c:v>
                </c:pt>
                <c:pt idx="148">
                  <c:v>-86.806963779811284</c:v>
                </c:pt>
                <c:pt idx="149">
                  <c:v>-86.90862990221612</c:v>
                </c:pt>
                <c:pt idx="150">
                  <c:v>-87.008679202873068</c:v>
                </c:pt>
                <c:pt idx="151">
                  <c:v>-87.107163220462539</c:v>
                </c:pt>
                <c:pt idx="152">
                  <c:v>-87.204132761505321</c:v>
                </c:pt>
                <c:pt idx="153">
                  <c:v>-87.299637920706246</c:v>
                </c:pt>
                <c:pt idx="154">
                  <c:v>-87.393728101340315</c:v>
                </c:pt>
                <c:pt idx="155">
                  <c:v>-87.486452035664627</c:v>
                </c:pt>
                <c:pt idx="156">
                  <c:v>-87.577857805340557</c:v>
                </c:pt>
                <c:pt idx="157">
                  <c:v>-87.667992861852511</c:v>
                </c:pt>
                <c:pt idx="158">
                  <c:v>-87.756904046911018</c:v>
                </c:pt>
                <c:pt idx="159">
                  <c:v>-87.844637612829302</c:v>
                </c:pt>
                <c:pt idx="160">
                  <c:v>-87.931239242863853</c:v>
                </c:pt>
                <c:pt idx="161">
                  <c:v>-88.01675407151069</c:v>
                </c:pt>
                <c:pt idx="162">
                  <c:v>-88.101226704749635</c:v>
                </c:pt>
                <c:pt idx="163">
                  <c:v>-88.184701240231249</c:v>
                </c:pt>
                <c:pt idx="164">
                  <c:v>-88.267221287400261</c:v>
                </c:pt>
                <c:pt idx="165">
                  <c:v>-88.348829987551809</c:v>
                </c:pt>
                <c:pt idx="166">
                  <c:v>-88.429570033816546</c:v>
                </c:pt>
                <c:pt idx="167">
                  <c:v>-88.509483691072177</c:v>
                </c:pt>
                <c:pt idx="168">
                  <c:v>-88.588612815779115</c:v>
                </c:pt>
                <c:pt idx="169">
                  <c:v>-88.666998875738841</c:v>
                </c:pt>
                <c:pt idx="170">
                  <c:v>-88.744682969774288</c:v>
                </c:pt>
                <c:pt idx="171">
                  <c:v>-88.821705847331842</c:v>
                </c:pt>
                <c:pt idx="172">
                  <c:v>-88.898107928004976</c:v>
                </c:pt>
                <c:pt idx="173">
                  <c:v>-88.973929320980631</c:v>
                </c:pt>
                <c:pt idx="174">
                  <c:v>-89.049209844408736</c:v>
                </c:pt>
                <c:pt idx="175">
                  <c:v>-89.123989044696941</c:v>
                </c:pt>
                <c:pt idx="176">
                  <c:v>-89.198306215731648</c:v>
                </c:pt>
                <c:pt idx="177">
                  <c:v>-89.272200418027751</c:v>
                </c:pt>
                <c:pt idx="178">
                  <c:v>-89.345710497809321</c:v>
                </c:pt>
                <c:pt idx="179">
                  <c:v>-89.418875106023435</c:v>
                </c:pt>
                <c:pt idx="180">
                  <c:v>-89.491732717290006</c:v>
                </c:pt>
                <c:pt idx="181">
                  <c:v>-89.56432164879044</c:v>
                </c:pt>
                <c:pt idx="182">
                  <c:v>-89.636680079097786</c:v>
                </c:pt>
                <c:pt idx="183">
                  <c:v>-89.708846066951679</c:v>
                </c:pt>
                <c:pt idx="184">
                  <c:v>-89.78085756998081</c:v>
                </c:pt>
                <c:pt idx="185">
                  <c:v>-89.852752463376305</c:v>
                </c:pt>
                <c:pt idx="186">
                  <c:v>-89.924568558518786</c:v>
                </c:pt>
                <c:pt idx="187">
                  <c:v>-89.996343621562303</c:v>
                </c:pt>
                <c:pt idx="188">
                  <c:v>-90.068115391978139</c:v>
                </c:pt>
                <c:pt idx="189">
                  <c:v>-90.139921601061076</c:v>
                </c:pt>
                <c:pt idx="190">
                  <c:v>-90.211799990401346</c:v>
                </c:pt>
                <c:pt idx="191">
                  <c:v>-90.283788330324342</c:v>
                </c:pt>
                <c:pt idx="192">
                  <c:v>-90.355924438300704</c:v>
                </c:pt>
                <c:pt idx="193">
                  <c:v>-90.428246197329159</c:v>
                </c:pt>
                <c:pt idx="194">
                  <c:v>-90.500791574293558</c:v>
                </c:pt>
                <c:pt idx="195">
                  <c:v>-90.573598638296161</c:v>
                </c:pt>
                <c:pt idx="196">
                  <c:v>-90.646705578968295</c:v>
                </c:pt>
                <c:pt idx="197">
                  <c:v>-90.720150724759321</c:v>
                </c:pt>
                <c:pt idx="198">
                  <c:v>-90.79397256120437</c:v>
                </c:pt>
                <c:pt idx="199">
                  <c:v>-90.868209749171299</c:v>
                </c:pt>
                <c:pt idx="200">
                  <c:v>-90.942901143085948</c:v>
                </c:pt>
                <c:pt idx="201">
                  <c:v>-91.018085809135187</c:v>
                </c:pt>
                <c:pt idx="202">
                  <c:v>-91.09380304344613</c:v>
                </c:pt>
                <c:pt idx="203">
                  <c:v>-91.170092390239319</c:v>
                </c:pt>
                <c:pt idx="204">
                  <c:v>-91.24699365995312</c:v>
                </c:pt>
                <c:pt idx="205">
                  <c:v>-91.324546947335946</c:v>
                </c:pt>
                <c:pt idx="206">
                  <c:v>-91.40279264950162</c:v>
                </c:pt>
                <c:pt idx="207">
                  <c:v>-91.481771483942893</c:v>
                </c:pt>
                <c:pt idx="208">
                  <c:v>-91.561524506497193</c:v>
                </c:pt>
                <c:pt idx="209">
                  <c:v>-91.642093129256978</c:v>
                </c:pt>
                <c:pt idx="210">
                  <c:v>-91.723519138417018</c:v>
                </c:pt>
                <c:pt idx="211">
                  <c:v>-91.805844712048838</c:v>
                </c:pt>
                <c:pt idx="212">
                  <c:v>-91.889112437792051</c:v>
                </c:pt>
                <c:pt idx="213">
                  <c:v>-91.973365330450591</c:v>
                </c:pt>
                <c:pt idx="214">
                  <c:v>-92.058646849480311</c:v>
                </c:pt>
                <c:pt idx="215">
                  <c:v>-92.145000916353609</c:v>
                </c:pt>
                <c:pt idx="216">
                  <c:v>-92.232471931783905</c:v>
                </c:pt>
                <c:pt idx="217">
                  <c:v>-92.32110479279244</c:v>
                </c:pt>
                <c:pt idx="218">
                  <c:v>-92.410944909597049</c:v>
                </c:pt>
                <c:pt idx="219">
                  <c:v>-92.502038222300612</c:v>
                </c:pt>
                <c:pt idx="220">
                  <c:v>-92.594431217355535</c:v>
                </c:pt>
                <c:pt idx="221">
                  <c:v>-92.688170943777422</c:v>
                </c:pt>
                <c:pt idx="222">
                  <c:v>-92.783305029079187</c:v>
                </c:pt>
                <c:pt idx="223">
                  <c:v>-92.87988169489438</c:v>
                </c:pt>
                <c:pt idx="224">
                  <c:v>-92.977949772255371</c:v>
                </c:pt>
                <c:pt idx="225">
                  <c:v>-93.077558716489321</c:v>
                </c:pt>
                <c:pt idx="226">
                  <c:v>-93.17875862169214</c:v>
                </c:pt>
                <c:pt idx="227">
                  <c:v>-93.281600234736416</c:v>
                </c:pt>
                <c:pt idx="228">
                  <c:v>-93.386134968766711</c:v>
                </c:pt>
                <c:pt idx="229">
                  <c:v>-93.492414916131921</c:v>
                </c:pt>
                <c:pt idx="230">
                  <c:v>-93.600492860699148</c:v>
                </c:pt>
                <c:pt idx="231">
                  <c:v>-93.710422289491419</c:v>
                </c:pt>
                <c:pt idx="232">
                  <c:v>-93.822257403584985</c:v>
                </c:pt>
                <c:pt idx="233">
                  <c:v>-93.936053128199518</c:v>
                </c:pt>
                <c:pt idx="234">
                  <c:v>-94.051865121907269</c:v>
                </c:pt>
                <c:pt idx="235">
                  <c:v>-94.169749784883734</c:v>
                </c:pt>
                <c:pt idx="236">
                  <c:v>-94.289764266116507</c:v>
                </c:pt>
                <c:pt idx="237">
                  <c:v>-94.411966469482124</c:v>
                </c:pt>
                <c:pt idx="238">
                  <c:v>-94.536415058596518</c:v>
                </c:pt>
                <c:pt idx="239">
                  <c:v>-94.663169460336036</c:v>
                </c:pt>
                <c:pt idx="240">
                  <c:v>-94.792289866921124</c:v>
                </c:pt>
                <c:pt idx="241">
                  <c:v>-94.923837236446715</c:v>
                </c:pt>
                <c:pt idx="242">
                  <c:v>-95.057873291735717</c:v>
                </c:pt>
                <c:pt idx="243">
                  <c:v>-95.194460517385366</c:v>
                </c:pt>
                <c:pt idx="244">
                  <c:v>-95.333662154865962</c:v>
                </c:pt>
                <c:pt idx="245">
                  <c:v>-95.475542195526415</c:v>
                </c:pt>
                <c:pt idx="246">
                  <c:v>-95.620165371347596</c:v>
                </c:pt>
                <c:pt idx="247">
                  <c:v>-95.767597143280469</c:v>
                </c:pt>
                <c:pt idx="248">
                  <c:v>-95.917903686991636</c:v>
                </c:pt>
                <c:pt idx="249">
                  <c:v>-96.071151875832911</c:v>
                </c:pt>
                <c:pt idx="250">
                  <c:v>-96.22740926083894</c:v>
                </c:pt>
                <c:pt idx="251">
                  <c:v>-96.386744047547722</c:v>
                </c:pt>
                <c:pt idx="252">
                  <c:v>-96.549225069427635</c:v>
                </c:pt>
                <c:pt idx="253">
                  <c:v>-96.714921757683726</c:v>
                </c:pt>
                <c:pt idx="254">
                  <c:v>-96.883904107205055</c:v>
                </c:pt>
                <c:pt idx="255">
                  <c:v>-97.056242638403788</c:v>
                </c:pt>
                <c:pt idx="256">
                  <c:v>-97.232008354683813</c:v>
                </c:pt>
                <c:pt idx="257">
                  <c:v>-97.41127269526848</c:v>
                </c:pt>
                <c:pt idx="258">
                  <c:v>-97.59410748310124</c:v>
                </c:pt>
                <c:pt idx="259">
                  <c:v>-97.780584867526315</c:v>
                </c:pt>
                <c:pt idx="260">
                  <c:v>-97.970777261441455</c:v>
                </c:pt>
                <c:pt idx="261">
                  <c:v>-98.164757272606437</c:v>
                </c:pt>
                <c:pt idx="262">
                  <c:v>-98.362597628780406</c:v>
                </c:pt>
                <c:pt idx="263">
                  <c:v>-98.564371096350115</c:v>
                </c:pt>
                <c:pt idx="264">
                  <c:v>-98.770150392103929</c:v>
                </c:pt>
                <c:pt idx="265">
                  <c:v>-98.980008087796278</c:v>
                </c:pt>
                <c:pt idx="266">
                  <c:v>-99.194016507142024</c:v>
                </c:pt>
                <c:pt idx="267">
                  <c:v>-99.412247614873863</c:v>
                </c:pt>
                <c:pt idx="268">
                  <c:v>-99.634772897490436</c:v>
                </c:pt>
                <c:pt idx="269">
                  <c:v>-99.861663235322638</c:v>
                </c:pt>
                <c:pt idx="270">
                  <c:v>-100.09298876554233</c:v>
                </c:pt>
                <c:pt idx="271">
                  <c:v>-100.32881873574347</c:v>
                </c:pt>
                <c:pt idx="272">
                  <c:v>-100.56922134772469</c:v>
                </c:pt>
                <c:pt idx="273">
                  <c:v>-100.81426359111595</c:v>
                </c:pt>
                <c:pt idx="274">
                  <c:v>-101.06401106649784</c:v>
                </c:pt>
                <c:pt idx="275">
                  <c:v>-101.31852779767912</c:v>
                </c:pt>
                <c:pt idx="276">
                  <c:v>-101.57787603281631</c:v>
                </c:pt>
                <c:pt idx="277">
                  <c:v>-101.84211603408119</c:v>
                </c:pt>
                <c:pt idx="278">
                  <c:v>-102.1113058556125</c:v>
                </c:pt>
                <c:pt idx="279">
                  <c:v>-102.38550110951789</c:v>
                </c:pt>
                <c:pt idx="280">
                  <c:v>-102.66475471973581</c:v>
                </c:pt>
                <c:pt idx="281">
                  <c:v>-102.94911666360792</c:v>
                </c:pt>
                <c:pt idx="282">
                  <c:v>-103.23863370106906</c:v>
                </c:pt>
                <c:pt idx="283">
                  <c:v>-103.53334909141665</c:v>
                </c:pt>
                <c:pt idx="284">
                  <c:v>-103.83330229769268</c:v>
                </c:pt>
                <c:pt idx="285">
                  <c:v>-104.13852867878238</c:v>
                </c:pt>
                <c:pt idx="286">
                  <c:v>-104.44905916941622</c:v>
                </c:pt>
                <c:pt idx="287">
                  <c:v>-104.76491994835848</c:v>
                </c:pt>
                <c:pt idx="288">
                  <c:v>-105.08613209515647</c:v>
                </c:pt>
                <c:pt idx="289">
                  <c:v>-105.41271123594075</c:v>
                </c:pt>
                <c:pt idx="290">
                  <c:v>-105.74466717888076</c:v>
                </c:pt>
                <c:pt idx="291">
                  <c:v>-106.08200354002412</c:v>
                </c:pt>
                <c:pt idx="292">
                  <c:v>-106.42471736038632</c:v>
                </c:pt>
                <c:pt idx="293">
                  <c:v>-106.77279871529653</c:v>
                </c:pt>
                <c:pt idx="294">
                  <c:v>-107.12623031715555</c:v>
                </c:pt>
                <c:pt idx="295">
                  <c:v>-107.48498711291805</c:v>
                </c:pt>
                <c:pt idx="296">
                  <c:v>-107.84903587777531</c:v>
                </c:pt>
                <c:pt idx="297">
                  <c:v>-108.21833480667614</c:v>
                </c:pt>
                <c:pt idx="298">
                  <c:v>-108.59283310549966</c:v>
                </c:pt>
                <c:pt idx="299">
                  <c:v>-108.97247058385889</c:v>
                </c:pt>
                <c:pt idx="300">
                  <c:v>-109.35717725168882</c:v>
                </c:pt>
                <c:pt idx="301">
                  <c:v>-109.74687292193771</c:v>
                </c:pt>
                <c:pt idx="302">
                  <c:v>-110.14146682184757</c:v>
                </c:pt>
                <c:pt idx="303">
                  <c:v>-110.5408572154594</c:v>
                </c:pt>
                <c:pt idx="304">
                  <c:v>-110.94493104013145</c:v>
                </c:pt>
                <c:pt idx="305">
                  <c:v>-111.35356355998482</c:v>
                </c:pt>
                <c:pt idx="306">
                  <c:v>-111.76661803930804</c:v>
                </c:pt>
                <c:pt idx="307">
                  <c:v>-112.18394543905052</c:v>
                </c:pt>
                <c:pt idx="308">
                  <c:v>-112.60538413960559</c:v>
                </c:pt>
                <c:pt idx="309">
                  <c:v>-113.03075969312651</c:v>
                </c:pt>
                <c:pt idx="310">
                  <c:v>-113.45988460864524</c:v>
                </c:pt>
                <c:pt idx="311">
                  <c:v>-113.89255817323661</c:v>
                </c:pt>
                <c:pt idx="312">
                  <c:v>-114.32856631242703</c:v>
                </c:pt>
                <c:pt idx="313">
                  <c:v>-114.76768149295545</c:v>
                </c:pt>
                <c:pt idx="314">
                  <c:v>-115.20966267086078</c:v>
                </c:pt>
                <c:pt idx="315">
                  <c:v>-115.65425528770507</c:v>
                </c:pt>
                <c:pt idx="316">
                  <c:v>-116.10119131752282</c:v>
                </c:pt>
                <c:pt idx="317">
                  <c:v>-116.55018936682842</c:v>
                </c:pt>
                <c:pt idx="318">
                  <c:v>-117.00095482972183</c:v>
                </c:pt>
                <c:pt idx="319">
                  <c:v>-117.45318009977937</c:v>
                </c:pt>
                <c:pt idx="320">
                  <c:v>-117.90654484004766</c:v>
                </c:pt>
                <c:pt idx="321">
                  <c:v>-118.36071631203285</c:v>
                </c:pt>
                <c:pt idx="322">
                  <c:v>-118.81534976413553</c:v>
                </c:pt>
                <c:pt idx="323">
                  <c:v>-119.27008887949948</c:v>
                </c:pt>
                <c:pt idx="324">
                  <c:v>-119.72456628275135</c:v>
                </c:pt>
                <c:pt idx="325">
                  <c:v>-120.17840410458557</c:v>
                </c:pt>
                <c:pt idx="326">
                  <c:v>-120.63121460263663</c:v>
                </c:pt>
                <c:pt idx="327">
                  <c:v>-121.0826008365556</c:v>
                </c:pt>
                <c:pt idx="328">
                  <c:v>-121.53215739468918</c:v>
                </c:pt>
                <c:pt idx="329">
                  <c:v>-121.97947116927148</c:v>
                </c:pt>
                <c:pt idx="330">
                  <c:v>-122.42412217655094</c:v>
                </c:pt>
                <c:pt idx="331">
                  <c:v>-122.86568441784827</c:v>
                </c:pt>
                <c:pt idx="332">
                  <c:v>-123.30372677712695</c:v>
                </c:pt>
                <c:pt idx="333">
                  <c:v>-123.73781395031455</c:v>
                </c:pt>
                <c:pt idx="334">
                  <c:v>-124.16750740130746</c:v>
                </c:pt>
                <c:pt idx="335">
                  <c:v>-124.59236633935592</c:v>
                </c:pt>
                <c:pt idx="336">
                  <c:v>-125.01194871234959</c:v>
                </c:pt>
                <c:pt idx="337">
                  <c:v>-125.42581221041951</c:v>
                </c:pt>
                <c:pt idx="338">
                  <c:v>-125.83351527423459</c:v>
                </c:pt>
                <c:pt idx="339">
                  <c:v>-126.23461810240073</c:v>
                </c:pt>
                <c:pt idx="340">
                  <c:v>-126.62868365248237</c:v>
                </c:pt>
                <c:pt idx="341">
                  <c:v>-127.01527863033058</c:v>
                </c:pt>
                <c:pt idx="342">
                  <c:v>-127.39397446264117</c:v>
                </c:pt>
                <c:pt idx="343">
                  <c:v>-127.7643482479628</c:v>
                </c:pt>
                <c:pt idx="344">
                  <c:v>-128.12598368171976</c:v>
                </c:pt>
                <c:pt idx="345">
                  <c:v>-128.47847195121943</c:v>
                </c:pt>
                <c:pt idx="346">
                  <c:v>-128.82141259704213</c:v>
                </c:pt>
                <c:pt idx="347">
                  <c:v>-129.15441433768396</c:v>
                </c:pt>
                <c:pt idx="348">
                  <c:v>-129.47709585481331</c:v>
                </c:pt>
                <c:pt idx="349">
                  <c:v>-129.78908653700572</c:v>
                </c:pt>
                <c:pt idx="350">
                  <c:v>-130.09002718033116</c:v>
                </c:pt>
                <c:pt idx="351">
                  <c:v>-130.37957064467773</c:v>
                </c:pt>
                <c:pt idx="352">
                  <c:v>-130.65738246518501</c:v>
                </c:pt>
                <c:pt idx="353">
                  <c:v>-130.92314141864242</c:v>
                </c:pt>
                <c:pt idx="354">
                  <c:v>-131.17654004515393</c:v>
                </c:pt>
                <c:pt idx="355">
                  <c:v>-131.41728512578294</c:v>
                </c:pt>
                <c:pt idx="356">
                  <c:v>-131.64509811727964</c:v>
                </c:pt>
                <c:pt idx="357">
                  <c:v>-131.85971554531574</c:v>
                </c:pt>
                <c:pt idx="358">
                  <c:v>-132.06088935794895</c:v>
                </c:pt>
                <c:pt idx="359">
                  <c:v>-132.24838724127591</c:v>
                </c:pt>
                <c:pt idx="360">
                  <c:v>-132.42199289941954</c:v>
                </c:pt>
                <c:pt idx="361">
                  <c:v>-132.58150630113363</c:v>
                </c:pt>
                <c:pt idx="362">
                  <c:v>-132.72674389539395</c:v>
                </c:pt>
                <c:pt idx="363">
                  <c:v>-132.85753879837631</c:v>
                </c:pt>
                <c:pt idx="364">
                  <c:v>-132.97374095420639</c:v>
                </c:pt>
                <c:pt idx="365">
                  <c:v>-133.07521727180264</c:v>
                </c:pt>
                <c:pt idx="366">
                  <c:v>-133.16185174002854</c:v>
                </c:pt>
                <c:pt idx="367">
                  <c:v>-133.23354552321661</c:v>
                </c:pt>
                <c:pt idx="368">
                  <c:v>-133.29021703894301</c:v>
                </c:pt>
                <c:pt idx="369">
                  <c:v>-133.33180201971393</c:v>
                </c:pt>
                <c:pt idx="370">
                  <c:v>-133.35825355997136</c:v>
                </c:pt>
                <c:pt idx="371">
                  <c:v>-133.36954214955878</c:v>
                </c:pt>
                <c:pt idx="372">
                  <c:v>-133.36565569449178</c:v>
                </c:pt>
                <c:pt idx="373">
                  <c:v>-133.34659952557385</c:v>
                </c:pt>
                <c:pt idx="374">
                  <c:v>-133.3123963950863</c:v>
                </c:pt>
                <c:pt idx="375">
                  <c:v>-133.26308646145654</c:v>
                </c:pt>
                <c:pt idx="376">
                  <c:v>-133.19872726149597</c:v>
                </c:pt>
                <c:pt idx="377">
                  <c:v>-133.11939366949076</c:v>
                </c:pt>
                <c:pt idx="378">
                  <c:v>-133.02517784212515</c:v>
                </c:pt>
                <c:pt idx="379">
                  <c:v>-132.91618914793833</c:v>
                </c:pt>
                <c:pt idx="380">
                  <c:v>-132.79255407976015</c:v>
                </c:pt>
                <c:pt idx="381">
                  <c:v>-132.65441614833182</c:v>
                </c:pt>
                <c:pt idx="382">
                  <c:v>-132.50193575512378</c:v>
                </c:pt>
                <c:pt idx="383">
                  <c:v>-132.33529004219184</c:v>
                </c:pt>
                <c:pt idx="384">
                  <c:v>-132.1546727167939</c:v>
                </c:pt>
                <c:pt idx="385">
                  <c:v>-131.96029384839912</c:v>
                </c:pt>
                <c:pt idx="386">
                  <c:v>-131.7523796356889</c:v>
                </c:pt>
                <c:pt idx="387">
                  <c:v>-131.53117214117177</c:v>
                </c:pt>
                <c:pt idx="388">
                  <c:v>-131.29692899106948</c:v>
                </c:pt>
                <c:pt idx="389">
                  <c:v>-131.04992303828291</c:v>
                </c:pt>
                <c:pt idx="390">
                  <c:v>-130.79044198637891</c:v>
                </c:pt>
                <c:pt idx="391">
                  <c:v>-130.51878797278471</c:v>
                </c:pt>
                <c:pt idx="392">
                  <c:v>-130.2352771096196</c:v>
                </c:pt>
                <c:pt idx="393">
                  <c:v>-129.94023898093585</c:v>
                </c:pt>
                <c:pt idx="394">
                  <c:v>-129.63401609547617</c:v>
                </c:pt>
                <c:pt idx="395">
                  <c:v>-129.31696329447186</c:v>
                </c:pt>
                <c:pt idx="396">
                  <c:v>-128.98944711444224</c:v>
                </c:pt>
                <c:pt idx="397">
                  <c:v>-128.65184510540445</c:v>
                </c:pt>
                <c:pt idx="398">
                  <c:v>-128.30454510541773</c:v>
                </c:pt>
                <c:pt idx="399">
                  <c:v>-127.94794447285894</c:v>
                </c:pt>
                <c:pt idx="400">
                  <c:v>-127.5824492783632</c:v>
                </c:pt>
                <c:pt idx="401">
                  <c:v>-127.20847345884884</c:v>
                </c:pt>
                <c:pt idx="402">
                  <c:v>-126.8264379365622</c:v>
                </c:pt>
                <c:pt idx="403">
                  <c:v>-126.4367697065416</c:v>
                </c:pt>
                <c:pt idx="404">
                  <c:v>-126.03990089636123</c:v>
                </c:pt>
                <c:pt idx="405">
                  <c:v>-125.63626780242183</c:v>
                </c:pt>
                <c:pt idx="406">
                  <c:v>-125.22630990743241</c:v>
                </c:pt>
                <c:pt idx="407">
                  <c:v>-124.81046888404278</c:v>
                </c:pt>
                <c:pt idx="408">
                  <c:v>-124.38918758984592</c:v>
                </c:pt>
                <c:pt idx="409">
                  <c:v>-123.96290905917407</c:v>
                </c:pt>
                <c:pt idx="410">
                  <c:v>-123.53207549724289</c:v>
                </c:pt>
                <c:pt idx="411">
                  <c:v>-123.0971272822558</c:v>
                </c:pt>
                <c:pt idx="412">
                  <c:v>-122.65850198108288</c:v>
                </c:pt>
                <c:pt idx="413">
                  <c:v>-122.21663338404679</c:v>
                </c:pt>
                <c:pt idx="414">
                  <c:v>-121.77195056419512</c:v>
                </c:pt>
                <c:pt idx="415">
                  <c:v>-121.32487696624068</c:v>
                </c:pt>
                <c:pt idx="416">
                  <c:v>-120.87582953006331</c:v>
                </c:pt>
                <c:pt idx="417">
                  <c:v>-120.42521785334016</c:v>
                </c:pt>
                <c:pt idx="418">
                  <c:v>-119.97344339749358</c:v>
                </c:pt>
                <c:pt idx="419">
                  <c:v>-119.52089874071217</c:v>
                </c:pt>
                <c:pt idx="420">
                  <c:v>-119.06796688134742</c:v>
                </c:pt>
                <c:pt idx="421">
                  <c:v>-118.61502059449214</c:v>
                </c:pt>
                <c:pt idx="422">
                  <c:v>-118.16242184404538</c:v>
                </c:pt>
                <c:pt idx="423">
                  <c:v>-117.71052125203988</c:v>
                </c:pt>
                <c:pt idx="424">
                  <c:v>-117.25965762649734</c:v>
                </c:pt>
                <c:pt idx="425">
                  <c:v>-116.81015754854721</c:v>
                </c:pt>
                <c:pt idx="426">
                  <c:v>-116.36233501904641</c:v>
                </c:pt>
                <c:pt idx="427">
                  <c:v>-115.91649116445326</c:v>
                </c:pt>
                <c:pt idx="428">
                  <c:v>-115.47291400123932</c:v>
                </c:pt>
                <c:pt idx="429">
                  <c:v>-115.03187825769916</c:v>
                </c:pt>
                <c:pt idx="430">
                  <c:v>-114.5936452516233</c:v>
                </c:pt>
                <c:pt idx="431">
                  <c:v>-114.15846282193299</c:v>
                </c:pt>
                <c:pt idx="432">
                  <c:v>-113.72656531206799</c:v>
                </c:pt>
                <c:pt idx="433">
                  <c:v>-113.29817360263493</c:v>
                </c:pt>
                <c:pt idx="434">
                  <c:v>-112.87349519059977</c:v>
                </c:pt>
                <c:pt idx="435">
                  <c:v>-112.45272431210908</c:v>
                </c:pt>
                <c:pt idx="436">
                  <c:v>-112.03604210588752</c:v>
                </c:pt>
                <c:pt idx="437">
                  <c:v>-111.62361681404477</c:v>
                </c:pt>
                <c:pt idx="438">
                  <c:v>-111.21560401706321</c:v>
                </c:pt>
                <c:pt idx="439">
                  <c:v>-110.81214689970493</c:v>
                </c:pt>
                <c:pt idx="440">
                  <c:v>-110.41337654458044</c:v>
                </c:pt>
                <c:pt idx="441">
                  <c:v>-110.01941225015607</c:v>
                </c:pt>
                <c:pt idx="442">
                  <c:v>-109.63036187003719</c:v>
                </c:pt>
                <c:pt idx="443">
                  <c:v>-109.24632217045793</c:v>
                </c:pt>
                <c:pt idx="444">
                  <c:v>-108.86737920300233</c:v>
                </c:pt>
                <c:pt idx="445">
                  <c:v>-108.49360868972379</c:v>
                </c:pt>
                <c:pt idx="446">
                  <c:v>-108.12507641795622</c:v>
                </c:pt>
                <c:pt idx="447">
                  <c:v>-107.76183864226903</c:v>
                </c:pt>
                <c:pt idx="448">
                  <c:v>-107.40394249117891</c:v>
                </c:pt>
                <c:pt idx="449">
                  <c:v>-107.05142637639148</c:v>
                </c:pt>
                <c:pt idx="450">
                  <c:v>-106.70432040252429</c:v>
                </c:pt>
                <c:pt idx="451">
                  <c:v>-106.36264677542746</c:v>
                </c:pt>
                <c:pt idx="452">
                  <c:v>-106.02642020738955</c:v>
                </c:pt>
                <c:pt idx="453">
                  <c:v>-105.69564831768912</c:v>
                </c:pt>
                <c:pt idx="454">
                  <c:v>-105.37033202710909</c:v>
                </c:pt>
                <c:pt idx="455">
                  <c:v>-105.05046594519384</c:v>
                </c:pt>
                <c:pt idx="456">
                  <c:v>-104.73603874918479</c:v>
                </c:pt>
                <c:pt idx="457">
                  <c:v>-104.4270335537062</c:v>
                </c:pt>
                <c:pt idx="458">
                  <c:v>-104.12342827042039</c:v>
                </c:pt>
                <c:pt idx="459">
                  <c:v>-103.82519595699434</c:v>
                </c:pt>
                <c:pt idx="460">
                  <c:v>-103.53230515484412</c:v>
                </c:pt>
                <c:pt idx="461">
                  <c:v>-103.24472021523373</c:v>
                </c:pt>
                <c:pt idx="462">
                  <c:v>-102.96240161340901</c:v>
                </c:pt>
                <c:pt idx="463">
                  <c:v>-102.68530625054217</c:v>
                </c:pt>
                <c:pt idx="464">
                  <c:v>-102.41338774334807</c:v>
                </c:pt>
                <c:pt idx="465">
                  <c:v>-102.14659670131319</c:v>
                </c:pt>
                <c:pt idx="466">
                  <c:v>-101.88488099154394</c:v>
                </c:pt>
                <c:pt idx="467">
                  <c:v>-101.62818599130979</c:v>
                </c:pt>
                <c:pt idx="468">
                  <c:v>-101.37645482840436</c:v>
                </c:pt>
                <c:pt idx="469">
                  <c:v>-101.12962860950229</c:v>
                </c:pt>
                <c:pt idx="470">
                  <c:v>-100.88764663672724</c:v>
                </c:pt>
                <c:pt idx="471">
                  <c:v>-100.65044661268348</c:v>
                </c:pt>
                <c:pt idx="472">
                  <c:v>-100.41796483423553</c:v>
                </c:pt>
                <c:pt idx="473">
                  <c:v>-100.19013637534212</c:v>
                </c:pt>
                <c:pt idx="474">
                  <c:v>-99.966895259273585</c:v>
                </c:pt>
                <c:pt idx="475">
                  <c:v>-99.74817462055789</c:v>
                </c:pt>
                <c:pt idx="476">
                  <c:v>-99.533906857011544</c:v>
                </c:pt>
                <c:pt idx="477">
                  <c:v>-99.324023772221949</c:v>
                </c:pt>
                <c:pt idx="478">
                  <c:v>-99.118456708852136</c:v>
                </c:pt>
                <c:pt idx="479">
                  <c:v>-98.917136673143432</c:v>
                </c:pt>
                <c:pt idx="480">
                  <c:v>-98.719994450989759</c:v>
                </c:pt>
                <c:pt idx="481">
                  <c:v>-98.526960715958978</c:v>
                </c:pt>
                <c:pt idx="482">
                  <c:v>-98.337966129628782</c:v>
                </c:pt>
                <c:pt idx="483">
                  <c:v>-98.152941434604443</c:v>
                </c:pt>
                <c:pt idx="484">
                  <c:v>-97.97181754057479</c:v>
                </c:pt>
                <c:pt idx="485">
                  <c:v>-97.79452560375816</c:v>
                </c:pt>
                <c:pt idx="486">
                  <c:v>-97.620997100079734</c:v>
                </c:pt>
                <c:pt idx="487">
                  <c:v>-97.451163892412566</c:v>
                </c:pt>
                <c:pt idx="488">
                  <c:v>-97.284958292205715</c:v>
                </c:pt>
                <c:pt idx="489">
                  <c:v>-97.122313115810172</c:v>
                </c:pt>
                <c:pt idx="490">
                  <c:v>-96.963161735804107</c:v>
                </c:pt>
                <c:pt idx="491">
                  <c:v>-96.807438127606915</c:v>
                </c:pt>
                <c:pt idx="492">
                  <c:v>-96.655076911660686</c:v>
                </c:pt>
                <c:pt idx="493">
                  <c:v>-96.506013391445563</c:v>
                </c:pt>
                <c:pt idx="494">
                  <c:v>-96.360183587585539</c:v>
                </c:pt>
                <c:pt idx="495">
                  <c:v>-96.217524268287093</c:v>
                </c:pt>
                <c:pt idx="496">
                  <c:v>-96.077972976346288</c:v>
                </c:pt>
                <c:pt idx="497">
                  <c:v>-95.941468052943904</c:v>
                </c:pt>
                <c:pt idx="498">
                  <c:v>-95.807948658441589</c:v>
                </c:pt>
                <c:pt idx="499">
                  <c:v>-95.677354790379013</c:v>
                </c:pt>
                <c:pt idx="500">
                  <c:v>-95.549627298862703</c:v>
                </c:pt>
                <c:pt idx="501">
                  <c:v>-95.424707899527348</c:v>
                </c:pt>
                <c:pt idx="502">
                  <c:v>-95.30253918423989</c:v>
                </c:pt>
                <c:pt idx="503">
                  <c:v>-95.183064629709293</c:v>
                </c:pt>
                <c:pt idx="504">
                  <c:v>-95.066228604153238</c:v>
                </c:pt>
                <c:pt idx="505">
                  <c:v>-94.951976372167152</c:v>
                </c:pt>
                <c:pt idx="506">
                  <c:v>-94.840254097930696</c:v>
                </c:pt>
                <c:pt idx="507">
                  <c:v>-94.731008846880073</c:v>
                </c:pt>
                <c:pt idx="508">
                  <c:v>-94.624188585966451</c:v>
                </c:pt>
                <c:pt idx="509">
                  <c:v>-94.519742182613669</c:v>
                </c:pt>
                <c:pt idx="510">
                  <c:v>-94.417619402482245</c:v>
                </c:pt>
                <c:pt idx="511">
                  <c:v>-94.317770906138051</c:v>
                </c:pt>
                <c:pt idx="512">
                  <c:v>-94.220148244721159</c:v>
                </c:pt>
                <c:pt idx="513">
                  <c:v>-94.124703854700783</c:v>
                </c:pt>
                <c:pt idx="514">
                  <c:v>-94.031391051799659</c:v>
                </c:pt>
                <c:pt idx="515">
                  <c:v>-93.940164024164147</c:v>
                </c:pt>
                <c:pt idx="516">
                  <c:v>-93.850977824851682</c:v>
                </c:pt>
                <c:pt idx="517">
                  <c:v>-93.763788363702744</c:v>
                </c:pt>
                <c:pt idx="518">
                  <c:v>-93.678552398660145</c:v>
                </c:pt>
                <c:pt idx="519">
                  <c:v>-93.595227526593362</c:v>
                </c:pt>
                <c:pt idx="520">
                  <c:v>-93.513772173682256</c:v>
                </c:pt>
                <c:pt idx="521">
                  <c:v>-93.4341455854114</c:v>
                </c:pt>
                <c:pt idx="522">
                  <c:v>-93.356307816221189</c:v>
                </c:pt>
                <c:pt idx="523">
                  <c:v>-93.280219718859328</c:v>
                </c:pt>
                <c:pt idx="524">
                  <c:v>-93.205842933473832</c:v>
                </c:pt>
                <c:pt idx="525">
                  <c:v>-93.133139876484492</c:v>
                </c:pt>
                <c:pt idx="526">
                  <c:v>-93.062073729267809</c:v>
                </c:pt>
                <c:pt idx="527">
                  <c:v>-92.992608426687454</c:v>
                </c:pt>
                <c:pt idx="528">
                  <c:v>-92.924708645499962</c:v>
                </c:pt>
                <c:pt idx="529">
                  <c:v>-92.858339792663088</c:v>
                </c:pt>
                <c:pt idx="530">
                  <c:v>-92.793467993572307</c:v>
                </c:pt>
                <c:pt idx="531">
                  <c:v>-92.73006008024835</c:v>
                </c:pt>
                <c:pt idx="532">
                  <c:v>-92.668083579497662</c:v>
                </c:pt>
                <c:pt idx="533">
                  <c:v>-92.607506701064793</c:v>
                </c:pt>
                <c:pt idx="534">
                  <c:v>-92.548298325795614</c:v>
                </c:pt>
                <c:pt idx="535">
                  <c:v>-92.490427993826827</c:v>
                </c:pt>
                <c:pt idx="536">
                  <c:v>-92.433865892817863</c:v>
                </c:pt>
                <c:pt idx="537">
                  <c:v>-92.378582846237876</c:v>
                </c:pt>
                <c:pt idx="538">
                  <c:v>-92.324550301721274</c:v>
                </c:pt>
                <c:pt idx="539">
                  <c:v>-92.271740319502243</c:v>
                </c:pt>
                <c:pt idx="540">
                  <c:v>-92.220125560939309</c:v>
                </c:pt>
                <c:pt idx="541">
                  <c:v>-92.169679277138471</c:v>
                </c:pt>
              </c:numCache>
            </c:numRef>
          </c:yVal>
          <c:smooth val="1"/>
          <c:extLst>
            <c:ext xmlns:c16="http://schemas.microsoft.com/office/drawing/2014/chart" uri="{C3380CC4-5D6E-409C-BE32-E72D297353CC}">
              <c16:uniqueId val="{00000001-F7C0-4EEE-87E3-EE720F12A204}"/>
            </c:ext>
          </c:extLst>
        </c:ser>
        <c:dLbls>
          <c:showLegendKey val="0"/>
          <c:showVal val="0"/>
          <c:showCatName val="0"/>
          <c:showSerName val="0"/>
          <c:showPercent val="0"/>
          <c:showBubbleSize val="0"/>
        </c:dLbls>
        <c:axId val="555313792"/>
        <c:axId val="555312256"/>
      </c:scatterChart>
      <c:valAx>
        <c:axId val="555304064"/>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555305984"/>
        <c:crosses val="autoZero"/>
        <c:crossBetween val="midCat"/>
      </c:valAx>
      <c:valAx>
        <c:axId val="555305984"/>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555304064"/>
        <c:crosses val="autoZero"/>
        <c:crossBetween val="midCat"/>
        <c:majorUnit val="20"/>
        <c:minorUnit val="10"/>
      </c:valAx>
      <c:valAx>
        <c:axId val="555312256"/>
        <c:scaling>
          <c:orientation val="minMax"/>
          <c:max val="180"/>
          <c:min val="-180"/>
        </c:scaling>
        <c:delete val="0"/>
        <c:axPos val="r"/>
        <c:numFmt formatCode="General" sourceLinked="1"/>
        <c:majorTickMark val="out"/>
        <c:minorTickMark val="none"/>
        <c:tickLblPos val="nextTo"/>
        <c:crossAx val="555313792"/>
        <c:crosses val="max"/>
        <c:crossBetween val="midCat"/>
        <c:majorUnit val="90"/>
        <c:minorUnit val="45"/>
      </c:valAx>
      <c:valAx>
        <c:axId val="555313792"/>
        <c:scaling>
          <c:logBase val="10"/>
          <c:orientation val="minMax"/>
        </c:scaling>
        <c:delete val="1"/>
        <c:axPos val="b"/>
        <c:numFmt formatCode="0.00" sourceLinked="1"/>
        <c:majorTickMark val="out"/>
        <c:minorTickMark val="none"/>
        <c:tickLblPos val="nextTo"/>
        <c:crossAx val="555312256"/>
        <c:crosses val="autoZero"/>
        <c:crossBetween val="midCat"/>
      </c:valAx>
    </c:plotArea>
    <c:legend>
      <c:legendPos val="r"/>
      <c:layout>
        <c:manualLayout>
          <c:xMode val="edge"/>
          <c:yMode val="edge"/>
          <c:x val="0.79880558209512509"/>
          <c:y val="0.14321997959862004"/>
          <c:w val="0.13459449276057311"/>
          <c:h val="0.10691609861199437"/>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DCM Control Loop Transfer Function</a:t>
            </a:r>
          </a:p>
        </c:rich>
      </c:tx>
      <c:overlay val="0"/>
    </c:title>
    <c:autoTitleDeleted val="0"/>
    <c:plotArea>
      <c:layout/>
      <c:scatterChart>
        <c:scatterStyle val="smoothMarker"/>
        <c:varyColors val="0"/>
        <c:ser>
          <c:idx val="0"/>
          <c:order val="0"/>
          <c:spPr>
            <a:ln w="38100">
              <a:solidFill>
                <a:srgbClr val="FF0000"/>
              </a:solidFill>
            </a:ln>
          </c:spPr>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Loop_Modeling!$BJ$19:$BJ$560</c:f>
              <c:numCache>
                <c:formatCode>0.000</c:formatCode>
                <c:ptCount val="542"/>
                <c:pt idx="0">
                  <c:v>52.601487743501629</c:v>
                </c:pt>
                <c:pt idx="1">
                  <c:v>52.36254836638512</c:v>
                </c:pt>
                <c:pt idx="2">
                  <c:v>52.12216628405816</c:v>
                </c:pt>
                <c:pt idx="3">
                  <c:v>51.880303195979536</c:v>
                </c:pt>
                <c:pt idx="4">
                  <c:v>51.63692092126341</c:v>
                </c:pt>
                <c:pt idx="5">
                  <c:v>51.391981492812768</c:v>
                </c:pt>
                <c:pt idx="6">
                  <c:v>51.145447256036221</c:v>
                </c:pt>
                <c:pt idx="7">
                  <c:v>50.897280971897096</c:v>
                </c:pt>
                <c:pt idx="8">
                  <c:v>50.647445923985501</c:v>
                </c:pt>
                <c:pt idx="9">
                  <c:v>50.395906029256388</c:v>
                </c:pt>
                <c:pt idx="10">
                  <c:v>50.14262595202031</c:v>
                </c:pt>
                <c:pt idx="11">
                  <c:v>49.887571220723345</c:v>
                </c:pt>
                <c:pt idx="12">
                  <c:v>49.630708347000542</c:v>
                </c:pt>
                <c:pt idx="13">
                  <c:v>49.372004946439603</c:v>
                </c:pt>
                <c:pt idx="14">
                  <c:v>49.111429860443877</c:v>
                </c:pt>
                <c:pt idx="15">
                  <c:v>48.84895327854521</c:v>
                </c:pt>
                <c:pt idx="16">
                  <c:v>48.58454686047827</c:v>
                </c:pt>
                <c:pt idx="17">
                  <c:v>48.318183857297853</c:v>
                </c:pt>
                <c:pt idx="18">
                  <c:v>48.049839230797176</c:v>
                </c:pt>
                <c:pt idx="19">
                  <c:v>47.77948977046691</c:v>
                </c:pt>
                <c:pt idx="20">
                  <c:v>47.507114207228582</c:v>
                </c:pt>
                <c:pt idx="21">
                  <c:v>47.232693323173322</c:v>
                </c:pt>
                <c:pt idx="22">
                  <c:v>46.956210056547462</c:v>
                </c:pt>
                <c:pt idx="23">
                  <c:v>46.677649601245832</c:v>
                </c:pt>
                <c:pt idx="24">
                  <c:v>46.396999500099916</c:v>
                </c:pt>
                <c:pt idx="25">
                  <c:v>46.114249731286591</c:v>
                </c:pt>
                <c:pt idx="26">
                  <c:v>45.829392787230042</c:v>
                </c:pt>
                <c:pt idx="27">
                  <c:v>45.542423745424728</c:v>
                </c:pt>
                <c:pt idx="28">
                  <c:v>45.253340330670468</c:v>
                </c:pt>
                <c:pt idx="29">
                  <c:v>44.962142968283118</c:v>
                </c:pt>
                <c:pt idx="30">
                  <c:v>44.668834827919703</c:v>
                </c:pt>
                <c:pt idx="31">
                  <c:v>44.37342185774262</c:v>
                </c:pt>
                <c:pt idx="32">
                  <c:v>44.075912808730038</c:v>
                </c:pt>
                <c:pt idx="33">
                  <c:v>43.776319249034444</c:v>
                </c:pt>
                <c:pt idx="34">
                  <c:v>43.474655568376249</c:v>
                </c:pt>
                <c:pt idx="35">
                  <c:v>43.170938972556094</c:v>
                </c:pt>
                <c:pt idx="36">
                  <c:v>42.865189468252382</c:v>
                </c:pt>
                <c:pt idx="37">
                  <c:v>42.557429838362921</c:v>
                </c:pt>
                <c:pt idx="38">
                  <c:v>42.247685608226078</c:v>
                </c:pt>
                <c:pt idx="39">
                  <c:v>41.935985003136018</c:v>
                </c:pt>
                <c:pt idx="40">
                  <c:v>41.62235889763619</c:v>
                </c:pt>
                <c:pt idx="41">
                  <c:v>41.306840757135348</c:v>
                </c:pt>
                <c:pt idx="42">
                  <c:v>40.989466572445252</c:v>
                </c:pt>
                <c:pt idx="43">
                  <c:v>40.670274787883471</c:v>
                </c:pt>
                <c:pt idx="44">
                  <c:v>40.349306223617951</c:v>
                </c:pt>
                <c:pt idx="45">
                  <c:v>40.026603992956346</c:v>
                </c:pt>
                <c:pt idx="46">
                  <c:v>39.702213415297514</c:v>
                </c:pt>
                <c:pt idx="47">
                  <c:v>39.376181925466952</c:v>
                </c:pt>
                <c:pt idx="48">
                  <c:v>39.048558980154716</c:v>
                </c:pt>
                <c:pt idx="49">
                  <c:v>38.719395962158984</c:v>
                </c:pt>
                <c:pt idx="50">
                  <c:v>38.388746083118399</c:v>
                </c:pt>
                <c:pt idx="51">
                  <c:v>38.056664285384578</c:v>
                </c:pt>
                <c:pt idx="52">
                  <c:v>37.723207143649368</c:v>
                </c:pt>
                <c:pt idx="53">
                  <c:v>37.388432766898475</c:v>
                </c:pt>
                <c:pt idx="54">
                  <c:v>37.052400701214822</c:v>
                </c:pt>
                <c:pt idx="55">
                  <c:v>36.715171833900165</c:v>
                </c:pt>
                <c:pt idx="56">
                  <c:v>36.376808299328502</c:v>
                </c:pt>
                <c:pt idx="57">
                  <c:v>36.037373386885335</c:v>
                </c:pt>
                <c:pt idx="58">
                  <c:v>35.696931451285785</c:v>
                </c:pt>
                <c:pt idx="59">
                  <c:v>35.355547825503301</c:v>
                </c:pt>
                <c:pt idx="60">
                  <c:v>35.013288736479552</c:v>
                </c:pt>
                <c:pt idx="61">
                  <c:v>34.670221223724752</c:v>
                </c:pt>
                <c:pt idx="62">
                  <c:v>34.326413060860574</c:v>
                </c:pt>
                <c:pt idx="63">
                  <c:v>33.981932680098261</c:v>
                </c:pt>
                <c:pt idx="64">
                  <c:v>33.636849099592922</c:v>
                </c:pt>
                <c:pt idx="65">
                  <c:v>33.291231853564</c:v>
                </c:pt>
                <c:pt idx="66">
                  <c:v>32.945150925022666</c:v>
                </c:pt>
                <c:pt idx="67">
                  <c:v>32.598676680906593</c:v>
                </c:pt>
                <c:pt idx="68">
                  <c:v>32.251879809383212</c:v>
                </c:pt>
                <c:pt idx="69">
                  <c:v>31.904831259047089</c:v>
                </c:pt>
                <c:pt idx="70">
                  <c:v>31.557602179710496</c:v>
                </c:pt>
                <c:pt idx="71">
                  <c:v>31.210263864460032</c:v>
                </c:pt>
                <c:pt idx="72">
                  <c:v>30.862887692635429</c:v>
                </c:pt>
                <c:pt idx="73">
                  <c:v>30.515545073369495</c:v>
                </c:pt>
                <c:pt idx="74">
                  <c:v>30.168307389325811</c:v>
                </c:pt>
                <c:pt idx="75">
                  <c:v>29.821245940261324</c:v>
                </c:pt>
                <c:pt idx="76">
                  <c:v>29.474431886048418</c:v>
                </c:pt>
                <c:pt idx="77">
                  <c:v>29.12793618879649</c:v>
                </c:pt>
                <c:pt idx="78">
                  <c:v>28.781829553727011</c:v>
                </c:pt>
                <c:pt idx="79">
                  <c:v>28.436182368475556</c:v>
                </c:pt>
                <c:pt idx="80">
                  <c:v>28.091064640514901</c:v>
                </c:pt>
                <c:pt idx="81">
                  <c:v>27.746545932426553</c:v>
                </c:pt>
                <c:pt idx="82">
                  <c:v>27.402695294778233</c:v>
                </c:pt>
                <c:pt idx="83">
                  <c:v>27.059581196403542</c:v>
                </c:pt>
                <c:pt idx="84">
                  <c:v>26.717271451925203</c:v>
                </c:pt>
                <c:pt idx="85">
                  <c:v>26.375833146406322</c:v>
                </c:pt>
                <c:pt idx="86">
                  <c:v>26.035332557068578</c:v>
                </c:pt>
                <c:pt idx="87">
                  <c:v>25.695835072066899</c:v>
                </c:pt>
                <c:pt idx="88">
                  <c:v>25.357405106368333</c:v>
                </c:pt>
                <c:pt idx="89">
                  <c:v>25.02010601484125</c:v>
                </c:pt>
                <c:pt idx="90">
                  <c:v>24.684000002723106</c:v>
                </c:pt>
                <c:pt idx="91">
                  <c:v>24.349148033691336</c:v>
                </c:pt>
                <c:pt idx="92">
                  <c:v>24.01560973583117</c:v>
                </c:pt>
                <c:pt idx="93">
                  <c:v>23.683443305847909</c:v>
                </c:pt>
                <c:pt idx="94">
                  <c:v>23.352705411933311</c:v>
                </c:pt>
                <c:pt idx="95">
                  <c:v>23.023451095753739</c:v>
                </c:pt>
                <c:pt idx="96">
                  <c:v>22.695733674078905</c:v>
                </c:pt>
                <c:pt idx="97">
                  <c:v>22.369604640619485</c:v>
                </c:pt>
                <c:pt idx="98">
                  <c:v>22.045113568686677</c:v>
                </c:pt>
                <c:pt idx="99">
                  <c:v>21.722308015323279</c:v>
                </c:pt>
                <c:pt idx="100">
                  <c:v>21.401233427586611</c:v>
                </c:pt>
                <c:pt idx="101">
                  <c:v>21.081933051686658</c:v>
                </c:pt>
                <c:pt idx="102">
                  <c:v>20.76444784569642</c:v>
                </c:pt>
                <c:pt idx="103">
                  <c:v>20.448816396556847</c:v>
                </c:pt>
                <c:pt idx="104">
                  <c:v>20.135074842094348</c:v>
                </c:pt>
                <c:pt idx="105">
                  <c:v>19.823256798753931</c:v>
                </c:pt>
                <c:pt idx="106">
                  <c:v>19.513393295728374</c:v>
                </c:pt>
                <c:pt idx="107">
                  <c:v>19.20551271612754</c:v>
                </c:pt>
                <c:pt idx="108">
                  <c:v>18.899640745789789</c:v>
                </c:pt>
                <c:pt idx="109">
                  <c:v>18.59580033028541</c:v>
                </c:pt>
                <c:pt idx="110">
                  <c:v>18.294011640597208</c:v>
                </c:pt>
                <c:pt idx="111">
                  <c:v>17.99429204789886</c:v>
                </c:pt>
                <c:pt idx="112">
                  <c:v>17.696656107771489</c:v>
                </c:pt>
                <c:pt idx="113">
                  <c:v>17.401115554120736</c:v>
                </c:pt>
                <c:pt idx="114">
                  <c:v>17.107679302968307</c:v>
                </c:pt>
                <c:pt idx="115">
                  <c:v>16.816353466204568</c:v>
                </c:pt>
                <c:pt idx="116">
                  <c:v>16.527141375296857</c:v>
                </c:pt>
                <c:pt idx="117">
                  <c:v>16.240043614859193</c:v>
                </c:pt>
                <c:pt idx="118">
                  <c:v>15.955058065896573</c:v>
                </c:pt>
                <c:pt idx="119">
                  <c:v>15.672179958453345</c:v>
                </c:pt>
                <c:pt idx="120">
                  <c:v>15.391401933309488</c:v>
                </c:pt>
                <c:pt idx="121">
                  <c:v>15.112714112292613</c:v>
                </c:pt>
                <c:pt idx="122">
                  <c:v>14.836104176700326</c:v>
                </c:pt>
                <c:pt idx="123">
                  <c:v>14.561557453265735</c:v>
                </c:pt>
                <c:pt idx="124">
                  <c:v>14.289057007040062</c:v>
                </c:pt>
                <c:pt idx="125">
                  <c:v>14.018583740521644</c:v>
                </c:pt>
                <c:pt idx="126">
                  <c:v>13.750116498320615</c:v>
                </c:pt>
                <c:pt idx="127">
                  <c:v>13.483632176620748</c:v>
                </c:pt>
                <c:pt idx="128">
                  <c:v>13.219105836680928</c:v>
                </c:pt>
                <c:pt idx="129">
                  <c:v>12.956510821608404</c:v>
                </c:pt>
                <c:pt idx="130">
                  <c:v>12.695818875635821</c:v>
                </c:pt>
                <c:pt idx="131">
                  <c:v>12.437000265142119</c:v>
                </c:pt>
                <c:pt idx="132">
                  <c:v>12.180023900673243</c:v>
                </c:pt>
                <c:pt idx="133">
                  <c:v>11.924857459243054</c:v>
                </c:pt>
                <c:pt idx="134">
                  <c:v>11.67146750622374</c:v>
                </c:pt>
                <c:pt idx="135">
                  <c:v>11.419819616174212</c:v>
                </c:pt>
                <c:pt idx="136">
                  <c:v>11.169878491992097</c:v>
                </c:pt>
                <c:pt idx="137">
                  <c:v>10.921608081824182</c:v>
                </c:pt>
                <c:pt idx="138">
                  <c:v>10.674971693216012</c:v>
                </c:pt>
                <c:pt idx="139">
                  <c:v>10.429932104034147</c:v>
                </c:pt>
                <c:pt idx="140">
                  <c:v>10.186451669744772</c:v>
                </c:pt>
                <c:pt idx="141">
                  <c:v>9.9444924266874271</c:v>
                </c:pt>
                <c:pt idx="142">
                  <c:v>9.7040161910332667</c:v>
                </c:pt>
                <c:pt idx="143">
                  <c:v>9.4649846531718982</c:v>
                </c:pt>
                <c:pt idx="144">
                  <c:v>9.2273594673183048</c:v>
                </c:pt>
                <c:pt idx="145">
                  <c:v>8.9911023361829816</c:v>
                </c:pt>
                <c:pt idx="146">
                  <c:v>8.7561750905935138</c:v>
                </c:pt>
                <c:pt idx="147">
                  <c:v>8.5225397639981608</c:v>
                </c:pt>
                <c:pt idx="148">
                  <c:v>8.2901586618272347</c:v>
                </c:pt>
                <c:pt idx="149">
                  <c:v>8.0589944257185149</c:v>
                </c:pt>
                <c:pt idx="150">
                  <c:v>7.8290100926544159</c:v>
                </c:pt>
                <c:pt idx="151">
                  <c:v>7.6001691490839036</c:v>
                </c:pt>
                <c:pt idx="152">
                  <c:v>7.3724355801324908</c:v>
                </c:pt>
                <c:pt idx="153">
                  <c:v>7.1457739140264334</c:v>
                </c:pt>
                <c:pt idx="154">
                  <c:v>6.9201492618773051</c:v>
                </c:pt>
                <c:pt idx="155">
                  <c:v>6.6955273529928574</c:v>
                </c:pt>
                <c:pt idx="156">
                  <c:v>6.4718745658904684</c:v>
                </c:pt>
                <c:pt idx="157">
                  <c:v>6.2491579552049057</c:v>
                </c:pt>
                <c:pt idx="158">
                  <c:v>6.0273452746892984</c:v>
                </c:pt>
                <c:pt idx="159">
                  <c:v>5.8064049965126134</c:v>
                </c:pt>
                <c:pt idx="160">
                  <c:v>5.5863063270648912</c:v>
                </c:pt>
                <c:pt idx="161">
                  <c:v>5.3670192194794595</c:v>
                </c:pt>
                <c:pt idx="162">
                  <c:v>5.148514383084227</c:v>
                </c:pt>
                <c:pt idx="163">
                  <c:v>4.9307632899908533</c:v>
                </c:pt>
                <c:pt idx="164">
                  <c:v>4.7137381790288586</c:v>
                </c:pt>
                <c:pt idx="165">
                  <c:v>4.4974120572263079</c:v>
                </c:pt>
                <c:pt idx="166">
                  <c:v>4.2817586990342722</c:v>
                </c:pt>
                <c:pt idx="167">
                  <c:v>4.0667526434854118</c:v>
                </c:pt>
                <c:pt idx="168">
                  <c:v>3.8523691894710073</c:v>
                </c:pt>
                <c:pt idx="169">
                  <c:v>3.6385843893125496</c:v>
                </c:pt>
                <c:pt idx="170">
                  <c:v>3.4253750407953154</c:v>
                </c:pt>
                <c:pt idx="171">
                  <c:v>3.2127186778259382</c:v>
                </c:pt>
                <c:pt idx="172">
                  <c:v>3.0005935598637938</c:v>
                </c:pt>
                <c:pt idx="173">
                  <c:v>2.788978660270244</c:v>
                </c:pt>
                <c:pt idx="174">
                  <c:v>2.5778536537103527</c:v>
                </c:pt>
                <c:pt idx="175">
                  <c:v>2.3671989027330116</c:v>
                </c:pt>
                <c:pt idx="176">
                  <c:v>2.1569954436466827</c:v>
                </c:pt>
                <c:pt idx="177">
                  <c:v>1.9472249718008507</c:v>
                </c:pt>
                <c:pt idx="178">
                  <c:v>1.7378698263742256</c:v>
                </c:pt>
                <c:pt idx="179">
                  <c:v>1.5289129747637353</c:v>
                </c:pt>
                <c:pt idx="180">
                  <c:v>1.3203379966597866</c:v>
                </c:pt>
                <c:pt idx="181">
                  <c:v>1.1121290678877884</c:v>
                </c:pt>
                <c:pt idx="182">
                  <c:v>0.90427094408743547</c:v>
                </c:pt>
                <c:pt idx="183">
                  <c:v>0.69674894429538892</c:v>
                </c:pt>
                <c:pt idx="184">
                  <c:v>0.48954893449212589</c:v>
                </c:pt>
                <c:pt idx="185">
                  <c:v>0.282657311164563</c:v>
                </c:pt>
                <c:pt idx="186">
                  <c:v>7.6060984934916948E-2</c:v>
                </c:pt>
                <c:pt idx="187">
                  <c:v>-0.13025263570313506</c:v>
                </c:pt>
                <c:pt idx="188">
                  <c:v>-0.3362956605010573</c:v>
                </c:pt>
                <c:pt idx="189">
                  <c:v>-0.54207973339181292</c:v>
                </c:pt>
                <c:pt idx="190">
                  <c:v>-0.74761604821615935</c:v>
                </c:pt>
                <c:pt idx="191">
                  <c:v>-0.95291536421346856</c:v>
                </c:pt>
                <c:pt idx="192">
                  <c:v>-1.1579880212548335</c:v>
                </c:pt>
                <c:pt idx="193">
                  <c:v>-1.3628439547976481</c:v>
                </c:pt>
                <c:pt idx="194">
                  <c:v>-1.567492710549824</c:v>
                </c:pt>
                <c:pt idx="195">
                  <c:v>-1.771943458826315</c:v>
                </c:pt>
                <c:pt idx="196">
                  <c:v>-1.9762050085897374</c:v>
                </c:pt>
                <c:pt idx="197">
                  <c:v>-2.1802858211668363</c:v>
                </c:pt>
                <c:pt idx="198">
                  <c:v>-2.3841940236328356</c:v>
                </c:pt>
                <c:pt idx="199">
                  <c:v>-2.5879374218624052</c:v>
                </c:pt>
                <c:pt idx="200">
                  <c:v>-2.791523513241438</c:v>
                </c:pt>
                <c:pt idx="201">
                  <c:v>-2.9949594990410255</c:v>
                </c:pt>
                <c:pt idx="202">
                  <c:v>-3.1982522964533566</c:v>
                </c:pt>
                <c:pt idx="203">
                  <c:v>-3.4014085502905385</c:v>
                </c:pt>
                <c:pt idx="204">
                  <c:v>-3.604434644349801</c:v>
                </c:pt>
                <c:pt idx="205">
                  <c:v>-3.8073367124491724</c:v>
                </c:pt>
                <c:pt idx="206">
                  <c:v>-4.0101206491365602</c:v>
                </c:pt>
                <c:pt idx="207">
                  <c:v>-4.2127921200797243</c:v>
                </c:pt>
                <c:pt idx="208">
                  <c:v>-4.4153565721414321</c:v>
                </c:pt>
                <c:pt idx="209">
                  <c:v>-4.6178192431468084</c:v>
                </c:pt>
                <c:pt idx="210">
                  <c:v>-4.8201851713504924</c:v>
                </c:pt>
                <c:pt idx="211">
                  <c:v>-5.0224592046101435</c:v>
                </c:pt>
                <c:pt idx="212">
                  <c:v>-5.2246460092742941</c:v>
                </c:pt>
                <c:pt idx="213">
                  <c:v>-5.4267500787930079</c:v>
                </c:pt>
                <c:pt idx="214">
                  <c:v>-5.6287757420587115</c:v>
                </c:pt>
                <c:pt idx="215">
                  <c:v>-5.8307271714860986</c:v>
                </c:pt>
                <c:pt idx="216">
                  <c:v>-6.0326083908398687</c:v>
                </c:pt>
                <c:pt idx="217">
                  <c:v>-6.234423282817481</c:v>
                </c:pt>
                <c:pt idx="218">
                  <c:v>-6.4361755963974225</c:v>
                </c:pt>
                <c:pt idx="219">
                  <c:v>-6.6378689539595106</c:v>
                </c:pt>
                <c:pt idx="220">
                  <c:v>-6.8395068581875869</c:v>
                </c:pt>
                <c:pt idx="221">
                  <c:v>-7.0410926987609077</c:v>
                </c:pt>
                <c:pt idx="222">
                  <c:v>-7.2426297588450916</c:v>
                </c:pt>
                <c:pt idx="223">
                  <c:v>-7.4441212213879302</c:v>
                </c:pt>
                <c:pt idx="224">
                  <c:v>-7.6455701752307803</c:v>
                </c:pt>
                <c:pt idx="225">
                  <c:v>-7.8469796210412657</c:v>
                </c:pt>
                <c:pt idx="226">
                  <c:v>-8.0483524770757722</c:v>
                </c:pt>
                <c:pt idx="227">
                  <c:v>-8.2496915847796419</c:v>
                </c:pt>
                <c:pt idx="228">
                  <c:v>-8.4509997142311732</c:v>
                </c:pt>
                <c:pt idx="229">
                  <c:v>-8.6522795694371606</c:v>
                </c:pt>
                <c:pt idx="230">
                  <c:v>-8.8535337934858838</c:v>
                </c:pt>
                <c:pt idx="231">
                  <c:v>-9.0547649735646445</c:v>
                </c:pt>
                <c:pt idx="232">
                  <c:v>-9.255975645847343</c:v>
                </c:pt>
                <c:pt idx="233">
                  <c:v>-9.4571683002574023</c:v>
                </c:pt>
                <c:pt idx="234">
                  <c:v>-9.6583453851130265</c:v>
                </c:pt>
                <c:pt idx="235">
                  <c:v>-9.8595093116567565</c:v>
                </c:pt>
                <c:pt idx="236">
                  <c:v>-10.06066245847698</c:v>
                </c:pt>
                <c:pt idx="237">
                  <c:v>-10.261807175823465</c:v>
                </c:pt>
                <c:pt idx="238">
                  <c:v>-10.462945789821115</c:v>
                </c:pt>
                <c:pt idx="239">
                  <c:v>-10.66408060658522</c:v>
                </c:pt>
                <c:pt idx="240">
                  <c:v>-10.865213916240759</c:v>
                </c:pt>
                <c:pt idx="241">
                  <c:v>-11.066347996847375</c:v>
                </c:pt>
                <c:pt idx="242">
                  <c:v>-11.267485118232621</c:v>
                </c:pt>
                <c:pt idx="243">
                  <c:v>-11.468627545732947</c:v>
                </c:pt>
                <c:pt idx="244">
                  <c:v>-11.669777543843782</c:v>
                </c:pt>
                <c:pt idx="245">
                  <c:v>-11.87093737977766</c:v>
                </c:pt>
                <c:pt idx="246">
                  <c:v>-12.072109326929612</c:v>
                </c:pt>
                <c:pt idx="247">
                  <c:v>-12.273295668247094</c:v>
                </c:pt>
                <c:pt idx="248">
                  <c:v>-12.474498699502391</c:v>
                </c:pt>
                <c:pt idx="249">
                  <c:v>-12.675720732463631</c:v>
                </c:pt>
                <c:pt idx="250">
                  <c:v>-12.87696409795922</c:v>
                </c:pt>
                <c:pt idx="251">
                  <c:v>-13.078231148830483</c:v>
                </c:pt>
                <c:pt idx="252">
                  <c:v>-13.279524262766136</c:v>
                </c:pt>
                <c:pt idx="253">
                  <c:v>-13.480845845009423</c:v>
                </c:pt>
                <c:pt idx="254">
                  <c:v>-13.682198330930714</c:v>
                </c:pt>
                <c:pt idx="255">
                  <c:v>-13.883584188453455</c:v>
                </c:pt>
                <c:pt idx="256">
                  <c:v>-14.085005920323248</c:v>
                </c:pt>
                <c:pt idx="257">
                  <c:v>-14.286466066206318</c:v>
                </c:pt>
                <c:pt idx="258">
                  <c:v>-14.487967204602604</c:v>
                </c:pt>
                <c:pt idx="259">
                  <c:v>-14.689511954558919</c:v>
                </c:pt>
                <c:pt idx="260">
                  <c:v>-14.89110297716203</c:v>
                </c:pt>
                <c:pt idx="261">
                  <c:v>-15.092742976795357</c:v>
                </c:pt>
                <c:pt idx="262">
                  <c:v>-15.294434702135931</c:v>
                </c:pt>
                <c:pt idx="263">
                  <c:v>-15.496180946869897</c:v>
                </c:pt>
                <c:pt idx="264">
                  <c:v>-15.697984550102202</c:v>
                </c:pt>
                <c:pt idx="265">
                  <c:v>-15.899848396432619</c:v>
                </c:pt>
                <c:pt idx="266">
                  <c:v>-16.10177541567155</c:v>
                </c:pt>
                <c:pt idx="267">
                  <c:v>-16.303768582164317</c:v>
                </c:pt>
                <c:pt idx="268">
                  <c:v>-16.505830913691337</c:v>
                </c:pt>
                <c:pt idx="269">
                  <c:v>-16.70796546991134</c:v>
                </c:pt>
                <c:pt idx="270">
                  <c:v>-16.910175350309935</c:v>
                </c:pt>
                <c:pt idx="271">
                  <c:v>-17.112463691617823</c:v>
                </c:pt>
                <c:pt idx="272">
                  <c:v>-17.314833664657204</c:v>
                </c:pt>
                <c:pt idx="273">
                  <c:v>-17.51728847057645</c:v>
                </c:pt>
                <c:pt idx="274">
                  <c:v>-17.719831336430168</c:v>
                </c:pt>
                <c:pt idx="275">
                  <c:v>-17.922465510060832</c:v>
                </c:pt>
                <c:pt idx="276">
                  <c:v>-18.125194254237368</c:v>
                </c:pt>
                <c:pt idx="277">
                  <c:v>-18.328020840004488</c:v>
                </c:pt>
                <c:pt idx="278">
                  <c:v>-18.530948539198121</c:v>
                </c:pt>
                <c:pt idx="279">
                  <c:v>-18.733980616079297</c:v>
                </c:pt>
                <c:pt idx="280">
                  <c:v>-18.937120318042417</c:v>
                </c:pt>
                <c:pt idx="281">
                  <c:v>-19.140370865352551</c:v>
                </c:pt>
                <c:pt idx="282">
                  <c:v>-19.343735439868595</c:v>
                </c:pt>
                <c:pt idx="283">
                  <c:v>-19.547217172711569</c:v>
                </c:pt>
                <c:pt idx="284">
                  <c:v>-19.750819130839883</c:v>
                </c:pt>
                <c:pt idx="285">
                  <c:v>-19.954544302496931</c:v>
                </c:pt>
                <c:pt idx="286">
                  <c:v>-20.158395581500773</c:v>
                </c:pt>
                <c:pt idx="287">
                  <c:v>-20.362375750351099</c:v>
                </c:pt>
                <c:pt idx="288">
                  <c:v>-20.566487462135736</c:v>
                </c:pt>
                <c:pt idx="289">
                  <c:v>-20.770733221223576</c:v>
                </c:pt>
                <c:pt idx="290">
                  <c:v>-20.975115362743288</c:v>
                </c:pt>
                <c:pt idx="291">
                  <c:v>-21.179636030852805</c:v>
                </c:pt>
                <c:pt idx="292">
                  <c:v>-21.384297155816277</c:v>
                </c:pt>
                <c:pt idx="293">
                  <c:v>-21.589100429918151</c:v>
                </c:pt>
                <c:pt idx="294">
                  <c:v>-21.794047282254976</c:v>
                </c:pt>
                <c:pt idx="295">
                  <c:v>-21.999138852459545</c:v>
                </c:pt>
                <c:pt idx="296">
                  <c:v>-22.20437596342655</c:v>
                </c:pt>
                <c:pt idx="297">
                  <c:v>-22.409759093125622</c:v>
                </c:pt>
                <c:pt idx="298">
                  <c:v>-22.615288345602202</c:v>
                </c:pt>
                <c:pt idx="299">
                  <c:v>-22.820963421284365</c:v>
                </c:pt>
                <c:pt idx="300">
                  <c:v>-23.026783586730243</c:v>
                </c:pt>
                <c:pt idx="301">
                  <c:v>-23.232747643969638</c:v>
                </c:pt>
                <c:pt idx="302">
                  <c:v>-23.438853899608553</c:v>
                </c:pt>
                <c:pt idx="303">
                  <c:v>-23.645100133883417</c:v>
                </c:pt>
                <c:pt idx="304">
                  <c:v>-23.851483569867867</c:v>
                </c:pt>
                <c:pt idx="305">
                  <c:v>-24.058000843049943</c:v>
                </c:pt>
                <c:pt idx="306">
                  <c:v>-24.264647971510076</c:v>
                </c:pt>
                <c:pt idx="307">
                  <c:v>-24.471420326944163</c:v>
                </c:pt>
                <c:pt idx="308">
                  <c:v>-24.678312606782789</c:v>
                </c:pt>
                <c:pt idx="309">
                  <c:v>-24.885318807666927</c:v>
                </c:pt>
                <c:pt idx="310">
                  <c:v>-25.092432200542156</c:v>
                </c:pt>
                <c:pt idx="311">
                  <c:v>-25.299645307635188</c:v>
                </c:pt>
                <c:pt idx="312">
                  <c:v>-25.506949881571927</c:v>
                </c:pt>
                <c:pt idx="313">
                  <c:v>-25.714336886889608</c:v>
                </c:pt>
                <c:pt idx="314">
                  <c:v>-25.921796484183229</c:v>
                </c:pt>
                <c:pt idx="315">
                  <c:v>-26.129318017109149</c:v>
                </c:pt>
                <c:pt idx="316">
                  <c:v>-26.336890002451277</c:v>
                </c:pt>
                <c:pt idx="317">
                  <c:v>-26.544500123424349</c:v>
                </c:pt>
                <c:pt idx="318">
                  <c:v>-26.75213522636529</c:v>
                </c:pt>
                <c:pt idx="319">
                  <c:v>-26.959781320923874</c:v>
                </c:pt>
                <c:pt idx="320">
                  <c:v>-27.167423583831209</c:v>
                </c:pt>
                <c:pt idx="321">
                  <c:v>-27.37504636627915</c:v>
                </c:pt>
                <c:pt idx="322">
                  <c:v>-27.582633204903605</c:v>
                </c:pt>
                <c:pt idx="323">
                  <c:v>-27.790166836314867</c:v>
                </c:pt>
                <c:pt idx="324">
                  <c:v>-27.997629215076035</c:v>
                </c:pt>
                <c:pt idx="325">
                  <c:v>-28.205001534977029</c:v>
                </c:pt>
                <c:pt idx="326">
                  <c:v>-28.412264253408885</c:v>
                </c:pt>
                <c:pt idx="327">
                  <c:v>-28.619397118595341</c:v>
                </c:pt>
                <c:pt idx="328">
                  <c:v>-28.826379199395223</c:v>
                </c:pt>
                <c:pt idx="329">
                  <c:v>-29.033188917350362</c:v>
                </c:pt>
                <c:pt idx="330">
                  <c:v>-29.239804080615464</c:v>
                </c:pt>
                <c:pt idx="331">
                  <c:v>-29.446201919377227</c:v>
                </c:pt>
                <c:pt idx="332">
                  <c:v>-29.652359122346166</c:v>
                </c:pt>
                <c:pt idx="333">
                  <c:v>-29.858251873882256</c:v>
                </c:pt>
                <c:pt idx="334">
                  <c:v>-30.063855891307306</c:v>
                </c:pt>
                <c:pt idx="335">
                  <c:v>-30.269146461951699</c:v>
                </c:pt>
                <c:pt idx="336">
                  <c:v>-30.474098479484777</c:v>
                </c:pt>
                <c:pt idx="337">
                  <c:v>-30.678686479091766</c:v>
                </c:pt>
                <c:pt idx="338">
                  <c:v>-30.88288467107477</c:v>
                </c:pt>
                <c:pt idx="339">
                  <c:v>-31.086666972483286</c:v>
                </c:pt>
                <c:pt idx="340">
                  <c:v>-31.290007036409413</c:v>
                </c:pt>
                <c:pt idx="341">
                  <c:v>-31.492878278621514</c:v>
                </c:pt>
                <c:pt idx="342">
                  <c:v>-31.695253901252745</c:v>
                </c:pt>
                <c:pt idx="343">
                  <c:v>-31.897106913307599</c:v>
                </c:pt>
                <c:pt idx="344">
                  <c:v>-32.098410147801282</c:v>
                </c:pt>
                <c:pt idx="345">
                  <c:v>-32.299136275400407</c:v>
                </c:pt>
                <c:pt idx="346">
                  <c:v>-32.49925781448654</c:v>
                </c:pt>
                <c:pt idx="347">
                  <c:v>-32.698747137622647</c:v>
                </c:pt>
                <c:pt idx="348">
                  <c:v>-32.897576474456386</c:v>
                </c:pt>
                <c:pt idx="349">
                  <c:v>-33.095717911149364</c:v>
                </c:pt>
                <c:pt idx="350">
                  <c:v>-33.293143386473332</c:v>
                </c:pt>
                <c:pt idx="351">
                  <c:v>-33.489824684765502</c:v>
                </c:pt>
                <c:pt idx="352">
                  <c:v>-33.685733425981439</c:v>
                </c:pt>
                <c:pt idx="353">
                  <c:v>-33.880841053125799</c:v>
                </c:pt>
                <c:pt idx="354">
                  <c:v>-34.075118817383803</c:v>
                </c:pt>
                <c:pt idx="355">
                  <c:v>-34.268537761304891</c:v>
                </c:pt>
                <c:pt idx="356">
                  <c:v>-34.461068700426672</c:v>
                </c:pt>
                <c:pt idx="357">
                  <c:v>-34.65268220374697</c:v>
                </c:pt>
                <c:pt idx="358">
                  <c:v>-34.843348573474657</c:v>
                </c:pt>
                <c:pt idx="359">
                  <c:v>-35.033037824504099</c:v>
                </c:pt>
                <c:pt idx="360">
                  <c:v>-35.221719664070875</c:v>
                </c:pt>
                <c:pt idx="361">
                  <c:v>-35.409363472049819</c:v>
                </c:pt>
                <c:pt idx="362">
                  <c:v>-35.595938282361622</c:v>
                </c:pt>
                <c:pt idx="363">
                  <c:v>-35.781412765948431</c:v>
                </c:pt>
                <c:pt idx="364">
                  <c:v>-35.96575521577661</c:v>
                </c:pt>
                <c:pt idx="365">
                  <c:v>-36.14893353431178</c:v>
                </c:pt>
                <c:pt idx="366">
                  <c:v>-36.330915223900398</c:v>
                </c:pt>
                <c:pt idx="367">
                  <c:v>-36.51166738047398</c:v>
                </c:pt>
                <c:pt idx="368">
                  <c:v>-36.691156690973429</c:v>
                </c:pt>
                <c:pt idx="369">
                  <c:v>-36.869349434866564</c:v>
                </c:pt>
                <c:pt idx="370">
                  <c:v>-37.046211490109606</c:v>
                </c:pt>
                <c:pt idx="371">
                  <c:v>-37.221708343870958</c:v>
                </c:pt>
                <c:pt idx="372">
                  <c:v>-37.395805108308046</c:v>
                </c:pt>
                <c:pt idx="373">
                  <c:v>-37.568466541652391</c:v>
                </c:pt>
                <c:pt idx="374">
                  <c:v>-37.739657074822496</c:v>
                </c:pt>
                <c:pt idx="375">
                  <c:v>-37.909340843744879</c:v>
                </c:pt>
                <c:pt idx="376">
                  <c:v>-38.077481727522986</c:v>
                </c:pt>
                <c:pt idx="377">
                  <c:v>-38.244043392548789</c:v>
                </c:pt>
                <c:pt idx="378">
                  <c:v>-38.408989342607086</c:v>
                </c:pt>
                <c:pt idx="379">
                  <c:v>-38.572282974972204</c:v>
                </c:pt>
                <c:pt idx="380">
                  <c:v>-38.733887642447641</c:v>
                </c:pt>
                <c:pt idx="381">
                  <c:v>-38.893766721245726</c:v>
                </c:pt>
                <c:pt idx="382">
                  <c:v>-39.051883684550205</c:v>
                </c:pt>
                <c:pt idx="383">
                  <c:v>-39.208202181548657</c:v>
                </c:pt>
                <c:pt idx="384">
                  <c:v>-39.362686121665718</c:v>
                </c:pt>
                <c:pt idx="385">
                  <c:v>-39.515299763668423</c:v>
                </c:pt>
                <c:pt idx="386">
                  <c:v>-39.666007809261366</c:v>
                </c:pt>
                <c:pt idx="387">
                  <c:v>-39.814775500727791</c:v>
                </c:pt>
                <c:pt idx="388">
                  <c:v>-39.961568722120845</c:v>
                </c:pt>
                <c:pt idx="389">
                  <c:v>-40.106354103453789</c:v>
                </c:pt>
                <c:pt idx="390">
                  <c:v>-40.249099127285859</c:v>
                </c:pt>
                <c:pt idx="391">
                  <c:v>-40.389772237056391</c:v>
                </c:pt>
                <c:pt idx="392">
                  <c:v>-40.528342946471383</c:v>
                </c:pt>
                <c:pt idx="393">
                  <c:v>-40.664781949214166</c:v>
                </c:pt>
                <c:pt idx="394">
                  <c:v>-40.799061228215351</c:v>
                </c:pt>
                <c:pt idx="395">
                  <c:v>-40.931154163695531</c:v>
                </c:pt>
                <c:pt idx="396">
                  <c:v>-41.061035639173312</c:v>
                </c:pt>
                <c:pt idx="397">
                  <c:v>-41.188682144625758</c:v>
                </c:pt>
                <c:pt idx="398">
                  <c:v>-41.314071875983593</c:v>
                </c:pt>
                <c:pt idx="399">
                  <c:v>-41.437184830157356</c:v>
                </c:pt>
                <c:pt idx="400">
                  <c:v>-41.558002894801653</c:v>
                </c:pt>
                <c:pt idx="401">
                  <c:v>-41.676509932061379</c:v>
                </c:pt>
                <c:pt idx="402">
                  <c:v>-41.792691855574311</c:v>
                </c:pt>
                <c:pt idx="403">
                  <c:v>-41.906536700053977</c:v>
                </c:pt>
                <c:pt idx="404">
                  <c:v>-42.018034682834148</c:v>
                </c:pt>
                <c:pt idx="405">
                  <c:v>-42.127178256818489</c:v>
                </c:pt>
                <c:pt idx="406">
                  <c:v>-42.233962154351318</c:v>
                </c:pt>
                <c:pt idx="407">
                  <c:v>-42.338383421606338</c:v>
                </c:pt>
                <c:pt idx="408">
                  <c:v>-42.440441443171963</c:v>
                </c:pt>
                <c:pt idx="409">
                  <c:v>-42.540137956602912</c:v>
                </c:pt>
                <c:pt idx="410">
                  <c:v>-42.637477056798978</c:v>
                </c:pt>
                <c:pt idx="411">
                  <c:v>-42.732465190165492</c:v>
                </c:pt>
                <c:pt idx="412">
                  <c:v>-42.825111138605401</c:v>
                </c:pt>
                <c:pt idx="413">
                  <c:v>-42.915425993485798</c:v>
                </c:pt>
                <c:pt idx="414">
                  <c:v>-43.003423119809696</c:v>
                </c:pt>
                <c:pt idx="415">
                  <c:v>-43.089118110916601</c:v>
                </c:pt>
                <c:pt idx="416">
                  <c:v>-43.172528734110998</c:v>
                </c:pt>
                <c:pt idx="417">
                  <c:v>-43.253674867695935</c:v>
                </c:pt>
                <c:pt idx="418">
                  <c:v>-43.332578429959447</c:v>
                </c:pt>
                <c:pt idx="419">
                  <c:v>-43.409263300716709</c:v>
                </c:pt>
                <c:pt idx="420">
                  <c:v>-43.48375523606714</c:v>
                </c:pt>
                <c:pt idx="421">
                  <c:v>-43.556081777063163</c:v>
                </c:pt>
                <c:pt idx="422">
                  <c:v>-43.626272153026363</c:v>
                </c:pt>
                <c:pt idx="423">
                  <c:v>-43.69435718025975</c:v>
                </c:pt>
                <c:pt idx="424">
                  <c:v>-43.760369156930935</c:v>
                </c:pt>
                <c:pt idx="425">
                  <c:v>-43.824341754892366</c:v>
                </c:pt>
                <c:pt idx="426">
                  <c:v>-43.886309909208734</c:v>
                </c:pt>
                <c:pt idx="427">
                  <c:v>-43.946309706145641</c:v>
                </c:pt>
                <c:pt idx="428">
                  <c:v>-44.004378270349392</c:v>
                </c:pt>
                <c:pt idx="429">
                  <c:v>-44.060553651925225</c:v>
                </c:pt>
                <c:pt idx="430">
                  <c:v>-44.114874714082532</c:v>
                </c:pt>
                <c:pt idx="431">
                  <c:v>-44.167381021977796</c:v>
                </c:pt>
                <c:pt idx="432">
                  <c:v>-44.218112733343126</c:v>
                </c:pt>
                <c:pt idx="433">
                  <c:v>-44.267110491437016</c:v>
                </c:pt>
                <c:pt idx="434">
                  <c:v>-44.314415320808926</c:v>
                </c:pt>
                <c:pt idx="435">
                  <c:v>-44.360068526313093</c:v>
                </c:pt>
                <c:pt idx="436">
                  <c:v>-44.404111595757065</c:v>
                </c:pt>
                <c:pt idx="437">
                  <c:v>-44.446586106515866</c:v>
                </c:pt>
                <c:pt idx="438">
                  <c:v>-44.487533636391767</c:v>
                </c:pt>
                <c:pt idx="439">
                  <c:v>-44.526995678948026</c:v>
                </c:pt>
                <c:pt idx="440">
                  <c:v>-44.565013563494666</c:v>
                </c:pt>
                <c:pt idx="441">
                  <c:v>-44.601628379858951</c:v>
                </c:pt>
                <c:pt idx="442">
                  <c:v>-44.636880908027933</c:v>
                </c:pt>
                <c:pt idx="443">
                  <c:v>-44.670811552707875</c:v>
                </c:pt>
                <c:pt idx="444">
                  <c:v>-44.703460282808429</c:v>
                </c:pt>
                <c:pt idx="445">
                  <c:v>-44.734866575823418</c:v>
                </c:pt>
                <c:pt idx="446">
                  <c:v>-44.765069367048454</c:v>
                </c:pt>
                <c:pt idx="447">
                  <c:v>-44.794107003546102</c:v>
                </c:pt>
                <c:pt idx="448">
                  <c:v>-44.822017202747197</c:v>
                </c:pt>
                <c:pt idx="449">
                  <c:v>-44.848837015552064</c:v>
                </c:pt>
                <c:pt idx="450">
                  <c:v>-44.874602793778109</c:v>
                </c:pt>
                <c:pt idx="451">
                  <c:v>-44.899350161787126</c:v>
                </c:pt>
                <c:pt idx="452">
                  <c:v>-44.92311399210756</c:v>
                </c:pt>
                <c:pt idx="453">
                  <c:v>-44.945928384865908</c:v>
                </c:pt>
                <c:pt idx="454">
                  <c:v>-44.967826650825266</c:v>
                </c:pt>
                <c:pt idx="455">
                  <c:v>-44.988841297829623</c:v>
                </c:pt>
                <c:pt idx="456">
                  <c:v>-45.009004020450917</c:v>
                </c:pt>
                <c:pt idx="457">
                  <c:v>-45.028345692629195</c:v>
                </c:pt>
                <c:pt idx="458">
                  <c:v>-45.046896363103748</c:v>
                </c:pt>
                <c:pt idx="459">
                  <c:v>-45.064685253431307</c:v>
                </c:pt>
                <c:pt idx="460">
                  <c:v>-45.081740758392677</c:v>
                </c:pt>
                <c:pt idx="461">
                  <c:v>-45.098090448594505</c:v>
                </c:pt>
                <c:pt idx="462">
                  <c:v>-45.113761075077676</c:v>
                </c:pt>
                <c:pt idx="463">
                  <c:v>-45.128778575749934</c:v>
                </c:pt>
                <c:pt idx="464">
                  <c:v>-45.143168083470471</c:v>
                </c:pt>
                <c:pt idx="465">
                  <c:v>-45.156953935616983</c:v>
                </c:pt>
                <c:pt idx="466">
                  <c:v>-45.170159684979211</c:v>
                </c:pt>
                <c:pt idx="467">
                  <c:v>-45.182808111826553</c:v>
                </c:pt>
                <c:pt idx="468">
                  <c:v>-45.194921237008998</c:v>
                </c:pt>
                <c:pt idx="469">
                  <c:v>-45.206520335956441</c:v>
                </c:pt>
                <c:pt idx="470">
                  <c:v>-45.217625953452021</c:v>
                </c:pt>
                <c:pt idx="471">
                  <c:v>-45.228257919062571</c:v>
                </c:pt>
                <c:pt idx="472">
                  <c:v>-45.238435363116658</c:v>
                </c:pt>
                <c:pt idx="473">
                  <c:v>-45.248176733130265</c:v>
                </c:pt>
                <c:pt idx="474">
                  <c:v>-45.257499810585216</c:v>
                </c:pt>
                <c:pt idx="475">
                  <c:v>-45.26642172797775</c:v>
                </c:pt>
                <c:pt idx="476">
                  <c:v>-45.274958986054195</c:v>
                </c:pt>
                <c:pt idx="477">
                  <c:v>-45.283127471166182</c:v>
                </c:pt>
                <c:pt idx="478">
                  <c:v>-45.290942472677585</c:v>
                </c:pt>
                <c:pt idx="479">
                  <c:v>-45.298418700364273</c:v>
                </c:pt>
                <c:pt idx="480">
                  <c:v>-45.30557030175413</c:v>
                </c:pt>
                <c:pt idx="481">
                  <c:v>-45.312410879358673</c:v>
                </c:pt>
                <c:pt idx="482">
                  <c:v>-45.318953507753804</c:v>
                </c:pt>
                <c:pt idx="483">
                  <c:v>-45.325210750471484</c:v>
                </c:pt>
                <c:pt idx="484">
                  <c:v>-45.331194676669384</c:v>
                </c:pt>
                <c:pt idx="485">
                  <c:v>-45.336916877548326</c:v>
                </c:pt>
                <c:pt idx="486">
                  <c:v>-45.342388482492623</c:v>
                </c:pt>
                <c:pt idx="487">
                  <c:v>-45.347620174911114</c:v>
                </c:pt>
                <c:pt idx="488">
                  <c:v>-45.352622207760945</c:v>
                </c:pt>
                <c:pt idx="489">
                  <c:v>-45.357404418737019</c:v>
                </c:pt>
                <c:pt idx="490">
                  <c:v>-45.361976245115223</c:v>
                </c:pt>
                <c:pt idx="491">
                  <c:v>-45.366346738239905</c:v>
                </c:pt>
                <c:pt idx="492">
                  <c:v>-45.370524577645909</c:v>
                </c:pt>
                <c:pt idx="493">
                  <c:v>-45.374518084808997</c:v>
                </c:pt>
                <c:pt idx="494">
                  <c:v>-45.378335236524151</c:v>
                </c:pt>
                <c:pt idx="495">
                  <c:v>-45.381983677903975</c:v>
                </c:pt>
                <c:pt idx="496">
                  <c:v>-45.385470735000752</c:v>
                </c:pt>
                <c:pt idx="497">
                  <c:v>-45.38880342705064</c:v>
                </c:pt>
                <c:pt idx="498">
                  <c:v>-45.391988478341958</c:v>
                </c:pt>
                <c:pt idx="499">
                  <c:v>-45.395032329711086</c:v>
                </c:pt>
                <c:pt idx="500">
                  <c:v>-45.39794114966881</c:v>
                </c:pt>
                <c:pt idx="501">
                  <c:v>-45.400720845162581</c:v>
                </c:pt>
                <c:pt idx="502">
                  <c:v>-45.403377071978632</c:v>
                </c:pt>
                <c:pt idx="503">
                  <c:v>-45.405915244792403</c:v>
                </c:pt>
                <c:pt idx="504">
                  <c:v>-45.408340546870605</c:v>
                </c:pt>
                <c:pt idx="505">
                  <c:v>-45.410657939434607</c:v>
                </c:pt>
                <c:pt idx="506">
                  <c:v>-45.412872170690484</c:v>
                </c:pt>
                <c:pt idx="507">
                  <c:v>-45.414987784534937</c:v>
                </c:pt>
                <c:pt idx="508">
                  <c:v>-45.417009128942958</c:v>
                </c:pt>
                <c:pt idx="509">
                  <c:v>-45.418940364047764</c:v>
                </c:pt>
                <c:pt idx="510">
                  <c:v>-45.420785469919764</c:v>
                </c:pt>
                <c:pt idx="511">
                  <c:v>-45.422548254051414</c:v>
                </c:pt>
                <c:pt idx="512">
                  <c:v>-45.424232358560232</c:v>
                </c:pt>
                <c:pt idx="513">
                  <c:v>-45.425841267113903</c:v>
                </c:pt>
                <c:pt idx="514">
                  <c:v>-45.427378311589386</c:v>
                </c:pt>
                <c:pt idx="515">
                  <c:v>-45.428846678472219</c:v>
                </c:pt>
                <c:pt idx="516">
                  <c:v>-45.430249415004845</c:v>
                </c:pt>
                <c:pt idx="517">
                  <c:v>-45.43158943509156</c:v>
                </c:pt>
                <c:pt idx="518">
                  <c:v>-45.432869524970805</c:v>
                </c:pt>
                <c:pt idx="519">
                  <c:v>-45.434092348657806</c:v>
                </c:pt>
                <c:pt idx="520">
                  <c:v>-45.435260453170876</c:v>
                </c:pt>
                <c:pt idx="521">
                  <c:v>-45.436376273543729</c:v>
                </c:pt>
                <c:pt idx="522">
                  <c:v>-45.43744213763668</c:v>
                </c:pt>
                <c:pt idx="523">
                  <c:v>-45.438460270748863</c:v>
                </c:pt>
                <c:pt idx="524">
                  <c:v>-45.439432800042226</c:v>
                </c:pt>
                <c:pt idx="525">
                  <c:v>-45.440361758782799</c:v>
                </c:pt>
                <c:pt idx="526">
                  <c:v>-45.441249090406608</c:v>
                </c:pt>
                <c:pt idx="527">
                  <c:v>-45.442096652415728</c:v>
                </c:pt>
                <c:pt idx="528">
                  <c:v>-45.442906220112448</c:v>
                </c:pt>
                <c:pt idx="529">
                  <c:v>-45.44367949017655</c:v>
                </c:pt>
                <c:pt idx="530">
                  <c:v>-45.444418084092391</c:v>
                </c:pt>
                <c:pt idx="531">
                  <c:v>-45.445123551431038</c:v>
                </c:pt>
                <c:pt idx="532">
                  <c:v>-45.445797372994562</c:v>
                </c:pt>
                <c:pt idx="533">
                  <c:v>-45.446440963825403</c:v>
                </c:pt>
                <c:pt idx="534">
                  <c:v>-45.447055676089036</c:v>
                </c:pt>
                <c:pt idx="535">
                  <c:v>-45.447642801832913</c:v>
                </c:pt>
                <c:pt idx="536">
                  <c:v>-45.448203575627574</c:v>
                </c:pt>
                <c:pt idx="537">
                  <c:v>-45.448739177094552</c:v>
                </c:pt>
                <c:pt idx="538">
                  <c:v>-45.449250733325414</c:v>
                </c:pt>
                <c:pt idx="539">
                  <c:v>-45.449739321197278</c:v>
                </c:pt>
                <c:pt idx="540">
                  <c:v>-45.450205969587721</c:v>
                </c:pt>
                <c:pt idx="541">
                  <c:v>-45.450651661493978</c:v>
                </c:pt>
              </c:numCache>
            </c:numRef>
          </c:yVal>
          <c:smooth val="1"/>
          <c:extLst>
            <c:ext xmlns:c16="http://schemas.microsoft.com/office/drawing/2014/chart" uri="{C3380CC4-5D6E-409C-BE32-E72D297353CC}">
              <c16:uniqueId val="{00000000-F11A-4C29-9835-786B9CEC5C6A}"/>
            </c:ext>
          </c:extLst>
        </c:ser>
        <c:dLbls>
          <c:showLegendKey val="0"/>
          <c:showVal val="0"/>
          <c:showCatName val="0"/>
          <c:showSerName val="0"/>
          <c:showPercent val="0"/>
          <c:showBubbleSize val="0"/>
        </c:dLbls>
        <c:axId val="555344640"/>
        <c:axId val="555346560"/>
      </c:scatterChart>
      <c:scatterChart>
        <c:scatterStyle val="smoothMarker"/>
        <c:varyColors val="0"/>
        <c:ser>
          <c:idx val="1"/>
          <c:order val="1"/>
          <c:spPr>
            <a:ln w="38100">
              <a:solidFill>
                <a:schemeClr val="tx1">
                  <a:lumMod val="95000"/>
                  <a:lumOff val="5000"/>
                </a:schemeClr>
              </a:solidFill>
              <a:prstDash val="sysDash"/>
            </a:ln>
          </c:spPr>
          <c:marker>
            <c:symbol val="none"/>
          </c:marker>
          <c:xVal>
            <c:numRef>
              <c:f>Loop_Modeling!$O$19:$O$560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Loop_Modeling!$BK$19:$BK$560</c:f>
              <c:numCache>
                <c:formatCode>General</c:formatCode>
                <c:ptCount val="542"/>
                <c:pt idx="0">
                  <c:v>67.906190720527007</c:v>
                </c:pt>
                <c:pt idx="1">
                  <c:v>67.476390640785965</c:v>
                </c:pt>
                <c:pt idx="2">
                  <c:v>67.041608617355209</c:v>
                </c:pt>
                <c:pt idx="3">
                  <c:v>66.601985522066059</c:v>
                </c:pt>
                <c:pt idx="4">
                  <c:v>66.157674668072374</c:v>
                </c:pt>
                <c:pt idx="5">
                  <c:v>65.708842059952175</c:v>
                </c:pt>
                <c:pt idx="6">
                  <c:v>65.255666611313345</c:v>
                </c:pt>
                <c:pt idx="7">
                  <c:v>64.798340326700284</c:v>
                </c:pt>
                <c:pt idx="8">
                  <c:v>64.337068444657987</c:v>
                </c:pt>
                <c:pt idx="9">
                  <c:v>63.872069538904071</c:v>
                </c:pt>
                <c:pt idx="10">
                  <c:v>63.403575574694734</c:v>
                </c:pt>
                <c:pt idx="11">
                  <c:v>62.931831917650804</c:v>
                </c:pt>
                <c:pt idx="12">
                  <c:v>62.457097292525603</c:v>
                </c:pt>
                <c:pt idx="13">
                  <c:v>61.979643689666872</c:v>
                </c:pt>
                <c:pt idx="14">
                  <c:v>61.499756217226853</c:v>
                </c:pt>
                <c:pt idx="15">
                  <c:v>61.017732897520624</c:v>
                </c:pt>
                <c:pt idx="16">
                  <c:v>60.533884406325647</c:v>
                </c:pt>
                <c:pt idx="17">
                  <c:v>60.04853375433165</c:v>
                </c:pt>
                <c:pt idx="18">
                  <c:v>59.562015910410672</c:v>
                </c:pt>
                <c:pt idx="19">
                  <c:v>59.074677366849592</c:v>
                </c:pt>
                <c:pt idx="20">
                  <c:v>58.586875647200884</c:v>
                </c:pt>
                <c:pt idx="21">
                  <c:v>58.098978757913969</c:v>
                </c:pt>
                <c:pt idx="22">
                  <c:v>57.61136458544582</c:v>
                </c:pt>
                <c:pt idx="23">
                  <c:v>57.124420241055475</c:v>
                </c:pt>
                <c:pt idx="24">
                  <c:v>56.63854135602886</c:v>
                </c:pt>
                <c:pt idx="25">
                  <c:v>56.154131330550463</c:v>
                </c:pt>
                <c:pt idx="26">
                  <c:v>55.671600539936428</c:v>
                </c:pt>
                <c:pt idx="27">
                  <c:v>55.19136550236523</c:v>
                </c:pt>
                <c:pt idx="28">
                  <c:v>54.713848012655923</c:v>
                </c:pt>
                <c:pt idx="29">
                  <c:v>54.239474246979448</c:v>
                </c:pt>
                <c:pt idx="30">
                  <c:v>53.768673843692909</c:v>
                </c:pt>
                <c:pt idx="31">
                  <c:v>53.301878965718203</c:v>
                </c:pt>
                <c:pt idx="32">
                  <c:v>52.839523350049646</c:v>
                </c:pt>
                <c:pt idx="33">
                  <c:v>52.382041350079952</c:v>
                </c:pt>
                <c:pt idx="34">
                  <c:v>51.929866976455187</c:v>
                </c:pt>
                <c:pt idx="35">
                  <c:v>51.483432942137327</c:v>
                </c:pt>
                <c:pt idx="36">
                  <c:v>51.043169717216102</c:v>
                </c:pt>
                <c:pt idx="37">
                  <c:v>50.60950459885953</c:v>
                </c:pt>
                <c:pt idx="38">
                  <c:v>50.182860801508518</c:v>
                </c:pt>
                <c:pt idx="39">
                  <c:v>49.763656572137116</c:v>
                </c:pt>
                <c:pt idx="40">
                  <c:v>49.35230433502479</c:v>
                </c:pt>
                <c:pt idx="41">
                  <c:v>48.949209870064429</c:v>
                </c:pt>
                <c:pt idx="42">
                  <c:v>48.554771528193555</c:v>
                </c:pt>
                <c:pt idx="43">
                  <c:v>48.169379487027015</c:v>
                </c:pt>
                <c:pt idx="44">
                  <c:v>47.793415049273371</c:v>
                </c:pt>
                <c:pt idx="45">
                  <c:v>47.42724998597528</c:v>
                </c:pt>
                <c:pt idx="46">
                  <c:v>47.071245926087336</c:v>
                </c:pt>
                <c:pt idx="47">
                  <c:v>46.725753793359694</c:v>
                </c:pt>
                <c:pt idx="48">
                  <c:v>46.391113290983554</c:v>
                </c:pt>
                <c:pt idx="49">
                  <c:v>46.067652433922419</c:v>
                </c:pt>
                <c:pt idx="50">
                  <c:v>45.755687128393319</c:v>
                </c:pt>
                <c:pt idx="51">
                  <c:v>45.455520797483132</c:v>
                </c:pt>
                <c:pt idx="52">
                  <c:v>45.16744405147638</c:v>
                </c:pt>
                <c:pt idx="53">
                  <c:v>44.891734401085586</c:v>
                </c:pt>
                <c:pt idx="54">
                  <c:v>44.628656011434565</c:v>
                </c:pt>
                <c:pt idx="55">
                  <c:v>44.37845949435448</c:v>
                </c:pt>
                <c:pt idx="56">
                  <c:v>44.141381736307736</c:v>
                </c:pt>
                <c:pt idx="57">
                  <c:v>43.917645759055972</c:v>
                </c:pt>
                <c:pt idx="58">
                  <c:v>43.707460610043789</c:v>
                </c:pt>
                <c:pt idx="59">
                  <c:v>43.511021279368961</c:v>
                </c:pt>
                <c:pt idx="60">
                  <c:v>43.328508640159789</c:v>
                </c:pt>
                <c:pt idx="61">
                  <c:v>43.160089409175171</c:v>
                </c:pt>
                <c:pt idx="62">
                  <c:v>43.005916124478929</c:v>
                </c:pt>
                <c:pt idx="63">
                  <c:v>42.866127137123222</c:v>
                </c:pt>
                <c:pt idx="64">
                  <c:v>42.740846613891762</c:v>
                </c:pt>
                <c:pt idx="65">
                  <c:v>42.630184548305827</c:v>
                </c:pt>
                <c:pt idx="66">
                  <c:v>42.534236777289472</c:v>
                </c:pt>
                <c:pt idx="67">
                  <c:v>42.453085001095083</c:v>
                </c:pt>
                <c:pt idx="68">
                  <c:v>42.386796804341259</c:v>
                </c:pt>
                <c:pt idx="69">
                  <c:v>42.335425676278071</c:v>
                </c:pt>
                <c:pt idx="70">
                  <c:v>42.299011028667145</c:v>
                </c:pt>
                <c:pt idx="71">
                  <c:v>42.277578209985748</c:v>
                </c:pt>
                <c:pt idx="72">
                  <c:v>42.271138514945847</c:v>
                </c:pt>
                <c:pt idx="73">
                  <c:v>42.279689188677047</c:v>
                </c:pt>
                <c:pt idx="74">
                  <c:v>42.303213425211517</c:v>
                </c:pt>
                <c:pt idx="75">
                  <c:v>42.341680360276349</c:v>
                </c:pt>
                <c:pt idx="76">
                  <c:v>42.395045058703701</c:v>
                </c:pt>
                <c:pt idx="77">
                  <c:v>42.46324849711268</c:v>
                </c:pt>
                <c:pt idx="78">
                  <c:v>42.546217542833084</c:v>
                </c:pt>
                <c:pt idx="79">
                  <c:v>42.643864930353061</c:v>
                </c:pt>
                <c:pt idx="80">
                  <c:v>42.756089236881266</c:v>
                </c:pt>
                <c:pt idx="81">
                  <c:v>42.882774858883778</c:v>
                </c:pt>
                <c:pt idx="82">
                  <c:v>43.023791991738143</c:v>
                </c:pt>
                <c:pt idx="83">
                  <c:v>43.178996614877441</c:v>
                </c:pt>
                <c:pt idx="84">
                  <c:v>43.348230485020188</c:v>
                </c:pt>
                <c:pt idx="85">
                  <c:v>43.531321140268581</c:v>
                </c:pt>
                <c:pt idx="86">
                  <c:v>43.728081918015093</c:v>
                </c:pt>
                <c:pt idx="87">
                  <c:v>43.93831198971251</c:v>
                </c:pt>
                <c:pt idx="88">
                  <c:v>44.161796415656042</c:v>
                </c:pt>
                <c:pt idx="89">
                  <c:v>44.398306222951696</c:v>
                </c:pt>
                <c:pt idx="90">
                  <c:v>44.647598509853843</c:v>
                </c:pt>
                <c:pt idx="91">
                  <c:v>44.909416579606592</c:v>
                </c:pt>
                <c:pt idx="92">
                  <c:v>45.183490106814531</c:v>
                </c:pt>
                <c:pt idx="93">
                  <c:v>45.469535339244352</c:v>
                </c:pt>
                <c:pt idx="94">
                  <c:v>45.767255337744949</c:v>
                </c:pt>
                <c:pt idx="95">
                  <c:v>46.076340256748765</c:v>
                </c:pt>
                <c:pt idx="96">
                  <c:v>46.39646766751229</c:v>
                </c:pt>
                <c:pt idx="97">
                  <c:v>46.727302925928733</c:v>
                </c:pt>
                <c:pt idx="98">
                  <c:v>47.068499586363068</c:v>
                </c:pt>
                <c:pt idx="99">
                  <c:v>47.419699862534607</c:v>
                </c:pt>
                <c:pt idx="100">
                  <c:v>47.780535136027304</c:v>
                </c:pt>
                <c:pt idx="101">
                  <c:v>48.150626512517093</c:v>
                </c:pt>
                <c:pt idx="102">
                  <c:v>48.52958542529484</c:v>
                </c:pt>
                <c:pt idx="103">
                  <c:v>48.91701428514807</c:v>
                </c:pt>
                <c:pt idx="104">
                  <c:v>49.312507175114611</c:v>
                </c:pt>
                <c:pt idx="105">
                  <c:v>49.715650588099734</c:v>
                </c:pt>
                <c:pt idx="106">
                  <c:v>50.126024204802597</c:v>
                </c:pt>
                <c:pt idx="107">
                  <c:v>50.543201708901762</c:v>
                </c:pt>
                <c:pt idx="108">
                  <c:v>50.966751635940305</c:v>
                </c:pt>
                <c:pt idx="109">
                  <c:v>51.396238251909011</c:v>
                </c:pt>
                <c:pt idx="110">
                  <c:v>51.831222457098399</c:v>
                </c:pt>
                <c:pt idx="111">
                  <c:v>52.271262710429326</c:v>
                </c:pt>
                <c:pt idx="112">
                  <c:v>52.715915969151716</c:v>
                </c:pt>
                <c:pt idx="113">
                  <c:v>53.164738638551995</c:v>
                </c:pt>
                <c:pt idx="114">
                  <c:v>53.617287526120222</c:v>
                </c:pt>
                <c:pt idx="115">
                  <c:v>54.073120794508448</c:v>
                </c:pt>
                <c:pt idx="116">
                  <c:v>54.531798907562624</c:v>
                </c:pt>
                <c:pt idx="117">
                  <c:v>54.992885563739989</c:v>
                </c:pt>
                <c:pt idx="118">
                  <c:v>55.455948611305196</c:v>
                </c:pt>
                <c:pt idx="119">
                  <c:v>55.920560939880801</c:v>
                </c:pt>
                <c:pt idx="120">
                  <c:v>56.38630134313626</c:v>
                </c:pt>
                <c:pt idx="121">
                  <c:v>56.852755347711671</c:v>
                </c:pt>
                <c:pt idx="122">
                  <c:v>57.319516003797368</c:v>
                </c:pt>
                <c:pt idx="123">
                  <c:v>57.786184633209984</c:v>
                </c:pt>
                <c:pt idx="124">
                  <c:v>58.252371531217399</c:v>
                </c:pt>
                <c:pt idx="125">
                  <c:v>58.71769661885957</c:v>
                </c:pt>
                <c:pt idx="126">
                  <c:v>59.181790042998628</c:v>
                </c:pt>
                <c:pt idx="127">
                  <c:v>59.64429272184146</c:v>
                </c:pt>
                <c:pt idx="128">
                  <c:v>60.104856834216307</c:v>
                </c:pt>
                <c:pt idx="129">
                  <c:v>60.563146251398571</c:v>
                </c:pt>
                <c:pt idx="130">
                  <c:v>61.01883691079852</c:v>
                </c:pt>
                <c:pt idx="131">
                  <c:v>61.471617131337645</c:v>
                </c:pt>
                <c:pt idx="132">
                  <c:v>61.921187870806449</c:v>
                </c:pt>
                <c:pt idx="133">
                  <c:v>62.367262925972241</c:v>
                </c:pt>
                <c:pt idx="134">
                  <c:v>62.809569076610643</c:v>
                </c:pt>
                <c:pt idx="135">
                  <c:v>63.247846175038994</c:v>
                </c:pt>
                <c:pt idx="136">
                  <c:v>63.681847183069927</c:v>
                </c:pt>
                <c:pt idx="137">
                  <c:v>64.111338158616391</c:v>
                </c:pt>
                <c:pt idx="138">
                  <c:v>64.536098194444747</c:v>
                </c:pt>
                <c:pt idx="139">
                  <c:v>64.955919311798127</c:v>
                </c:pt>
                <c:pt idx="140">
                  <c:v>65.370606311784741</c:v>
                </c:pt>
                <c:pt idx="141">
                  <c:v>65.779976587577323</c:v>
                </c:pt>
                <c:pt idx="142">
                  <c:v>66.183859900550999</c:v>
                </c:pt>
                <c:pt idx="143">
                  <c:v>66.582098123562034</c:v>
                </c:pt>
                <c:pt idx="144">
                  <c:v>66.974544954581802</c:v>
                </c:pt>
                <c:pt idx="145">
                  <c:v>67.361065603895128</c:v>
                </c:pt>
                <c:pt idx="146">
                  <c:v>67.741536458032584</c:v>
                </c:pt>
                <c:pt idx="147">
                  <c:v>68.115844723534892</c:v>
                </c:pt>
                <c:pt idx="148">
                  <c:v>68.483888053562353</c:v>
                </c:pt>
                <c:pt idx="149">
                  <c:v>68.845574160247708</c:v>
                </c:pt>
                <c:pt idx="150">
                  <c:v>69.200820415561935</c:v>
                </c:pt>
                <c:pt idx="151">
                  <c:v>69.549553443324854</c:v>
                </c:pt>
                <c:pt idx="152">
                  <c:v>69.891708704833619</c:v>
                </c:pt>
                <c:pt idx="153">
                  <c:v>70.227230080428129</c:v>
                </c:pt>
                <c:pt idx="154">
                  <c:v>70.556069449138761</c:v>
                </c:pt>
                <c:pt idx="155">
                  <c:v>70.878186268400228</c:v>
                </c:pt>
                <c:pt idx="156">
                  <c:v>71.193547155639678</c:v>
                </c:pt>
                <c:pt idx="157">
                  <c:v>71.502125473380559</c:v>
                </c:pt>
                <c:pt idx="158">
                  <c:v>71.803900919341359</c:v>
                </c:pt>
                <c:pt idx="159">
                  <c:v>72.098859122837865</c:v>
                </c:pt>
                <c:pt idx="160">
                  <c:v>72.386991248652734</c:v>
                </c:pt>
                <c:pt idx="161">
                  <c:v>72.668293609376391</c:v>
                </c:pt>
                <c:pt idx="162">
                  <c:v>72.942767287088571</c:v>
                </c:pt>
                <c:pt idx="163">
                  <c:v>73.210417765110549</c:v>
                </c:pt>
                <c:pt idx="164">
                  <c:v>73.471254570433246</c:v>
                </c:pt>
                <c:pt idx="165">
                  <c:v>73.72529092731024</c:v>
                </c:pt>
                <c:pt idx="166">
                  <c:v>73.972543422392732</c:v>
                </c:pt>
                <c:pt idx="167">
                  <c:v>74.213031681687511</c:v>
                </c:pt>
                <c:pt idx="168">
                  <c:v>74.446778059520497</c:v>
                </c:pt>
                <c:pt idx="169">
                  <c:v>74.673807339614171</c:v>
                </c:pt>
                <c:pt idx="170">
                  <c:v>74.894146448303019</c:v>
                </c:pt>
                <c:pt idx="171">
                  <c:v>75.107824179851477</c:v>
                </c:pt>
                <c:pt idx="172">
                  <c:v>75.314870933772795</c:v>
                </c:pt>
                <c:pt idx="173">
                  <c:v>75.515318464000501</c:v>
                </c:pt>
                <c:pt idx="174">
                  <c:v>75.709199639711613</c:v>
                </c:pt>
                <c:pt idx="175">
                  <c:v>75.896548217571095</c:v>
                </c:pt>
                <c:pt idx="176">
                  <c:v>76.077398625118377</c:v>
                </c:pt>
                <c:pt idx="177">
                  <c:v>76.25178575500621</c:v>
                </c:pt>
                <c:pt idx="178">
                  <c:v>76.419744769762701</c:v>
                </c:pt>
                <c:pt idx="179">
                  <c:v>76.581310916740449</c:v>
                </c:pt>
                <c:pt idx="180">
                  <c:v>76.73651935289368</c:v>
                </c:pt>
                <c:pt idx="181">
                  <c:v>76.88540497901981</c:v>
                </c:pt>
                <c:pt idx="182">
                  <c:v>77.028002283089805</c:v>
                </c:pt>
                <c:pt idx="183">
                  <c:v>77.164345192288764</c:v>
                </c:pt>
                <c:pt idx="184">
                  <c:v>77.294466933389984</c:v>
                </c:pt>
                <c:pt idx="185">
                  <c:v>77.418399901076668</c:v>
                </c:pt>
                <c:pt idx="186">
                  <c:v>77.536175533842638</c:v>
                </c:pt>
                <c:pt idx="187">
                  <c:v>77.647824197091495</c:v>
                </c:pt>
                <c:pt idx="188">
                  <c:v>77.753375073076072</c:v>
                </c:pt>
                <c:pt idx="189">
                  <c:v>77.852856057312906</c:v>
                </c:pt>
                <c:pt idx="190">
                  <c:v>77.946293661126745</c:v>
                </c:pt>
                <c:pt idx="191">
                  <c:v>78.033712919982108</c:v>
                </c:pt>
                <c:pt idx="192">
                  <c:v>78.115137307271652</c:v>
                </c:pt>
                <c:pt idx="193">
                  <c:v>78.190588653245186</c:v>
                </c:pt>
                <c:pt idx="194">
                  <c:v>78.260087068768243</c:v>
                </c:pt>
                <c:pt idx="195">
                  <c:v>78.323650873617183</c:v>
                </c:pt>
                <c:pt idx="196">
                  <c:v>78.381296529027509</c:v>
                </c:pt>
                <c:pt idx="197">
                  <c:v>78.433038574221442</c:v>
                </c:pt>
                <c:pt idx="198">
                  <c:v>78.47888956666155</c:v>
                </c:pt>
                <c:pt idx="199">
                  <c:v>78.518860025778821</c:v>
                </c:pt>
                <c:pt idx="200">
                  <c:v>78.552958379946261</c:v>
                </c:pt>
                <c:pt idx="201">
                  <c:v>78.581190916474796</c:v>
                </c:pt>
                <c:pt idx="202">
                  <c:v>78.603561734423593</c:v>
                </c:pt>
                <c:pt idx="203">
                  <c:v>78.620072700028771</c:v>
                </c:pt>
                <c:pt idx="204">
                  <c:v>78.630723404566325</c:v>
                </c:pt>
                <c:pt idx="205">
                  <c:v>78.635511124476992</c:v>
                </c:pt>
                <c:pt idx="206">
                  <c:v>78.634430783592251</c:v>
                </c:pt>
                <c:pt idx="207">
                  <c:v>78.627474917314217</c:v>
                </c:pt>
                <c:pt idx="208">
                  <c:v>78.614633638609746</c:v>
                </c:pt>
                <c:pt idx="209">
                  <c:v>78.595894605694824</c:v>
                </c:pt>
                <c:pt idx="210">
                  <c:v>78.571242991292451</c:v>
                </c:pt>
                <c:pt idx="211">
                  <c:v>78.540661453360343</c:v>
                </c:pt>
                <c:pt idx="212">
                  <c:v>78.504130107195252</c:v>
                </c:pt>
                <c:pt idx="213">
                  <c:v>78.461626498831052</c:v>
                </c:pt>
                <c:pt idx="214">
                  <c:v>78.413125579656665</c:v>
                </c:pt>
                <c:pt idx="215">
                  <c:v>78.358599682192747</c:v>
                </c:pt>
                <c:pt idx="216">
                  <c:v>78.298018496976752</c:v>
                </c:pt>
                <c:pt idx="217">
                  <c:v>78.231349050511</c:v>
                </c:pt>
                <c:pt idx="218">
                  <c:v>78.158555684245812</c:v>
                </c:pt>
                <c:pt idx="219">
                  <c:v>78.07960003457481</c:v>
                </c:pt>
                <c:pt idx="220">
                  <c:v>77.994441013830524</c:v>
                </c:pt>
                <c:pt idx="221">
                  <c:v>77.903034792282213</c:v>
                </c:pt>
                <c:pt idx="222">
                  <c:v>77.805334781141042</c:v>
                </c:pt>
                <c:pt idx="223">
                  <c:v>77.701291616597544</c:v>
                </c:pt>
                <c:pt idx="224">
                  <c:v>77.590853144917077</c:v>
                </c:pt>
                <c:pt idx="225">
                  <c:v>77.473964408637613</c:v>
                </c:pt>
                <c:pt idx="226">
                  <c:v>77.35056763392096</c:v>
                </c:pt>
                <c:pt idx="227">
                  <c:v>77.220602219119627</c:v>
                </c:pt>
                <c:pt idx="228">
                  <c:v>77.084004724636003</c:v>
                </c:pt>
                <c:pt idx="229">
                  <c:v>76.940708864157656</c:v>
                </c:pt>
                <c:pt idx="230">
                  <c:v>76.790645497370008</c:v>
                </c:pt>
                <c:pt idx="231">
                  <c:v>76.633742624254126</c:v>
                </c:pt>
                <c:pt idx="232">
                  <c:v>76.469925381095607</c:v>
                </c:pt>
                <c:pt idx="233">
                  <c:v>76.299116038338752</c:v>
                </c:pt>
                <c:pt idx="234">
                  <c:v>76.121234000439102</c:v>
                </c:pt>
                <c:pt idx="235">
                  <c:v>75.936195807875947</c:v>
                </c:pt>
                <c:pt idx="236">
                  <c:v>75.743915141504814</c:v>
                </c:pt>
                <c:pt idx="237">
                  <c:v>75.544302829444916</c:v>
                </c:pt>
                <c:pt idx="238">
                  <c:v>75.337266856708396</c:v>
                </c:pt>
                <c:pt idx="239">
                  <c:v>75.122712377799971</c:v>
                </c:pt>
                <c:pt idx="240">
                  <c:v>74.900541732527856</c:v>
                </c:pt>
                <c:pt idx="241">
                  <c:v>74.670654465285736</c:v>
                </c:pt>
                <c:pt idx="242">
                  <c:v>74.432947348084241</c:v>
                </c:pt>
                <c:pt idx="243">
                  <c:v>74.187314407627724</c:v>
                </c:pt>
                <c:pt idx="244">
                  <c:v>73.933646956752042</c:v>
                </c:pt>
                <c:pt idx="245">
                  <c:v>73.671833630557003</c:v>
                </c:pt>
                <c:pt idx="246">
                  <c:v>73.401760427591924</c:v>
                </c:pt>
                <c:pt idx="247">
                  <c:v>73.12331075646658</c:v>
                </c:pt>
                <c:pt idx="248">
                  <c:v>72.836365488288209</c:v>
                </c:pt>
                <c:pt idx="249">
                  <c:v>72.540803015342448</c:v>
                </c:pt>
                <c:pt idx="250">
                  <c:v>72.23649931645862</c:v>
                </c:pt>
                <c:pt idx="251">
                  <c:v>71.923328029526473</c:v>
                </c:pt>
                <c:pt idx="252">
                  <c:v>71.60116053164819</c:v>
                </c:pt>
                <c:pt idx="253">
                  <c:v>71.269866027436848</c:v>
                </c:pt>
                <c:pt idx="254">
                  <c:v>70.929311645993366</c:v>
                </c:pt>
                <c:pt idx="255">
                  <c:v>70.579362547118876</c:v>
                </c:pt>
                <c:pt idx="256">
                  <c:v>70.219882037340668</c:v>
                </c:pt>
                <c:pt idx="257">
                  <c:v>69.850731696349683</c:v>
                </c:pt>
                <c:pt idx="258">
                  <c:v>69.47177151447508</c:v>
                </c:pt>
                <c:pt idx="259">
                  <c:v>69.082860041837037</c:v>
                </c:pt>
                <c:pt idx="260">
                  <c:v>68.683854549839907</c:v>
                </c:pt>
                <c:pt idx="261">
                  <c:v>68.274611205687151</c:v>
                </c:pt>
                <c:pt idx="262">
                  <c:v>67.854985260612679</c:v>
                </c:pt>
                <c:pt idx="263">
                  <c:v>67.424831252542077</c:v>
                </c:pt>
                <c:pt idx="264">
                  <c:v>66.984003223904594</c:v>
                </c:pt>
                <c:pt idx="265">
                  <c:v>66.532354955328003</c:v>
                </c:pt>
                <c:pt idx="266">
                  <c:v>66.069740215952251</c:v>
                </c:pt>
                <c:pt idx="267">
                  <c:v>65.596013031098849</c:v>
                </c:pt>
                <c:pt idx="268">
                  <c:v>65.111027968033952</c:v>
                </c:pt>
                <c:pt idx="269">
                  <c:v>64.614640440545543</c:v>
                </c:pt>
                <c:pt idx="270">
                  <c:v>64.10670703305307</c:v>
                </c:pt>
                <c:pt idx="271">
                  <c:v>63.587085844933782</c:v>
                </c:pt>
                <c:pt idx="272">
                  <c:v>63.055636855737276</c:v>
                </c:pt>
                <c:pt idx="273">
                  <c:v>62.51222231190664</c:v>
                </c:pt>
                <c:pt idx="274">
                  <c:v>61.956707135599039</c:v>
                </c:pt>
                <c:pt idx="275">
                  <c:v>61.388959356125426</c:v>
                </c:pt>
                <c:pt idx="276">
                  <c:v>60.80885056448097</c:v>
                </c:pt>
                <c:pt idx="277">
                  <c:v>60.216256391353859</c:v>
                </c:pt>
                <c:pt idx="278">
                  <c:v>59.611057008908773</c:v>
                </c:pt>
                <c:pt idx="279">
                  <c:v>58.993137656555348</c:v>
                </c:pt>
                <c:pt idx="280">
                  <c:v>58.362389190778565</c:v>
                </c:pt>
                <c:pt idx="281">
                  <c:v>57.71870865899789</c:v>
                </c:pt>
                <c:pt idx="282">
                  <c:v>57.061999897263661</c:v>
                </c:pt>
                <c:pt idx="283">
                  <c:v>56.39217415145071</c:v>
                </c:pt>
                <c:pt idx="284">
                  <c:v>55.70915072142752</c:v>
                </c:pt>
                <c:pt idx="285">
                  <c:v>55.012857627489403</c:v>
                </c:pt>
                <c:pt idx="286">
                  <c:v>54.303232298139946</c:v>
                </c:pt>
                <c:pt idx="287">
                  <c:v>53.580222278067993</c:v>
                </c:pt>
                <c:pt idx="288">
                  <c:v>52.843785954944515</c:v>
                </c:pt>
                <c:pt idx="289">
                  <c:v>52.093893303388292</c:v>
                </c:pt>
                <c:pt idx="290">
                  <c:v>51.330526644187678</c:v>
                </c:pt>
                <c:pt idx="291">
                  <c:v>50.553681416579089</c:v>
                </c:pt>
                <c:pt idx="292">
                  <c:v>49.763366961077509</c:v>
                </c:pt>
                <c:pt idx="293">
                  <c:v>48.959607310053364</c:v>
                </c:pt>
                <c:pt idx="294">
                  <c:v>48.142441982925668</c:v>
                </c:pt>
                <c:pt idx="295">
                  <c:v>47.311926782522818</c:v>
                </c:pt>
                <c:pt idx="296">
                  <c:v>46.468134588831923</c:v>
                </c:pt>
                <c:pt idx="297">
                  <c:v>45.611156146038184</c:v>
                </c:pt>
                <c:pt idx="298">
                  <c:v>44.741100838429404</c:v>
                </c:pt>
                <c:pt idx="299">
                  <c:v>43.858097450438358</c:v>
                </c:pt>
                <c:pt idx="300">
                  <c:v>42.962294905792994</c:v>
                </c:pt>
                <c:pt idx="301">
                  <c:v>42.053862980474648</c:v>
                </c:pt>
                <c:pt idx="302">
                  <c:v>41.132992983929768</c:v>
                </c:pt>
                <c:pt idx="303">
                  <c:v>40.199898402765882</c:v>
                </c:pt>
                <c:pt idx="304">
                  <c:v>39.254815500979063</c:v>
                </c:pt>
                <c:pt idx="305">
                  <c:v>38.298003870624726</c:v>
                </c:pt>
                <c:pt idx="306">
                  <c:v>37.329746926754886</c:v>
                </c:pt>
                <c:pt idx="307">
                  <c:v>36.350352340417551</c:v>
                </c:pt>
                <c:pt idx="308">
                  <c:v>35.360152403537107</c:v>
                </c:pt>
                <c:pt idx="309">
                  <c:v>34.359504319605875</c:v>
                </c:pt>
                <c:pt idx="310">
                  <c:v>33.348790414270141</c:v>
                </c:pt>
                <c:pt idx="311">
                  <c:v>32.32841826016007</c:v>
                </c:pt>
                <c:pt idx="312">
                  <c:v>31.298820710615839</c:v>
                </c:pt>
                <c:pt idx="313">
                  <c:v>30.260455837387671</c:v>
                </c:pt>
                <c:pt idx="314">
                  <c:v>29.213806767864295</c:v>
                </c:pt>
                <c:pt idx="315">
                  <c:v>28.159381417953036</c:v>
                </c:pt>
                <c:pt idx="316">
                  <c:v>27.097712117385488</c:v>
                </c:pt>
                <c:pt idx="317">
                  <c:v>26.029355124943837</c:v>
                </c:pt>
                <c:pt idx="318">
                  <c:v>24.95489003188694</c:v>
                </c:pt>
                <c:pt idx="319">
                  <c:v>23.874919052720546</c:v>
                </c:pt>
                <c:pt idx="320">
                  <c:v>22.790066203349269</c:v>
                </c:pt>
                <c:pt idx="321">
                  <c:v>21.700976367609403</c:v>
                </c:pt>
                <c:pt idx="322">
                  <c:v>20.608314254154706</c:v>
                </c:pt>
                <c:pt idx="323">
                  <c:v>19.512763246669309</c:v>
                </c:pt>
                <c:pt idx="324">
                  <c:v>18.415024151385261</c:v>
                </c:pt>
                <c:pt idx="325">
                  <c:v>17.315813846878132</c:v>
                </c:pt>
                <c:pt idx="326">
                  <c:v>16.215863842077976</c:v>
                </c:pt>
                <c:pt idx="327">
                  <c:v>15.115918749355513</c:v>
                </c:pt>
                <c:pt idx="328">
                  <c:v>14.016734680425008</c:v>
                </c:pt>
                <c:pt idx="329">
                  <c:v>12.919077573580383</c:v>
                </c:pt>
                <c:pt idx="330">
                  <c:v>11.823721461522341</c:v>
                </c:pt>
                <c:pt idx="331">
                  <c:v>10.731446689616416</c:v>
                </c:pt>
                <c:pt idx="332">
                  <c:v>9.6430380949487606</c:v>
                </c:pt>
                <c:pt idx="333">
                  <c:v>8.5592831569177097</c:v>
                </c:pt>
                <c:pt idx="334">
                  <c:v>7.480970130369661</c:v>
                </c:pt>
                <c:pt idx="335">
                  <c:v>6.4088861723987254</c:v>
                </c:pt>
                <c:pt idx="336">
                  <c:v>5.3438154739488715</c:v>
                </c:pt>
                <c:pt idx="337">
                  <c:v>4.2865374071930695</c:v>
                </c:pt>
                <c:pt idx="338">
                  <c:v>3.2378246994106075</c:v>
                </c:pt>
                <c:pt idx="339">
                  <c:v>2.198441643691035</c:v>
                </c:pt>
                <c:pt idx="340">
                  <c:v>1.1691423562662331</c:v>
                </c:pt>
                <c:pt idx="341">
                  <c:v>0.15066908966298054</c:v>
                </c:pt>
                <c:pt idx="342">
                  <c:v>-0.85624938985658816</c:v>
                </c:pt>
                <c:pt idx="343">
                  <c:v>-1.8508993529020155</c:v>
                </c:pt>
                <c:pt idx="344">
                  <c:v>-2.8325835788181664</c:v>
                </c:pt>
                <c:pt idx="345">
                  <c:v>-3.8006227429481596</c:v>
                </c:pt>
                <c:pt idx="346">
                  <c:v>-4.7543567144003411</c:v>
                </c:pt>
                <c:pt idx="347">
                  <c:v>-5.6931457604197595</c:v>
                </c:pt>
                <c:pt idx="348">
                  <c:v>-6.6163716544737659</c:v>
                </c:pt>
                <c:pt idx="349">
                  <c:v>-7.5234386861362363</c:v>
                </c:pt>
                <c:pt idx="350">
                  <c:v>-8.4137745718426267</c:v>
                </c:pt>
                <c:pt idx="351">
                  <c:v>-9.2868312665146107</c:v>
                </c:pt>
                <c:pt idx="352">
                  <c:v>-10.142085676943458</c:v>
                </c:pt>
                <c:pt idx="353">
                  <c:v>-10.979040278646316</c:v>
                </c:pt>
                <c:pt idx="354">
                  <c:v>-11.797223638679311</c:v>
                </c:pt>
                <c:pt idx="355">
                  <c:v>-12.596190847558452</c:v>
                </c:pt>
                <c:pt idx="356">
                  <c:v>-13.375523864066642</c:v>
                </c:pt>
                <c:pt idx="357">
                  <c:v>-14.13483177721873</c:v>
                </c:pt>
                <c:pt idx="358">
                  <c:v>-14.873750990099738</c:v>
                </c:pt>
                <c:pt idx="359">
                  <c:v>-15.591945330622355</c:v>
                </c:pt>
                <c:pt idx="360">
                  <c:v>-16.289106094507357</c:v>
                </c:pt>
                <c:pt idx="361">
                  <c:v>-16.964952025933197</c:v>
                </c:pt>
                <c:pt idx="362">
                  <c:v>-17.619229241402561</c:v>
                </c:pt>
                <c:pt idx="363">
                  <c:v>-18.25171110234275</c:v>
                </c:pt>
                <c:pt idx="364">
                  <c:v>-18.862198041895262</c:v>
                </c:pt>
                <c:pt idx="365">
                  <c:v>-19.45051735118064</c:v>
                </c:pt>
                <c:pt idx="366">
                  <c:v>-20.016522930122644</c:v>
                </c:pt>
                <c:pt idx="367">
                  <c:v>-20.560095007624835</c:v>
                </c:pt>
                <c:pt idx="368">
                  <c:v>-21.081139835580668</c:v>
                </c:pt>
                <c:pt idx="369">
                  <c:v>-21.579589360812616</c:v>
                </c:pt>
                <c:pt idx="370">
                  <c:v>-22.05540087864556</c:v>
                </c:pt>
                <c:pt idx="371">
                  <c:v>-22.50855667136145</c:v>
                </c:pt>
                <c:pt idx="372">
                  <c:v>-22.939063634346411</c:v>
                </c:pt>
                <c:pt idx="373">
                  <c:v>-23.346952892245763</c:v>
                </c:pt>
                <c:pt idx="374">
                  <c:v>-23.732279406981416</c:v>
                </c:pt>
                <c:pt idx="375">
                  <c:v>-24.095121578984443</c:v>
                </c:pt>
                <c:pt idx="376">
                  <c:v>-24.435580842531447</c:v>
                </c:pt>
                <c:pt idx="377">
                  <c:v>-24.753781255607475</c:v>
                </c:pt>
                <c:pt idx="378">
                  <c:v>-25.049869084267591</c:v>
                </c:pt>
                <c:pt idx="379">
                  <c:v>-25.324012381046639</c:v>
                </c:pt>
                <c:pt idx="380">
                  <c:v>-25.576400556586115</c:v>
                </c:pt>
                <c:pt idx="381">
                  <c:v>-25.807243943273221</c:v>
                </c:pt>
                <c:pt idx="382">
                  <c:v>-26.016773349384192</c:v>
                </c:pt>
                <c:pt idx="383">
                  <c:v>-26.205239601944573</c:v>
                </c:pt>
                <c:pt idx="384">
                  <c:v>-26.372913076295692</c:v>
                </c:pt>
                <c:pt idx="385">
                  <c:v>-26.520083210186868</c:v>
                </c:pt>
                <c:pt idx="386">
                  <c:v>-26.647058000082762</c:v>
                </c:pt>
                <c:pt idx="387">
                  <c:v>-26.754163477341233</c:v>
                </c:pt>
                <c:pt idx="388">
                  <c:v>-26.841743161872621</c:v>
                </c:pt>
                <c:pt idx="389">
                  <c:v>-26.910157490989878</c:v>
                </c:pt>
                <c:pt idx="390">
                  <c:v>-26.959783221241089</c:v>
                </c:pt>
                <c:pt idx="391">
                  <c:v>-26.991012801210616</c:v>
                </c:pt>
                <c:pt idx="392">
                  <c:v>-27.004253713486701</c:v>
                </c:pt>
                <c:pt idx="393">
                  <c:v>-26.999927784296307</c:v>
                </c:pt>
                <c:pt idx="394">
                  <c:v>-26.978470459618556</c:v>
                </c:pt>
                <c:pt idx="395">
                  <c:v>-26.940330046982641</c:v>
                </c:pt>
                <c:pt idx="396">
                  <c:v>-26.885966922571015</c:v>
                </c:pt>
                <c:pt idx="397">
                  <c:v>-26.815852703688041</c:v>
                </c:pt>
                <c:pt idx="398">
                  <c:v>-26.730469387152997</c:v>
                </c:pt>
                <c:pt idx="399">
                  <c:v>-26.630308454645409</c:v>
                </c:pt>
                <c:pt idx="400">
                  <c:v>-26.515869946563637</c:v>
                </c:pt>
                <c:pt idx="401">
                  <c:v>-26.387661506437826</c:v>
                </c:pt>
                <c:pt idx="402">
                  <c:v>-26.246197398460122</c:v>
                </c:pt>
                <c:pt idx="403">
                  <c:v>-26.091997501157255</c:v>
                </c:pt>
                <c:pt idx="404">
                  <c:v>-25.925586280698557</c:v>
                </c:pt>
                <c:pt idx="405">
                  <c:v>-25.747491747744757</c:v>
                </c:pt>
                <c:pt idx="406">
                  <c:v>-25.55824440212664</c:v>
                </c:pt>
                <c:pt idx="407">
                  <c:v>-25.358376169965535</c:v>
                </c:pt>
                <c:pt idx="408">
                  <c:v>-25.148419338119311</c:v>
                </c:pt>
                <c:pt idx="409">
                  <c:v>-24.928905491048013</c:v>
                </c:pt>
                <c:pt idx="410">
                  <c:v>-24.700364455336885</c:v>
                </c:pt>
                <c:pt idx="411">
                  <c:v>-24.463323257184605</c:v>
                </c:pt>
                <c:pt idx="412">
                  <c:v>-24.2183050981719</c:v>
                </c:pt>
                <c:pt idx="413">
                  <c:v>-23.965828354562735</c:v>
                </c:pt>
                <c:pt idx="414">
                  <c:v>-23.70640560524437</c:v>
                </c:pt>
                <c:pt idx="415">
                  <c:v>-23.440542693225609</c:v>
                </c:pt>
                <c:pt idx="416">
                  <c:v>-23.168737825338521</c:v>
                </c:pt>
                <c:pt idx="417">
                  <c:v>-22.891480714473957</c:v>
                </c:pt>
                <c:pt idx="418">
                  <c:v>-22.609251768310038</c:v>
                </c:pt>
                <c:pt idx="419">
                  <c:v>-22.322521328075865</c:v>
                </c:pt>
                <c:pt idx="420">
                  <c:v>-22.031748960447789</c:v>
                </c:pt>
                <c:pt idx="421">
                  <c:v>-21.737382805187934</c:v>
                </c:pt>
                <c:pt idx="422">
                  <c:v>-21.439858980646907</c:v>
                </c:pt>
                <c:pt idx="423">
                  <c:v>-21.139601048732128</c:v>
                </c:pt>
                <c:pt idx="424">
                  <c:v>-20.837019540440835</c:v>
                </c:pt>
                <c:pt idx="425">
                  <c:v>-20.532511542538611</c:v>
                </c:pt>
                <c:pt idx="426">
                  <c:v>-20.226460345473942</c:v>
                </c:pt>
                <c:pt idx="427">
                  <c:v>-19.919235152142182</c:v>
                </c:pt>
                <c:pt idx="428">
                  <c:v>-19.611190846653489</c:v>
                </c:pt>
                <c:pt idx="429">
                  <c:v>-19.30266782184189</c:v>
                </c:pt>
                <c:pt idx="430">
                  <c:v>-18.993991863864697</c:v>
                </c:pt>
                <c:pt idx="431">
                  <c:v>-18.685474091883709</c:v>
                </c:pt>
                <c:pt idx="432">
                  <c:v>-18.377410950517138</c:v>
                </c:pt>
                <c:pt idx="433">
                  <c:v>-18.070084252475553</c:v>
                </c:pt>
                <c:pt idx="434">
                  <c:v>-17.763761268575646</c:v>
                </c:pt>
                <c:pt idx="435">
                  <c:v>-17.458694862134045</c:v>
                </c:pt>
                <c:pt idx="436">
                  <c:v>-17.155123664610709</c:v>
                </c:pt>
                <c:pt idx="437">
                  <c:v>-16.853272289262691</c:v>
                </c:pt>
                <c:pt idx="438">
                  <c:v>-16.553351579510984</c:v>
                </c:pt>
                <c:pt idx="439">
                  <c:v>-16.25555888869852</c:v>
                </c:pt>
                <c:pt idx="440">
                  <c:v>-15.960078387920237</c:v>
                </c:pt>
                <c:pt idx="441">
                  <c:v>-15.667081398649797</c:v>
                </c:pt>
                <c:pt idx="442">
                  <c:v>-15.376726746948627</c:v>
                </c:pt>
                <c:pt idx="443">
                  <c:v>-15.089161136141024</c:v>
                </c:pt>
                <c:pt idx="444">
                  <c:v>-14.804519534937299</c:v>
                </c:pt>
                <c:pt idx="445">
                  <c:v>-14.522925578131124</c:v>
                </c:pt>
                <c:pt idx="446">
                  <c:v>-14.24449197712763</c:v>
                </c:pt>
                <c:pt idx="447">
                  <c:v>-13.969320937719488</c:v>
                </c:pt>
                <c:pt idx="448">
                  <c:v>-13.697504582693014</c:v>
                </c:pt>
                <c:pt idx="449">
                  <c:v>-13.429125377007869</c:v>
                </c:pt>
                <c:pt idx="450">
                  <c:v>-13.16425655347436</c:v>
                </c:pt>
                <c:pt idx="451">
                  <c:v>-12.902962537022034</c:v>
                </c:pt>
                <c:pt idx="452">
                  <c:v>-12.645299365821295</c:v>
                </c:pt>
                <c:pt idx="453">
                  <c:v>-12.391315107701965</c:v>
                </c:pt>
                <c:pt idx="454">
                  <c:v>-12.141050270463177</c:v>
                </c:pt>
                <c:pt idx="455">
                  <c:v>-11.894538204840272</c:v>
                </c:pt>
                <c:pt idx="456">
                  <c:v>-11.651805499046931</c:v>
                </c:pt>
                <c:pt idx="457">
                  <c:v>-11.412872363951818</c:v>
                </c:pt>
                <c:pt idx="458">
                  <c:v>-11.17775300809404</c:v>
                </c:pt>
                <c:pt idx="459">
                  <c:v>-10.946456001870786</c:v>
                </c:pt>
                <c:pt idx="460">
                  <c:v>-10.718984630349757</c:v>
                </c:pt>
                <c:pt idx="461">
                  <c:v>-10.495337234277176</c:v>
                </c:pt>
                <c:pt idx="462">
                  <c:v>-10.275507538951565</c:v>
                </c:pt>
                <c:pt idx="463">
                  <c:v>-10.059484970731825</c:v>
                </c:pt>
                <c:pt idx="464">
                  <c:v>-9.8472549610358264</c:v>
                </c:pt>
                <c:pt idx="465">
                  <c:v>-9.6387992377626528</c:v>
                </c:pt>
                <c:pt idx="466">
                  <c:v>-9.4340961041423288</c:v>
                </c:pt>
                <c:pt idx="467">
                  <c:v>-9.2331207050832695</c:v>
                </c:pt>
                <c:pt idx="468">
                  <c:v>-9.0358452811372665</c:v>
                </c:pt>
                <c:pt idx="469">
                  <c:v>-8.842239410257001</c:v>
                </c:pt>
                <c:pt idx="470">
                  <c:v>-8.6522702375593443</c:v>
                </c:pt>
                <c:pt idx="471">
                  <c:v>-8.4659026933446899</c:v>
                </c:pt>
                <c:pt idx="472">
                  <c:v>-8.2830996996553719</c:v>
                </c:pt>
                <c:pt idx="473">
                  <c:v>-8.1038223656790453</c:v>
                </c:pt>
                <c:pt idx="474">
                  <c:v>-7.9280301723247817</c:v>
                </c:pt>
                <c:pt idx="475">
                  <c:v>-7.7556811463176079</c:v>
                </c:pt>
                <c:pt idx="476">
                  <c:v>-7.5867320241673601</c:v>
                </c:pt>
                <c:pt idx="477">
                  <c:v>-7.4211384063790486</c:v>
                </c:pt>
                <c:pt idx="478">
                  <c:v>-7.2588549022765783</c:v>
                </c:pt>
                <c:pt idx="479">
                  <c:v>-7.099835265815674</c:v>
                </c:pt>
                <c:pt idx="480">
                  <c:v>-6.9440325227619306</c:v>
                </c:pt>
                <c:pt idx="481">
                  <c:v>-6.7913990896096319</c:v>
                </c:pt>
                <c:pt idx="482">
                  <c:v>-6.6418868846113837</c:v>
                </c:pt>
                <c:pt idx="483">
                  <c:v>-6.4954474312869985</c:v>
                </c:pt>
                <c:pt idx="484">
                  <c:v>-6.3520319547701858</c:v>
                </c:pt>
                <c:pt idx="485">
                  <c:v>-6.2115914713467797</c:v>
                </c:pt>
                <c:pt idx="486">
                  <c:v>-6.0740768715279581</c:v>
                </c:pt>
                <c:pt idx="487">
                  <c:v>-5.9394389969931414</c:v>
                </c:pt>
                <c:pt idx="488">
                  <c:v>-5.807628711728321</c:v>
                </c:pt>
                <c:pt idx="489">
                  <c:v>-5.6785969676728323</c:v>
                </c:pt>
                <c:pt idx="490">
                  <c:v>-5.5522948651787685</c:v>
                </c:pt>
                <c:pt idx="491">
                  <c:v>-5.4286737085748848</c:v>
                </c:pt>
                <c:pt idx="492">
                  <c:v>-5.307685057116462</c:v>
                </c:pt>
                <c:pt idx="493">
                  <c:v>-5.1892807715900862</c:v>
                </c:pt>
                <c:pt idx="494">
                  <c:v>-5.0734130568325888</c:v>
                </c:pt>
                <c:pt idx="495">
                  <c:v>-4.9600345004095221</c:v>
                </c:pt>
                <c:pt idx="496">
                  <c:v>-4.8490981076911615</c:v>
                </c:pt>
                <c:pt idx="497">
                  <c:v>-4.7405573335486801</c:v>
                </c:pt>
                <c:pt idx="498">
                  <c:v>-4.6343661108861758</c:v>
                </c:pt>
                <c:pt idx="499">
                  <c:v>-4.5304788762113457</c:v>
                </c:pt>
                <c:pt idx="500">
                  <c:v>-4.4288505924379917</c:v>
                </c:pt>
                <c:pt idx="501">
                  <c:v>-4.3294367691044453</c:v>
                </c:pt>
                <c:pt idx="502">
                  <c:v>-4.2321934801806957</c:v>
                </c:pt>
                <c:pt idx="503">
                  <c:v>-4.1370773796296527</c:v>
                </c:pt>
                <c:pt idx="504">
                  <c:v>-4.0440457148771793</c:v>
                </c:pt>
                <c:pt idx="505">
                  <c:v>-3.9530563383383459</c:v>
                </c:pt>
                <c:pt idx="506">
                  <c:v>-3.8640677171382807</c:v>
                </c:pt>
                <c:pt idx="507">
                  <c:v>-3.7770389411582985</c:v>
                </c:pt>
                <c:pt idx="508">
                  <c:v>-3.6919297295305102</c:v>
                </c:pt>
                <c:pt idx="509">
                  <c:v>-3.6087004356966466</c:v>
                </c:pt>
                <c:pt idx="510">
                  <c:v>-3.5273120511407123</c:v>
                </c:pt>
                <c:pt idx="511">
                  <c:v>-3.447726207896419</c:v>
                </c:pt>
                <c:pt idx="512">
                  <c:v>-3.3699051799274833</c:v>
                </c:pt>
                <c:pt idx="513">
                  <c:v>-3.2938118834692838</c:v>
                </c:pt>
                <c:pt idx="514">
                  <c:v>-3.2194098764176351</c:v>
                </c:pt>
                <c:pt idx="515">
                  <c:v>-3.1466633568433653</c:v>
                </c:pt>
                <c:pt idx="516">
                  <c:v>-3.0755371607070185</c:v>
                </c:pt>
                <c:pt idx="517">
                  <c:v>-3.0059967588429122</c:v>
                </c:pt>
                <c:pt idx="518">
                  <c:v>-2.9380082532778173</c:v>
                </c:pt>
                <c:pt idx="519">
                  <c:v>-2.871538372944483</c:v>
                </c:pt>
                <c:pt idx="520">
                  <c:v>-2.8065544688464259</c:v>
                </c:pt>
                <c:pt idx="521">
                  <c:v>-2.7430245087273875</c:v>
                </c:pt>
                <c:pt idx="522">
                  <c:v>-2.6809170712941364</c:v>
                </c:pt>
                <c:pt idx="523">
                  <c:v>-2.6202013400380917</c:v>
                </c:pt>
                <c:pt idx="524">
                  <c:v>-2.5608470966992094</c:v>
                </c:pt>
                <c:pt idx="525">
                  <c:v>-2.5028247144111329</c:v>
                </c:pt>
                <c:pt idx="526">
                  <c:v>-2.4461051505645734</c:v>
                </c:pt>
                <c:pt idx="527">
                  <c:v>-2.3906599394231787</c:v>
                </c:pt>
                <c:pt idx="528">
                  <c:v>-2.3364611845234711</c:v>
                </c:pt>
                <c:pt idx="529">
                  <c:v>-2.2834815508883417</c:v>
                </c:pt>
                <c:pt idx="530">
                  <c:v>-2.2316942570811893</c:v>
                </c:pt>
                <c:pt idx="531">
                  <c:v>-2.1810730671259955</c:v>
                </c:pt>
                <c:pt idx="532">
                  <c:v>-2.1315922823164759</c:v>
                </c:pt>
                <c:pt idx="533">
                  <c:v>-2.0832267329357439</c:v>
                </c:pt>
                <c:pt idx="534">
                  <c:v>-2.03595176990649</c:v>
                </c:pt>
                <c:pt idx="535">
                  <c:v>-1.9897432563895407</c:v>
                </c:pt>
                <c:pt idx="536">
                  <c:v>-1.9445775593479946</c:v>
                </c:pt>
                <c:pt idx="537">
                  <c:v>-1.9004315410918471</c:v>
                </c:pt>
                <c:pt idx="538">
                  <c:v>-1.8572825508176816</c:v>
                </c:pt>
                <c:pt idx="539">
                  <c:v>-1.8151084161560738</c:v>
                </c:pt>
                <c:pt idx="540">
                  <c:v>-1.7738874347385816</c:v>
                </c:pt>
                <c:pt idx="541">
                  <c:v>-1.7335983657951672</c:v>
                </c:pt>
              </c:numCache>
            </c:numRef>
          </c:yVal>
          <c:smooth val="1"/>
          <c:extLst>
            <c:ext xmlns:c16="http://schemas.microsoft.com/office/drawing/2014/chart" uri="{C3380CC4-5D6E-409C-BE32-E72D297353CC}">
              <c16:uniqueId val="{00000001-F11A-4C29-9835-786B9CEC5C6A}"/>
            </c:ext>
          </c:extLst>
        </c:ser>
        <c:dLbls>
          <c:showLegendKey val="0"/>
          <c:showVal val="0"/>
          <c:showCatName val="0"/>
          <c:showSerName val="0"/>
          <c:showPercent val="0"/>
          <c:showBubbleSize val="0"/>
        </c:dLbls>
        <c:axId val="555497728"/>
        <c:axId val="555496192"/>
      </c:scatterChart>
      <c:valAx>
        <c:axId val="555344640"/>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555346560"/>
        <c:crosses val="autoZero"/>
        <c:crossBetween val="midCat"/>
      </c:valAx>
      <c:valAx>
        <c:axId val="555346560"/>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a:solidFill>
                  <a:srgbClr val="FF0000"/>
                </a:solidFill>
              </a:defRPr>
            </a:pPr>
            <a:endParaRPr lang="en-US"/>
          </a:p>
        </c:txPr>
        <c:crossAx val="555344640"/>
        <c:crosses val="autoZero"/>
        <c:crossBetween val="midCat"/>
        <c:majorUnit val="20"/>
        <c:minorUnit val="10"/>
      </c:valAx>
      <c:valAx>
        <c:axId val="555496192"/>
        <c:scaling>
          <c:orientation val="minMax"/>
          <c:max val="180"/>
          <c:min val="-180"/>
        </c:scaling>
        <c:delete val="0"/>
        <c:axPos val="r"/>
        <c:numFmt formatCode="General" sourceLinked="1"/>
        <c:majorTickMark val="out"/>
        <c:minorTickMark val="none"/>
        <c:tickLblPos val="nextTo"/>
        <c:txPr>
          <a:bodyPr/>
          <a:lstStyle/>
          <a:p>
            <a:pPr>
              <a:defRPr>
                <a:solidFill>
                  <a:schemeClr val="tx1">
                    <a:lumMod val="95000"/>
                    <a:lumOff val="5000"/>
                  </a:schemeClr>
                </a:solidFill>
              </a:defRPr>
            </a:pPr>
            <a:endParaRPr lang="en-US"/>
          </a:p>
        </c:txPr>
        <c:crossAx val="555497728"/>
        <c:crosses val="max"/>
        <c:crossBetween val="midCat"/>
        <c:majorUnit val="90"/>
        <c:minorUnit val="45"/>
      </c:valAx>
      <c:valAx>
        <c:axId val="555497728"/>
        <c:scaling>
          <c:logBase val="10"/>
          <c:orientation val="minMax"/>
        </c:scaling>
        <c:delete val="1"/>
        <c:axPos val="b"/>
        <c:numFmt formatCode="0.00" sourceLinked="1"/>
        <c:majorTickMark val="out"/>
        <c:minorTickMark val="none"/>
        <c:tickLblPos val="nextTo"/>
        <c:crossAx val="555496192"/>
        <c:crosses val="autoZero"/>
        <c:crossBetween val="midCat"/>
      </c:valAx>
    </c:plotArea>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Spin" dx="20" fmlaLink="$H$8" max="45" noThreeD="1" page="10" val="5"/>
</file>

<file path=xl/drawings/_rels/drawing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image" Target="../media/image5.png"/><Relationship Id="rId7" Type="http://schemas.openxmlformats.org/officeDocument/2006/relationships/chart" Target="../charts/chart9.xml"/><Relationship Id="rId2" Type="http://schemas.openxmlformats.org/officeDocument/2006/relationships/image" Target="../media/image4.png"/><Relationship Id="rId1" Type="http://schemas.openxmlformats.org/officeDocument/2006/relationships/chart" Target="../charts/chart5.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9</xdr:col>
      <xdr:colOff>75154</xdr:colOff>
      <xdr:row>45</xdr:row>
      <xdr:rowOff>164353</xdr:rowOff>
    </xdr:from>
    <xdr:to>
      <xdr:col>25</xdr:col>
      <xdr:colOff>478118</xdr:colOff>
      <xdr:row>69</xdr:row>
      <xdr:rowOff>182732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7</xdr:col>
          <xdr:colOff>565150</xdr:colOff>
          <xdr:row>53</xdr:row>
          <xdr:rowOff>0</xdr:rowOff>
        </xdr:from>
        <xdr:to>
          <xdr:col>8</xdr:col>
          <xdr:colOff>6350</xdr:colOff>
          <xdr:row>55</xdr:row>
          <xdr:rowOff>0</xdr:rowOff>
        </xdr:to>
        <xdr:sp macro="" textlink="">
          <xdr:nvSpPr>
            <xdr:cNvPr id="1060" name="Spinner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14</xdr:col>
      <xdr:colOff>508019</xdr:colOff>
      <xdr:row>45</xdr:row>
      <xdr:rowOff>55281</xdr:rowOff>
    </xdr:from>
    <xdr:to>
      <xdr:col>16</xdr:col>
      <xdr:colOff>237584</xdr:colOff>
      <xdr:row>47</xdr:row>
      <xdr:rowOff>124011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710725" y="9453281"/>
          <a:ext cx="954741" cy="487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r>
            <a:rPr lang="en-US" sz="2400" baseline="-25000"/>
            <a:t>IN</a:t>
          </a:r>
          <a:r>
            <a:rPr lang="en-US" sz="2400"/>
            <a:t> =</a:t>
          </a:r>
        </a:p>
      </xdr:txBody>
    </xdr:sp>
    <xdr:clientData/>
  </xdr:twoCellAnchor>
  <xdr:twoCellAnchor>
    <xdr:from>
      <xdr:col>16</xdr:col>
      <xdr:colOff>77712</xdr:colOff>
      <xdr:row>45</xdr:row>
      <xdr:rowOff>64247</xdr:rowOff>
    </xdr:from>
    <xdr:to>
      <xdr:col>17</xdr:col>
      <xdr:colOff>409405</xdr:colOff>
      <xdr:row>47</xdr:row>
      <xdr:rowOff>132978</xdr:rowOff>
    </xdr:to>
    <xdr:sp macro="" textlink="VIN_nom">
      <xdr:nvSpPr>
        <xdr:cNvPr id="3" name="TextBox 2">
          <a:extLst>
            <a:ext uri="{FF2B5EF4-FFF2-40B4-BE49-F238E27FC236}">
              <a16:creationId xmlns:a16="http://schemas.microsoft.com/office/drawing/2014/main" id="{00000000-0008-0000-0000-000003000000}"/>
            </a:ext>
          </a:extLst>
        </xdr:cNvPr>
        <xdr:cNvSpPr txBox="1"/>
      </xdr:nvSpPr>
      <xdr:spPr>
        <a:xfrm>
          <a:off x="9505594" y="9462247"/>
          <a:ext cx="944282" cy="4870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B6E0D9B-34B5-4A81-8CB9-A88F658AFD78}" type="TxLink">
            <a:rPr lang="en-US" sz="2400" b="0" i="0" u="none" strike="noStrike">
              <a:solidFill>
                <a:srgbClr val="000000"/>
              </a:solidFill>
              <a:latin typeface="Calibri"/>
            </a:rPr>
            <a:pPr/>
            <a:t>5</a:t>
          </a:fld>
          <a:endParaRPr lang="en-US" sz="2400"/>
        </a:p>
      </xdr:txBody>
    </xdr:sp>
    <xdr:clientData/>
  </xdr:twoCellAnchor>
  <xdr:twoCellAnchor>
    <xdr:from>
      <xdr:col>17</xdr:col>
      <xdr:colOff>152439</xdr:colOff>
      <xdr:row>45</xdr:row>
      <xdr:rowOff>55281</xdr:rowOff>
    </xdr:from>
    <xdr:to>
      <xdr:col>18</xdr:col>
      <xdr:colOff>505051</xdr:colOff>
      <xdr:row>47</xdr:row>
      <xdr:rowOff>124011</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192910" y="9453281"/>
          <a:ext cx="965200" cy="487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p>
      </xdr:txBody>
    </xdr:sp>
    <xdr:clientData/>
  </xdr:twoCellAnchor>
  <xdr:twoCellAnchor>
    <xdr:from>
      <xdr:col>9</xdr:col>
      <xdr:colOff>49696</xdr:colOff>
      <xdr:row>71</xdr:row>
      <xdr:rowOff>55217</xdr:rowOff>
    </xdr:from>
    <xdr:to>
      <xdr:col>25</xdr:col>
      <xdr:colOff>480392</xdr:colOff>
      <xdr:row>93</xdr:row>
      <xdr:rowOff>82826</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118899</xdr:colOff>
      <xdr:row>71</xdr:row>
      <xdr:rowOff>71846</xdr:rowOff>
    </xdr:from>
    <xdr:to>
      <xdr:col>15</xdr:col>
      <xdr:colOff>466899</xdr:colOff>
      <xdr:row>73</xdr:row>
      <xdr:rowOff>79838</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8390464" y="14621629"/>
          <a:ext cx="966435" cy="488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r>
            <a:rPr lang="en-US" sz="2400" baseline="-25000"/>
            <a:t>IN</a:t>
          </a:r>
          <a:r>
            <a:rPr lang="en-US" sz="2400"/>
            <a:t> =</a:t>
          </a:r>
        </a:p>
      </xdr:txBody>
    </xdr:sp>
    <xdr:clientData/>
  </xdr:twoCellAnchor>
  <xdr:twoCellAnchor>
    <xdr:from>
      <xdr:col>15</xdr:col>
      <xdr:colOff>307027</xdr:colOff>
      <xdr:row>71</xdr:row>
      <xdr:rowOff>80812</xdr:rowOff>
    </xdr:from>
    <xdr:to>
      <xdr:col>17</xdr:col>
      <xdr:colOff>20285</xdr:colOff>
      <xdr:row>73</xdr:row>
      <xdr:rowOff>88805</xdr:rowOff>
    </xdr:to>
    <xdr:sp macro="" textlink="VIN_nom">
      <xdr:nvSpPr>
        <xdr:cNvPr id="9" name="TextBox 8">
          <a:extLst>
            <a:ext uri="{FF2B5EF4-FFF2-40B4-BE49-F238E27FC236}">
              <a16:creationId xmlns:a16="http://schemas.microsoft.com/office/drawing/2014/main" id="{00000000-0008-0000-0000-000009000000}"/>
            </a:ext>
          </a:extLst>
        </xdr:cNvPr>
        <xdr:cNvSpPr txBox="1"/>
      </xdr:nvSpPr>
      <xdr:spPr>
        <a:xfrm>
          <a:off x="9197027" y="14630595"/>
          <a:ext cx="950128" cy="488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B6E0D9B-34B5-4A81-8CB9-A88F658AFD78}" type="TxLink">
            <a:rPr lang="en-US" sz="2400" b="0" i="0" u="none" strike="noStrike">
              <a:solidFill>
                <a:srgbClr val="000000"/>
              </a:solidFill>
              <a:latin typeface="Calibri"/>
              <a:cs typeface="Calibri"/>
            </a:rPr>
            <a:pPr/>
            <a:t>5</a:t>
          </a:fld>
          <a:endParaRPr lang="en-US" sz="2400"/>
        </a:p>
      </xdr:txBody>
    </xdr:sp>
    <xdr:clientData/>
  </xdr:twoCellAnchor>
  <xdr:twoCellAnchor>
    <xdr:from>
      <xdr:col>16</xdr:col>
      <xdr:colOff>80660</xdr:colOff>
      <xdr:row>71</xdr:row>
      <xdr:rowOff>88411</xdr:rowOff>
    </xdr:from>
    <xdr:to>
      <xdr:col>17</xdr:col>
      <xdr:colOff>433271</xdr:colOff>
      <xdr:row>73</xdr:row>
      <xdr:rowOff>96403</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589095" y="14638194"/>
          <a:ext cx="971046" cy="488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p>
      </xdr:txBody>
    </xdr:sp>
    <xdr:clientData/>
  </xdr:twoCellAnchor>
  <mc:AlternateContent xmlns:mc="http://schemas.openxmlformats.org/markup-compatibility/2006">
    <mc:Choice xmlns:a14="http://schemas.microsoft.com/office/drawing/2010/main" Requires="a14">
      <xdr:twoCellAnchor editAs="oneCell">
        <xdr:from>
          <xdr:col>10</xdr:col>
          <xdr:colOff>397695</xdr:colOff>
          <xdr:row>12</xdr:row>
          <xdr:rowOff>58159</xdr:rowOff>
        </xdr:from>
        <xdr:to>
          <xdr:col>25</xdr:col>
          <xdr:colOff>216019</xdr:colOff>
          <xdr:row>35</xdr:row>
          <xdr:rowOff>134695</xdr:rowOff>
        </xdr:to>
        <xdr:pic>
          <xdr:nvPicPr>
            <xdr:cNvPr id="6" name="Picture 5">
              <a:extLst>
                <a:ext uri="{FF2B5EF4-FFF2-40B4-BE49-F238E27FC236}">
                  <a16:creationId xmlns:a16="http://schemas.microsoft.com/office/drawing/2014/main" id="{534AD5BD-EF99-4BC9-8F71-72077514D072}"/>
                </a:ext>
              </a:extLst>
            </xdr:cNvPr>
            <xdr:cNvPicPr>
              <a:picLocks noChangeAspect="1"/>
              <a:extLst>
                <a:ext uri="{84589F7E-364E-4C9E-8A38-B11213B215E9}">
                  <a14:cameraTool cellRange="SCH" spid="_x0000_s1101"/>
                </a:ext>
              </a:extLst>
            </xdr:cNvPicPr>
          </xdr:nvPicPr>
          <xdr:blipFill>
            <a:blip xmlns:r="http://schemas.openxmlformats.org/officeDocument/2006/relationships" r:embed="rId3"/>
            <a:stretch>
              <a:fillRect/>
            </a:stretch>
          </xdr:blipFill>
          <xdr:spPr>
            <a:xfrm>
              <a:off x="6348019" y="2691541"/>
              <a:ext cx="8750234" cy="4469018"/>
            </a:xfrm>
            <a:prstGeom prst="rect">
              <a:avLst/>
            </a:prstGeom>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451597</xdr:colOff>
      <xdr:row>179</xdr:row>
      <xdr:rowOff>177800</xdr:rowOff>
    </xdr:from>
    <xdr:to>
      <xdr:col>16</xdr:col>
      <xdr:colOff>350744</xdr:colOff>
      <xdr:row>182</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037047" y="33204150"/>
          <a:ext cx="3810747" cy="440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Need to explain the placement of the Zero</a:t>
          </a:r>
          <a:r>
            <a:rPr lang="en-US" sz="1100" baseline="0"/>
            <a:t> a little bit better. The pole location should also be based on the location of the zero</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63500</xdr:colOff>
          <xdr:row>110</xdr:row>
          <xdr:rowOff>0</xdr:rowOff>
        </xdr:from>
        <xdr:to>
          <xdr:col>13</xdr:col>
          <xdr:colOff>25400</xdr:colOff>
          <xdr:row>112</xdr:row>
          <xdr:rowOff>31750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9</xdr:col>
      <xdr:colOff>19051</xdr:colOff>
      <xdr:row>149</xdr:row>
      <xdr:rowOff>17931</xdr:rowOff>
    </xdr:from>
    <xdr:to>
      <xdr:col>14</xdr:col>
      <xdr:colOff>583081</xdr:colOff>
      <xdr:row>157</xdr:row>
      <xdr:rowOff>107951</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994901" y="27335631"/>
          <a:ext cx="3866030" cy="1563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Loop</a:t>
          </a:r>
          <a:r>
            <a:rPr lang="en-US" sz="1100" baseline="0"/>
            <a:t> compensation is calculated for the minimum input voltage. This ensure stability over the input votlage range</a:t>
          </a:r>
        </a:p>
        <a:p>
          <a:endParaRPr lang="en-US" sz="1100" baseline="0"/>
        </a:p>
        <a:p>
          <a:r>
            <a:rPr lang="en-US" sz="1100" b="1" baseline="0"/>
            <a:t>Includes the effect of slope compensation. To help with the calculations the applicaiton note detailing component selection does not include loop compensation</a:t>
          </a:r>
          <a:endParaRPr lang="en-US" sz="1100" b="1"/>
        </a:p>
      </xdr:txBody>
    </xdr:sp>
    <xdr:clientData/>
  </xdr:twoCellAnchor>
  <xdr:twoCellAnchor>
    <xdr:from>
      <xdr:col>3</xdr:col>
      <xdr:colOff>660400</xdr:colOff>
      <xdr:row>182</xdr:row>
      <xdr:rowOff>165100</xdr:rowOff>
    </xdr:from>
    <xdr:to>
      <xdr:col>9</xdr:col>
      <xdr:colOff>311150</xdr:colOff>
      <xdr:row>186</xdr:row>
      <xdr:rowOff>88900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794250" y="33928050"/>
          <a:ext cx="549275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Flexible</a:t>
          </a:r>
          <a:r>
            <a:rPr lang="en-US" sz="1100" baseline="0"/>
            <a:t> equations see the MathCad file for these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76</xdr:col>
      <xdr:colOff>197810</xdr:colOff>
      <xdr:row>6</xdr:row>
      <xdr:rowOff>107149</xdr:rowOff>
    </xdr:from>
    <xdr:to>
      <xdr:col>85</xdr:col>
      <xdr:colOff>2406</xdr:colOff>
      <xdr:row>25</xdr:row>
      <xdr:rowOff>110908</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49</xdr:col>
      <xdr:colOff>228022</xdr:colOff>
      <xdr:row>12</xdr:row>
      <xdr:rowOff>102466</xdr:rowOff>
    </xdr:from>
    <xdr:to>
      <xdr:col>66</xdr:col>
      <xdr:colOff>96573</xdr:colOff>
      <xdr:row>37</xdr:row>
      <xdr:rowOff>156894</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1051560</xdr:colOff>
      <xdr:row>49</xdr:row>
      <xdr:rowOff>45720</xdr:rowOff>
    </xdr:from>
    <xdr:to>
      <xdr:col>25</xdr:col>
      <xdr:colOff>563880</xdr:colOff>
      <xdr:row>73</xdr:row>
      <xdr:rowOff>19050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45</xdr:col>
      <xdr:colOff>186690</xdr:colOff>
      <xdr:row>39</xdr:row>
      <xdr:rowOff>167640</xdr:rowOff>
    </xdr:from>
    <xdr:to>
      <xdr:col>47</xdr:col>
      <xdr:colOff>515248</xdr:colOff>
      <xdr:row>45</xdr:row>
      <xdr:rowOff>69931</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21541740" y="5482590"/>
          <a:ext cx="1840230" cy="1045293"/>
        </a:xfrm>
        <a:prstGeom prst="rect">
          <a:avLst/>
        </a:prstGeom>
      </xdr:spPr>
    </xdr:pic>
    <xdr:clientData/>
  </xdr:twoCellAnchor>
  <xdr:twoCellAnchor editAs="oneCell">
    <xdr:from>
      <xdr:col>47</xdr:col>
      <xdr:colOff>247650</xdr:colOff>
      <xdr:row>40</xdr:row>
      <xdr:rowOff>60960</xdr:rowOff>
    </xdr:from>
    <xdr:to>
      <xdr:col>51</xdr:col>
      <xdr:colOff>567929</xdr:colOff>
      <xdr:row>44</xdr:row>
      <xdr:rowOff>129611</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23888700" y="5566410"/>
          <a:ext cx="2758679" cy="830649"/>
        </a:xfrm>
        <a:prstGeom prst="rect">
          <a:avLst/>
        </a:prstGeom>
      </xdr:spPr>
    </xdr:pic>
    <xdr:clientData/>
  </xdr:twoCellAnchor>
  <xdr:twoCellAnchor>
    <xdr:from>
      <xdr:col>44</xdr:col>
      <xdr:colOff>30480</xdr:colOff>
      <xdr:row>49</xdr:row>
      <xdr:rowOff>64770</xdr:rowOff>
    </xdr:from>
    <xdr:to>
      <xdr:col>55</xdr:col>
      <xdr:colOff>144780</xdr:colOff>
      <xdr:row>73</xdr:row>
      <xdr:rowOff>38100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7620</xdr:colOff>
      <xdr:row>21</xdr:row>
      <xdr:rowOff>121920</xdr:rowOff>
    </xdr:from>
    <xdr:to>
      <xdr:col>26</xdr:col>
      <xdr:colOff>45720</xdr:colOff>
      <xdr:row>45</xdr:row>
      <xdr:rowOff>80010</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8325</xdr:colOff>
      <xdr:row>36</xdr:row>
      <xdr:rowOff>8964</xdr:rowOff>
    </xdr:from>
    <xdr:to>
      <xdr:col>11</xdr:col>
      <xdr:colOff>591031</xdr:colOff>
      <xdr:row>44</xdr:row>
      <xdr:rowOff>131269</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6289382" y="5952564"/>
          <a:ext cx="2411506" cy="16027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8</xdr:col>
      <xdr:colOff>0</xdr:colOff>
      <xdr:row>53</xdr:row>
      <xdr:rowOff>13855</xdr:rowOff>
    </xdr:from>
    <xdr:to>
      <xdr:col>12</xdr:col>
      <xdr:colOff>83127</xdr:colOff>
      <xdr:row>64</xdr:row>
      <xdr:rowOff>13855</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6276109" y="8936182"/>
          <a:ext cx="2521527"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error amplifier is the same regardless of the mode of operation</a:t>
          </a:r>
        </a:p>
      </xdr:txBody>
    </xdr:sp>
    <xdr:clientData/>
  </xdr:twoCellAnchor>
  <xdr:twoCellAnchor>
    <xdr:from>
      <xdr:col>31</xdr:col>
      <xdr:colOff>313764</xdr:colOff>
      <xdr:row>48</xdr:row>
      <xdr:rowOff>179295</xdr:rowOff>
    </xdr:from>
    <xdr:to>
      <xdr:col>42</xdr:col>
      <xdr:colOff>438673</xdr:colOff>
      <xdr:row>72</xdr:row>
      <xdr:rowOff>152625</xdr:rowOff>
    </xdr:to>
    <xdr:graphicFrame macro="">
      <xdr:nvGraphicFramePr>
        <xdr:cNvPr id="14" name="Chart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0</xdr:colOff>
      <xdr:row>22</xdr:row>
      <xdr:rowOff>0</xdr:rowOff>
    </xdr:from>
    <xdr:to>
      <xdr:col>42</xdr:col>
      <xdr:colOff>97865</xdr:colOff>
      <xdr:row>45</xdr:row>
      <xdr:rowOff>144855</xdr:rowOff>
    </xdr:to>
    <xdr:graphicFrame macro="">
      <xdr:nvGraphicFramePr>
        <xdr:cNvPr id="15" name="Chart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44</xdr:col>
      <xdr:colOff>0</xdr:colOff>
      <xdr:row>22</xdr:row>
      <xdr:rowOff>0</xdr:rowOff>
    </xdr:from>
    <xdr:to>
      <xdr:col>55</xdr:col>
      <xdr:colOff>269688</xdr:colOff>
      <xdr:row>45</xdr:row>
      <xdr:rowOff>144855</xdr:rowOff>
    </xdr:to>
    <xdr:graphicFrame macro="">
      <xdr:nvGraphicFramePr>
        <xdr:cNvPr id="16" name="Chart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548640</xdr:colOff>
      <xdr:row>8</xdr:row>
      <xdr:rowOff>0</xdr:rowOff>
    </xdr:from>
    <xdr:to>
      <xdr:col>12</xdr:col>
      <xdr:colOff>449580</xdr:colOff>
      <xdr:row>10</xdr:row>
      <xdr:rowOff>123546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269480" y="1638300"/>
          <a:ext cx="2948940" cy="489306"/>
        </a:xfrm>
        <a:prstGeom prst="rect">
          <a:avLst/>
        </a:prstGeom>
      </xdr:spPr>
    </xdr:pic>
    <xdr:clientData/>
  </xdr:twoCellAnchor>
  <xdr:twoCellAnchor editAs="oneCell">
    <xdr:from>
      <xdr:col>8</xdr:col>
      <xdr:colOff>7620</xdr:colOff>
      <xdr:row>12</xdr:row>
      <xdr:rowOff>132742</xdr:rowOff>
    </xdr:from>
    <xdr:to>
      <xdr:col>13</xdr:col>
      <xdr:colOff>350520</xdr:colOff>
      <xdr:row>16</xdr:row>
      <xdr:rowOff>76286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7338060" y="2502562"/>
          <a:ext cx="3390900" cy="675064"/>
        </a:xfrm>
        <a:prstGeom prst="rect">
          <a:avLst/>
        </a:prstGeom>
      </xdr:spPr>
    </xdr:pic>
    <xdr:clientData/>
  </xdr:twoCellAnchor>
  <xdr:twoCellAnchor>
    <xdr:from>
      <xdr:col>6</xdr:col>
      <xdr:colOff>507999</xdr:colOff>
      <xdr:row>37</xdr:row>
      <xdr:rowOff>44824</xdr:rowOff>
    </xdr:from>
    <xdr:to>
      <xdr:col>12</xdr:col>
      <xdr:colOff>530411</xdr:colOff>
      <xdr:row>43</xdr:row>
      <xdr:rowOff>164354</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6716058" y="6940177"/>
          <a:ext cx="3697941" cy="1240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Specific</a:t>
          </a:r>
          <a:r>
            <a:rPr lang="en-US" sz="1100" baseline="0"/>
            <a:t> to the LM5123 and LM5152. See datasheet for details</a:t>
          </a:r>
        </a:p>
        <a:p>
          <a:endParaRPr lang="en-US" sz="1100" baseline="0"/>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0</xdr:rowOff>
    </xdr:from>
    <xdr:to>
      <xdr:col>3</xdr:col>
      <xdr:colOff>9157</xdr:colOff>
      <xdr:row>3</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xdr:col>
          <xdr:colOff>31750</xdr:colOff>
          <xdr:row>2</xdr:row>
          <xdr:rowOff>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31750</xdr:colOff>
          <xdr:row>5</xdr:row>
          <xdr:rowOff>6350</xdr:rowOff>
        </xdr:to>
        <xdr:sp macro="" textlink="">
          <xdr:nvSpPr>
            <xdr:cNvPr id="10243" name="Object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2</xdr:col>
          <xdr:colOff>31750</xdr:colOff>
          <xdr:row>7</xdr:row>
          <xdr:rowOff>6350</xdr:rowOff>
        </xdr:to>
        <xdr:sp macro="" textlink="">
          <xdr:nvSpPr>
            <xdr:cNvPr id="10246" name="Object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package" Target="../embeddings/Microsoft_Visio_Drawing2.vsdx"/><Relationship Id="rId3" Type="http://schemas.openxmlformats.org/officeDocument/2006/relationships/vmlDrawing" Target="../drawings/vmlDrawing5.vml"/><Relationship Id="rId7" Type="http://schemas.openxmlformats.org/officeDocument/2006/relationships/image" Target="../media/image9.emf"/><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package" Target="../embeddings/Microsoft_Visio_Drawing1.vsdx"/><Relationship Id="rId5" Type="http://schemas.openxmlformats.org/officeDocument/2006/relationships/image" Target="../media/image8.emf"/><Relationship Id="rId4" Type="http://schemas.openxmlformats.org/officeDocument/2006/relationships/package" Target="../embeddings/Microsoft_Visio_Drawing.vsdx"/><Relationship Id="rId9" Type="http://schemas.openxmlformats.org/officeDocument/2006/relationships/image" Target="../media/image10.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A98"/>
  <sheetViews>
    <sheetView tabSelected="1" zoomScale="85" zoomScaleNormal="85" workbookViewId="0">
      <selection activeCell="H71" sqref="H71"/>
    </sheetView>
  </sheetViews>
  <sheetFormatPr defaultColWidth="8.90625" defaultRowHeight="14.5" x14ac:dyDescent="0.35"/>
  <cols>
    <col min="1" max="6" width="8.90625" style="91" customWidth="1"/>
    <col min="7" max="7" width="8.90625" style="131" customWidth="1"/>
    <col min="8" max="8" width="12" style="91" bestFit="1" customWidth="1"/>
    <col min="9" max="9" width="8.1796875" style="91" bestFit="1" customWidth="1"/>
    <col min="10" max="10" width="4.90625" style="91" customWidth="1"/>
    <col min="11" max="21" width="8.90625" style="91" customWidth="1"/>
    <col min="22" max="22" width="7.08984375" style="91" customWidth="1"/>
    <col min="23" max="26" width="8.90625" style="91" customWidth="1"/>
    <col min="27" max="27" width="1.90625" style="132" customWidth="1"/>
    <col min="28" max="16384" width="8.90625" style="91"/>
  </cols>
  <sheetData>
    <row r="1" spans="1:27" ht="46.65" customHeight="1" x14ac:dyDescent="0.35">
      <c r="A1" s="87"/>
      <c r="B1" s="87"/>
      <c r="C1" s="87"/>
      <c r="D1" s="87"/>
      <c r="E1" s="88" t="s">
        <v>517</v>
      </c>
      <c r="F1" s="87"/>
      <c r="G1" s="89"/>
      <c r="H1" s="87"/>
      <c r="I1" s="87"/>
      <c r="J1" s="87"/>
      <c r="K1" s="87"/>
      <c r="L1" s="87"/>
      <c r="M1" s="87"/>
      <c r="N1" s="87"/>
      <c r="O1" s="87"/>
      <c r="P1" s="87"/>
      <c r="Q1" s="87"/>
      <c r="R1" s="87"/>
      <c r="S1" s="87"/>
      <c r="T1" s="87"/>
      <c r="U1" s="87"/>
      <c r="V1" s="87"/>
      <c r="W1" s="87"/>
      <c r="X1" s="87"/>
      <c r="Y1" s="87"/>
      <c r="Z1" s="87"/>
      <c r="AA1" s="90"/>
    </row>
    <row r="2" spans="1:27" x14ac:dyDescent="0.35">
      <c r="A2" s="92"/>
      <c r="B2" s="92"/>
      <c r="C2" s="92"/>
      <c r="D2" s="92"/>
      <c r="E2" s="92"/>
      <c r="F2" s="92"/>
      <c r="G2" s="93"/>
      <c r="H2" s="92"/>
      <c r="I2" s="92"/>
      <c r="J2" s="92"/>
      <c r="K2" s="92"/>
      <c r="L2" s="92"/>
      <c r="M2" s="92"/>
      <c r="N2" s="92"/>
      <c r="O2" s="92"/>
      <c r="P2" s="92"/>
      <c r="Q2" s="92"/>
      <c r="R2" s="92"/>
      <c r="S2" s="92"/>
      <c r="T2" s="92"/>
      <c r="U2" s="92"/>
      <c r="V2" s="92"/>
      <c r="W2" s="92"/>
      <c r="X2" s="92"/>
      <c r="Y2" s="92"/>
      <c r="Z2" s="92"/>
      <c r="AA2" s="90"/>
    </row>
    <row r="3" spans="1:27" x14ac:dyDescent="0.35">
      <c r="A3" s="94" t="s">
        <v>1</v>
      </c>
      <c r="B3" s="92"/>
      <c r="C3" s="92"/>
      <c r="D3" s="92"/>
      <c r="E3" s="95"/>
      <c r="F3" s="96" t="s">
        <v>2</v>
      </c>
      <c r="G3" s="93"/>
      <c r="H3" s="92"/>
      <c r="I3" s="92"/>
      <c r="J3" s="92"/>
      <c r="K3" s="92"/>
      <c r="L3" s="92"/>
      <c r="M3" s="92"/>
      <c r="N3" s="92"/>
      <c r="O3" s="97" t="s">
        <v>0</v>
      </c>
      <c r="P3" s="92"/>
      <c r="Q3" s="92"/>
      <c r="R3" s="92"/>
      <c r="S3" s="92"/>
      <c r="T3" s="92"/>
      <c r="U3" s="92"/>
      <c r="V3" s="92"/>
      <c r="W3" s="92"/>
      <c r="X3" s="92"/>
      <c r="Y3" s="92"/>
      <c r="Z3" s="92"/>
      <c r="AA3" s="90"/>
    </row>
    <row r="4" spans="1:27" s="101" customFormat="1" x14ac:dyDescent="0.35">
      <c r="A4" s="98"/>
      <c r="B4" s="98"/>
      <c r="C4" s="98"/>
      <c r="D4" s="98"/>
      <c r="E4" s="98"/>
      <c r="F4" s="98"/>
      <c r="G4" s="99"/>
      <c r="H4" s="98"/>
      <c r="I4" s="98"/>
      <c r="J4" s="98"/>
      <c r="K4" s="98"/>
      <c r="L4" s="98"/>
      <c r="M4" s="98"/>
      <c r="N4" s="98"/>
      <c r="O4" s="98"/>
      <c r="P4" s="98"/>
      <c r="Q4" s="98"/>
      <c r="R4" s="98"/>
      <c r="S4" s="98"/>
      <c r="T4" s="98"/>
      <c r="U4" s="98"/>
      <c r="V4" s="98"/>
      <c r="W4" s="98"/>
      <c r="X4" s="98"/>
      <c r="Y4" s="98"/>
      <c r="Z4" s="98"/>
      <c r="AA4" s="100"/>
    </row>
    <row r="5" spans="1:27" x14ac:dyDescent="0.35">
      <c r="A5" s="102"/>
      <c r="B5" s="102"/>
      <c r="C5" s="102"/>
      <c r="D5" s="102"/>
      <c r="E5" s="102"/>
      <c r="F5" s="102"/>
      <c r="G5" s="103"/>
      <c r="H5" s="102"/>
      <c r="I5" s="102"/>
      <c r="J5" s="102"/>
      <c r="K5" s="102"/>
      <c r="L5" s="102"/>
      <c r="M5" s="102"/>
      <c r="N5" s="102"/>
      <c r="O5" s="102" t="s">
        <v>608</v>
      </c>
      <c r="P5" s="104" t="s">
        <v>609</v>
      </c>
      <c r="Q5" s="102"/>
      <c r="R5" s="102"/>
      <c r="S5" s="102"/>
      <c r="T5" s="102"/>
      <c r="U5" s="102"/>
      <c r="V5" s="102"/>
      <c r="W5" s="102"/>
      <c r="X5" s="102"/>
      <c r="Y5" s="102"/>
      <c r="Z5" s="102"/>
      <c r="AA5" s="90"/>
    </row>
    <row r="6" spans="1:27" ht="15" thickBot="1" x14ac:dyDescent="0.4">
      <c r="A6" s="117" t="s">
        <v>3</v>
      </c>
      <c r="B6" s="102"/>
      <c r="C6" s="102"/>
      <c r="D6" s="102"/>
      <c r="E6" s="102"/>
      <c r="F6" s="102"/>
      <c r="G6" s="103"/>
      <c r="H6" s="102"/>
      <c r="I6" s="102"/>
      <c r="J6" s="102"/>
      <c r="K6" s="102"/>
      <c r="L6" s="102"/>
      <c r="M6" s="102"/>
      <c r="N6" s="102"/>
      <c r="O6" s="102"/>
      <c r="P6" s="102"/>
      <c r="Q6" s="102"/>
      <c r="R6" s="102"/>
      <c r="S6" s="102"/>
      <c r="T6" s="102"/>
      <c r="U6" s="102"/>
      <c r="V6" s="102"/>
      <c r="W6" s="102"/>
      <c r="X6" s="102"/>
      <c r="Y6" s="102"/>
      <c r="Z6" s="102"/>
      <c r="AA6" s="90"/>
    </row>
    <row r="7" spans="1:27" ht="15" x14ac:dyDescent="0.4">
      <c r="A7" s="105"/>
      <c r="B7" s="106"/>
      <c r="C7" s="106"/>
      <c r="D7" s="106"/>
      <c r="E7" s="106"/>
      <c r="F7" s="106"/>
      <c r="G7" s="107" t="s">
        <v>4</v>
      </c>
      <c r="H7" s="133">
        <v>3</v>
      </c>
      <c r="I7" s="108" t="s">
        <v>10</v>
      </c>
      <c r="J7" s="102"/>
      <c r="K7" s="102"/>
      <c r="L7" s="102"/>
      <c r="M7" s="102"/>
      <c r="N7" s="102"/>
      <c r="O7" s="102"/>
      <c r="P7" s="102"/>
      <c r="Q7" s="102"/>
      <c r="R7" s="102"/>
      <c r="S7" s="102"/>
      <c r="T7" s="102"/>
      <c r="U7" s="102"/>
      <c r="V7" s="102"/>
      <c r="W7" s="102"/>
      <c r="X7" s="102"/>
      <c r="Y7" s="102"/>
      <c r="Z7" s="102"/>
      <c r="AA7" s="90"/>
    </row>
    <row r="8" spans="1:27" ht="15" x14ac:dyDescent="0.4">
      <c r="A8" s="109"/>
      <c r="B8" s="102"/>
      <c r="C8" s="102"/>
      <c r="D8" s="102"/>
      <c r="E8" s="102"/>
      <c r="F8" s="102"/>
      <c r="G8" s="110" t="s">
        <v>5</v>
      </c>
      <c r="H8" s="134">
        <v>5</v>
      </c>
      <c r="I8" s="111" t="s">
        <v>10</v>
      </c>
      <c r="J8" s="102"/>
      <c r="K8" s="102"/>
      <c r="L8" s="102"/>
      <c r="M8" s="102"/>
      <c r="N8" s="102"/>
      <c r="O8" s="102"/>
      <c r="P8" s="102"/>
      <c r="Q8" s="102"/>
      <c r="R8" s="102"/>
      <c r="S8" s="102"/>
      <c r="T8" s="102"/>
      <c r="U8" s="102"/>
      <c r="V8" s="102"/>
      <c r="W8" s="102"/>
      <c r="X8" s="102"/>
      <c r="Y8" s="102"/>
      <c r="Z8" s="102"/>
      <c r="AA8" s="90"/>
    </row>
    <row r="9" spans="1:27" ht="15" x14ac:dyDescent="0.4">
      <c r="A9" s="109"/>
      <c r="B9" s="102"/>
      <c r="C9" s="102"/>
      <c r="D9" s="102"/>
      <c r="E9" s="102"/>
      <c r="F9" s="102"/>
      <c r="G9" s="110" t="s">
        <v>6</v>
      </c>
      <c r="H9" s="134">
        <v>48</v>
      </c>
      <c r="I9" s="111" t="s">
        <v>10</v>
      </c>
      <c r="J9" s="102"/>
      <c r="K9" s="102"/>
      <c r="L9" s="102"/>
      <c r="M9" s="102"/>
      <c r="N9" s="102"/>
      <c r="O9" s="102"/>
      <c r="P9" s="102"/>
      <c r="Q9" s="102"/>
      <c r="R9" s="102"/>
      <c r="S9" s="102"/>
      <c r="T9" s="102"/>
      <c r="U9" s="102"/>
      <c r="V9" s="102"/>
      <c r="W9" s="102"/>
      <c r="X9" s="102"/>
      <c r="Y9" s="102"/>
      <c r="Z9" s="102"/>
      <c r="AA9" s="90"/>
    </row>
    <row r="10" spans="1:27" ht="15" x14ac:dyDescent="0.4">
      <c r="A10" s="109"/>
      <c r="B10" s="102"/>
      <c r="C10" s="102"/>
      <c r="D10" s="102"/>
      <c r="E10" s="102"/>
      <c r="F10" s="102"/>
      <c r="G10" s="110" t="s">
        <v>7</v>
      </c>
      <c r="H10" s="134">
        <v>50</v>
      </c>
      <c r="I10" s="111" t="s">
        <v>10</v>
      </c>
      <c r="J10" s="102"/>
      <c r="K10" s="102"/>
      <c r="L10" s="102"/>
      <c r="M10" s="102"/>
      <c r="N10" s="102"/>
      <c r="O10" s="102"/>
      <c r="P10" s="102"/>
      <c r="Q10" s="102"/>
      <c r="R10" s="102"/>
      <c r="S10" s="102"/>
      <c r="T10" s="102"/>
      <c r="U10" s="102"/>
      <c r="V10" s="102"/>
      <c r="W10" s="102"/>
      <c r="X10" s="102"/>
      <c r="Y10" s="102"/>
      <c r="Z10" s="102"/>
      <c r="AA10" s="90"/>
    </row>
    <row r="11" spans="1:27" ht="15" x14ac:dyDescent="0.4">
      <c r="A11" s="109"/>
      <c r="B11" s="102"/>
      <c r="C11" s="102"/>
      <c r="D11" s="102"/>
      <c r="E11" s="102"/>
      <c r="F11" s="102"/>
      <c r="G11" s="110" t="s">
        <v>8</v>
      </c>
      <c r="H11" s="210">
        <v>2</v>
      </c>
      <c r="I11" s="111" t="s">
        <v>11</v>
      </c>
      <c r="J11" s="102"/>
      <c r="K11" s="102"/>
      <c r="L11" s="102"/>
      <c r="M11" s="102"/>
      <c r="N11" s="102"/>
      <c r="O11" s="102"/>
      <c r="P11" s="102"/>
      <c r="Q11" s="102"/>
      <c r="R11" s="102"/>
      <c r="S11" s="102"/>
      <c r="T11" s="102"/>
      <c r="U11" s="102"/>
      <c r="V11" s="102"/>
      <c r="W11" s="102"/>
      <c r="X11" s="102"/>
      <c r="Y11" s="102"/>
      <c r="Z11" s="102"/>
      <c r="AA11" s="90"/>
    </row>
    <row r="12" spans="1:27" x14ac:dyDescent="0.35">
      <c r="A12" s="109"/>
      <c r="B12" s="102"/>
      <c r="C12" s="102"/>
      <c r="D12" s="102"/>
      <c r="E12" s="102"/>
      <c r="F12" s="102"/>
      <c r="G12" s="110" t="s">
        <v>521</v>
      </c>
      <c r="H12" s="211" t="s">
        <v>607</v>
      </c>
      <c r="I12" s="212"/>
      <c r="J12" s="102"/>
      <c r="K12" s="102"/>
      <c r="L12" s="102"/>
      <c r="M12" s="102"/>
      <c r="N12" s="102"/>
      <c r="O12" s="102"/>
      <c r="P12" s="102"/>
      <c r="Q12" s="102"/>
      <c r="R12" s="102"/>
      <c r="S12" s="102"/>
      <c r="T12" s="102"/>
      <c r="U12" s="102"/>
      <c r="V12" s="102"/>
      <c r="W12" s="102"/>
      <c r="X12" s="102"/>
      <c r="Y12" s="102"/>
      <c r="Z12" s="102"/>
      <c r="AA12" s="90"/>
    </row>
    <row r="13" spans="1:27" ht="15" x14ac:dyDescent="0.4">
      <c r="A13" s="109"/>
      <c r="B13" s="102"/>
      <c r="C13" s="102"/>
      <c r="D13" s="102"/>
      <c r="E13" s="102"/>
      <c r="F13" s="102"/>
      <c r="G13" s="110" t="s">
        <v>9</v>
      </c>
      <c r="H13" s="134">
        <v>440</v>
      </c>
      <c r="I13" s="111" t="s">
        <v>12</v>
      </c>
      <c r="J13" s="102"/>
      <c r="K13" s="102"/>
      <c r="L13" s="102"/>
      <c r="M13" s="102"/>
      <c r="N13" s="102"/>
      <c r="O13" s="102"/>
      <c r="P13" s="102"/>
      <c r="Q13" s="102"/>
      <c r="R13" s="102"/>
      <c r="S13" s="102"/>
      <c r="T13" s="102"/>
      <c r="U13" s="102"/>
      <c r="V13" s="102"/>
      <c r="W13" s="102"/>
      <c r="X13" s="102"/>
      <c r="Y13" s="102"/>
      <c r="Z13" s="102"/>
      <c r="AA13" s="90"/>
    </row>
    <row r="14" spans="1:27" ht="15" x14ac:dyDescent="0.4">
      <c r="A14" s="109"/>
      <c r="B14" s="102"/>
      <c r="C14" s="102"/>
      <c r="D14" s="102"/>
      <c r="E14" s="102"/>
      <c r="F14" s="102"/>
      <c r="G14" s="110" t="s">
        <v>70</v>
      </c>
      <c r="H14" s="135">
        <f>RT/1000</f>
        <v>49.272272727272728</v>
      </c>
      <c r="I14" s="111" t="s">
        <v>71</v>
      </c>
      <c r="J14" s="102"/>
      <c r="K14" s="102"/>
      <c r="L14" s="102"/>
      <c r="M14" s="102"/>
      <c r="N14" s="102"/>
      <c r="O14" s="102"/>
      <c r="P14" s="102"/>
      <c r="Q14" s="102"/>
      <c r="R14" s="102"/>
      <c r="S14" s="102"/>
      <c r="T14" s="102"/>
      <c r="U14" s="102"/>
      <c r="V14" s="102"/>
      <c r="W14" s="102"/>
      <c r="X14" s="102"/>
      <c r="Y14" s="102"/>
      <c r="Z14" s="102"/>
      <c r="AA14" s="90"/>
    </row>
    <row r="15" spans="1:27" ht="15" x14ac:dyDescent="0.4">
      <c r="A15" s="109"/>
      <c r="B15" s="102"/>
      <c r="C15" s="102"/>
      <c r="D15" s="102"/>
      <c r="E15" s="102"/>
      <c r="F15" s="102"/>
      <c r="G15" s="110" t="s">
        <v>14</v>
      </c>
      <c r="H15" s="163">
        <f>POUT</f>
        <v>100</v>
      </c>
      <c r="I15" s="111" t="s">
        <v>38</v>
      </c>
      <c r="J15" s="102"/>
      <c r="K15" s="102"/>
      <c r="L15" s="102"/>
      <c r="M15" s="102"/>
      <c r="N15" s="102"/>
      <c r="O15" s="102"/>
      <c r="P15" s="102"/>
      <c r="Q15" s="102"/>
      <c r="R15" s="102"/>
      <c r="S15" s="102"/>
      <c r="T15" s="102"/>
      <c r="U15" s="102"/>
      <c r="V15" s="102"/>
      <c r="W15" s="102"/>
      <c r="X15" s="102"/>
      <c r="Y15" s="102"/>
      <c r="Z15" s="102"/>
      <c r="AA15" s="90"/>
    </row>
    <row r="16" spans="1:27" ht="15" x14ac:dyDescent="0.4">
      <c r="A16" s="112"/>
      <c r="B16" s="113"/>
      <c r="C16" s="113"/>
      <c r="D16" s="113"/>
      <c r="E16" s="113"/>
      <c r="F16" s="102"/>
      <c r="G16" s="114" t="s">
        <v>516</v>
      </c>
      <c r="H16" s="163">
        <f>Dc_max_IC*100</f>
        <v>88</v>
      </c>
      <c r="I16" s="111" t="s">
        <v>13</v>
      </c>
      <c r="J16" s="102"/>
      <c r="K16" s="102"/>
      <c r="L16" s="102"/>
      <c r="M16" s="102"/>
      <c r="N16" s="102"/>
      <c r="O16" s="102"/>
      <c r="P16" s="102"/>
      <c r="Q16" s="102"/>
      <c r="R16" s="102"/>
      <c r="S16" s="102"/>
      <c r="T16" s="102"/>
      <c r="U16" s="102"/>
      <c r="V16" s="102"/>
      <c r="W16" s="102"/>
      <c r="X16" s="102"/>
      <c r="Y16" s="102"/>
      <c r="Z16" s="102"/>
      <c r="AA16" s="90"/>
    </row>
    <row r="17" spans="1:27" ht="15.5" thickBot="1" x14ac:dyDescent="0.45">
      <c r="A17" s="161"/>
      <c r="B17" s="162"/>
      <c r="C17" s="162"/>
      <c r="D17" s="162"/>
      <c r="E17" s="162"/>
      <c r="F17" s="115"/>
      <c r="G17" s="204" t="s">
        <v>414</v>
      </c>
      <c r="H17" s="205">
        <f>Variable_Management!B22*100</f>
        <v>94</v>
      </c>
      <c r="I17" s="116" t="s">
        <v>13</v>
      </c>
      <c r="J17" s="102"/>
      <c r="K17" s="102"/>
      <c r="L17" s="102"/>
      <c r="M17" s="102"/>
      <c r="N17" s="102"/>
      <c r="O17" s="102"/>
      <c r="P17" s="102"/>
      <c r="Q17" s="102"/>
      <c r="R17" s="102"/>
      <c r="S17" s="102"/>
      <c r="T17" s="102"/>
      <c r="U17" s="102"/>
      <c r="V17" s="102"/>
      <c r="W17" s="102"/>
      <c r="X17" s="102"/>
      <c r="Y17" s="102"/>
      <c r="Z17" s="102"/>
      <c r="AA17" s="90"/>
    </row>
    <row r="18" spans="1:27" x14ac:dyDescent="0.35">
      <c r="A18" s="113"/>
      <c r="B18" s="113"/>
      <c r="C18" s="113"/>
      <c r="D18" s="113"/>
      <c r="E18" s="113"/>
      <c r="F18" s="102"/>
      <c r="G18" s="103"/>
      <c r="H18" s="102"/>
      <c r="I18" s="102"/>
      <c r="J18" s="102"/>
      <c r="K18" s="102"/>
      <c r="L18" s="102"/>
      <c r="M18" s="102"/>
      <c r="N18" s="102"/>
      <c r="O18" s="102"/>
      <c r="P18" s="102"/>
      <c r="Q18" s="102"/>
      <c r="R18" s="102"/>
      <c r="S18" s="102"/>
      <c r="T18" s="102"/>
      <c r="U18" s="102"/>
      <c r="V18" s="102"/>
      <c r="W18" s="102"/>
      <c r="X18" s="102"/>
      <c r="Y18" s="102"/>
      <c r="Z18" s="102"/>
      <c r="AA18" s="90"/>
    </row>
    <row r="19" spans="1:27" ht="15" thickBot="1" x14ac:dyDescent="0.4">
      <c r="A19" s="117" t="s">
        <v>72</v>
      </c>
      <c r="B19" s="113"/>
      <c r="C19" s="113"/>
      <c r="D19" s="113"/>
      <c r="E19" s="113"/>
      <c r="F19" s="102"/>
      <c r="G19" s="103"/>
      <c r="H19" s="102"/>
      <c r="I19" s="102"/>
      <c r="J19" s="102"/>
      <c r="K19" s="102"/>
      <c r="L19" s="102"/>
      <c r="M19" s="102"/>
      <c r="N19" s="102"/>
      <c r="O19" s="102"/>
      <c r="P19" s="102"/>
      <c r="Q19" s="102"/>
      <c r="R19" s="102"/>
      <c r="S19" s="102"/>
      <c r="T19" s="102"/>
      <c r="U19" s="102"/>
      <c r="V19" s="102"/>
      <c r="W19" s="102"/>
      <c r="X19" s="102"/>
      <c r="Y19" s="102"/>
      <c r="Z19" s="102"/>
      <c r="AA19" s="90"/>
    </row>
    <row r="20" spans="1:27" ht="16.5" x14ac:dyDescent="0.45">
      <c r="A20" s="125"/>
      <c r="B20" s="118"/>
      <c r="C20" s="118"/>
      <c r="D20" s="118"/>
      <c r="E20" s="118"/>
      <c r="F20" s="106"/>
      <c r="G20" s="124" t="s">
        <v>524</v>
      </c>
      <c r="H20" s="157" t="str">
        <f>CHOOSE(Variable_Management!B25, "DCM","CCM")</f>
        <v>DCM</v>
      </c>
      <c r="I20" s="108"/>
      <c r="J20" s="102"/>
      <c r="K20" s="102"/>
      <c r="L20" s="102"/>
      <c r="M20" s="102"/>
      <c r="N20" s="102"/>
      <c r="O20" s="102"/>
      <c r="P20" s="102"/>
      <c r="Q20" s="102"/>
      <c r="R20" s="102"/>
      <c r="S20" s="102"/>
      <c r="T20" s="102"/>
      <c r="U20" s="102"/>
      <c r="V20" s="102"/>
      <c r="W20" s="102"/>
      <c r="X20" s="102"/>
      <c r="Y20" s="102"/>
      <c r="Z20" s="102"/>
      <c r="AA20" s="90"/>
    </row>
    <row r="21" spans="1:27" x14ac:dyDescent="0.35">
      <c r="A21" s="112"/>
      <c r="B21" s="113"/>
      <c r="C21" s="113"/>
      <c r="D21" s="113"/>
      <c r="E21" s="113"/>
      <c r="F21" s="102"/>
      <c r="G21" s="110" t="str">
        <f>CHOOSE(Variable_Management!B25,"Maximum duty cycle at the minimum supply voltage","Desired Maximum Inductor Current Ripple Ratio")</f>
        <v>Maximum duty cycle at the minimum supply voltage</v>
      </c>
      <c r="H21" s="134">
        <v>40</v>
      </c>
      <c r="I21" s="111" t="s">
        <v>13</v>
      </c>
      <c r="J21" s="102"/>
      <c r="K21" s="102"/>
      <c r="L21" s="102"/>
      <c r="M21" s="102"/>
      <c r="N21" s="102"/>
      <c r="O21" s="102"/>
      <c r="P21" s="102"/>
      <c r="Q21" s="102"/>
      <c r="R21" s="102"/>
      <c r="S21" s="102"/>
      <c r="T21" s="102"/>
      <c r="U21" s="102"/>
      <c r="V21" s="102"/>
      <c r="W21" s="102"/>
      <c r="X21" s="102"/>
      <c r="Y21" s="102"/>
      <c r="Z21" s="102"/>
      <c r="AA21" s="90"/>
    </row>
    <row r="22" spans="1:27" ht="15" x14ac:dyDescent="0.4">
      <c r="A22" s="109"/>
      <c r="B22" s="102"/>
      <c r="C22" s="102"/>
      <c r="D22" s="102"/>
      <c r="E22" s="102"/>
      <c r="F22" s="102"/>
      <c r="G22" s="110" t="s">
        <v>390</v>
      </c>
      <c r="H22" s="137">
        <f>CHOOSE(Variable_Management!B25,Variable_Management!B45*10^9,Variable_Management!B45*10^6)</f>
        <v>17.408123791102522</v>
      </c>
      <c r="I22" s="111" t="str">
        <f>CHOOSE(Variable_Management!B25,"nH","uH")</f>
        <v>nH</v>
      </c>
      <c r="J22" s="102"/>
      <c r="K22" s="102"/>
      <c r="L22" s="102"/>
      <c r="M22" s="102"/>
      <c r="N22" s="102"/>
      <c r="O22" s="102"/>
      <c r="P22" s="102"/>
      <c r="Q22" s="102"/>
      <c r="R22" s="102"/>
      <c r="S22" s="102"/>
      <c r="T22" s="102"/>
      <c r="U22" s="102"/>
      <c r="V22" s="102"/>
      <c r="W22" s="102"/>
      <c r="X22" s="102"/>
      <c r="Y22" s="102"/>
      <c r="Z22" s="102"/>
      <c r="AA22" s="90"/>
    </row>
    <row r="23" spans="1:27" ht="15" x14ac:dyDescent="0.4">
      <c r="A23" s="109"/>
      <c r="B23" s="102"/>
      <c r="C23" s="102"/>
      <c r="D23" s="102"/>
      <c r="E23" s="102"/>
      <c r="F23" s="102"/>
      <c r="G23" s="110" t="s">
        <v>391</v>
      </c>
      <c r="H23" s="134">
        <v>12000</v>
      </c>
      <c r="I23" s="111" t="str">
        <f>CHOOSE(Variable_Management!B25,"nH","uH")</f>
        <v>nH</v>
      </c>
      <c r="J23" s="102"/>
      <c r="K23" s="102"/>
      <c r="L23" s="102"/>
      <c r="M23" s="102"/>
      <c r="N23" s="102"/>
      <c r="O23" s="102"/>
      <c r="P23" s="102"/>
      <c r="Q23" s="102"/>
      <c r="R23" s="102"/>
      <c r="S23" s="102"/>
      <c r="T23" s="102"/>
      <c r="U23" s="102"/>
      <c r="V23" s="102"/>
      <c r="W23" s="102"/>
      <c r="X23" s="102"/>
      <c r="Y23" s="102"/>
      <c r="Z23" s="102"/>
      <c r="AA23" s="90"/>
    </row>
    <row r="24" spans="1:27" ht="15" x14ac:dyDescent="0.4">
      <c r="A24" s="109"/>
      <c r="B24" s="102"/>
      <c r="C24" s="102"/>
      <c r="D24" s="102"/>
      <c r="E24" s="102"/>
      <c r="F24" s="102"/>
      <c r="G24" s="110" t="s">
        <v>76</v>
      </c>
      <c r="H24" s="134">
        <v>4.3</v>
      </c>
      <c r="I24" s="111" t="s">
        <v>92</v>
      </c>
      <c r="J24" s="102"/>
      <c r="K24" s="102"/>
      <c r="L24" s="102"/>
      <c r="M24" s="102"/>
      <c r="N24" s="102"/>
      <c r="O24" s="102"/>
      <c r="P24" s="102"/>
      <c r="Q24" s="102"/>
      <c r="R24" s="102"/>
      <c r="S24" s="102"/>
      <c r="T24" s="102"/>
      <c r="U24" s="102"/>
      <c r="V24" s="102"/>
      <c r="W24" s="102"/>
      <c r="X24" s="102"/>
      <c r="Y24" s="102"/>
      <c r="Z24" s="102"/>
      <c r="AA24" s="90"/>
    </row>
    <row r="25" spans="1:27" ht="15.5" thickBot="1" x14ac:dyDescent="0.45">
      <c r="A25" s="119"/>
      <c r="B25" s="115"/>
      <c r="C25" s="115"/>
      <c r="D25" s="115"/>
      <c r="E25" s="115"/>
      <c r="F25" s="115"/>
      <c r="G25" s="120" t="s">
        <v>93</v>
      </c>
      <c r="H25" s="138">
        <f>ILp_VINmin</f>
        <v>33.600378787878789</v>
      </c>
      <c r="I25" s="116" t="s">
        <v>11</v>
      </c>
      <c r="J25" s="102"/>
      <c r="K25" s="102"/>
      <c r="L25" s="102"/>
      <c r="M25" s="102"/>
      <c r="N25" s="102"/>
      <c r="O25" s="102"/>
      <c r="P25" s="102"/>
      <c r="Q25" s="102"/>
      <c r="R25" s="102"/>
      <c r="S25" s="102"/>
      <c r="T25" s="102"/>
      <c r="U25" s="102"/>
      <c r="V25" s="102"/>
      <c r="W25" s="102"/>
      <c r="X25" s="102"/>
      <c r="Y25" s="102"/>
      <c r="Z25" s="102"/>
      <c r="AA25" s="90"/>
    </row>
    <row r="26" spans="1:27" x14ac:dyDescent="0.35">
      <c r="A26" s="102"/>
      <c r="B26" s="102"/>
      <c r="C26" s="102"/>
      <c r="D26" s="102"/>
      <c r="E26" s="102"/>
      <c r="F26" s="102"/>
      <c r="G26" s="103"/>
      <c r="H26" s="102"/>
      <c r="I26" s="102"/>
      <c r="J26" s="102"/>
      <c r="K26" s="102"/>
      <c r="L26" s="102"/>
      <c r="M26" s="102"/>
      <c r="N26" s="102"/>
      <c r="O26" s="102"/>
      <c r="P26" s="102"/>
      <c r="Q26" s="102"/>
      <c r="R26" s="102"/>
      <c r="S26" s="102"/>
      <c r="T26" s="102"/>
      <c r="U26" s="102"/>
      <c r="V26" s="102"/>
      <c r="W26" s="102"/>
      <c r="X26" s="102"/>
      <c r="Y26" s="102"/>
      <c r="Z26" s="102"/>
      <c r="AA26" s="90"/>
    </row>
    <row r="27" spans="1:27" ht="15" thickBot="1" x14ac:dyDescent="0.4">
      <c r="A27" s="117" t="s">
        <v>112</v>
      </c>
      <c r="B27" s="102"/>
      <c r="C27" s="102"/>
      <c r="D27" s="102"/>
      <c r="E27" s="102"/>
      <c r="F27" s="102"/>
      <c r="G27" s="103"/>
      <c r="H27" s="102"/>
      <c r="I27" s="102"/>
      <c r="J27" s="102"/>
      <c r="K27" s="102"/>
      <c r="L27" s="102"/>
      <c r="M27" s="102"/>
      <c r="N27" s="102"/>
      <c r="O27" s="102"/>
      <c r="P27" s="102"/>
      <c r="Q27" s="102"/>
      <c r="R27" s="102"/>
      <c r="S27" s="102"/>
      <c r="T27" s="102"/>
      <c r="U27" s="102"/>
      <c r="V27" s="102"/>
      <c r="W27" s="102"/>
      <c r="X27" s="102"/>
      <c r="Y27" s="102"/>
      <c r="Z27" s="102"/>
      <c r="AA27" s="90"/>
    </row>
    <row r="28" spans="1:27" x14ac:dyDescent="0.35">
      <c r="A28" s="105"/>
      <c r="B28" s="106"/>
      <c r="C28" s="106"/>
      <c r="D28" s="106"/>
      <c r="E28" s="106"/>
      <c r="F28" s="106"/>
      <c r="G28" s="107" t="s">
        <v>415</v>
      </c>
      <c r="H28" s="133">
        <v>10</v>
      </c>
      <c r="I28" s="108" t="s">
        <v>13</v>
      </c>
      <c r="J28" s="102"/>
      <c r="K28" s="102"/>
      <c r="L28" s="102"/>
      <c r="M28" s="102"/>
      <c r="N28" s="102"/>
      <c r="O28" s="102"/>
      <c r="P28" s="102"/>
      <c r="Q28" s="102"/>
      <c r="R28" s="102"/>
      <c r="S28" s="102"/>
      <c r="T28" s="102"/>
      <c r="U28" s="102"/>
      <c r="V28" s="102"/>
      <c r="W28" s="102"/>
      <c r="X28" s="102"/>
      <c r="Y28" s="102"/>
      <c r="Z28" s="102"/>
      <c r="AA28" s="90"/>
    </row>
    <row r="29" spans="1:27" ht="16.5" x14ac:dyDescent="0.45">
      <c r="A29" s="109"/>
      <c r="B29" s="102"/>
      <c r="C29" s="102"/>
      <c r="D29" s="102"/>
      <c r="E29" s="102"/>
      <c r="F29" s="102"/>
      <c r="G29" s="103" t="s">
        <v>170</v>
      </c>
      <c r="H29" s="135">
        <f>Ipk_selected</f>
        <v>38.890241228070181</v>
      </c>
      <c r="I29" s="111" t="s">
        <v>11</v>
      </c>
      <c r="J29" s="102"/>
      <c r="K29" s="102"/>
      <c r="L29" s="102"/>
      <c r="M29" s="102"/>
      <c r="N29" s="102"/>
      <c r="O29" s="102"/>
      <c r="P29" s="102"/>
      <c r="Q29" s="102"/>
      <c r="R29" s="102"/>
      <c r="S29" s="102"/>
      <c r="T29" s="102"/>
      <c r="U29" s="102"/>
      <c r="V29" s="102"/>
      <c r="W29" s="102"/>
      <c r="X29" s="102"/>
      <c r="Y29" s="102"/>
      <c r="Z29" s="102"/>
      <c r="AA29" s="90"/>
    </row>
    <row r="30" spans="1:27" ht="16.5" x14ac:dyDescent="0.45">
      <c r="A30" s="109"/>
      <c r="B30" s="102"/>
      <c r="C30" s="102"/>
      <c r="D30" s="102"/>
      <c r="E30" s="102"/>
      <c r="F30" s="102"/>
      <c r="G30" s="103" t="s">
        <v>418</v>
      </c>
      <c r="H30" s="135">
        <f>Variable_Management!B87*1000</f>
        <v>1.5428034927356846</v>
      </c>
      <c r="I30" s="111" t="s">
        <v>92</v>
      </c>
      <c r="J30" s="102"/>
      <c r="K30" s="102"/>
      <c r="L30" s="102"/>
      <c r="M30" s="102"/>
      <c r="N30" s="102"/>
      <c r="O30" s="102"/>
      <c r="P30" s="102"/>
      <c r="Q30" s="102"/>
      <c r="R30" s="102"/>
      <c r="S30" s="102"/>
      <c r="T30" s="102"/>
      <c r="U30" s="102"/>
      <c r="V30" s="102"/>
      <c r="W30" s="102"/>
      <c r="X30" s="102"/>
      <c r="Y30" s="102"/>
      <c r="Z30" s="102"/>
      <c r="AA30" s="90"/>
    </row>
    <row r="31" spans="1:27" ht="16.5" x14ac:dyDescent="0.45">
      <c r="A31" s="109"/>
      <c r="B31" s="102"/>
      <c r="C31" s="102"/>
      <c r="D31" s="102"/>
      <c r="E31" s="102"/>
      <c r="F31" s="102"/>
      <c r="G31" s="103" t="s">
        <v>419</v>
      </c>
      <c r="H31" s="134">
        <v>2</v>
      </c>
      <c r="I31" s="111" t="s">
        <v>92</v>
      </c>
      <c r="J31" s="102"/>
      <c r="K31" s="102"/>
      <c r="L31" s="102"/>
      <c r="M31" s="102"/>
      <c r="N31" s="102"/>
      <c r="O31" s="102"/>
      <c r="P31" s="102"/>
      <c r="Q31" s="102"/>
      <c r="R31" s="102"/>
      <c r="S31" s="102"/>
      <c r="T31" s="102"/>
      <c r="U31" s="102"/>
      <c r="V31" s="102"/>
      <c r="W31" s="102"/>
      <c r="X31" s="102"/>
      <c r="Y31" s="102"/>
      <c r="Z31" s="102"/>
      <c r="AA31" s="90"/>
    </row>
    <row r="32" spans="1:27" ht="15" thickBot="1" x14ac:dyDescent="0.4">
      <c r="A32" s="119"/>
      <c r="B32" s="115"/>
      <c r="C32" s="115"/>
      <c r="D32" s="115"/>
      <c r="E32" s="115"/>
      <c r="F32" s="115"/>
      <c r="G32" s="122" t="s">
        <v>143</v>
      </c>
      <c r="H32" s="139">
        <f>IL_pk_max</f>
        <v>30</v>
      </c>
      <c r="I32" s="123" t="s">
        <v>11</v>
      </c>
      <c r="J32" s="102"/>
      <c r="K32" s="102"/>
      <c r="L32" s="102"/>
      <c r="M32" s="102"/>
      <c r="N32" s="102"/>
      <c r="O32" s="102"/>
      <c r="P32" s="102"/>
      <c r="Q32" s="102"/>
      <c r="R32" s="102"/>
      <c r="S32" s="102"/>
      <c r="T32" s="102"/>
      <c r="U32" s="102"/>
      <c r="V32" s="102"/>
      <c r="W32" s="102"/>
      <c r="X32" s="102"/>
      <c r="Y32" s="102"/>
      <c r="Z32" s="102"/>
      <c r="AA32" s="90"/>
    </row>
    <row r="33" spans="1:27" x14ac:dyDescent="0.35">
      <c r="A33" s="102"/>
      <c r="B33" s="102"/>
      <c r="C33" s="102"/>
      <c r="D33" s="102"/>
      <c r="E33" s="102"/>
      <c r="F33" s="102"/>
      <c r="G33" s="103"/>
      <c r="H33" s="102"/>
      <c r="I33" s="102"/>
      <c r="J33" s="102"/>
      <c r="K33" s="102"/>
      <c r="L33" s="102"/>
      <c r="M33" s="102"/>
      <c r="N33" s="102"/>
      <c r="O33" s="102"/>
      <c r="P33" s="102"/>
      <c r="Q33" s="102"/>
      <c r="R33" s="102"/>
      <c r="S33" s="102"/>
      <c r="T33" s="102"/>
      <c r="U33" s="102"/>
      <c r="V33" s="102"/>
      <c r="W33" s="102"/>
      <c r="X33" s="102"/>
      <c r="Y33" s="102"/>
      <c r="Z33" s="102"/>
      <c r="AA33" s="90"/>
    </row>
    <row r="34" spans="1:27" ht="15" thickBot="1" x14ac:dyDescent="0.4">
      <c r="A34" s="117" t="s">
        <v>154</v>
      </c>
      <c r="B34" s="102"/>
      <c r="C34" s="102"/>
      <c r="D34" s="102"/>
      <c r="E34" s="102"/>
      <c r="F34" s="102"/>
      <c r="G34" s="103"/>
      <c r="H34" s="102"/>
      <c r="I34" s="102"/>
      <c r="J34" s="102"/>
      <c r="K34" s="102"/>
      <c r="L34" s="102"/>
      <c r="M34" s="102"/>
      <c r="N34" s="102"/>
      <c r="O34" s="102"/>
      <c r="P34" s="102"/>
      <c r="Q34" s="102"/>
      <c r="R34" s="102"/>
      <c r="S34" s="102"/>
      <c r="T34" s="102"/>
      <c r="U34" s="102"/>
      <c r="V34" s="102"/>
      <c r="W34" s="102"/>
      <c r="X34" s="102"/>
      <c r="Y34" s="102"/>
      <c r="Z34" s="102"/>
      <c r="AA34" s="90"/>
    </row>
    <row r="35" spans="1:27" ht="16.5" x14ac:dyDescent="0.45">
      <c r="A35" s="105"/>
      <c r="B35" s="106"/>
      <c r="C35" s="106"/>
      <c r="D35" s="106"/>
      <c r="E35" s="106"/>
      <c r="F35" s="106"/>
      <c r="G35" s="124" t="s">
        <v>451</v>
      </c>
      <c r="H35" s="133">
        <v>750</v>
      </c>
      <c r="I35" s="108" t="s">
        <v>155</v>
      </c>
      <c r="J35" s="102"/>
      <c r="K35" s="102"/>
      <c r="L35" s="102"/>
      <c r="M35" s="102"/>
      <c r="N35" s="102"/>
      <c r="O35" s="102"/>
      <c r="P35" s="102"/>
      <c r="Q35" s="102"/>
      <c r="R35" s="102"/>
      <c r="S35" s="102"/>
      <c r="T35" s="102"/>
      <c r="U35" s="102"/>
      <c r="V35" s="102"/>
      <c r="W35" s="102"/>
      <c r="X35" s="102"/>
      <c r="Y35" s="102"/>
      <c r="Z35" s="102"/>
      <c r="AA35" s="90"/>
    </row>
    <row r="36" spans="1:27" x14ac:dyDescent="0.35">
      <c r="A36" s="109"/>
      <c r="B36" s="102"/>
      <c r="C36" s="102"/>
      <c r="D36" s="102"/>
      <c r="E36" s="102"/>
      <c r="F36" s="102"/>
      <c r="G36" s="103" t="s">
        <v>156</v>
      </c>
      <c r="H36" s="135">
        <f>Cout_min*10^6</f>
        <v>888.88888888888891</v>
      </c>
      <c r="I36" s="111" t="s">
        <v>157</v>
      </c>
      <c r="J36" s="102"/>
      <c r="K36" s="102"/>
      <c r="L36" s="102"/>
      <c r="M36" s="102"/>
      <c r="N36" s="102"/>
      <c r="O36" s="102"/>
      <c r="P36" s="102"/>
      <c r="Q36" s="102"/>
      <c r="R36" s="102"/>
      <c r="S36" s="102"/>
      <c r="T36" s="102"/>
      <c r="U36" s="102"/>
      <c r="V36" s="102"/>
      <c r="W36" s="102"/>
      <c r="X36" s="102"/>
      <c r="Y36" s="102"/>
      <c r="Z36" s="102"/>
      <c r="AA36" s="90"/>
    </row>
    <row r="37" spans="1:27" ht="16.5" x14ac:dyDescent="0.45">
      <c r="A37" s="109"/>
      <c r="B37" s="102"/>
      <c r="C37" s="102"/>
      <c r="D37" s="102"/>
      <c r="E37" s="102"/>
      <c r="F37" s="102"/>
      <c r="G37" s="103" t="s">
        <v>158</v>
      </c>
      <c r="H37" s="134">
        <v>650</v>
      </c>
      <c r="I37" s="111" t="s">
        <v>157</v>
      </c>
      <c r="J37" s="102"/>
      <c r="K37" s="102"/>
      <c r="L37" s="102"/>
      <c r="M37" s="102"/>
      <c r="N37" s="102"/>
      <c r="O37" s="102"/>
      <c r="P37" s="102"/>
      <c r="Q37" s="102"/>
      <c r="R37" s="102"/>
      <c r="S37" s="102"/>
      <c r="T37" s="102"/>
      <c r="U37" s="102"/>
      <c r="V37" s="102"/>
      <c r="W37" s="102"/>
      <c r="X37" s="102"/>
      <c r="Y37" s="102"/>
      <c r="Z37" s="102"/>
      <c r="AA37" s="90"/>
    </row>
    <row r="38" spans="1:27" ht="17" thickBot="1" x14ac:dyDescent="0.5">
      <c r="A38" s="119"/>
      <c r="B38" s="115"/>
      <c r="C38" s="115"/>
      <c r="D38" s="115"/>
      <c r="E38" s="115"/>
      <c r="F38" s="115"/>
      <c r="G38" s="122" t="s">
        <v>165</v>
      </c>
      <c r="H38" s="140">
        <v>2</v>
      </c>
      <c r="I38" s="116" t="s">
        <v>92</v>
      </c>
      <c r="J38" s="102"/>
      <c r="K38" s="102"/>
      <c r="L38" s="102"/>
      <c r="M38" s="102"/>
      <c r="N38" s="102"/>
      <c r="O38" s="102"/>
      <c r="P38" s="102"/>
      <c r="Q38" s="102"/>
      <c r="R38" s="102"/>
      <c r="S38" s="102"/>
      <c r="T38" s="102"/>
      <c r="U38" s="102"/>
      <c r="V38" s="102"/>
      <c r="W38" s="102"/>
      <c r="X38" s="102"/>
      <c r="Y38" s="102"/>
      <c r="Z38" s="102"/>
      <c r="AA38" s="90"/>
    </row>
    <row r="39" spans="1:27" x14ac:dyDescent="0.35">
      <c r="A39" s="102"/>
      <c r="B39" s="102"/>
      <c r="C39" s="102"/>
      <c r="D39" s="102"/>
      <c r="E39" s="102"/>
      <c r="F39" s="102"/>
      <c r="G39" s="103"/>
      <c r="H39" s="102"/>
      <c r="I39" s="102"/>
      <c r="J39" s="102"/>
      <c r="K39" s="102"/>
      <c r="L39" s="102"/>
      <c r="M39" s="102"/>
      <c r="N39" s="102"/>
      <c r="O39" s="102"/>
      <c r="P39" s="102"/>
      <c r="Q39" s="102"/>
      <c r="R39" s="102"/>
      <c r="S39" s="102"/>
      <c r="T39" s="102"/>
      <c r="U39" s="102"/>
      <c r="V39" s="102"/>
      <c r="W39" s="102"/>
      <c r="X39" s="102"/>
      <c r="Y39" s="102"/>
      <c r="Z39" s="102"/>
      <c r="AA39" s="90"/>
    </row>
    <row r="40" spans="1:27" ht="15" thickBot="1" x14ac:dyDescent="0.4">
      <c r="A40" s="117" t="s">
        <v>548</v>
      </c>
      <c r="B40" s="102"/>
      <c r="C40" s="102"/>
      <c r="D40" s="102"/>
      <c r="E40" s="102"/>
      <c r="F40" s="102"/>
      <c r="G40" s="103"/>
      <c r="H40" s="102"/>
      <c r="I40" s="102"/>
      <c r="J40" s="102"/>
      <c r="K40" s="102"/>
      <c r="L40" s="102"/>
      <c r="M40" s="102"/>
      <c r="N40" s="102"/>
      <c r="O40" s="102"/>
      <c r="P40" s="102"/>
      <c r="Q40" s="102"/>
      <c r="R40" s="102"/>
      <c r="S40" s="102"/>
      <c r="T40" s="102"/>
      <c r="U40" s="102"/>
      <c r="V40" s="102"/>
      <c r="W40" s="102"/>
      <c r="X40" s="102"/>
      <c r="Y40" s="102"/>
      <c r="Z40" s="102"/>
      <c r="AA40" s="90"/>
    </row>
    <row r="41" spans="1:27" ht="16.5" x14ac:dyDescent="0.45">
      <c r="A41" s="105"/>
      <c r="B41" s="106"/>
      <c r="C41" s="106"/>
      <c r="D41" s="106"/>
      <c r="E41" s="106"/>
      <c r="F41" s="106"/>
      <c r="G41" s="124" t="s">
        <v>285</v>
      </c>
      <c r="H41" s="142">
        <f>Variable_Management!B117*(10^9)</f>
        <v>325</v>
      </c>
      <c r="I41" s="108" t="s">
        <v>183</v>
      </c>
      <c r="J41" s="102"/>
      <c r="K41" s="102"/>
      <c r="L41" s="102"/>
      <c r="M41" s="102"/>
      <c r="N41" s="102"/>
      <c r="O41" s="102"/>
      <c r="P41" s="102"/>
      <c r="Q41" s="102"/>
      <c r="R41" s="102"/>
      <c r="S41" s="102"/>
      <c r="T41" s="102"/>
      <c r="U41" s="102"/>
      <c r="V41" s="102"/>
      <c r="W41" s="102"/>
      <c r="X41" s="102"/>
      <c r="Y41" s="102"/>
      <c r="Z41" s="102"/>
      <c r="AA41" s="90"/>
    </row>
    <row r="42" spans="1:27" ht="16.5" x14ac:dyDescent="0.45">
      <c r="A42" s="109"/>
      <c r="B42" s="102"/>
      <c r="C42" s="102"/>
      <c r="D42" s="102"/>
      <c r="E42" s="102"/>
      <c r="F42" s="102"/>
      <c r="G42" s="103" t="s">
        <v>290</v>
      </c>
      <c r="H42" s="134">
        <v>10</v>
      </c>
      <c r="I42" s="111" t="s">
        <v>286</v>
      </c>
      <c r="J42" s="102"/>
      <c r="K42" s="102"/>
      <c r="L42" s="102"/>
      <c r="M42" s="102"/>
      <c r="N42" s="102"/>
      <c r="O42" s="102"/>
      <c r="P42" s="102"/>
      <c r="Q42" s="102"/>
      <c r="R42" s="102"/>
      <c r="S42" s="102"/>
      <c r="T42" s="102"/>
      <c r="U42" s="102"/>
      <c r="V42" s="102"/>
      <c r="W42" s="102"/>
      <c r="X42" s="102"/>
      <c r="Y42" s="102"/>
      <c r="Z42" s="102"/>
      <c r="AA42" s="90"/>
    </row>
    <row r="43" spans="1:27" ht="17" thickBot="1" x14ac:dyDescent="0.5">
      <c r="A43" s="119"/>
      <c r="B43" s="115"/>
      <c r="C43" s="115"/>
      <c r="D43" s="115"/>
      <c r="E43" s="115"/>
      <c r="F43" s="115"/>
      <c r="G43" s="122" t="s">
        <v>289</v>
      </c>
      <c r="H43" s="143">
        <f>Variable_Management!B119*(10^9)</f>
        <v>212.76595744680853</v>
      </c>
      <c r="I43" s="116" t="s">
        <v>183</v>
      </c>
      <c r="J43" s="102"/>
      <c r="K43" s="102"/>
      <c r="L43" s="102"/>
      <c r="M43" s="102"/>
      <c r="N43" s="102"/>
      <c r="O43" s="102"/>
      <c r="P43" s="102"/>
      <c r="Q43" s="102"/>
      <c r="R43" s="102"/>
      <c r="S43" s="102"/>
      <c r="T43" s="102"/>
      <c r="U43" s="102"/>
      <c r="V43" s="102"/>
      <c r="W43" s="102"/>
      <c r="X43" s="102"/>
      <c r="Y43" s="102"/>
      <c r="Z43" s="102"/>
      <c r="AA43" s="90"/>
    </row>
    <row r="44" spans="1:27" x14ac:dyDescent="0.3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90"/>
    </row>
    <row r="45" spans="1:27" ht="15" thickBot="1" x14ac:dyDescent="0.4">
      <c r="A45" s="117" t="s">
        <v>547</v>
      </c>
      <c r="B45" s="102"/>
      <c r="C45" s="102"/>
      <c r="D45" s="102"/>
      <c r="E45" s="102"/>
      <c r="F45" s="102"/>
      <c r="G45" s="103"/>
      <c r="H45" s="102"/>
      <c r="I45" s="102"/>
      <c r="J45" s="102"/>
      <c r="K45" s="102"/>
      <c r="L45" s="102"/>
      <c r="M45" s="102"/>
      <c r="N45" s="102"/>
      <c r="O45" s="102"/>
      <c r="P45" s="102"/>
      <c r="Q45" s="102"/>
      <c r="R45" s="102"/>
      <c r="S45" s="102"/>
      <c r="T45" s="102"/>
      <c r="U45" s="102"/>
      <c r="V45" s="102"/>
      <c r="W45" s="102"/>
      <c r="X45" s="102"/>
      <c r="Y45" s="102"/>
      <c r="Z45" s="102"/>
      <c r="AA45" s="90"/>
    </row>
    <row r="46" spans="1:27" ht="16.5" x14ac:dyDescent="0.45">
      <c r="A46" s="105"/>
      <c r="B46" s="106"/>
      <c r="C46" s="106"/>
      <c r="D46" s="106"/>
      <c r="E46" s="106"/>
      <c r="F46" s="106"/>
      <c r="G46" s="124" t="s">
        <v>542</v>
      </c>
      <c r="H46" s="133">
        <v>3</v>
      </c>
      <c r="I46" s="108" t="s">
        <v>10</v>
      </c>
      <c r="J46" s="102"/>
      <c r="K46" s="102"/>
      <c r="L46" s="102"/>
      <c r="M46" s="102"/>
      <c r="N46" s="102"/>
      <c r="O46" s="102"/>
      <c r="P46" s="102"/>
      <c r="Q46" s="102"/>
      <c r="R46" s="102"/>
      <c r="S46" s="102"/>
      <c r="T46" s="102"/>
      <c r="U46" s="102"/>
      <c r="V46" s="102"/>
      <c r="W46" s="102"/>
      <c r="X46" s="102"/>
      <c r="Y46" s="102"/>
      <c r="Z46" s="102"/>
      <c r="AA46" s="90"/>
    </row>
    <row r="47" spans="1:27" ht="16.5" x14ac:dyDescent="0.45">
      <c r="A47" s="109"/>
      <c r="B47" s="102"/>
      <c r="C47" s="102"/>
      <c r="D47" s="102"/>
      <c r="E47" s="102"/>
      <c r="F47" s="102"/>
      <c r="G47" s="103" t="s">
        <v>543</v>
      </c>
      <c r="H47" s="134">
        <v>2</v>
      </c>
      <c r="I47" s="111" t="s">
        <v>10</v>
      </c>
      <c r="J47" s="102"/>
      <c r="K47" s="102"/>
      <c r="L47" s="102"/>
      <c r="M47" s="102"/>
      <c r="N47" s="102"/>
      <c r="O47" s="102"/>
      <c r="P47" s="102"/>
      <c r="Q47" s="102"/>
      <c r="R47" s="102"/>
      <c r="S47" s="102"/>
      <c r="T47" s="102"/>
      <c r="U47" s="102"/>
      <c r="V47" s="102"/>
      <c r="W47" s="102"/>
      <c r="X47" s="102"/>
      <c r="Y47" s="102"/>
      <c r="Z47" s="102"/>
      <c r="AA47" s="90"/>
    </row>
    <row r="48" spans="1:27" ht="16.5" x14ac:dyDescent="0.45">
      <c r="A48" s="109"/>
      <c r="B48" s="102"/>
      <c r="C48" s="102"/>
      <c r="D48" s="102"/>
      <c r="E48" s="102"/>
      <c r="F48" s="102"/>
      <c r="G48" s="103" t="s">
        <v>544</v>
      </c>
      <c r="H48" s="141">
        <f>Ruvlo_top_calc/1000</f>
        <v>93.181818181818173</v>
      </c>
      <c r="I48" s="121" t="s">
        <v>181</v>
      </c>
      <c r="J48" s="102"/>
      <c r="K48" s="102"/>
      <c r="L48" s="102"/>
      <c r="M48" s="102"/>
      <c r="N48" s="102"/>
      <c r="O48" s="102"/>
      <c r="P48" s="102"/>
      <c r="Q48" s="102"/>
      <c r="R48" s="102"/>
      <c r="S48" s="102"/>
      <c r="T48" s="102"/>
      <c r="U48" s="102"/>
      <c r="V48" s="102"/>
      <c r="W48" s="102"/>
      <c r="X48" s="102"/>
      <c r="Y48" s="102"/>
      <c r="Z48" s="102"/>
      <c r="AA48" s="90"/>
    </row>
    <row r="49" spans="1:27" ht="16.5" x14ac:dyDescent="0.45">
      <c r="A49" s="109"/>
      <c r="B49" s="102"/>
      <c r="C49" s="102"/>
      <c r="D49" s="102"/>
      <c r="E49" s="102"/>
      <c r="F49" s="102"/>
      <c r="G49" s="103" t="s">
        <v>545</v>
      </c>
      <c r="H49" s="134">
        <v>80.599999999999994</v>
      </c>
      <c r="I49" s="121" t="s">
        <v>181</v>
      </c>
      <c r="J49" s="102"/>
      <c r="K49" s="102"/>
      <c r="L49" s="102"/>
      <c r="M49" s="102"/>
      <c r="N49" s="102"/>
      <c r="O49" s="102"/>
      <c r="P49" s="102"/>
      <c r="Q49" s="102"/>
      <c r="R49" s="102"/>
      <c r="S49" s="102"/>
      <c r="T49" s="102"/>
      <c r="U49" s="102"/>
      <c r="V49" s="102"/>
      <c r="W49" s="102"/>
      <c r="X49" s="102"/>
      <c r="Y49" s="102"/>
      <c r="Z49" s="102"/>
      <c r="AA49" s="90"/>
    </row>
    <row r="50" spans="1:27" ht="17" thickBot="1" x14ac:dyDescent="0.5">
      <c r="A50" s="119"/>
      <c r="B50" s="115"/>
      <c r="C50" s="115"/>
      <c r="D50" s="115"/>
      <c r="E50" s="115"/>
      <c r="F50" s="115"/>
      <c r="G50" s="122" t="s">
        <v>546</v>
      </c>
      <c r="H50" s="167">
        <f>Ruvlo_bottom_calc/1000</f>
        <v>46.663157894736848</v>
      </c>
      <c r="I50" s="123" t="s">
        <v>181</v>
      </c>
      <c r="J50" s="102"/>
      <c r="K50" s="102"/>
      <c r="L50" s="102"/>
      <c r="M50" s="102"/>
      <c r="N50" s="102"/>
      <c r="O50" s="102"/>
      <c r="P50" s="102"/>
      <c r="Q50" s="102"/>
      <c r="R50" s="102"/>
      <c r="S50" s="102"/>
      <c r="T50" s="102"/>
      <c r="U50" s="102"/>
      <c r="V50" s="102"/>
      <c r="W50" s="102"/>
      <c r="X50" s="102"/>
      <c r="Y50" s="102"/>
      <c r="Z50" s="102"/>
      <c r="AA50" s="90"/>
    </row>
    <row r="51" spans="1:27" x14ac:dyDescent="0.35">
      <c r="A51" s="102"/>
      <c r="B51" s="102"/>
      <c r="C51" s="102"/>
      <c r="D51" s="102"/>
      <c r="E51" s="102"/>
      <c r="F51" s="102"/>
      <c r="G51" s="103"/>
      <c r="H51" s="102"/>
      <c r="I51" s="102"/>
      <c r="J51" s="102"/>
      <c r="K51" s="102"/>
      <c r="L51" s="102"/>
      <c r="M51" s="102"/>
      <c r="N51" s="102"/>
      <c r="O51" s="102"/>
      <c r="P51" s="102"/>
      <c r="Q51" s="102"/>
      <c r="R51" s="102"/>
      <c r="S51" s="102"/>
      <c r="T51" s="102"/>
      <c r="U51" s="102"/>
      <c r="V51" s="102"/>
      <c r="W51" s="102"/>
      <c r="X51" s="102"/>
      <c r="Y51" s="102"/>
      <c r="Z51" s="102"/>
      <c r="AA51" s="90"/>
    </row>
    <row r="52" spans="1:27" x14ac:dyDescent="0.35">
      <c r="A52" s="102"/>
      <c r="B52" s="102"/>
      <c r="C52" s="102"/>
      <c r="D52" s="102"/>
      <c r="E52" s="102"/>
      <c r="F52" s="102"/>
      <c r="G52" s="103"/>
      <c r="H52" s="102"/>
      <c r="I52" s="102"/>
      <c r="J52" s="102"/>
      <c r="K52" s="102"/>
      <c r="L52" s="102"/>
      <c r="M52" s="102"/>
      <c r="N52" s="102"/>
      <c r="O52" s="102"/>
      <c r="P52" s="102"/>
      <c r="Q52" s="102"/>
      <c r="R52" s="102"/>
      <c r="S52" s="102"/>
      <c r="T52" s="102"/>
      <c r="U52" s="102"/>
      <c r="V52" s="102"/>
      <c r="W52" s="102"/>
      <c r="X52" s="102"/>
      <c r="Y52" s="102"/>
      <c r="Z52" s="102"/>
      <c r="AA52" s="90"/>
    </row>
    <row r="53" spans="1:27" ht="15" thickBot="1" x14ac:dyDescent="0.4">
      <c r="A53" s="117" t="s">
        <v>313</v>
      </c>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90"/>
    </row>
    <row r="54" spans="1:27" ht="16.5" x14ac:dyDescent="0.45">
      <c r="A54" s="125"/>
      <c r="B54" s="106"/>
      <c r="C54" s="106"/>
      <c r="D54" s="106"/>
      <c r="E54" s="106"/>
      <c r="F54" s="106"/>
      <c r="G54" s="126" t="s">
        <v>416</v>
      </c>
      <c r="H54" s="144" t="str">
        <f>VIN_nom&amp;"V"</f>
        <v>5V</v>
      </c>
      <c r="I54" s="108"/>
      <c r="J54" s="102"/>
      <c r="K54" s="102"/>
      <c r="L54" s="102"/>
      <c r="M54" s="102"/>
      <c r="N54" s="102"/>
      <c r="O54" s="102"/>
      <c r="P54" s="102"/>
      <c r="Q54" s="102"/>
      <c r="R54" s="102"/>
      <c r="S54" s="102"/>
      <c r="T54" s="102"/>
      <c r="U54" s="102"/>
      <c r="V54" s="102"/>
      <c r="W54" s="102"/>
      <c r="X54" s="102"/>
      <c r="Y54" s="102"/>
      <c r="Z54" s="102"/>
      <c r="AA54" s="90"/>
    </row>
    <row r="55" spans="1:27" x14ac:dyDescent="0.35">
      <c r="A55" s="109"/>
      <c r="B55" s="102"/>
      <c r="C55" s="102"/>
      <c r="D55" s="102"/>
      <c r="E55" s="102"/>
      <c r="F55" s="102"/>
      <c r="G55" s="128" t="s">
        <v>564</v>
      </c>
      <c r="H55" s="145"/>
      <c r="I55" s="111"/>
      <c r="J55" s="102"/>
      <c r="K55" s="102"/>
      <c r="L55" s="102"/>
      <c r="M55" s="102"/>
      <c r="N55" s="102"/>
      <c r="O55" s="102"/>
      <c r="P55" s="102"/>
      <c r="Q55" s="102"/>
      <c r="R55" s="102"/>
      <c r="S55" s="102"/>
      <c r="T55" s="102"/>
      <c r="U55" s="102"/>
      <c r="V55" s="102"/>
      <c r="W55" s="102"/>
      <c r="X55" s="102"/>
      <c r="Y55" s="102"/>
      <c r="Z55" s="102"/>
      <c r="AA55" s="90"/>
    </row>
    <row r="56" spans="1:27" x14ac:dyDescent="0.35">
      <c r="A56" s="127"/>
      <c r="B56" s="102"/>
      <c r="C56" s="102"/>
      <c r="D56" s="102"/>
      <c r="E56" s="102"/>
      <c r="F56" s="102"/>
      <c r="G56" s="103" t="s">
        <v>519</v>
      </c>
      <c r="H56" s="147" t="str">
        <f>CHOOSE(VOUT_range,"Low","High")</f>
        <v>High</v>
      </c>
      <c r="I56" s="111"/>
      <c r="J56" s="102"/>
      <c r="K56" s="102"/>
      <c r="L56" s="102"/>
      <c r="M56" s="102"/>
      <c r="N56" s="102"/>
      <c r="O56" s="102"/>
      <c r="P56" s="102"/>
      <c r="Q56" s="102"/>
      <c r="R56" s="102"/>
      <c r="S56" s="102"/>
      <c r="T56" s="102"/>
      <c r="U56" s="102"/>
      <c r="V56" s="102"/>
      <c r="W56" s="102"/>
      <c r="X56" s="102"/>
      <c r="Y56" s="102"/>
      <c r="Z56" s="102"/>
      <c r="AA56" s="90"/>
    </row>
    <row r="57" spans="1:27" ht="16.5" x14ac:dyDescent="0.45">
      <c r="A57" s="127"/>
      <c r="B57" s="102"/>
      <c r="C57" s="102"/>
      <c r="D57" s="102"/>
      <c r="E57" s="102"/>
      <c r="F57" s="102"/>
      <c r="G57" s="103" t="s">
        <v>566</v>
      </c>
      <c r="H57" s="146">
        <f>VTRK</f>
        <v>0.83333333333333337</v>
      </c>
      <c r="I57" s="121" t="s">
        <v>10</v>
      </c>
      <c r="J57" s="102"/>
      <c r="K57" s="102"/>
      <c r="L57" s="102"/>
      <c r="M57" s="102"/>
      <c r="N57" s="102"/>
      <c r="O57" s="102"/>
      <c r="P57" s="102"/>
      <c r="Q57" s="102"/>
      <c r="R57" s="102"/>
      <c r="S57" s="102"/>
      <c r="T57" s="102"/>
      <c r="U57" s="102"/>
      <c r="V57" s="102"/>
      <c r="W57" s="102"/>
      <c r="X57" s="102"/>
      <c r="Y57" s="102"/>
      <c r="Z57" s="102"/>
      <c r="AA57" s="90"/>
    </row>
    <row r="58" spans="1:27" ht="16.5" x14ac:dyDescent="0.45">
      <c r="A58" s="127"/>
      <c r="B58" s="102"/>
      <c r="C58" s="102"/>
      <c r="D58" s="102"/>
      <c r="E58" s="102"/>
      <c r="F58" s="102"/>
      <c r="G58" s="103" t="s">
        <v>599</v>
      </c>
      <c r="H58" s="163">
        <f>Variable_Management!B144/1000</f>
        <v>3.3333333333333321</v>
      </c>
      <c r="I58" s="121" t="s">
        <v>181</v>
      </c>
      <c r="J58" s="102"/>
      <c r="K58" s="102"/>
      <c r="L58" s="102"/>
      <c r="M58" s="102"/>
      <c r="N58" s="102"/>
      <c r="O58" s="102"/>
      <c r="P58" s="102"/>
      <c r="Q58" s="102"/>
      <c r="R58" s="102"/>
      <c r="S58" s="102"/>
      <c r="T58" s="102"/>
      <c r="U58" s="102"/>
      <c r="V58" s="102"/>
      <c r="W58" s="102"/>
      <c r="X58" s="102"/>
      <c r="Y58" s="102"/>
      <c r="Z58" s="102"/>
      <c r="AA58" s="90"/>
    </row>
    <row r="59" spans="1:27" ht="16.5" x14ac:dyDescent="0.45">
      <c r="A59" s="127"/>
      <c r="B59" s="102"/>
      <c r="C59" s="102"/>
      <c r="D59" s="102"/>
      <c r="E59" s="102"/>
      <c r="F59" s="102"/>
      <c r="G59" s="103" t="s">
        <v>600</v>
      </c>
      <c r="H59" s="163">
        <f>Variable_Management!B143/1000</f>
        <v>5.8333333333333321</v>
      </c>
      <c r="I59" s="121" t="s">
        <v>181</v>
      </c>
      <c r="J59" s="102"/>
      <c r="K59" s="102"/>
      <c r="L59" s="102"/>
      <c r="M59" s="102"/>
      <c r="N59" s="102"/>
      <c r="O59" s="102"/>
      <c r="P59" s="102"/>
      <c r="Q59" s="102"/>
      <c r="R59" s="102"/>
      <c r="S59" s="102"/>
      <c r="T59" s="102"/>
      <c r="U59" s="102"/>
      <c r="V59" s="102"/>
      <c r="W59" s="102"/>
      <c r="X59" s="102"/>
      <c r="Y59" s="102"/>
      <c r="Z59" s="102"/>
      <c r="AA59" s="90"/>
    </row>
    <row r="60" spans="1:27" ht="16.5" x14ac:dyDescent="0.45">
      <c r="A60" s="127"/>
      <c r="B60" s="102"/>
      <c r="C60" s="102"/>
      <c r="D60" s="102"/>
      <c r="E60" s="102"/>
      <c r="F60" s="102"/>
      <c r="G60" s="103" t="s">
        <v>592</v>
      </c>
      <c r="H60" s="134">
        <v>6.98</v>
      </c>
      <c r="I60" s="121" t="s">
        <v>181</v>
      </c>
      <c r="J60" s="102"/>
      <c r="K60" s="102"/>
      <c r="L60" s="102"/>
      <c r="M60" s="102"/>
      <c r="N60" s="102"/>
      <c r="O60" s="102"/>
      <c r="P60" s="102"/>
      <c r="Q60" s="102"/>
      <c r="R60" s="102"/>
      <c r="S60" s="102"/>
      <c r="T60" s="102"/>
      <c r="U60" s="102"/>
      <c r="V60" s="102"/>
      <c r="W60" s="102"/>
      <c r="X60" s="102"/>
      <c r="Y60" s="102"/>
      <c r="Z60" s="102"/>
      <c r="AA60" s="90"/>
    </row>
    <row r="61" spans="1:27" ht="16.5" x14ac:dyDescent="0.45">
      <c r="A61" s="109"/>
      <c r="B61" s="102"/>
      <c r="C61" s="102"/>
      <c r="D61" s="102"/>
      <c r="E61" s="102"/>
      <c r="F61" s="102"/>
      <c r="G61" s="103" t="s">
        <v>565</v>
      </c>
      <c r="H61" s="185">
        <f>RFBB_calc/1000</f>
        <v>34.900000000000006</v>
      </c>
      <c r="I61" s="121" t="s">
        <v>181</v>
      </c>
      <c r="J61" s="102"/>
      <c r="K61" s="102"/>
      <c r="L61" s="102"/>
      <c r="M61" s="102"/>
      <c r="N61" s="102"/>
      <c r="O61" s="102"/>
      <c r="P61" s="102"/>
      <c r="Q61" s="102"/>
      <c r="R61" s="102"/>
      <c r="S61" s="102"/>
      <c r="T61" s="102"/>
      <c r="U61" s="102"/>
      <c r="V61" s="102"/>
      <c r="W61" s="102"/>
      <c r="X61" s="102"/>
      <c r="Y61" s="102"/>
      <c r="Z61" s="102"/>
      <c r="AA61" s="90"/>
    </row>
    <row r="62" spans="1:27" ht="16.5" x14ac:dyDescent="0.45">
      <c r="A62" s="109"/>
      <c r="B62" s="102"/>
      <c r="C62" s="102"/>
      <c r="D62" s="102"/>
      <c r="E62" s="102"/>
      <c r="F62" s="102"/>
      <c r="G62" s="103" t="s">
        <v>596</v>
      </c>
      <c r="H62" s="134">
        <v>28</v>
      </c>
      <c r="I62" s="121" t="s">
        <v>181</v>
      </c>
      <c r="J62" s="102"/>
      <c r="K62" s="102"/>
      <c r="L62" s="102"/>
      <c r="M62" s="102"/>
      <c r="N62" s="102"/>
      <c r="O62" s="102"/>
      <c r="P62" s="102"/>
      <c r="Q62" s="102"/>
      <c r="R62" s="102"/>
      <c r="S62" s="102"/>
      <c r="T62" s="102"/>
      <c r="U62" s="102"/>
      <c r="V62" s="102"/>
      <c r="W62" s="102"/>
      <c r="X62" s="102"/>
      <c r="Y62" s="102"/>
      <c r="Z62" s="102"/>
      <c r="AA62" s="90"/>
    </row>
    <row r="63" spans="1:27" x14ac:dyDescent="0.35">
      <c r="A63" s="109"/>
      <c r="B63" s="102"/>
      <c r="C63" s="102"/>
      <c r="D63" s="102"/>
      <c r="E63" s="102"/>
      <c r="F63" s="102"/>
      <c r="G63" s="103"/>
      <c r="H63" s="136"/>
      <c r="I63" s="121"/>
      <c r="J63" s="102"/>
      <c r="K63" s="102"/>
      <c r="L63" s="102"/>
      <c r="M63" s="102"/>
      <c r="N63" s="102"/>
      <c r="O63" s="102"/>
      <c r="P63" s="102"/>
      <c r="Q63" s="102"/>
      <c r="R63" s="102"/>
      <c r="S63" s="102"/>
      <c r="T63" s="102"/>
      <c r="U63" s="102"/>
      <c r="V63" s="102"/>
      <c r="W63" s="102"/>
      <c r="X63" s="102"/>
      <c r="Y63" s="102"/>
      <c r="Z63" s="102"/>
      <c r="AA63" s="90"/>
    </row>
    <row r="64" spans="1:27" ht="16.5" x14ac:dyDescent="0.45">
      <c r="A64" s="109"/>
      <c r="B64" s="102"/>
      <c r="C64" s="102"/>
      <c r="D64" s="102"/>
      <c r="E64" s="102"/>
      <c r="F64" s="102"/>
      <c r="G64" s="103" t="s">
        <v>598</v>
      </c>
      <c r="H64" s="163">
        <f>fcross_est/1000</f>
        <v>0.23873241463784298</v>
      </c>
      <c r="I64" s="111" t="s">
        <v>12</v>
      </c>
      <c r="J64" s="102"/>
      <c r="K64" s="102"/>
      <c r="L64" s="102"/>
      <c r="M64" s="102"/>
      <c r="N64" s="102"/>
      <c r="O64" s="102"/>
      <c r="P64" s="102"/>
      <c r="Q64" s="102"/>
      <c r="R64" s="102"/>
      <c r="S64" s="102"/>
      <c r="T64" s="102"/>
      <c r="U64" s="102"/>
      <c r="V64" s="102"/>
      <c r="W64" s="102"/>
      <c r="X64" s="102"/>
      <c r="Y64" s="102"/>
      <c r="Z64" s="102"/>
      <c r="AA64" s="90"/>
    </row>
    <row r="65" spans="1:27" ht="16.5" x14ac:dyDescent="0.45">
      <c r="A65" s="109"/>
      <c r="B65" s="102"/>
      <c r="C65" s="102"/>
      <c r="D65" s="102"/>
      <c r="E65" s="102"/>
      <c r="F65" s="102"/>
      <c r="G65" s="103" t="s">
        <v>597</v>
      </c>
      <c r="H65" s="134">
        <v>0.4</v>
      </c>
      <c r="I65" s="111" t="s">
        <v>12</v>
      </c>
      <c r="J65" s="102"/>
      <c r="K65" s="102"/>
      <c r="L65" s="102"/>
      <c r="M65" s="102"/>
      <c r="N65" s="102"/>
      <c r="O65" s="102"/>
      <c r="P65" s="102"/>
      <c r="Q65" s="102"/>
      <c r="R65" s="102"/>
      <c r="S65" s="102"/>
      <c r="T65" s="102"/>
      <c r="U65" s="102"/>
      <c r="V65" s="102"/>
      <c r="W65" s="102"/>
      <c r="X65" s="102"/>
      <c r="Y65" s="102"/>
      <c r="Z65" s="102"/>
      <c r="AA65" s="90"/>
    </row>
    <row r="66" spans="1:27" x14ac:dyDescent="0.35">
      <c r="A66" s="109"/>
      <c r="B66" s="102"/>
      <c r="C66" s="102"/>
      <c r="D66" s="102"/>
      <c r="E66" s="102"/>
      <c r="F66" s="102"/>
      <c r="G66" s="103"/>
      <c r="H66" s="136"/>
      <c r="I66" s="111"/>
      <c r="J66" s="102"/>
      <c r="K66" s="102"/>
      <c r="L66" s="102"/>
      <c r="M66" s="102"/>
      <c r="N66" s="102"/>
      <c r="O66" s="102"/>
      <c r="P66" s="102"/>
      <c r="Q66" s="102"/>
      <c r="R66" s="102"/>
      <c r="S66" s="102"/>
      <c r="T66" s="102"/>
      <c r="U66" s="102"/>
      <c r="V66" s="102"/>
      <c r="W66" s="102"/>
      <c r="X66" s="102"/>
      <c r="Y66" s="102"/>
      <c r="Z66" s="102"/>
      <c r="AA66" s="90"/>
    </row>
    <row r="67" spans="1:27" ht="15" thickBot="1" x14ac:dyDescent="0.4">
      <c r="A67" s="109"/>
      <c r="B67" s="102"/>
      <c r="C67" s="102"/>
      <c r="D67" s="102"/>
      <c r="E67" s="102"/>
      <c r="F67" s="129" t="s">
        <v>266</v>
      </c>
      <c r="G67" s="129"/>
      <c r="H67" s="147" t="s">
        <v>267</v>
      </c>
      <c r="I67" s="130"/>
      <c r="J67" s="102"/>
      <c r="K67" s="102"/>
      <c r="L67" s="102"/>
      <c r="M67" s="102"/>
      <c r="N67" s="102"/>
      <c r="O67" s="102"/>
      <c r="P67" s="102"/>
      <c r="Q67" s="102"/>
      <c r="R67" s="102"/>
      <c r="S67" s="102"/>
      <c r="T67" s="102"/>
      <c r="U67" s="102"/>
      <c r="V67" s="102"/>
      <c r="W67" s="102"/>
      <c r="X67" s="102"/>
      <c r="Y67" s="102"/>
      <c r="Z67" s="102"/>
      <c r="AA67" s="90"/>
    </row>
    <row r="68" spans="1:27" ht="17" thickBot="1" x14ac:dyDescent="0.5">
      <c r="A68" s="109"/>
      <c r="B68" s="102"/>
      <c r="C68" s="102"/>
      <c r="D68" s="102"/>
      <c r="E68" s="103" t="s">
        <v>265</v>
      </c>
      <c r="F68" s="186">
        <f>RCOMP_Calc/1000</f>
        <v>29.213190095302654</v>
      </c>
      <c r="G68" s="169" t="s">
        <v>181</v>
      </c>
      <c r="H68" s="149">
        <v>5.3</v>
      </c>
      <c r="I68" s="121" t="s">
        <v>181</v>
      </c>
      <c r="J68" s="102"/>
      <c r="K68" s="102"/>
      <c r="L68" s="102"/>
      <c r="M68" s="102"/>
      <c r="N68" s="102"/>
      <c r="O68" s="102"/>
      <c r="P68" s="102"/>
      <c r="Q68" s="102"/>
      <c r="R68" s="102"/>
      <c r="S68" s="102"/>
      <c r="T68" s="102"/>
      <c r="U68" s="102"/>
      <c r="V68" s="102"/>
      <c r="W68" s="102"/>
      <c r="X68" s="102"/>
      <c r="Y68" s="102"/>
      <c r="Z68" s="102"/>
      <c r="AA68" s="90"/>
    </row>
    <row r="69" spans="1:27" ht="17" thickBot="1" x14ac:dyDescent="0.5">
      <c r="A69" s="109"/>
      <c r="B69" s="102"/>
      <c r="C69" s="102"/>
      <c r="D69" s="102"/>
      <c r="E69" s="103" t="s">
        <v>380</v>
      </c>
      <c r="F69" s="186">
        <f>CCOMP_Calc*(10^9)</f>
        <v>60.926335366996661</v>
      </c>
      <c r="G69" s="169" t="s">
        <v>183</v>
      </c>
      <c r="H69" s="149">
        <v>220</v>
      </c>
      <c r="I69" s="111" t="s">
        <v>183</v>
      </c>
      <c r="J69" s="102"/>
      <c r="K69" s="102"/>
      <c r="L69" s="102"/>
      <c r="M69" s="102"/>
      <c r="N69" s="102"/>
      <c r="O69" s="102"/>
      <c r="P69" s="102"/>
      <c r="Q69" s="102"/>
      <c r="R69" s="102"/>
      <c r="S69" s="102"/>
      <c r="T69" s="102"/>
      <c r="U69" s="102"/>
      <c r="V69" s="102"/>
      <c r="W69" s="102"/>
      <c r="X69" s="102"/>
      <c r="Y69" s="102"/>
      <c r="Z69" s="102"/>
      <c r="AA69" s="90"/>
    </row>
    <row r="70" spans="1:27" ht="17" thickBot="1" x14ac:dyDescent="0.5">
      <c r="A70" s="119"/>
      <c r="B70" s="115"/>
      <c r="C70" s="115"/>
      <c r="D70" s="115"/>
      <c r="E70" s="122" t="s">
        <v>381</v>
      </c>
      <c r="F70" s="148">
        <f>CHF_calc*(10^12)</f>
        <v>338.05876081558131</v>
      </c>
      <c r="G70" s="170" t="s">
        <v>182</v>
      </c>
      <c r="H70" s="140">
        <v>1500</v>
      </c>
      <c r="I70" s="116" t="s">
        <v>182</v>
      </c>
      <c r="J70" s="102"/>
      <c r="K70" s="102"/>
      <c r="L70" s="102"/>
      <c r="M70" s="102"/>
      <c r="N70" s="102"/>
      <c r="O70" s="102"/>
      <c r="P70" s="102"/>
      <c r="Q70" s="102"/>
      <c r="R70" s="102"/>
      <c r="S70" s="102"/>
      <c r="T70" s="102"/>
      <c r="U70" s="102"/>
      <c r="V70" s="102"/>
      <c r="W70" s="102"/>
      <c r="X70" s="102"/>
      <c r="Y70" s="102"/>
      <c r="Z70" s="102"/>
      <c r="AA70" s="90"/>
    </row>
    <row r="71" spans="1:27" x14ac:dyDescent="0.35">
      <c r="A71" s="92"/>
      <c r="B71" s="92"/>
      <c r="C71" s="92"/>
      <c r="D71" s="92"/>
      <c r="E71" s="93"/>
      <c r="F71" s="184"/>
      <c r="G71" s="93"/>
      <c r="H71" s="92"/>
      <c r="I71" s="92"/>
      <c r="J71" s="92"/>
      <c r="K71" s="92"/>
      <c r="L71" s="92"/>
      <c r="M71" s="92"/>
      <c r="N71" s="92"/>
      <c r="O71" s="92"/>
      <c r="P71" s="92"/>
      <c r="Q71" s="92"/>
      <c r="R71" s="92"/>
      <c r="S71" s="92"/>
      <c r="T71" s="92"/>
      <c r="U71" s="92"/>
      <c r="V71" s="92"/>
      <c r="W71" s="92"/>
      <c r="X71" s="92"/>
      <c r="Y71" s="92"/>
      <c r="Z71" s="92"/>
      <c r="AA71" s="90"/>
    </row>
    <row r="72" spans="1:27" s="159" customFormat="1" ht="23.5" x14ac:dyDescent="0.55000000000000004">
      <c r="A72" s="171" t="s">
        <v>264</v>
      </c>
      <c r="B72" s="172"/>
      <c r="C72" s="172"/>
      <c r="D72" s="172"/>
      <c r="E72" s="172"/>
      <c r="F72" s="172"/>
      <c r="G72" s="173"/>
      <c r="H72" s="172"/>
      <c r="I72" s="172"/>
      <c r="J72" s="172"/>
      <c r="K72" s="172"/>
      <c r="L72" s="172"/>
      <c r="M72" s="172"/>
      <c r="N72" s="172"/>
      <c r="O72" s="172"/>
      <c r="P72" s="172"/>
      <c r="Q72" s="172"/>
      <c r="R72" s="172"/>
      <c r="S72" s="172"/>
      <c r="T72" s="172"/>
      <c r="U72" s="172"/>
      <c r="V72" s="172"/>
      <c r="W72" s="172"/>
      <c r="X72" s="174"/>
      <c r="Y72" s="174"/>
      <c r="Z72" s="174"/>
      <c r="AA72" s="189"/>
    </row>
    <row r="73" spans="1:27" s="159" customFormat="1" x14ac:dyDescent="0.35">
      <c r="A73" s="172"/>
      <c r="B73" s="172"/>
      <c r="C73" s="172"/>
      <c r="D73" s="172"/>
      <c r="E73" s="172"/>
      <c r="F73" s="172"/>
      <c r="G73" s="172"/>
      <c r="H73" s="172"/>
      <c r="I73" s="172"/>
      <c r="J73" s="172"/>
      <c r="K73" s="172"/>
      <c r="L73" s="172"/>
      <c r="M73" s="172"/>
      <c r="N73" s="172"/>
      <c r="O73" s="172"/>
      <c r="P73" s="172"/>
      <c r="Q73" s="172"/>
      <c r="R73" s="172"/>
      <c r="S73" s="172"/>
      <c r="T73" s="172"/>
      <c r="U73" s="172"/>
      <c r="V73" s="172"/>
      <c r="W73" s="172"/>
      <c r="X73" s="174"/>
      <c r="Y73" s="174"/>
      <c r="Z73" s="174"/>
      <c r="AA73" s="189"/>
    </row>
    <row r="74" spans="1:27" s="159" customFormat="1" ht="17" thickBot="1" x14ac:dyDescent="0.5">
      <c r="A74" s="175" t="s">
        <v>594</v>
      </c>
      <c r="B74" s="172"/>
      <c r="C74" s="172"/>
      <c r="D74" s="172"/>
      <c r="E74" s="172"/>
      <c r="F74" s="172"/>
      <c r="G74" s="172"/>
      <c r="H74" s="172"/>
      <c r="I74" s="172"/>
      <c r="J74" s="172"/>
      <c r="K74" s="172"/>
      <c r="L74" s="172"/>
      <c r="M74" s="172"/>
      <c r="N74" s="172"/>
      <c r="O74" s="172"/>
      <c r="P74" s="172"/>
      <c r="Q74" s="172"/>
      <c r="R74" s="172"/>
      <c r="S74" s="172"/>
      <c r="T74" s="172"/>
      <c r="U74" s="172"/>
      <c r="V74" s="172"/>
      <c r="W74" s="172"/>
      <c r="X74" s="174"/>
      <c r="Y74" s="174"/>
      <c r="Z74" s="174"/>
      <c r="AA74" s="189"/>
    </row>
    <row r="75" spans="1:27" s="159" customFormat="1" ht="15.5" x14ac:dyDescent="0.4">
      <c r="A75" s="190"/>
      <c r="B75" s="191"/>
      <c r="C75" s="191"/>
      <c r="D75" s="191"/>
      <c r="E75" s="191"/>
      <c r="F75" s="191"/>
      <c r="G75" s="192" t="s">
        <v>510</v>
      </c>
      <c r="H75" s="207">
        <v>8.8000000000000007</v>
      </c>
      <c r="I75" s="193" t="s">
        <v>334</v>
      </c>
      <c r="J75" s="172"/>
      <c r="K75" s="172"/>
      <c r="L75" s="172"/>
      <c r="M75" s="172"/>
      <c r="N75" s="172"/>
      <c r="O75" s="172"/>
      <c r="P75" s="172"/>
      <c r="Q75" s="172"/>
      <c r="R75" s="172"/>
      <c r="S75" s="172"/>
      <c r="T75" s="172"/>
      <c r="U75" s="172"/>
      <c r="V75" s="172"/>
      <c r="W75" s="172"/>
      <c r="X75" s="174"/>
      <c r="Y75" s="174"/>
      <c r="Z75" s="174"/>
      <c r="AA75" s="189"/>
    </row>
    <row r="76" spans="1:27" s="159" customFormat="1" ht="15.5" x14ac:dyDescent="0.4">
      <c r="A76" s="194"/>
      <c r="B76" s="172"/>
      <c r="C76" s="172"/>
      <c r="D76" s="172"/>
      <c r="E76" s="172"/>
      <c r="F76" s="172"/>
      <c r="G76" s="176" t="s">
        <v>511</v>
      </c>
      <c r="H76" s="208">
        <v>9</v>
      </c>
      <c r="I76" s="195" t="s">
        <v>335</v>
      </c>
      <c r="J76" s="172"/>
      <c r="K76" s="172"/>
      <c r="L76" s="172"/>
      <c r="M76" s="172"/>
      <c r="N76" s="172"/>
      <c r="O76" s="172"/>
      <c r="P76" s="172"/>
      <c r="Q76" s="172"/>
      <c r="R76" s="172"/>
      <c r="S76" s="172"/>
      <c r="T76" s="172"/>
      <c r="U76" s="172"/>
      <c r="V76" s="172"/>
      <c r="W76" s="172"/>
      <c r="X76" s="174"/>
      <c r="Y76" s="174"/>
      <c r="Z76" s="174"/>
      <c r="AA76" s="189"/>
    </row>
    <row r="77" spans="1:27" s="159" customFormat="1" ht="15.5" x14ac:dyDescent="0.4">
      <c r="A77" s="194"/>
      <c r="B77" s="172"/>
      <c r="C77" s="172"/>
      <c r="D77" s="172"/>
      <c r="E77" s="172"/>
      <c r="F77" s="172"/>
      <c r="G77" s="176" t="s">
        <v>512</v>
      </c>
      <c r="H77" s="208">
        <v>2.4</v>
      </c>
      <c r="I77" s="195" t="s">
        <v>335</v>
      </c>
      <c r="J77" s="172"/>
      <c r="K77" s="172"/>
      <c r="L77" s="172"/>
      <c r="M77" s="172"/>
      <c r="N77" s="172"/>
      <c r="O77" s="172"/>
      <c r="P77" s="172"/>
      <c r="Q77" s="172"/>
      <c r="R77" s="172"/>
      <c r="S77" s="172"/>
      <c r="T77" s="172"/>
      <c r="U77" s="172"/>
      <c r="V77" s="172"/>
      <c r="W77" s="172"/>
      <c r="X77" s="174"/>
      <c r="Y77" s="174"/>
      <c r="Z77" s="174"/>
      <c r="AA77" s="189"/>
    </row>
    <row r="78" spans="1:27" s="159" customFormat="1" ht="15.5" x14ac:dyDescent="0.4">
      <c r="A78" s="196"/>
      <c r="B78" s="172"/>
      <c r="C78" s="172"/>
      <c r="D78" s="172"/>
      <c r="E78" s="172"/>
      <c r="F78" s="172"/>
      <c r="G78" s="176" t="s">
        <v>513</v>
      </c>
      <c r="H78" s="208">
        <v>4.5</v>
      </c>
      <c r="I78" s="195" t="s">
        <v>335</v>
      </c>
      <c r="J78" s="172"/>
      <c r="K78" s="172"/>
      <c r="L78" s="172"/>
      <c r="M78" s="172"/>
      <c r="N78" s="172"/>
      <c r="O78" s="172"/>
      <c r="P78" s="172"/>
      <c r="Q78" s="172"/>
      <c r="R78" s="172"/>
      <c r="S78" s="172"/>
      <c r="T78" s="172"/>
      <c r="U78" s="172"/>
      <c r="V78" s="172"/>
      <c r="W78" s="172"/>
      <c r="X78" s="174"/>
      <c r="Y78" s="174"/>
      <c r="Z78" s="174"/>
      <c r="AA78" s="189"/>
    </row>
    <row r="79" spans="1:27" s="159" customFormat="1" ht="15.5" x14ac:dyDescent="0.4">
      <c r="A79" s="196"/>
      <c r="B79" s="172"/>
      <c r="C79" s="172"/>
      <c r="D79" s="172"/>
      <c r="E79" s="172"/>
      <c r="F79" s="172"/>
      <c r="G79" s="176" t="s">
        <v>514</v>
      </c>
      <c r="H79" s="208">
        <v>0</v>
      </c>
      <c r="I79" s="195" t="s">
        <v>336</v>
      </c>
      <c r="J79" s="172"/>
      <c r="K79" s="172"/>
      <c r="L79" s="172"/>
      <c r="M79" s="172"/>
      <c r="N79" s="172"/>
      <c r="O79" s="172"/>
      <c r="P79" s="172"/>
      <c r="Q79" s="172"/>
      <c r="R79" s="172"/>
      <c r="S79" s="172"/>
      <c r="T79" s="172"/>
      <c r="U79" s="172"/>
      <c r="V79" s="172"/>
      <c r="W79" s="172"/>
      <c r="X79" s="174"/>
      <c r="Y79" s="174"/>
      <c r="Z79" s="174"/>
      <c r="AA79" s="189"/>
    </row>
    <row r="80" spans="1:27" s="159" customFormat="1" ht="16" thickBot="1" x14ac:dyDescent="0.45">
      <c r="A80" s="197"/>
      <c r="B80" s="198"/>
      <c r="C80" s="198"/>
      <c r="D80" s="198"/>
      <c r="E80" s="198"/>
      <c r="F80" s="198"/>
      <c r="G80" s="199" t="s">
        <v>515</v>
      </c>
      <c r="H80" s="209">
        <v>1.6</v>
      </c>
      <c r="I80" s="200" t="s">
        <v>10</v>
      </c>
      <c r="J80" s="172"/>
      <c r="K80" s="172"/>
      <c r="L80" s="172"/>
      <c r="M80" s="172"/>
      <c r="N80" s="172"/>
      <c r="O80" s="172"/>
      <c r="P80" s="172"/>
      <c r="Q80" s="172"/>
      <c r="R80" s="172"/>
      <c r="S80" s="172"/>
      <c r="T80" s="172"/>
      <c r="U80" s="172"/>
      <c r="V80" s="172"/>
      <c r="W80" s="172"/>
      <c r="X80" s="174"/>
      <c r="Y80" s="174"/>
      <c r="Z80" s="174"/>
      <c r="AA80" s="189"/>
    </row>
    <row r="81" spans="1:27" s="159" customFormat="1" x14ac:dyDescent="0.35">
      <c r="A81" s="172"/>
      <c r="B81" s="172"/>
      <c r="C81" s="172"/>
      <c r="D81" s="172"/>
      <c r="E81" s="172"/>
      <c r="F81" s="172"/>
      <c r="G81" s="173"/>
      <c r="H81" s="172"/>
      <c r="I81" s="172"/>
      <c r="J81" s="172"/>
      <c r="K81" s="172"/>
      <c r="L81" s="172"/>
      <c r="M81" s="172"/>
      <c r="N81" s="172"/>
      <c r="O81" s="172"/>
      <c r="P81" s="172"/>
      <c r="Q81" s="172"/>
      <c r="R81" s="172"/>
      <c r="S81" s="172"/>
      <c r="T81" s="172"/>
      <c r="U81" s="172"/>
      <c r="V81" s="172"/>
      <c r="W81" s="172"/>
      <c r="X81" s="174"/>
      <c r="Y81" s="174"/>
      <c r="Z81" s="174"/>
      <c r="AA81" s="189"/>
    </row>
    <row r="82" spans="1:27" s="159" customFormat="1" ht="17" thickBot="1" x14ac:dyDescent="0.5">
      <c r="A82" s="175" t="s">
        <v>595</v>
      </c>
      <c r="B82" s="172"/>
      <c r="C82" s="172"/>
      <c r="D82" s="172"/>
      <c r="E82" s="172"/>
      <c r="F82" s="172"/>
      <c r="G82" s="173"/>
      <c r="H82" s="172"/>
      <c r="I82" s="172"/>
      <c r="J82" s="172"/>
      <c r="K82" s="172"/>
      <c r="L82" s="172"/>
      <c r="M82" s="172"/>
      <c r="N82" s="172"/>
      <c r="O82" s="172"/>
      <c r="P82" s="172"/>
      <c r="Q82" s="172"/>
      <c r="R82" s="172"/>
      <c r="S82" s="172"/>
      <c r="T82" s="172"/>
      <c r="U82" s="172"/>
      <c r="V82" s="172"/>
      <c r="W82" s="172"/>
      <c r="X82" s="174"/>
      <c r="Y82" s="174"/>
      <c r="Z82" s="174"/>
      <c r="AA82" s="189"/>
    </row>
    <row r="83" spans="1:27" s="159" customFormat="1" ht="15.5" x14ac:dyDescent="0.4">
      <c r="A83" s="190"/>
      <c r="B83" s="191"/>
      <c r="C83" s="191"/>
      <c r="D83" s="191"/>
      <c r="E83" s="191"/>
      <c r="F83" s="191"/>
      <c r="G83" s="192" t="s">
        <v>583</v>
      </c>
      <c r="H83" s="207">
        <v>8.8000000000000007</v>
      </c>
      <c r="I83" s="193" t="s">
        <v>334</v>
      </c>
      <c r="J83" s="172"/>
      <c r="K83" s="172"/>
      <c r="L83" s="172"/>
      <c r="M83" s="172"/>
      <c r="N83" s="172"/>
      <c r="O83" s="172"/>
      <c r="P83" s="172"/>
      <c r="Q83" s="172"/>
      <c r="R83" s="172"/>
      <c r="S83" s="172"/>
      <c r="T83" s="172"/>
      <c r="U83" s="172"/>
      <c r="V83" s="172"/>
      <c r="W83" s="172"/>
      <c r="X83" s="174"/>
      <c r="Y83" s="174"/>
      <c r="Z83" s="174"/>
      <c r="AA83" s="189"/>
    </row>
    <row r="84" spans="1:27" s="159" customFormat="1" ht="15.5" x14ac:dyDescent="0.4">
      <c r="A84" s="196"/>
      <c r="B84" s="172"/>
      <c r="C84" s="172"/>
      <c r="D84" s="172"/>
      <c r="E84" s="172"/>
      <c r="F84" s="172"/>
      <c r="G84" s="176" t="s">
        <v>584</v>
      </c>
      <c r="H84" s="208">
        <v>9</v>
      </c>
      <c r="I84" s="195" t="s">
        <v>335</v>
      </c>
      <c r="J84" s="172"/>
      <c r="K84" s="172"/>
      <c r="L84" s="172"/>
      <c r="M84" s="172"/>
      <c r="N84" s="172"/>
      <c r="O84" s="172"/>
      <c r="P84" s="172"/>
      <c r="Q84" s="172"/>
      <c r="R84" s="172"/>
      <c r="S84" s="172"/>
      <c r="T84" s="172"/>
      <c r="U84" s="172"/>
      <c r="V84" s="172"/>
      <c r="W84" s="172"/>
      <c r="X84" s="174"/>
      <c r="Y84" s="174"/>
      <c r="Z84" s="174"/>
      <c r="AA84" s="189"/>
    </row>
    <row r="85" spans="1:27" s="159" customFormat="1" ht="15.5" x14ac:dyDescent="0.4">
      <c r="A85" s="196"/>
      <c r="B85" s="172"/>
      <c r="C85" s="172"/>
      <c r="D85" s="172"/>
      <c r="E85" s="172"/>
      <c r="F85" s="172"/>
      <c r="G85" s="176" t="s">
        <v>585</v>
      </c>
      <c r="H85" s="208">
        <v>2.4</v>
      </c>
      <c r="I85" s="195" t="s">
        <v>335</v>
      </c>
      <c r="J85" s="172"/>
      <c r="K85" s="172"/>
      <c r="L85" s="172"/>
      <c r="M85" s="172"/>
      <c r="N85" s="172"/>
      <c r="O85" s="172"/>
      <c r="P85" s="172"/>
      <c r="Q85" s="172"/>
      <c r="R85" s="172"/>
      <c r="S85" s="172"/>
      <c r="T85" s="172"/>
      <c r="U85" s="172"/>
      <c r="V85" s="172"/>
      <c r="W85" s="172"/>
      <c r="X85" s="174"/>
      <c r="Y85" s="174"/>
      <c r="Z85" s="174"/>
      <c r="AA85" s="189"/>
    </row>
    <row r="86" spans="1:27" s="159" customFormat="1" ht="15.5" x14ac:dyDescent="0.4">
      <c r="A86" s="196"/>
      <c r="B86" s="172"/>
      <c r="C86" s="172"/>
      <c r="D86" s="172"/>
      <c r="E86" s="172"/>
      <c r="F86" s="172"/>
      <c r="G86" s="176" t="s">
        <v>586</v>
      </c>
      <c r="H86" s="208">
        <v>4.5</v>
      </c>
      <c r="I86" s="195" t="s">
        <v>335</v>
      </c>
      <c r="J86" s="172"/>
      <c r="K86" s="172"/>
      <c r="L86" s="172"/>
      <c r="M86" s="172"/>
      <c r="N86" s="172"/>
      <c r="O86" s="172"/>
      <c r="P86" s="172"/>
      <c r="Q86" s="172"/>
      <c r="R86" s="172"/>
      <c r="S86" s="172"/>
      <c r="T86" s="172"/>
      <c r="U86" s="172"/>
      <c r="V86" s="172"/>
      <c r="W86" s="172"/>
      <c r="X86" s="174"/>
      <c r="Y86" s="174"/>
      <c r="Z86" s="174"/>
      <c r="AA86" s="189"/>
    </row>
    <row r="87" spans="1:27" s="159" customFormat="1" ht="15.5" x14ac:dyDescent="0.4">
      <c r="A87" s="196"/>
      <c r="B87" s="172"/>
      <c r="C87" s="172"/>
      <c r="D87" s="172"/>
      <c r="E87" s="172"/>
      <c r="F87" s="172"/>
      <c r="G87" s="176" t="s">
        <v>582</v>
      </c>
      <c r="H87" s="208">
        <v>0</v>
      </c>
      <c r="I87" s="195" t="s">
        <v>336</v>
      </c>
      <c r="J87" s="172"/>
      <c r="K87" s="172"/>
      <c r="L87" s="172"/>
      <c r="M87" s="172"/>
      <c r="N87" s="172"/>
      <c r="O87" s="172"/>
      <c r="P87" s="172"/>
      <c r="Q87" s="172"/>
      <c r="R87" s="172"/>
      <c r="S87" s="172"/>
      <c r="T87" s="172"/>
      <c r="U87" s="172"/>
      <c r="V87" s="172"/>
      <c r="W87" s="172"/>
      <c r="X87" s="174"/>
      <c r="Y87" s="174"/>
      <c r="Z87" s="174"/>
      <c r="AA87" s="189"/>
    </row>
    <row r="88" spans="1:27" s="159" customFormat="1" ht="15.5" x14ac:dyDescent="0.4">
      <c r="A88" s="196"/>
      <c r="B88" s="172"/>
      <c r="C88" s="172"/>
      <c r="D88" s="172"/>
      <c r="E88" s="172"/>
      <c r="F88" s="172"/>
      <c r="G88" s="176" t="s">
        <v>581</v>
      </c>
      <c r="H88" s="208">
        <v>1.6</v>
      </c>
      <c r="I88" s="195" t="s">
        <v>10</v>
      </c>
      <c r="J88" s="172"/>
      <c r="K88" s="172"/>
      <c r="L88" s="172"/>
      <c r="M88" s="172"/>
      <c r="N88" s="172"/>
      <c r="O88" s="172"/>
      <c r="P88" s="172"/>
      <c r="Q88" s="172"/>
      <c r="R88" s="172"/>
      <c r="S88" s="172"/>
      <c r="T88" s="172"/>
      <c r="U88" s="172"/>
      <c r="V88" s="172"/>
      <c r="W88" s="172"/>
      <c r="X88" s="174"/>
      <c r="Y88" s="174"/>
      <c r="Z88" s="174"/>
      <c r="AA88" s="189"/>
    </row>
    <row r="89" spans="1:27" s="159" customFormat="1" ht="16.5" x14ac:dyDescent="0.45">
      <c r="A89" s="196"/>
      <c r="B89" s="172"/>
      <c r="C89" s="172"/>
      <c r="D89" s="172"/>
      <c r="E89" s="172"/>
      <c r="F89" s="172"/>
      <c r="G89" s="173" t="s">
        <v>579</v>
      </c>
      <c r="H89" s="208">
        <v>19</v>
      </c>
      <c r="I89" s="201" t="s">
        <v>335</v>
      </c>
      <c r="J89" s="172"/>
      <c r="K89" s="172"/>
      <c r="L89" s="172"/>
      <c r="M89" s="172"/>
      <c r="N89" s="172"/>
      <c r="O89" s="172"/>
      <c r="P89" s="172"/>
      <c r="Q89" s="172"/>
      <c r="R89" s="172"/>
      <c r="S89" s="172"/>
      <c r="T89" s="172"/>
      <c r="U89" s="172"/>
      <c r="V89" s="172"/>
      <c r="W89" s="172"/>
      <c r="X89" s="174"/>
      <c r="Y89" s="174"/>
      <c r="Z89" s="174"/>
      <c r="AA89" s="189"/>
    </row>
    <row r="90" spans="1:27" s="159" customFormat="1" ht="17" thickBot="1" x14ac:dyDescent="0.5">
      <c r="A90" s="197"/>
      <c r="B90" s="198"/>
      <c r="C90" s="198"/>
      <c r="D90" s="198"/>
      <c r="E90" s="198"/>
      <c r="F90" s="198"/>
      <c r="G90" s="202" t="s">
        <v>580</v>
      </c>
      <c r="H90" s="209">
        <v>0.8</v>
      </c>
      <c r="I90" s="203" t="s">
        <v>10</v>
      </c>
      <c r="J90" s="172"/>
      <c r="K90" s="172"/>
      <c r="L90" s="172"/>
      <c r="M90" s="172"/>
      <c r="N90" s="172"/>
      <c r="O90" s="172"/>
      <c r="P90" s="172"/>
      <c r="Q90" s="172"/>
      <c r="R90" s="172"/>
      <c r="S90" s="172"/>
      <c r="T90" s="172"/>
      <c r="U90" s="172"/>
      <c r="V90" s="172"/>
      <c r="W90" s="172"/>
      <c r="X90" s="174"/>
      <c r="Y90" s="174"/>
      <c r="Z90" s="174"/>
      <c r="AA90" s="189"/>
    </row>
    <row r="91" spans="1:27" x14ac:dyDescent="0.35">
      <c r="A91" s="172"/>
      <c r="B91" s="172"/>
      <c r="C91" s="172"/>
      <c r="D91" s="172"/>
      <c r="E91" s="172"/>
      <c r="F91" s="172"/>
      <c r="G91" s="173"/>
      <c r="H91" s="172"/>
      <c r="I91" s="172"/>
      <c r="J91" s="172"/>
      <c r="K91" s="172"/>
      <c r="L91" s="172"/>
      <c r="M91" s="172"/>
      <c r="N91" s="172"/>
      <c r="O91" s="172"/>
      <c r="P91" s="172"/>
      <c r="Q91" s="172"/>
      <c r="R91" s="172"/>
      <c r="S91" s="172"/>
      <c r="T91" s="172"/>
      <c r="U91" s="172"/>
      <c r="V91" s="172"/>
      <c r="W91" s="172"/>
      <c r="X91" s="102"/>
      <c r="Y91" s="102"/>
      <c r="Z91" s="102"/>
      <c r="AA91" s="92"/>
    </row>
    <row r="92" spans="1:27" x14ac:dyDescent="0.35">
      <c r="A92" s="172"/>
      <c r="B92" s="172"/>
      <c r="C92" s="172"/>
      <c r="D92" s="172"/>
      <c r="E92" s="172"/>
      <c r="F92" s="172"/>
      <c r="G92" s="173"/>
      <c r="H92" s="172"/>
      <c r="I92" s="172"/>
      <c r="J92" s="172"/>
      <c r="K92" s="172"/>
      <c r="L92" s="172"/>
      <c r="M92" s="172"/>
      <c r="N92" s="172"/>
      <c r="O92" s="172"/>
      <c r="P92" s="172"/>
      <c r="Q92" s="172"/>
      <c r="R92" s="172"/>
      <c r="S92" s="172"/>
      <c r="T92" s="172"/>
      <c r="U92" s="172"/>
      <c r="V92" s="172"/>
      <c r="W92" s="172"/>
      <c r="X92" s="102"/>
      <c r="Y92" s="102"/>
      <c r="Z92" s="102"/>
      <c r="AA92" s="92"/>
    </row>
    <row r="93" spans="1:27" x14ac:dyDescent="0.35">
      <c r="A93" s="172"/>
      <c r="B93" s="172"/>
      <c r="C93" s="172"/>
      <c r="D93" s="172"/>
      <c r="E93" s="172"/>
      <c r="F93" s="172"/>
      <c r="G93" s="173"/>
      <c r="H93" s="172"/>
      <c r="I93" s="172"/>
      <c r="J93" s="172"/>
      <c r="K93" s="172"/>
      <c r="L93" s="172"/>
      <c r="M93" s="172"/>
      <c r="N93" s="172"/>
      <c r="O93" s="172"/>
      <c r="P93" s="172"/>
      <c r="Q93" s="172"/>
      <c r="R93" s="172"/>
      <c r="S93" s="172"/>
      <c r="T93" s="172"/>
      <c r="U93" s="172"/>
      <c r="V93" s="172"/>
      <c r="W93" s="172"/>
      <c r="X93" s="102"/>
      <c r="Y93" s="102"/>
      <c r="Z93" s="102"/>
      <c r="AA93" s="92"/>
    </row>
    <row r="94" spans="1:27" x14ac:dyDescent="0.35">
      <c r="A94" s="172"/>
      <c r="B94" s="172"/>
      <c r="C94" s="172"/>
      <c r="D94" s="172"/>
      <c r="E94" s="172"/>
      <c r="F94" s="172"/>
      <c r="G94" s="173"/>
      <c r="H94" s="172"/>
      <c r="I94" s="172"/>
      <c r="J94" s="172"/>
      <c r="K94" s="172"/>
      <c r="L94" s="172"/>
      <c r="M94" s="172"/>
      <c r="N94" s="172"/>
      <c r="O94" s="172"/>
      <c r="P94" s="172"/>
      <c r="Q94" s="172"/>
      <c r="R94" s="172"/>
      <c r="S94" s="172"/>
      <c r="T94" s="172"/>
      <c r="U94" s="172"/>
      <c r="V94" s="172"/>
      <c r="W94" s="172"/>
      <c r="X94" s="102"/>
      <c r="Y94" s="102"/>
      <c r="Z94" s="102"/>
      <c r="AA94" s="92"/>
    </row>
    <row r="95" spans="1:27" x14ac:dyDescent="0.35">
      <c r="A95" s="172"/>
      <c r="B95" s="172"/>
      <c r="C95" s="172"/>
      <c r="D95" s="172"/>
      <c r="E95" s="172"/>
      <c r="F95" s="172"/>
      <c r="G95" s="173"/>
      <c r="H95" s="172"/>
      <c r="I95" s="172"/>
      <c r="J95" s="172"/>
      <c r="K95" s="172"/>
      <c r="L95" s="172"/>
      <c r="M95" s="172"/>
      <c r="N95" s="172"/>
      <c r="O95" s="172"/>
      <c r="P95" s="172"/>
      <c r="Q95" s="172"/>
      <c r="R95" s="172"/>
      <c r="S95" s="172"/>
      <c r="T95" s="172"/>
      <c r="U95" s="172"/>
      <c r="V95" s="172"/>
      <c r="W95" s="172"/>
      <c r="X95" s="102"/>
      <c r="Y95" s="102"/>
      <c r="Z95" s="102"/>
      <c r="AA95" s="92"/>
    </row>
    <row r="96" spans="1:27" x14ac:dyDescent="0.35">
      <c r="A96" s="102"/>
      <c r="B96" s="102"/>
      <c r="C96" s="102"/>
      <c r="D96" s="102"/>
      <c r="E96" s="102"/>
      <c r="F96" s="102"/>
      <c r="G96" s="103"/>
      <c r="H96" s="102"/>
      <c r="I96" s="102"/>
      <c r="J96" s="102"/>
      <c r="K96" s="102"/>
      <c r="L96" s="102"/>
      <c r="M96" s="102"/>
      <c r="N96" s="102"/>
      <c r="O96" s="102"/>
      <c r="P96" s="102"/>
      <c r="Q96" s="102"/>
      <c r="R96" s="102"/>
      <c r="S96" s="102"/>
      <c r="T96" s="102"/>
      <c r="U96" s="102"/>
      <c r="V96" s="102"/>
      <c r="W96" s="102"/>
      <c r="X96" s="102"/>
      <c r="Y96" s="102"/>
      <c r="Z96" s="102"/>
      <c r="AA96" s="92"/>
    </row>
    <row r="97" spans="1:27" x14ac:dyDescent="0.35">
      <c r="A97" s="102"/>
      <c r="B97" s="102"/>
      <c r="C97" s="102"/>
      <c r="D97" s="102"/>
      <c r="E97" s="102"/>
      <c r="F97" s="102"/>
      <c r="G97" s="103"/>
      <c r="H97" s="102"/>
      <c r="I97" s="102"/>
      <c r="J97" s="102"/>
      <c r="K97" s="102"/>
      <c r="L97" s="102"/>
      <c r="M97" s="102"/>
      <c r="N97" s="102"/>
      <c r="O97" s="102"/>
      <c r="P97" s="102"/>
      <c r="Q97" s="102"/>
      <c r="R97" s="102"/>
      <c r="S97" s="102"/>
      <c r="T97" s="102"/>
      <c r="U97" s="102"/>
      <c r="V97" s="102"/>
      <c r="W97" s="102"/>
      <c r="X97" s="102"/>
      <c r="Y97" s="102"/>
      <c r="Z97" s="102"/>
      <c r="AA97" s="92"/>
    </row>
    <row r="98" spans="1:27" x14ac:dyDescent="0.35">
      <c r="A98" s="92"/>
      <c r="B98" s="92"/>
      <c r="C98" s="92"/>
      <c r="D98" s="92"/>
      <c r="E98" s="92"/>
      <c r="F98" s="92"/>
      <c r="G98" s="93"/>
      <c r="H98" s="92"/>
      <c r="I98" s="92"/>
      <c r="J98" s="92"/>
      <c r="K98" s="92"/>
      <c r="L98" s="92"/>
      <c r="M98" s="92"/>
      <c r="N98" s="92"/>
      <c r="O98" s="92"/>
      <c r="P98" s="92"/>
      <c r="Q98" s="92"/>
      <c r="R98" s="92"/>
      <c r="S98" s="92"/>
      <c r="T98" s="92"/>
      <c r="U98" s="92"/>
      <c r="V98" s="92"/>
      <c r="W98" s="92"/>
      <c r="X98" s="92"/>
      <c r="Y98" s="92"/>
      <c r="Z98" s="92"/>
      <c r="AA98" s="90"/>
    </row>
  </sheetData>
  <pageMargins left="0.2" right="0.2" top="0.25" bottom="0.25" header="0" footer="0"/>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0" r:id="rId4" name="Spinner 36">
              <controlPr defaultSize="0" autoPict="0">
                <anchor moveWithCells="1" sizeWithCells="1">
                  <from>
                    <xdr:col>7</xdr:col>
                    <xdr:colOff>565150</xdr:colOff>
                    <xdr:row>53</xdr:row>
                    <xdr:rowOff>0</xdr:rowOff>
                  </from>
                  <to>
                    <xdr:col>8</xdr:col>
                    <xdr:colOff>6350</xdr:colOff>
                    <xdr:row>55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0000000}">
          <x14:formula1>
            <xm:f>Lists!$F$3:$F$5</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268"/>
  <sheetViews>
    <sheetView zoomScaleNormal="100" workbookViewId="0">
      <pane ySplit="5" topLeftCell="A6" activePane="bottomLeft" state="frozen"/>
      <selection pane="bottomLeft" activeCell="C53" sqref="C53"/>
    </sheetView>
  </sheetViews>
  <sheetFormatPr defaultRowHeight="14.5" x14ac:dyDescent="0.35"/>
  <cols>
    <col min="1" max="1" width="28.90625" customWidth="1"/>
    <col min="2" max="2" width="19.54296875" customWidth="1"/>
    <col min="3" max="3" width="10.90625" customWidth="1"/>
    <col min="4" max="4" width="10" bestFit="1" customWidth="1"/>
    <col min="5" max="5" width="18.54296875" customWidth="1"/>
    <col min="6" max="6" width="14.90625" customWidth="1"/>
    <col min="7" max="7" width="15.08984375" customWidth="1"/>
    <col min="8" max="9" width="12.54296875" customWidth="1"/>
    <col min="12" max="12" width="12.453125" bestFit="1" customWidth="1"/>
  </cols>
  <sheetData>
    <row r="1" spans="1:17" ht="28" x14ac:dyDescent="0.6">
      <c r="A1" s="213" t="s">
        <v>15</v>
      </c>
      <c r="B1" s="213"/>
      <c r="C1" s="213"/>
      <c r="D1" s="213"/>
      <c r="E1" s="213"/>
      <c r="F1" s="213"/>
      <c r="G1" s="213"/>
      <c r="H1" s="213"/>
      <c r="I1" s="213"/>
      <c r="J1" s="213"/>
    </row>
    <row r="2" spans="1:17" x14ac:dyDescent="0.35">
      <c r="A2" s="5"/>
      <c r="B2" s="5" t="s">
        <v>16</v>
      </c>
      <c r="C2" s="6"/>
      <c r="D2" s="4"/>
      <c r="E2" s="5"/>
      <c r="F2" s="5"/>
      <c r="G2" s="5"/>
      <c r="H2" s="5"/>
      <c r="I2" s="5"/>
      <c r="J2" s="5"/>
    </row>
    <row r="3" spans="1:17" x14ac:dyDescent="0.35">
      <c r="A3" s="5"/>
      <c r="B3" s="5" t="s">
        <v>17</v>
      </c>
      <c r="C3" s="7"/>
      <c r="D3" s="4"/>
      <c r="E3" s="5"/>
      <c r="F3" s="14" t="s">
        <v>60</v>
      </c>
      <c r="G3" s="15" t="s">
        <v>61</v>
      </c>
      <c r="H3" s="24" t="s">
        <v>533</v>
      </c>
      <c r="I3" s="5"/>
      <c r="J3" s="5"/>
    </row>
    <row r="4" spans="1:17" x14ac:dyDescent="0.35">
      <c r="A4" s="5"/>
      <c r="B4" s="5" t="s">
        <v>18</v>
      </c>
      <c r="C4" s="8"/>
      <c r="D4" s="4"/>
      <c r="E4" s="5"/>
      <c r="F4" s="5"/>
      <c r="G4" s="5"/>
      <c r="H4" s="5"/>
      <c r="I4" s="5"/>
      <c r="J4" s="5"/>
    </row>
    <row r="5" spans="1:17" x14ac:dyDescent="0.35">
      <c r="A5" s="9" t="s">
        <v>19</v>
      </c>
      <c r="B5" s="9" t="s">
        <v>20</v>
      </c>
      <c r="C5" s="9" t="s">
        <v>21</v>
      </c>
      <c r="D5" s="4"/>
      <c r="E5" s="214" t="s">
        <v>22</v>
      </c>
      <c r="F5" s="214"/>
      <c r="G5" s="214"/>
      <c r="H5" s="214"/>
      <c r="I5" s="5"/>
      <c r="J5" s="9" t="s">
        <v>23</v>
      </c>
      <c r="K5" s="9" t="s">
        <v>67</v>
      </c>
      <c r="L5" s="4"/>
      <c r="M5" s="4"/>
      <c r="N5" s="4"/>
      <c r="O5" s="4"/>
      <c r="P5" s="4"/>
      <c r="Q5" s="4"/>
    </row>
    <row r="6" spans="1:17" ht="15.5" x14ac:dyDescent="0.35">
      <c r="A6" s="10" t="s">
        <v>24</v>
      </c>
      <c r="B6" s="9"/>
      <c r="C6" s="9"/>
      <c r="D6" s="9"/>
      <c r="E6" s="5"/>
      <c r="F6" s="5"/>
      <c r="G6" s="5"/>
      <c r="H6" s="5"/>
      <c r="I6" s="5"/>
      <c r="J6" s="9"/>
      <c r="K6" s="4"/>
      <c r="L6" s="4"/>
      <c r="M6" s="4"/>
      <c r="N6" s="4"/>
      <c r="O6" s="4"/>
      <c r="P6" s="4"/>
      <c r="Q6" s="4"/>
    </row>
    <row r="7" spans="1:17" x14ac:dyDescent="0.35">
      <c r="A7" t="s">
        <v>25</v>
      </c>
      <c r="B7" s="3">
        <f>'Design Converter'!H7</f>
        <v>3</v>
      </c>
      <c r="C7" t="s">
        <v>10</v>
      </c>
      <c r="E7" t="s">
        <v>28</v>
      </c>
    </row>
    <row r="8" spans="1:17" x14ac:dyDescent="0.35">
      <c r="A8" t="s">
        <v>26</v>
      </c>
      <c r="B8" s="3">
        <f>'Design Converter'!H8</f>
        <v>5</v>
      </c>
      <c r="C8" t="s">
        <v>10</v>
      </c>
      <c r="E8" t="s">
        <v>29</v>
      </c>
      <c r="K8">
        <f>IF(VIN_min&lt;VIN_min,1,IF(VIN_nom&gt;VIN_max,1,0))</f>
        <v>0</v>
      </c>
    </row>
    <row r="9" spans="1:17" x14ac:dyDescent="0.35">
      <c r="A9" t="s">
        <v>27</v>
      </c>
      <c r="B9" s="3">
        <f>'Design Converter'!H9</f>
        <v>48</v>
      </c>
      <c r="C9" t="s">
        <v>10</v>
      </c>
      <c r="E9" t="s">
        <v>30</v>
      </c>
    </row>
    <row r="10" spans="1:17" x14ac:dyDescent="0.35">
      <c r="A10" t="s">
        <v>64</v>
      </c>
      <c r="B10" s="3">
        <f>'Design Converter'!H13*1000</f>
        <v>440000</v>
      </c>
      <c r="C10" t="s">
        <v>65</v>
      </c>
      <c r="E10" t="s">
        <v>66</v>
      </c>
    </row>
    <row r="11" spans="1:17" x14ac:dyDescent="0.35">
      <c r="A11" t="s">
        <v>68</v>
      </c>
      <c r="B11" s="18">
        <f>((2.21*10^10)/Fsw)-955</f>
        <v>49272.272727272728</v>
      </c>
      <c r="C11" s="2" t="s">
        <v>36</v>
      </c>
      <c r="E11" t="s">
        <v>69</v>
      </c>
    </row>
    <row r="12" spans="1:17" x14ac:dyDescent="0.35">
      <c r="A12" t="s">
        <v>31</v>
      </c>
      <c r="B12" s="3">
        <f>'Design Converter'!H10</f>
        <v>50</v>
      </c>
      <c r="C12" t="s">
        <v>10</v>
      </c>
      <c r="E12" t="s">
        <v>32</v>
      </c>
    </row>
    <row r="13" spans="1:17" x14ac:dyDescent="0.35">
      <c r="A13" t="s">
        <v>33</v>
      </c>
      <c r="B13" s="3">
        <f>'Design Converter'!H11</f>
        <v>2</v>
      </c>
      <c r="C13" t="s">
        <v>11</v>
      </c>
      <c r="E13" t="s">
        <v>34</v>
      </c>
    </row>
    <row r="14" spans="1:17" x14ac:dyDescent="0.35">
      <c r="A14" t="s">
        <v>35</v>
      </c>
      <c r="B14" s="17">
        <f>VOUT/IOUT</f>
        <v>25</v>
      </c>
      <c r="C14" s="2" t="s">
        <v>36</v>
      </c>
      <c r="E14" t="s">
        <v>41</v>
      </c>
    </row>
    <row r="15" spans="1:17" x14ac:dyDescent="0.35">
      <c r="A15" t="s">
        <v>37</v>
      </c>
      <c r="B15" s="1">
        <f>VOUT*IOUT</f>
        <v>100</v>
      </c>
      <c r="C15" s="2" t="s">
        <v>38</v>
      </c>
      <c r="E15" t="s">
        <v>40</v>
      </c>
    </row>
    <row r="16" spans="1:17" x14ac:dyDescent="0.35">
      <c r="A16" t="s">
        <v>39</v>
      </c>
      <c r="B16" s="11">
        <v>1</v>
      </c>
      <c r="E16" t="s">
        <v>525</v>
      </c>
    </row>
    <row r="17" spans="1:11" x14ac:dyDescent="0.35">
      <c r="A17" t="s">
        <v>531</v>
      </c>
      <c r="B17" s="12">
        <v>1</v>
      </c>
      <c r="E17" t="s">
        <v>532</v>
      </c>
    </row>
    <row r="19" spans="1:11" x14ac:dyDescent="0.35">
      <c r="A19" t="s">
        <v>518</v>
      </c>
      <c r="B19">
        <f>IF(VOUT&lt;=15,1,2)</f>
        <v>2</v>
      </c>
      <c r="E19" t="s">
        <v>520</v>
      </c>
    </row>
    <row r="20" spans="1:11" x14ac:dyDescent="0.35">
      <c r="A20" t="s">
        <v>522</v>
      </c>
      <c r="B20">
        <f>IF('Design Converter'!H12="FPWM",3,IF('Design Converter'!H12="DEM",2,1))</f>
        <v>2</v>
      </c>
      <c r="E20" t="s">
        <v>523</v>
      </c>
    </row>
    <row r="22" spans="1:11" x14ac:dyDescent="0.35">
      <c r="A22" t="s">
        <v>42</v>
      </c>
      <c r="B22" s="1">
        <f>1-VIN_min*EFF_est/VOUT</f>
        <v>0.94</v>
      </c>
      <c r="E22" t="s">
        <v>420</v>
      </c>
    </row>
    <row r="23" spans="1:11" x14ac:dyDescent="0.35">
      <c r="A23" t="s">
        <v>43</v>
      </c>
      <c r="B23" s="12">
        <f>Constants!B20-0.02</f>
        <v>0.88</v>
      </c>
      <c r="E23" t="s">
        <v>528</v>
      </c>
    </row>
    <row r="24" spans="1:11" x14ac:dyDescent="0.35">
      <c r="B24" s="160"/>
    </row>
    <row r="25" spans="1:11" x14ac:dyDescent="0.35">
      <c r="A25" t="s">
        <v>424</v>
      </c>
      <c r="B25" s="150">
        <f>IF(B22&gt;Dc_max_IC,1,2)</f>
        <v>1</v>
      </c>
      <c r="E25" t="s">
        <v>526</v>
      </c>
      <c r="K25">
        <f>IF(B25=1,1,0)</f>
        <v>1</v>
      </c>
    </row>
    <row r="26" spans="1:11" x14ac:dyDescent="0.35">
      <c r="E26" t="s">
        <v>527</v>
      </c>
    </row>
    <row r="28" spans="1:11" x14ac:dyDescent="0.35">
      <c r="A28" s="19" t="s">
        <v>72</v>
      </c>
      <c r="E28" t="b">
        <f>AND((1-(VIN_max/VOUT))&lt;Dc_rip_max,(1-(VIN_min/VOUT))&lt;Dc_rip_max)</f>
        <v>0</v>
      </c>
    </row>
    <row r="29" spans="1:11" x14ac:dyDescent="0.35">
      <c r="A29" s="151" t="s">
        <v>426</v>
      </c>
    </row>
    <row r="30" spans="1:11" x14ac:dyDescent="0.35">
      <c r="A30" t="s">
        <v>88</v>
      </c>
      <c r="B30" s="3">
        <f>'Design Converter'!H21/100</f>
        <v>0.4</v>
      </c>
      <c r="E30" t="s">
        <v>107</v>
      </c>
    </row>
    <row r="31" spans="1:11" x14ac:dyDescent="0.35">
      <c r="A31" t="s">
        <v>118</v>
      </c>
      <c r="B31" s="12">
        <v>0.33</v>
      </c>
      <c r="C31" t="s">
        <v>13</v>
      </c>
      <c r="E31" t="s">
        <v>117</v>
      </c>
    </row>
    <row r="32" spans="1:11" x14ac:dyDescent="0.35">
      <c r="A32" t="s">
        <v>425</v>
      </c>
      <c r="B32" s="16">
        <f>IF(AND((1-(VIN_max/VOUT))&lt;Dc_rip_max,(1-(VIN_min/VOUT))&gt;=Dc_rip_max),Dc_rip_max,IF((1-(VIN_max/VOUT))&gt;Dc_rip_max,(1-(VIN_max/VOUT)),IF((1-(VIN_min/VOUT))&lt;Dc_rip_max,(1-(VIN_min/VOUT)),0.33)))</f>
        <v>0.33</v>
      </c>
    </row>
    <row r="33" spans="1:5" x14ac:dyDescent="0.35">
      <c r="A33" t="s">
        <v>94</v>
      </c>
      <c r="B33" s="1">
        <f>VOUT*(1-DC_rip)</f>
        <v>33.5</v>
      </c>
      <c r="C33" t="s">
        <v>10</v>
      </c>
      <c r="E33" t="s">
        <v>120</v>
      </c>
    </row>
    <row r="35" spans="1:5" x14ac:dyDescent="0.35">
      <c r="A35" t="s">
        <v>95</v>
      </c>
      <c r="B35" s="16">
        <f>(VOUT*IOUT)/(VIN_33)</f>
        <v>2.9850746268656718</v>
      </c>
      <c r="C35" t="s">
        <v>11</v>
      </c>
      <c r="E35" t="s">
        <v>119</v>
      </c>
    </row>
    <row r="36" spans="1:5" x14ac:dyDescent="0.35">
      <c r="A36" t="s">
        <v>96</v>
      </c>
      <c r="B36" s="23">
        <f>(VIN_33*DC_rip)/(IIN_33*ILrip*Fsw)</f>
        <v>2.1042187499999999E-5</v>
      </c>
      <c r="C36" t="s">
        <v>87</v>
      </c>
      <c r="E36" t="s">
        <v>440</v>
      </c>
    </row>
    <row r="38" spans="1:5" x14ac:dyDescent="0.35">
      <c r="A38" s="151" t="s">
        <v>529</v>
      </c>
    </row>
    <row r="39" spans="1:5" x14ac:dyDescent="0.35">
      <c r="A39" t="s">
        <v>429</v>
      </c>
      <c r="B39" s="3">
        <f>'Design Converter'!H21/100</f>
        <v>0.4</v>
      </c>
      <c r="E39" t="s">
        <v>430</v>
      </c>
    </row>
    <row r="40" spans="1:5" x14ac:dyDescent="0.35">
      <c r="A40" t="s">
        <v>428</v>
      </c>
      <c r="B40" s="23">
        <f>((DC_DCM_max^2)*(VIN_min^2))/(2*IOUT*VOUT*Fsw-2*IOUT*VIN_min*Fsw)</f>
        <v>1.740812379110252E-8</v>
      </c>
      <c r="C40" t="s">
        <v>87</v>
      </c>
      <c r="E40" t="s">
        <v>427</v>
      </c>
    </row>
    <row r="41" spans="1:5" x14ac:dyDescent="0.35">
      <c r="A41" t="s">
        <v>431</v>
      </c>
      <c r="B41" s="12">
        <v>0.2</v>
      </c>
      <c r="E41" t="s">
        <v>432</v>
      </c>
    </row>
    <row r="42" spans="1:5" x14ac:dyDescent="0.35">
      <c r="A42" t="s">
        <v>433</v>
      </c>
      <c r="B42" s="23">
        <f>(1-M_L_DCM)*((VIN_min^2)*(1-(VIN_min/VOUT)))/(2*IOUT*VOUT*Fsw)</f>
        <v>7.6909090909090908E-8</v>
      </c>
      <c r="C42" t="s">
        <v>87</v>
      </c>
      <c r="E42" t="s">
        <v>434</v>
      </c>
    </row>
    <row r="43" spans="1:5" x14ac:dyDescent="0.35">
      <c r="A43" t="s">
        <v>435</v>
      </c>
      <c r="B43" s="23">
        <f>MIN(B40,B42)</f>
        <v>1.740812379110252E-8</v>
      </c>
      <c r="C43" t="s">
        <v>87</v>
      </c>
      <c r="E43" t="s">
        <v>436</v>
      </c>
    </row>
    <row r="44" spans="1:5" x14ac:dyDescent="0.35">
      <c r="B44" s="154"/>
    </row>
    <row r="45" spans="1:5" x14ac:dyDescent="0.35">
      <c r="A45" t="s">
        <v>439</v>
      </c>
      <c r="B45" s="23">
        <f>IF(B25=1,B43,Lopt_2)</f>
        <v>1.740812379110252E-8</v>
      </c>
      <c r="E45" t="s">
        <v>437</v>
      </c>
    </row>
    <row r="47" spans="1:5" x14ac:dyDescent="0.35">
      <c r="A47" t="s">
        <v>89</v>
      </c>
      <c r="B47" s="21">
        <f>CHOOSE(B25,'Design Converter'!H23*10^-9,'Design Converter'!H23*10^-6)</f>
        <v>1.2E-5</v>
      </c>
      <c r="C47" t="s">
        <v>87</v>
      </c>
      <c r="E47" t="s">
        <v>90</v>
      </c>
    </row>
    <row r="48" spans="1:5" x14ac:dyDescent="0.35">
      <c r="A48" t="s">
        <v>91</v>
      </c>
      <c r="B48" s="3">
        <f>'Design Converter'!H24*10^-3</f>
        <v>4.3E-3</v>
      </c>
      <c r="C48" s="2" t="s">
        <v>36</v>
      </c>
      <c r="E48" t="s">
        <v>121</v>
      </c>
    </row>
    <row r="49" spans="1:9" x14ac:dyDescent="0.35">
      <c r="A49" t="s">
        <v>122</v>
      </c>
      <c r="B49" s="12">
        <v>0.2</v>
      </c>
      <c r="C49" s="2"/>
      <c r="E49" t="s">
        <v>123</v>
      </c>
    </row>
    <row r="50" spans="1:9" x14ac:dyDescent="0.35">
      <c r="B50" t="s">
        <v>97</v>
      </c>
    </row>
    <row r="51" spans="1:9" x14ac:dyDescent="0.35">
      <c r="A51" s="31" t="s">
        <v>441</v>
      </c>
    </row>
    <row r="53" spans="1:9" x14ac:dyDescent="0.35">
      <c r="A53" s="22" t="s">
        <v>442</v>
      </c>
    </row>
    <row r="54" spans="1:9" x14ac:dyDescent="0.35">
      <c r="A54" t="s">
        <v>443</v>
      </c>
      <c r="B54">
        <f>IF(B20=3,1,IF((VOUT*IOUT)/(VIN_min*Np)&lt;((VIN_min*(1-(VIN_min/VOUT)))/(2*Lm*Fsw)),0,1))</f>
        <v>1</v>
      </c>
      <c r="E54" t="s">
        <v>534</v>
      </c>
      <c r="I54" s="31"/>
    </row>
    <row r="55" spans="1:9" x14ac:dyDescent="0.35">
      <c r="A55" t="s">
        <v>77</v>
      </c>
      <c r="B55" s="1">
        <f>IF(B54=0,SQRT((2*(IOUT/Np)*Lm*Fsw*(VOUT-VIN_min)/(VIN_min^2))),(1-VIN_min/VOUT))</f>
        <v>0.94</v>
      </c>
      <c r="E55" t="s">
        <v>421</v>
      </c>
    </row>
    <row r="56" spans="1:9" x14ac:dyDescent="0.35">
      <c r="B56" s="13">
        <f>B55/Fsw</f>
        <v>2.1363636363636361E-6</v>
      </c>
      <c r="C56" t="s">
        <v>51</v>
      </c>
      <c r="E56" t="s">
        <v>276</v>
      </c>
    </row>
    <row r="57" spans="1:9" x14ac:dyDescent="0.35">
      <c r="A57" t="s">
        <v>82</v>
      </c>
      <c r="B57" s="17">
        <f>(VOUT*IOUT)/(VIN_min)</f>
        <v>33.333333333333336</v>
      </c>
      <c r="C57" t="s">
        <v>11</v>
      </c>
      <c r="E57" t="s">
        <v>84</v>
      </c>
    </row>
    <row r="58" spans="1:9" x14ac:dyDescent="0.35">
      <c r="A58" t="s">
        <v>100</v>
      </c>
      <c r="B58" s="16">
        <f>(VIN_min*Dc_VIN_min)/(Lm*Fsw)</f>
        <v>0.53409090909090906</v>
      </c>
      <c r="C58" t="s">
        <v>11</v>
      </c>
      <c r="E58" t="s">
        <v>101</v>
      </c>
    </row>
    <row r="59" spans="1:9" x14ac:dyDescent="0.35">
      <c r="A59" t="s">
        <v>98</v>
      </c>
      <c r="B59" s="16">
        <f>IF(B54=0,(VIN_min*Dc_VIN_min)/(Lm*Fsw),(IL_avg_VIN_min/EFF_est)+(ILrip_VINmin/2))</f>
        <v>33.600378787878789</v>
      </c>
      <c r="C59" t="s">
        <v>11</v>
      </c>
      <c r="E59" t="s">
        <v>99</v>
      </c>
    </row>
    <row r="61" spans="1:9" x14ac:dyDescent="0.35">
      <c r="A61" s="22" t="s">
        <v>29</v>
      </c>
    </row>
    <row r="62" spans="1:9" x14ac:dyDescent="0.35">
      <c r="A62" t="s">
        <v>444</v>
      </c>
      <c r="B62">
        <f>IF(B20=3,1,IF((VOUT*IOUT)/(VIN_nom*Np)&lt;((VIN_nom*(1-(VIN_nom/VOUT)))/(2*Lm*Fsw)),0,1))</f>
        <v>1</v>
      </c>
      <c r="E62" t="s">
        <v>530</v>
      </c>
    </row>
    <row r="63" spans="1:9" x14ac:dyDescent="0.35">
      <c r="A63" t="s">
        <v>78</v>
      </c>
      <c r="B63" s="1">
        <f>IF(B62=0,SQRT((2*(IOUT/Np)*Lm*Fsw*(VOUT-VIN_nom)/(VIN_nom^2))),(1-VIN_nom/VOUT))</f>
        <v>0.9</v>
      </c>
      <c r="E63" t="s">
        <v>422</v>
      </c>
    </row>
    <row r="64" spans="1:9" x14ac:dyDescent="0.35">
      <c r="B64" s="13">
        <f>B63/Fsw</f>
        <v>2.0454545454545453E-6</v>
      </c>
      <c r="C64" t="s">
        <v>51</v>
      </c>
      <c r="E64" t="s">
        <v>276</v>
      </c>
    </row>
    <row r="65" spans="1:5" x14ac:dyDescent="0.35">
      <c r="A65" t="s">
        <v>83</v>
      </c>
      <c r="B65" s="17">
        <f>(VOUT*IOUT)/(VIN_nom)</f>
        <v>20</v>
      </c>
      <c r="C65" t="s">
        <v>11</v>
      </c>
      <c r="E65" t="s">
        <v>85</v>
      </c>
    </row>
    <row r="66" spans="1:5" x14ac:dyDescent="0.35">
      <c r="A66" t="s">
        <v>102</v>
      </c>
      <c r="B66" s="16">
        <f>(VIN_nom*Dc_VIN_nom)/(Lm*Fsw)</f>
        <v>0.85227272727272718</v>
      </c>
      <c r="C66" t="s">
        <v>11</v>
      </c>
      <c r="E66" t="s">
        <v>108</v>
      </c>
    </row>
    <row r="67" spans="1:5" x14ac:dyDescent="0.35">
      <c r="A67" t="s">
        <v>103</v>
      </c>
      <c r="B67" s="16">
        <f>IF(B62=0,(VIN_nom*Dc_VIN_nom)/(Lm*Fsw),(IL_avg_VIN_nom/EFF_est)+(ILrip_VINnom/2))</f>
        <v>20.426136363636363</v>
      </c>
      <c r="C67" t="s">
        <v>11</v>
      </c>
      <c r="E67" t="s">
        <v>109</v>
      </c>
    </row>
    <row r="69" spans="1:5" x14ac:dyDescent="0.35">
      <c r="A69" s="22" t="s">
        <v>30</v>
      </c>
    </row>
    <row r="70" spans="1:5" x14ac:dyDescent="0.35">
      <c r="A70" t="s">
        <v>445</v>
      </c>
      <c r="B70">
        <f>IF(B20=3,1,IF((VOUT*IOUT)/(VIN_max*Np)&lt;((VIN_max*(1-(VIN_max/VOUT)))/(2*Lm*Fsw)),0,1))</f>
        <v>1</v>
      </c>
      <c r="E70" t="s">
        <v>530</v>
      </c>
    </row>
    <row r="71" spans="1:5" x14ac:dyDescent="0.35">
      <c r="A71" t="s">
        <v>79</v>
      </c>
      <c r="B71" s="1">
        <f>IF(B70=0,SQRT((2*(IOUT/Np)*Lm*Fsw*(VOUT-VIN_max)/(VIN_max^2))),(1-VIN_max/VOUT))</f>
        <v>4.0000000000000036E-2</v>
      </c>
      <c r="E71" t="s">
        <v>423</v>
      </c>
    </row>
    <row r="72" spans="1:5" x14ac:dyDescent="0.35">
      <c r="B72" s="13">
        <f>B71/Fsw</f>
        <v>9.0909090909090994E-8</v>
      </c>
      <c r="C72" t="s">
        <v>51</v>
      </c>
      <c r="E72" t="s">
        <v>276</v>
      </c>
    </row>
    <row r="73" spans="1:5" x14ac:dyDescent="0.35">
      <c r="A73" t="s">
        <v>446</v>
      </c>
      <c r="B73" s="17">
        <f>(VOUT*IOUT)/(VIN_max)</f>
        <v>2.0833333333333335</v>
      </c>
      <c r="C73" t="s">
        <v>11</v>
      </c>
      <c r="E73" t="s">
        <v>86</v>
      </c>
    </row>
    <row r="74" spans="1:5" x14ac:dyDescent="0.35">
      <c r="A74" t="s">
        <v>104</v>
      </c>
      <c r="B74" s="16">
        <f>(VIN_max*Dc_VIN_max)/(Lm*Fsw)</f>
        <v>0.36363636363636392</v>
      </c>
      <c r="C74" t="s">
        <v>11</v>
      </c>
      <c r="E74" t="s">
        <v>110</v>
      </c>
    </row>
    <row r="75" spans="1:5" x14ac:dyDescent="0.35">
      <c r="A75" t="s">
        <v>105</v>
      </c>
      <c r="B75" s="16">
        <f>IF(B70=0,(VIN_max*Dc_VIN_max)/(Lm*Fsw),(IL_avg_VIN_max/EFF_est)+(ILrip_VINmax/2))</f>
        <v>2.2651515151515156</v>
      </c>
      <c r="C75" t="s">
        <v>11</v>
      </c>
      <c r="E75" t="s">
        <v>111</v>
      </c>
    </row>
    <row r="77" spans="1:5" x14ac:dyDescent="0.35">
      <c r="A77" s="19" t="s">
        <v>106</v>
      </c>
    </row>
    <row r="78" spans="1:5" x14ac:dyDescent="0.35">
      <c r="A78" t="s">
        <v>113</v>
      </c>
      <c r="B78" s="3">
        <f>'Design Converter'!H28/100</f>
        <v>0.1</v>
      </c>
      <c r="E78" t="s">
        <v>114</v>
      </c>
    </row>
    <row r="79" spans="1:5" x14ac:dyDescent="0.35">
      <c r="A79" t="s">
        <v>601</v>
      </c>
      <c r="B79" s="12">
        <v>0.95</v>
      </c>
      <c r="E79" t="s">
        <v>602</v>
      </c>
    </row>
    <row r="80" spans="1:5" x14ac:dyDescent="0.35">
      <c r="A80" t="s">
        <v>115</v>
      </c>
      <c r="B80" s="17">
        <f>IF(B54=0,(1+Ipk_margin)*ILp_VINmin,((IL_avg_VIN_min/B79)+(ILrip_VINmin/2))*(1+Ipk_margin))</f>
        <v>38.890241228070181</v>
      </c>
      <c r="C80" t="s">
        <v>11</v>
      </c>
      <c r="E80" t="s">
        <v>116</v>
      </c>
    </row>
    <row r="81" spans="1:11" x14ac:dyDescent="0.35">
      <c r="B81" s="34"/>
    </row>
    <row r="82" spans="1:11" x14ac:dyDescent="0.35">
      <c r="A82" t="s">
        <v>126</v>
      </c>
      <c r="B82" s="12">
        <v>0.66600000000000004</v>
      </c>
      <c r="E82" t="s">
        <v>535</v>
      </c>
    </row>
    <row r="83" spans="1:11" x14ac:dyDescent="0.35">
      <c r="A83" t="s">
        <v>124</v>
      </c>
      <c r="B83" s="23">
        <f>IF(OR(Dc_VIN_min&lt;0.5,B54=0),1000,(Lm*Vsl*Fsw)/(B82*(VOUT-VIN_min)))</f>
        <v>7.5905692926969519E-3</v>
      </c>
      <c r="C83" s="2" t="s">
        <v>36</v>
      </c>
      <c r="E83" t="s">
        <v>125</v>
      </c>
    </row>
    <row r="84" spans="1:11" x14ac:dyDescent="0.35">
      <c r="A84" t="s">
        <v>131</v>
      </c>
      <c r="B84" s="23">
        <f>Vcl/Ipk_selected</f>
        <v>1.5428034927356846E-3</v>
      </c>
      <c r="C84" s="2" t="s">
        <v>36</v>
      </c>
      <c r="E84" t="s">
        <v>492</v>
      </c>
    </row>
    <row r="86" spans="1:11" x14ac:dyDescent="0.35">
      <c r="A86" t="s">
        <v>134</v>
      </c>
      <c r="B86" s="1">
        <f>IF(Rcs_wo_sl&gt;Rcs_max,1,0)</f>
        <v>0</v>
      </c>
      <c r="E86" t="s">
        <v>448</v>
      </c>
    </row>
    <row r="87" spans="1:11" x14ac:dyDescent="0.35">
      <c r="A87" t="s">
        <v>135</v>
      </c>
      <c r="B87" s="25">
        <f>IF(B54=0,Rcs_wo_sl,IF(B86=0,Rcs_wo_sl,Rcs_w_sl))</f>
        <v>1.5428034927356846E-3</v>
      </c>
      <c r="C87" s="2" t="s">
        <v>36</v>
      </c>
      <c r="E87" t="s">
        <v>447</v>
      </c>
    </row>
    <row r="88" spans="1:11" x14ac:dyDescent="0.35">
      <c r="A88" t="s">
        <v>136</v>
      </c>
      <c r="B88" s="1">
        <v>0</v>
      </c>
      <c r="C88" s="2" t="s">
        <v>36</v>
      </c>
      <c r="E88" t="s">
        <v>536</v>
      </c>
    </row>
    <row r="90" spans="1:11" x14ac:dyDescent="0.35">
      <c r="A90" t="s">
        <v>137</v>
      </c>
      <c r="B90" s="26">
        <f>'Design Converter'!H31/1000</f>
        <v>2E-3</v>
      </c>
      <c r="C90" s="2" t="s">
        <v>36</v>
      </c>
      <c r="E90" t="s">
        <v>139</v>
      </c>
    </row>
    <row r="91" spans="1:11" x14ac:dyDescent="0.35">
      <c r="A91" t="s">
        <v>138</v>
      </c>
      <c r="B91" s="3">
        <v>0</v>
      </c>
      <c r="C91" s="2" t="s">
        <v>36</v>
      </c>
      <c r="E91" t="s">
        <v>537</v>
      </c>
    </row>
    <row r="93" spans="1:11" x14ac:dyDescent="0.35">
      <c r="A93" t="s">
        <v>142</v>
      </c>
      <c r="B93">
        <f>(Vsl*Fsw)/(((VOUT-VIN_min)/Lm)*R_cs)</f>
        <v>2.5276595744680854</v>
      </c>
      <c r="C93" t="s">
        <v>150</v>
      </c>
      <c r="E93" t="s">
        <v>140</v>
      </c>
      <c r="K93">
        <f>IF(B62=0,0,IF(B93&lt;0.5,1,0))</f>
        <v>0</v>
      </c>
    </row>
    <row r="94" spans="1:11" x14ac:dyDescent="0.35">
      <c r="A94" t="s">
        <v>144</v>
      </c>
      <c r="B94" s="17">
        <f>(Vcl-(Isl*R_sl*Dc_VIN_min))/R_cs</f>
        <v>30</v>
      </c>
      <c r="C94" t="s">
        <v>11</v>
      </c>
      <c r="E94" t="s">
        <v>146</v>
      </c>
      <c r="K94">
        <f>IF(IL_pk&lt;Ipk_selected,1,0)</f>
        <v>1</v>
      </c>
    </row>
    <row r="95" spans="1:11" x14ac:dyDescent="0.35">
      <c r="A95" t="s">
        <v>145</v>
      </c>
      <c r="B95" s="17">
        <f>(Vcl-(Isl*R_sl*Dc_VIN_max))/R_cs</f>
        <v>30</v>
      </c>
      <c r="C95" t="s">
        <v>11</v>
      </c>
      <c r="E95" t="s">
        <v>147</v>
      </c>
    </row>
    <row r="96" spans="1:11" x14ac:dyDescent="0.35">
      <c r="A96" t="s">
        <v>148</v>
      </c>
      <c r="B96" s="12">
        <f>0.15</f>
        <v>0.15</v>
      </c>
      <c r="E96" t="s">
        <v>149</v>
      </c>
    </row>
    <row r="97" spans="1:5" x14ac:dyDescent="0.35">
      <c r="A97" t="s">
        <v>151</v>
      </c>
      <c r="B97" s="20">
        <f>(1+B96)*B95</f>
        <v>34.5</v>
      </c>
      <c r="C97" t="s">
        <v>11</v>
      </c>
      <c r="E97" t="s">
        <v>152</v>
      </c>
    </row>
    <row r="99" spans="1:5" x14ac:dyDescent="0.35">
      <c r="A99" s="22" t="s">
        <v>153</v>
      </c>
      <c r="E99" t="s">
        <v>538</v>
      </c>
    </row>
    <row r="102" spans="1:5" x14ac:dyDescent="0.35">
      <c r="A102" s="28" t="s">
        <v>154</v>
      </c>
      <c r="E102" t="s">
        <v>549</v>
      </c>
    </row>
    <row r="104" spans="1:5" x14ac:dyDescent="0.35">
      <c r="A104" t="s">
        <v>449</v>
      </c>
      <c r="B104" s="1">
        <f>IF(B54=0,2*Fsw/(Dc_VIN_min*5),(VOUT/IOUT)*((VIN_min^2)/VOUT^2)/(Lm*5))</f>
        <v>1500</v>
      </c>
      <c r="C104" t="s">
        <v>489</v>
      </c>
      <c r="E104" t="s">
        <v>540</v>
      </c>
    </row>
    <row r="105" spans="1:5" x14ac:dyDescent="0.35">
      <c r="B105">
        <f>B104/(2*PI())</f>
        <v>238.73241463784302</v>
      </c>
      <c r="C105" t="s">
        <v>65</v>
      </c>
    </row>
    <row r="106" spans="1:5" x14ac:dyDescent="0.35">
      <c r="A106" t="s">
        <v>160</v>
      </c>
      <c r="B106" s="29">
        <f>'Design Converter'!H35/1000</f>
        <v>0.75</v>
      </c>
      <c r="C106" t="s">
        <v>10</v>
      </c>
      <c r="E106" t="s">
        <v>159</v>
      </c>
    </row>
    <row r="107" spans="1:5" x14ac:dyDescent="0.35">
      <c r="A107" t="s">
        <v>450</v>
      </c>
      <c r="B107" s="1">
        <f>IOUT-0.5*IOUT</f>
        <v>1</v>
      </c>
      <c r="C107" t="s">
        <v>11</v>
      </c>
    </row>
    <row r="108" spans="1:5" x14ac:dyDescent="0.35">
      <c r="A108" t="s">
        <v>161</v>
      </c>
      <c r="B108" s="1">
        <f>B107/(Vout_rip_sel*B104)</f>
        <v>8.8888888888888893E-4</v>
      </c>
      <c r="C108" t="s">
        <v>162</v>
      </c>
      <c r="E108" t="s">
        <v>163</v>
      </c>
    </row>
    <row r="109" spans="1:5" x14ac:dyDescent="0.35">
      <c r="A109" t="s">
        <v>164</v>
      </c>
      <c r="B109" s="165">
        <f>SQRT((1-Dc_VIN_min)*((IOUT^2)*(Dc_VIN_min/((1-Dc_VIN_min)^2))+((ILrip_VINmin^2)/3)))</f>
        <v>7.9165883894926656</v>
      </c>
      <c r="C109" t="s">
        <v>11</v>
      </c>
      <c r="E109" s="31" t="s">
        <v>541</v>
      </c>
    </row>
    <row r="110" spans="1:5" x14ac:dyDescent="0.35">
      <c r="A110" t="s">
        <v>169</v>
      </c>
      <c r="B110" s="3">
        <f>'Design Converter'!H37*(10^-6)</f>
        <v>6.4999999999999997E-4</v>
      </c>
      <c r="C110" t="s">
        <v>162</v>
      </c>
      <c r="E110" t="s">
        <v>167</v>
      </c>
    </row>
    <row r="111" spans="1:5" x14ac:dyDescent="0.35">
      <c r="A111" t="s">
        <v>166</v>
      </c>
      <c r="B111" s="3">
        <f>'Design Converter'!H38/1000</f>
        <v>2E-3</v>
      </c>
      <c r="C111" s="2" t="s">
        <v>36</v>
      </c>
      <c r="E111" t="s">
        <v>168</v>
      </c>
    </row>
    <row r="112" spans="1:5" x14ac:dyDescent="0.35">
      <c r="A112" t="s">
        <v>274</v>
      </c>
      <c r="B112" s="166">
        <f>SQRT((IOUT^2)+(IL_avg_VIN_min^2)-(2*IOUT*IL_avg_VIN_min)-(2*Dc_VIN_min*(IOUT^2))-(Dc_VIN_min*(IL_avg_VIN_min^2))+(2*Dc_VIN_min*IOUT*IL_avg_VIN_min))</f>
        <v>7.426080168343641</v>
      </c>
      <c r="E112" s="164" t="s">
        <v>275</v>
      </c>
    </row>
    <row r="113" spans="1:7" x14ac:dyDescent="0.35">
      <c r="E113" s="72"/>
    </row>
    <row r="115" spans="1:7" x14ac:dyDescent="0.35">
      <c r="A115" s="28" t="s">
        <v>292</v>
      </c>
    </row>
    <row r="116" spans="1:7" x14ac:dyDescent="0.35">
      <c r="A116" t="s">
        <v>278</v>
      </c>
      <c r="B116" s="12">
        <f>Iss</f>
        <v>1.9999999999999998E-5</v>
      </c>
      <c r="C116" t="s">
        <v>11</v>
      </c>
      <c r="E116" t="s">
        <v>280</v>
      </c>
    </row>
    <row r="117" spans="1:7" x14ac:dyDescent="0.35">
      <c r="A117" t="s">
        <v>281</v>
      </c>
      <c r="B117" s="1">
        <f>Iss*VOUT*Cout/(Vref*IOUT)</f>
        <v>3.2500000000000001E-7</v>
      </c>
      <c r="C117" t="s">
        <v>162</v>
      </c>
      <c r="E117" t="s">
        <v>282</v>
      </c>
    </row>
    <row r="118" spans="1:7" x14ac:dyDescent="0.35">
      <c r="A118" t="s">
        <v>283</v>
      </c>
      <c r="B118" s="3">
        <f>'Design Converter'!H42*(10^-3)</f>
        <v>0.01</v>
      </c>
      <c r="C118" t="s">
        <v>51</v>
      </c>
      <c r="E118" t="s">
        <v>284</v>
      </c>
    </row>
    <row r="119" spans="1:7" x14ac:dyDescent="0.35">
      <c r="A119" t="s">
        <v>287</v>
      </c>
      <c r="B119" s="1">
        <f>(tss*Iss)/(Vref*(1-(VIN_min/VOUT)))</f>
        <v>2.1276595744680852E-7</v>
      </c>
      <c r="C119" t="s">
        <v>162</v>
      </c>
      <c r="E119" t="s">
        <v>288</v>
      </c>
    </row>
    <row r="121" spans="1:7" x14ac:dyDescent="0.35">
      <c r="A121" s="28" t="s">
        <v>291</v>
      </c>
    </row>
    <row r="122" spans="1:7" x14ac:dyDescent="0.35">
      <c r="A122" t="s">
        <v>293</v>
      </c>
      <c r="B122" s="3">
        <f>'Design Converter'!H46</f>
        <v>3</v>
      </c>
      <c r="C122" t="s">
        <v>10</v>
      </c>
      <c r="E122" t="s">
        <v>295</v>
      </c>
      <c r="G122" s="31"/>
    </row>
    <row r="123" spans="1:7" x14ac:dyDescent="0.35">
      <c r="A123" t="s">
        <v>294</v>
      </c>
      <c r="B123" s="3">
        <f>'Design Converter'!H47</f>
        <v>2</v>
      </c>
      <c r="C123" t="s">
        <v>10</v>
      </c>
      <c r="E123" t="s">
        <v>296</v>
      </c>
    </row>
    <row r="124" spans="1:7" x14ac:dyDescent="0.35">
      <c r="A124" t="s">
        <v>298</v>
      </c>
      <c r="B124" s="12">
        <f>UV_rise</f>
        <v>1.1000000000000001</v>
      </c>
      <c r="C124" t="s">
        <v>10</v>
      </c>
      <c r="E124" t="s">
        <v>303</v>
      </c>
    </row>
    <row r="125" spans="1:7" x14ac:dyDescent="0.35">
      <c r="A125" t="s">
        <v>299</v>
      </c>
      <c r="B125" s="12">
        <f>UV_fall</f>
        <v>1.075</v>
      </c>
      <c r="C125" t="s">
        <v>10</v>
      </c>
      <c r="E125" t="s">
        <v>302</v>
      </c>
    </row>
    <row r="126" spans="1:7" x14ac:dyDescent="0.35">
      <c r="A126" t="s">
        <v>304</v>
      </c>
      <c r="B126" s="12">
        <f>UV_I_hyst</f>
        <v>9.9999999999999991E-6</v>
      </c>
      <c r="C126" t="s">
        <v>11</v>
      </c>
      <c r="E126" t="s">
        <v>306</v>
      </c>
      <c r="G126" s="168">
        <f>(Vuvlo_on*0.977)-Vuvlo_off</f>
        <v>0.93100000000000005</v>
      </c>
    </row>
    <row r="127" spans="1:7" x14ac:dyDescent="0.35">
      <c r="A127" t="s">
        <v>307</v>
      </c>
      <c r="B127" s="16">
        <f>((Vuvlo_on*(UV_fall/UV_rise))-Vuvlo_off)/UV_I_hyst</f>
        <v>93181.818181818177</v>
      </c>
      <c r="C127" s="2" t="s">
        <v>36</v>
      </c>
      <c r="E127" t="s">
        <v>394</v>
      </c>
      <c r="G127" s="20">
        <f>B125/B124</f>
        <v>0.97727272727272718</v>
      </c>
    </row>
    <row r="128" spans="1:7" x14ac:dyDescent="0.35">
      <c r="A128" t="s">
        <v>307</v>
      </c>
      <c r="B128" s="3">
        <f>'Design Converter'!H49*1000</f>
        <v>80600</v>
      </c>
      <c r="C128" s="2" t="s">
        <v>36</v>
      </c>
      <c r="E128" t="s">
        <v>395</v>
      </c>
    </row>
    <row r="129" spans="1:7" x14ac:dyDescent="0.35">
      <c r="A129" t="s">
        <v>308</v>
      </c>
      <c r="B129" s="18">
        <f>UV_rise*Ruvlo_top/(Vuvlo_on-UV_rise)</f>
        <v>46663.157894736847</v>
      </c>
      <c r="C129" s="2" t="s">
        <v>36</v>
      </c>
      <c r="E129" t="s">
        <v>396</v>
      </c>
    </row>
    <row r="130" spans="1:7" x14ac:dyDescent="0.35">
      <c r="A130" t="s">
        <v>309</v>
      </c>
      <c r="B130" s="34">
        <f>UV_rise*(Ruvlo_top+Ruvlo_bottom_calc)/Ruvlo_bottom_calc</f>
        <v>3.0000000000000004</v>
      </c>
      <c r="E130" t="s">
        <v>311</v>
      </c>
    </row>
    <row r="131" spans="1:7" x14ac:dyDescent="0.35">
      <c r="A131" t="s">
        <v>310</v>
      </c>
      <c r="B131" s="34">
        <f>Ruvlo_top*((UV_fall/Ruvlo_top)-(UV_I_hyst)+(UV_fall/Ruvlo_bottom_calc))</f>
        <v>2.1258181818181816</v>
      </c>
      <c r="E131" t="s">
        <v>312</v>
      </c>
      <c r="G131" s="31"/>
    </row>
    <row r="134" spans="1:7" x14ac:dyDescent="0.35">
      <c r="A134" s="28" t="s">
        <v>171</v>
      </c>
    </row>
    <row r="135" spans="1:7" x14ac:dyDescent="0.35">
      <c r="A135" s="32" t="s">
        <v>197</v>
      </c>
      <c r="B135" s="3" t="str">
        <f>'Design Converter'!H54</f>
        <v>5V</v>
      </c>
      <c r="C135" t="s">
        <v>10</v>
      </c>
      <c r="E135" t="s">
        <v>238</v>
      </c>
    </row>
    <row r="136" spans="1:7" x14ac:dyDescent="0.35">
      <c r="A136" s="32"/>
    </row>
    <row r="137" spans="1:7" x14ac:dyDescent="0.35">
      <c r="A137" s="31" t="s">
        <v>252</v>
      </c>
    </row>
    <row r="138" spans="1:7" x14ac:dyDescent="0.35">
      <c r="A138" t="s">
        <v>550</v>
      </c>
      <c r="B138">
        <f>VOUT_range</f>
        <v>2</v>
      </c>
      <c r="E138" t="s">
        <v>520</v>
      </c>
    </row>
    <row r="139" spans="1:7" x14ac:dyDescent="0.35">
      <c r="A139" t="s">
        <v>551</v>
      </c>
      <c r="B139">
        <f>CHOOSE(VOUT_range,Kfb_low,Kfb_high)</f>
        <v>60</v>
      </c>
      <c r="C139" t="s">
        <v>150</v>
      </c>
    </row>
    <row r="140" spans="1:7" x14ac:dyDescent="0.35">
      <c r="A140" t="s">
        <v>558</v>
      </c>
      <c r="B140">
        <f>CHOOSE(VOUT_range,Rmax_low,Rmax_high)</f>
        <v>35000</v>
      </c>
      <c r="C140" t="s">
        <v>469</v>
      </c>
    </row>
    <row r="141" spans="1:7" x14ac:dyDescent="0.35">
      <c r="A141" t="s">
        <v>559</v>
      </c>
      <c r="B141">
        <f>CHOOSE(VOUT_range,Rmin_low,Rmin_high)</f>
        <v>20000</v>
      </c>
      <c r="C141" t="s">
        <v>469</v>
      </c>
    </row>
    <row r="142" spans="1:7" x14ac:dyDescent="0.35">
      <c r="A142" t="s">
        <v>562</v>
      </c>
      <c r="B142" s="1">
        <f>VOUT/Kfb</f>
        <v>0.83333333333333337</v>
      </c>
      <c r="C142" t="s">
        <v>10</v>
      </c>
      <c r="E142" t="s">
        <v>563</v>
      </c>
    </row>
    <row r="143" spans="1:7" x14ac:dyDescent="0.35">
      <c r="A143" t="s">
        <v>560</v>
      </c>
      <c r="B143" s="1">
        <f>((Vref*Rmax)-(VTRK*Rmax))/Vref</f>
        <v>5833.3333333333321</v>
      </c>
      <c r="E143">
        <f>Vref</f>
        <v>1</v>
      </c>
    </row>
    <row r="144" spans="1:7" x14ac:dyDescent="0.35">
      <c r="A144" t="s">
        <v>561</v>
      </c>
      <c r="B144" s="1">
        <f>((Vref*Rmin)-(VTRK*Rmin))/Vref</f>
        <v>3333.3333333333321</v>
      </c>
    </row>
    <row r="145" spans="1:5" x14ac:dyDescent="0.35">
      <c r="A145" t="s">
        <v>189</v>
      </c>
      <c r="B145" s="3">
        <f>'Design Converter'!H60*(10^3)</f>
        <v>6980</v>
      </c>
      <c r="C145" s="2" t="s">
        <v>36</v>
      </c>
      <c r="E145" t="s">
        <v>239</v>
      </c>
    </row>
    <row r="146" spans="1:5" x14ac:dyDescent="0.35">
      <c r="A146" t="s">
        <v>243</v>
      </c>
      <c r="B146" s="18">
        <f>RFBT/((Vref/VTRK)-1)</f>
        <v>34900.000000000007</v>
      </c>
      <c r="C146" s="2" t="s">
        <v>36</v>
      </c>
      <c r="E146" t="s">
        <v>246</v>
      </c>
    </row>
    <row r="147" spans="1:5" x14ac:dyDescent="0.35">
      <c r="A147" t="s">
        <v>190</v>
      </c>
      <c r="B147" s="3">
        <f>'Design Converter'!H62*(10^3)</f>
        <v>28000</v>
      </c>
      <c r="C147" s="2" t="s">
        <v>36</v>
      </c>
      <c r="E147" t="s">
        <v>247</v>
      </c>
    </row>
    <row r="148" spans="1:5" x14ac:dyDescent="0.35">
      <c r="A148" t="s">
        <v>248</v>
      </c>
      <c r="B148">
        <f>VOUT/(RFBB+RFBT)</f>
        <v>1.429388221841052E-3</v>
      </c>
      <c r="C148" s="2" t="s">
        <v>11</v>
      </c>
      <c r="E148" t="s">
        <v>567</v>
      </c>
    </row>
    <row r="149" spans="1:5" x14ac:dyDescent="0.35">
      <c r="C149" s="2"/>
    </row>
    <row r="150" spans="1:5" x14ac:dyDescent="0.35">
      <c r="A150" s="31" t="s">
        <v>253</v>
      </c>
      <c r="E150" t="s">
        <v>388</v>
      </c>
    </row>
    <row r="152" spans="1:5" x14ac:dyDescent="0.35">
      <c r="A152" s="22" t="s">
        <v>452</v>
      </c>
      <c r="E152" t="s">
        <v>504</v>
      </c>
    </row>
    <row r="153" spans="1:5" x14ac:dyDescent="0.35">
      <c r="A153" s="22"/>
    </row>
    <row r="154" spans="1:5" x14ac:dyDescent="0.35">
      <c r="A154" t="s">
        <v>501</v>
      </c>
      <c r="B154" s="20">
        <f>(R_cs*Acs/(2*Lm*Fsw))*(1-(VIN_min/VOUT))*(VIN_min/VOUT)</f>
        <v>1.0681818181818181E-4</v>
      </c>
      <c r="E154" t="s">
        <v>497</v>
      </c>
    </row>
    <row r="155" spans="1:5" x14ac:dyDescent="0.35">
      <c r="A155" t="s">
        <v>502</v>
      </c>
      <c r="B155" s="20">
        <f>1/((0.5-(1-(VIN_min/VOUT)))*(R_cs*Acs/(Lm*Fsw))+(Vsl*Acs/VOUT))</f>
        <v>136.36363636363637</v>
      </c>
      <c r="E155" t="s">
        <v>497</v>
      </c>
    </row>
    <row r="156" spans="1:5" x14ac:dyDescent="0.35">
      <c r="A156" t="s">
        <v>503</v>
      </c>
      <c r="B156" s="20">
        <f>2+((VOUT*((VIN_min/VOUT)^2))/(IOUT*R_cs*Acs))*((1/Km_VINmin)+(Kex_VINmin/(VIN_min/VOUT)))</f>
        <v>2.0410113636363638</v>
      </c>
      <c r="E156" t="s">
        <v>497</v>
      </c>
    </row>
    <row r="157" spans="1:5" x14ac:dyDescent="0.35">
      <c r="A157" s="22"/>
      <c r="B157" s="20"/>
    </row>
    <row r="158" spans="1:5" x14ac:dyDescent="0.35">
      <c r="A158" s="22"/>
      <c r="B158" s="20"/>
    </row>
    <row r="159" spans="1:5" x14ac:dyDescent="0.35">
      <c r="A159" s="22"/>
      <c r="B159" s="20"/>
    </row>
    <row r="160" spans="1:5" x14ac:dyDescent="0.35">
      <c r="A160" t="s">
        <v>398</v>
      </c>
      <c r="B160" s="20">
        <f>(Gcomp*(VIN_min/VOUT)*(VOUT/IOUT))/(Kd_VINmin*R_cs*Acs/Np)</f>
        <v>36.746488204934053</v>
      </c>
    </row>
    <row r="161" spans="1:5" x14ac:dyDescent="0.35">
      <c r="B161" s="20"/>
    </row>
    <row r="162" spans="1:5" x14ac:dyDescent="0.35">
      <c r="A162" t="s">
        <v>399</v>
      </c>
      <c r="B162" s="20">
        <f>Kd_VINmin/(Cout*(VOUT/IOUT))</f>
        <v>125.6006993006993</v>
      </c>
      <c r="C162" t="s">
        <v>385</v>
      </c>
      <c r="E162" t="s">
        <v>384</v>
      </c>
    </row>
    <row r="163" spans="1:5" x14ac:dyDescent="0.35">
      <c r="A163" t="s">
        <v>400</v>
      </c>
      <c r="B163" s="20">
        <f>B162/(2*PI())</f>
        <v>19.989972149505057</v>
      </c>
      <c r="C163" t="s">
        <v>65</v>
      </c>
      <c r="E163" t="s">
        <v>249</v>
      </c>
    </row>
    <row r="164" spans="1:5" x14ac:dyDescent="0.35">
      <c r="B164" s="20"/>
    </row>
    <row r="165" spans="1:5" x14ac:dyDescent="0.35">
      <c r="A165" t="s">
        <v>401</v>
      </c>
      <c r="B165" s="20">
        <f>1/(Cout*Resr)</f>
        <v>769230.76923076925</v>
      </c>
      <c r="C165" t="s">
        <v>386</v>
      </c>
      <c r="E165" t="s">
        <v>387</v>
      </c>
    </row>
    <row r="166" spans="1:5" x14ac:dyDescent="0.35">
      <c r="A166" t="s">
        <v>402</v>
      </c>
      <c r="B166" s="20">
        <f>B165/(2*PI())</f>
        <v>122426.87930145796</v>
      </c>
      <c r="C166" t="s">
        <v>65</v>
      </c>
      <c r="E166" t="s">
        <v>251</v>
      </c>
    </row>
    <row r="167" spans="1:5" x14ac:dyDescent="0.35">
      <c r="B167" s="20"/>
    </row>
    <row r="168" spans="1:5" x14ac:dyDescent="0.35">
      <c r="A168" t="s">
        <v>403</v>
      </c>
      <c r="B168" s="20">
        <f>((VOUT/IOUT)*((VIN_min/VOUT)^2))/(Lm)</f>
        <v>7499.9999999999991</v>
      </c>
      <c r="E168" t="s">
        <v>383</v>
      </c>
    </row>
    <row r="169" spans="1:5" x14ac:dyDescent="0.35">
      <c r="A169" t="s">
        <v>404</v>
      </c>
      <c r="B169" s="20">
        <f>B168/(2*PI())</f>
        <v>1193.6620731892149</v>
      </c>
      <c r="C169" t="s">
        <v>65</v>
      </c>
      <c r="E169" t="s">
        <v>250</v>
      </c>
    </row>
    <row r="170" spans="1:5" x14ac:dyDescent="0.35">
      <c r="B170" s="20">
        <f>Fsw/10</f>
        <v>44000</v>
      </c>
      <c r="C170" t="s">
        <v>65</v>
      </c>
      <c r="E170" t="s">
        <v>256</v>
      </c>
    </row>
    <row r="171" spans="1:5" x14ac:dyDescent="0.35">
      <c r="B171" s="30">
        <f>IF((B169/5)&lt;(B170),0,1)</f>
        <v>0</v>
      </c>
      <c r="E171" t="s">
        <v>257</v>
      </c>
    </row>
    <row r="172" spans="1:5" x14ac:dyDescent="0.35">
      <c r="B172" s="20"/>
    </row>
    <row r="173" spans="1:5" x14ac:dyDescent="0.35">
      <c r="A173" t="s">
        <v>405</v>
      </c>
      <c r="B173" s="20">
        <f>(Vsl*Fsw)</f>
        <v>19800</v>
      </c>
      <c r="C173" t="s">
        <v>150</v>
      </c>
      <c r="E173" t="s">
        <v>505</v>
      </c>
    </row>
    <row r="174" spans="1:5" x14ac:dyDescent="0.35">
      <c r="A174" t="s">
        <v>406</v>
      </c>
      <c r="B174" s="20">
        <f>(R_cs*VIN_min)/Lm</f>
        <v>500</v>
      </c>
      <c r="C174" t="s">
        <v>150</v>
      </c>
      <c r="E174" t="s">
        <v>214</v>
      </c>
    </row>
    <row r="175" spans="1:5" x14ac:dyDescent="0.35">
      <c r="B175" s="20"/>
    </row>
    <row r="176" spans="1:5" x14ac:dyDescent="0.35">
      <c r="A176" t="s">
        <v>407</v>
      </c>
      <c r="B176" s="20">
        <f>2*PI()*Fsw</f>
        <v>2764601.5351590179</v>
      </c>
      <c r="C176" t="s">
        <v>216</v>
      </c>
      <c r="E176" t="s">
        <v>498</v>
      </c>
    </row>
    <row r="177" spans="1:5" x14ac:dyDescent="0.35">
      <c r="A177" t="s">
        <v>408</v>
      </c>
      <c r="B177" s="20">
        <f>1/(PI()*(((VIN_min/VOUT)*(1+(B173/B174)))-0.5))</f>
        <v>0.16441626352468527</v>
      </c>
      <c r="E177" t="s">
        <v>499</v>
      </c>
    </row>
    <row r="178" spans="1:5" x14ac:dyDescent="0.35">
      <c r="B178" s="20"/>
    </row>
    <row r="179" spans="1:5" x14ac:dyDescent="0.35">
      <c r="A179" t="s">
        <v>254</v>
      </c>
      <c r="B179" s="20">
        <f>IF(B171=0,fz_rhp/5,Fsw/10)</f>
        <v>238.73241463784296</v>
      </c>
      <c r="C179" t="s">
        <v>65</v>
      </c>
      <c r="E179" t="s">
        <v>464</v>
      </c>
    </row>
    <row r="180" spans="1:5" x14ac:dyDescent="0.35">
      <c r="B180" s="29">
        <f>fcross</f>
        <v>400</v>
      </c>
      <c r="C180" t="s">
        <v>539</v>
      </c>
      <c r="E180" t="s">
        <v>570</v>
      </c>
    </row>
    <row r="181" spans="1:5" x14ac:dyDescent="0.35">
      <c r="A181" t="s">
        <v>261</v>
      </c>
      <c r="B181" s="51">
        <f>SQRT(B163*fcross)</f>
        <v>89.420293333236287</v>
      </c>
      <c r="C181" t="s">
        <v>65</v>
      </c>
      <c r="E181" t="s">
        <v>490</v>
      </c>
    </row>
    <row r="182" spans="1:5" x14ac:dyDescent="0.35">
      <c r="A182" t="s">
        <v>263</v>
      </c>
      <c r="B182" s="30">
        <f>SQRT(fz_rhp*Fsw/2)</f>
        <v>16205.112036071434</v>
      </c>
      <c r="C182" t="s">
        <v>65</v>
      </c>
      <c r="E182" t="s">
        <v>417</v>
      </c>
    </row>
    <row r="184" spans="1:5" x14ac:dyDescent="0.35">
      <c r="A184" t="s">
        <v>509</v>
      </c>
      <c r="B184" s="20">
        <f>10^(-Loop_Modeling!AD7/20)</f>
        <v>0.51699528123750338</v>
      </c>
    </row>
    <row r="185" spans="1:5" x14ac:dyDescent="0.35">
      <c r="A185" t="s">
        <v>507</v>
      </c>
      <c r="B185" s="20">
        <f>SQRT(1+((B179/fp_ea_est)^2))</f>
        <v>1.0001085088468413</v>
      </c>
    </row>
    <row r="186" spans="1:5" x14ac:dyDescent="0.35">
      <c r="A186" t="s">
        <v>508</v>
      </c>
      <c r="B186" s="20">
        <f>SQRT(1+(fz_ea_est/B179)^2)</f>
        <v>1.0678470525869754</v>
      </c>
    </row>
    <row r="188" spans="1:5" x14ac:dyDescent="0.35">
      <c r="A188" t="s">
        <v>472</v>
      </c>
      <c r="B188" s="17">
        <f>(fp_ea_est*B184*Kfb)/((fp_ea_est-fz_ea_est)*gm_ea)*(B185/B186)</f>
        <v>29213.190095302652</v>
      </c>
      <c r="C188" s="2" t="s">
        <v>36</v>
      </c>
      <c r="E188" s="31" t="s">
        <v>506</v>
      </c>
    </row>
    <row r="189" spans="1:5" x14ac:dyDescent="0.35">
      <c r="A189" t="s">
        <v>473</v>
      </c>
      <c r="B189" s="155">
        <f>1/(2*PI()*fz_ea_est*Rcomp_calc_CCM)</f>
        <v>6.0926335366996662E-8</v>
      </c>
      <c r="C189" s="2" t="s">
        <v>162</v>
      </c>
    </row>
    <row r="190" spans="1:5" x14ac:dyDescent="0.35">
      <c r="A190" t="s">
        <v>474</v>
      </c>
      <c r="B190" s="155">
        <f>((gm_ea)/(2*PI()*fp_ea_est*B184*Kfb))*(B186/B185)</f>
        <v>3.3805876081558129E-10</v>
      </c>
      <c r="C190" t="s">
        <v>162</v>
      </c>
    </row>
    <row r="193" spans="1:5" x14ac:dyDescent="0.35">
      <c r="A193" s="22" t="s">
        <v>453</v>
      </c>
      <c r="E193" s="31"/>
    </row>
    <row r="195" spans="1:5" x14ac:dyDescent="0.35">
      <c r="A195" t="s">
        <v>459</v>
      </c>
      <c r="B195">
        <f>Fsw/((R_cs*Acs*(VIN_min/Lm))+((R_sl+Rsl_int)*Isl))</f>
        <v>87.998416028511485</v>
      </c>
      <c r="C195" t="s">
        <v>150</v>
      </c>
      <c r="E195" t="s">
        <v>479</v>
      </c>
    </row>
    <row r="196" spans="1:5" x14ac:dyDescent="0.35">
      <c r="A196" t="s">
        <v>458</v>
      </c>
      <c r="B196">
        <f>(B195*2*VOUT/Dc_VIN_min)*(((VOUT/VIN_min)-1)/((2*VOUT/VIN_min)-1))</f>
        <v>4536.0008262119327</v>
      </c>
      <c r="C196" t="s">
        <v>150</v>
      </c>
    </row>
    <row r="197" spans="1:5" x14ac:dyDescent="0.35">
      <c r="A197" t="s">
        <v>460</v>
      </c>
      <c r="B197">
        <f>(IOUT*((2*VOUT)-VIN_min))/(Cout*VOUT*(VOUT-VIN_min))</f>
        <v>127.00490998363338</v>
      </c>
      <c r="C197" t="s">
        <v>385</v>
      </c>
    </row>
    <row r="198" spans="1:5" x14ac:dyDescent="0.35">
      <c r="B198">
        <f>B197/(2*PI())</f>
        <v>20.213459220836462</v>
      </c>
      <c r="C198" t="s">
        <v>65</v>
      </c>
    </row>
    <row r="199" spans="1:5" x14ac:dyDescent="0.35">
      <c r="A199" t="s">
        <v>461</v>
      </c>
      <c r="B199">
        <f>1/(Cout*Resr)</f>
        <v>769230.76923076925</v>
      </c>
      <c r="C199" t="s">
        <v>385</v>
      </c>
    </row>
    <row r="200" spans="1:5" x14ac:dyDescent="0.35">
      <c r="B200">
        <f>B199/(2*PI())</f>
        <v>122426.87930145796</v>
      </c>
      <c r="C200" t="s">
        <v>65</v>
      </c>
    </row>
    <row r="201" spans="1:5" x14ac:dyDescent="0.35">
      <c r="A201" t="s">
        <v>462</v>
      </c>
      <c r="B201">
        <f>2*Fsw/(Dc_VIN_min)</f>
        <v>936170.21276595746</v>
      </c>
      <c r="C201" t="s">
        <v>385</v>
      </c>
      <c r="E201" t="s">
        <v>478</v>
      </c>
    </row>
    <row r="202" spans="1:5" x14ac:dyDescent="0.35">
      <c r="B202">
        <f>B201/(2*PI())</f>
        <v>148996.11693709352</v>
      </c>
      <c r="C202" t="s">
        <v>65</v>
      </c>
    </row>
    <row r="204" spans="1:5" x14ac:dyDescent="0.35">
      <c r="A204" t="s">
        <v>463</v>
      </c>
      <c r="B204">
        <f>IF(2*Fsw/(2*PI()*Dc_VIN_min*5)&lt;Fsw/10,2*Fsw/(2*PI()*Dc_VIN_min*5),Fsw/10)</f>
        <v>29799.223387418708</v>
      </c>
      <c r="C204" t="s">
        <v>65</v>
      </c>
      <c r="E204" t="s">
        <v>569</v>
      </c>
    </row>
    <row r="205" spans="1:5" x14ac:dyDescent="0.35">
      <c r="B205" s="29">
        <f>fcross</f>
        <v>400</v>
      </c>
      <c r="C205" t="s">
        <v>539</v>
      </c>
      <c r="E205" t="s">
        <v>570</v>
      </c>
    </row>
    <row r="206" spans="1:5" x14ac:dyDescent="0.35">
      <c r="A206" t="s">
        <v>261</v>
      </c>
      <c r="B206" s="51">
        <f>SQRT(B198*fcross)</f>
        <v>89.918761603653024</v>
      </c>
      <c r="C206" t="s">
        <v>65</v>
      </c>
    </row>
    <row r="207" spans="1:5" x14ac:dyDescent="0.35">
      <c r="A207" t="s">
        <v>263</v>
      </c>
      <c r="B207" s="30">
        <f>Fsw/2</f>
        <v>220000</v>
      </c>
      <c r="C207" t="s">
        <v>65</v>
      </c>
    </row>
    <row r="209" spans="1:5" x14ac:dyDescent="0.35">
      <c r="A209" t="s">
        <v>509</v>
      </c>
      <c r="B209" s="20">
        <f>10^(-Loop_Modeling!AQ7/20)</f>
        <v>4.7748199888079067E-2</v>
      </c>
    </row>
    <row r="210" spans="1:5" x14ac:dyDescent="0.35">
      <c r="A210" t="s">
        <v>507</v>
      </c>
      <c r="B210" s="20">
        <f>SQRT(1+((fcross/B207)^2))</f>
        <v>1.0000016528911959</v>
      </c>
    </row>
    <row r="211" spans="1:5" x14ac:dyDescent="0.35">
      <c r="A211" t="s">
        <v>508</v>
      </c>
      <c r="B211" s="20">
        <f>SQRT(1+(B206/fcross)^2)</f>
        <v>1.0249554371054828</v>
      </c>
    </row>
    <row r="214" spans="1:5" x14ac:dyDescent="0.35">
      <c r="A214" t="s">
        <v>466</v>
      </c>
      <c r="B214">
        <f>(B207*B209*Kfb)/((B207-B206)*gm_ea)*(B210/B211)</f>
        <v>2796.2856227384846</v>
      </c>
      <c r="C214" t="s">
        <v>469</v>
      </c>
      <c r="E214" t="s">
        <v>260</v>
      </c>
    </row>
    <row r="215" spans="1:5" x14ac:dyDescent="0.35">
      <c r="A215" t="s">
        <v>470</v>
      </c>
      <c r="B215">
        <f>1/(2*PI()*B206*RCOMP_CALC_DCM)</f>
        <v>6.3297751772816012E-7</v>
      </c>
      <c r="C215" t="s">
        <v>162</v>
      </c>
      <c r="E215" t="s">
        <v>467</v>
      </c>
    </row>
    <row r="216" spans="1:5" x14ac:dyDescent="0.35">
      <c r="A216" t="s">
        <v>471</v>
      </c>
      <c r="B216">
        <f>((gm_ea)/(2*PI()*B207*Kfb))*(B211/B210)</f>
        <v>1.2358064744997815E-11</v>
      </c>
      <c r="C216" t="s">
        <v>162</v>
      </c>
      <c r="E216" t="s">
        <v>468</v>
      </c>
    </row>
    <row r="217" spans="1:5" ht="16.5" customHeight="1" x14ac:dyDescent="0.35"/>
    <row r="218" spans="1:5" ht="16.5" customHeight="1" x14ac:dyDescent="0.35">
      <c r="A218" s="152" t="s">
        <v>465</v>
      </c>
    </row>
    <row r="219" spans="1:5" x14ac:dyDescent="0.35">
      <c r="B219">
        <f>IF(B54=0,B204,B179)</f>
        <v>238.73241463784296</v>
      </c>
      <c r="C219" t="s">
        <v>65</v>
      </c>
      <c r="E219" t="s">
        <v>568</v>
      </c>
    </row>
    <row r="220" spans="1:5" x14ac:dyDescent="0.35">
      <c r="A220" t="s">
        <v>254</v>
      </c>
      <c r="B220" s="3">
        <f>'Design Converter'!H65*1000</f>
        <v>400</v>
      </c>
      <c r="C220" t="s">
        <v>65</v>
      </c>
      <c r="E220" t="s">
        <v>255</v>
      </c>
    </row>
    <row r="222" spans="1:5" x14ac:dyDescent="0.35">
      <c r="A222" t="s">
        <v>259</v>
      </c>
      <c r="B222">
        <f>IF(B54=0,RCOMP_CALC_DCM,Rcomp_calc_CCM)</f>
        <v>29213.190095302652</v>
      </c>
    </row>
    <row r="223" spans="1:5" x14ac:dyDescent="0.35">
      <c r="A223" t="s">
        <v>180</v>
      </c>
      <c r="B223" s="3">
        <f>'Design Converter'!H68*1000</f>
        <v>5300</v>
      </c>
      <c r="C223" s="2" t="s">
        <v>36</v>
      </c>
      <c r="E223" t="s">
        <v>186</v>
      </c>
    </row>
    <row r="224" spans="1:5" x14ac:dyDescent="0.35">
      <c r="A224" t="s">
        <v>262</v>
      </c>
      <c r="B224">
        <f>IF(B54=0,CCOMP_CALC_DCM,CCOMP_calc_CCM)</f>
        <v>6.0926335366996662E-8</v>
      </c>
    </row>
    <row r="225" spans="1:5" x14ac:dyDescent="0.35">
      <c r="A225" t="s">
        <v>184</v>
      </c>
      <c r="B225" s="3">
        <f>'Design Converter'!H69*(10^-9)</f>
        <v>2.2000000000000001E-7</v>
      </c>
      <c r="C225" t="s">
        <v>162</v>
      </c>
      <c r="E225" t="s">
        <v>187</v>
      </c>
    </row>
    <row r="226" spans="1:5" x14ac:dyDescent="0.35">
      <c r="A226" t="s">
        <v>475</v>
      </c>
      <c r="B226">
        <f>IF(B54=0,CHF_CALC_DCM,CHF_CALC_CCM)</f>
        <v>3.3805876081558129E-10</v>
      </c>
    </row>
    <row r="227" spans="1:5" x14ac:dyDescent="0.35">
      <c r="A227" t="s">
        <v>185</v>
      </c>
      <c r="B227" s="3">
        <f>'Design Converter'!H70*(10^-12)</f>
        <v>1.5E-9</v>
      </c>
      <c r="C227" t="s">
        <v>162</v>
      </c>
      <c r="E227" t="s">
        <v>188</v>
      </c>
    </row>
    <row r="229" spans="1:5" x14ac:dyDescent="0.35">
      <c r="A229" s="28" t="s">
        <v>320</v>
      </c>
    </row>
    <row r="230" spans="1:5" x14ac:dyDescent="0.35">
      <c r="A230" s="28" t="s">
        <v>338</v>
      </c>
    </row>
    <row r="231" spans="1:5" x14ac:dyDescent="0.35">
      <c r="A231" s="86" t="s">
        <v>392</v>
      </c>
      <c r="E231" t="s">
        <v>393</v>
      </c>
    </row>
    <row r="236" spans="1:5" x14ac:dyDescent="0.35">
      <c r="A236" s="28" t="s">
        <v>575</v>
      </c>
    </row>
    <row r="237" spans="1:5" ht="15.5" x14ac:dyDescent="0.4">
      <c r="A237" t="s">
        <v>347</v>
      </c>
      <c r="B237" s="3">
        <f>'Design Converter'!H75*(10^-3)</f>
        <v>8.8000000000000005E-3</v>
      </c>
      <c r="C237" s="2" t="s">
        <v>36</v>
      </c>
      <c r="E237" s="78" t="s">
        <v>327</v>
      </c>
    </row>
    <row r="238" spans="1:5" ht="15.5" x14ac:dyDescent="0.4">
      <c r="A238" t="s">
        <v>339</v>
      </c>
      <c r="B238" s="3">
        <f>'Design Converter'!H76*(10^-9)</f>
        <v>9.0000000000000012E-9</v>
      </c>
      <c r="C238" t="s">
        <v>162</v>
      </c>
      <c r="E238" s="78" t="s">
        <v>328</v>
      </c>
    </row>
    <row r="239" spans="1:5" ht="15.5" x14ac:dyDescent="0.4">
      <c r="A239" t="s">
        <v>341</v>
      </c>
      <c r="B239" s="3">
        <f>'Design Converter'!H77*(10^-9)</f>
        <v>2.4E-9</v>
      </c>
      <c r="C239" t="s">
        <v>162</v>
      </c>
      <c r="E239" s="78" t="s">
        <v>329</v>
      </c>
    </row>
    <row r="240" spans="1:5" ht="15.5" x14ac:dyDescent="0.4">
      <c r="A240" t="s">
        <v>340</v>
      </c>
      <c r="B240" s="3">
        <f>'Design Converter'!H78*(10^-9)</f>
        <v>4.5000000000000006E-9</v>
      </c>
      <c r="C240" t="s">
        <v>162</v>
      </c>
      <c r="E240" s="78" t="s">
        <v>330</v>
      </c>
    </row>
    <row r="241" spans="1:8" ht="15.5" x14ac:dyDescent="0.4">
      <c r="A241" t="s">
        <v>342</v>
      </c>
      <c r="B241" s="3">
        <f>'Design Converter'!H79</f>
        <v>0</v>
      </c>
      <c r="C241" s="2" t="s">
        <v>36</v>
      </c>
      <c r="E241" s="78" t="s">
        <v>331</v>
      </c>
    </row>
    <row r="242" spans="1:8" x14ac:dyDescent="0.35">
      <c r="A242" t="s">
        <v>348</v>
      </c>
      <c r="B242" s="12">
        <v>5</v>
      </c>
      <c r="C242" s="2"/>
      <c r="E242" s="78" t="s">
        <v>349</v>
      </c>
      <c r="H242" t="s">
        <v>358</v>
      </c>
    </row>
    <row r="243" spans="1:8" ht="15.5" x14ac:dyDescent="0.4">
      <c r="A243" t="s">
        <v>343</v>
      </c>
      <c r="B243" s="187">
        <v>50</v>
      </c>
      <c r="C243" s="2" t="s">
        <v>337</v>
      </c>
      <c r="E243" s="78" t="s">
        <v>332</v>
      </c>
    </row>
    <row r="244" spans="1:8" ht="15.5" x14ac:dyDescent="0.4">
      <c r="A244" t="s">
        <v>344</v>
      </c>
      <c r="B244" s="3">
        <f>'Design Converter'!H80</f>
        <v>1.6</v>
      </c>
      <c r="C244" s="2" t="s">
        <v>10</v>
      </c>
      <c r="E244" s="78" t="s">
        <v>333</v>
      </c>
    </row>
    <row r="245" spans="1:8" x14ac:dyDescent="0.35">
      <c r="A245" t="s">
        <v>354</v>
      </c>
      <c r="B245" s="12">
        <f>Vcc</f>
        <v>5</v>
      </c>
      <c r="C245" s="2" t="s">
        <v>10</v>
      </c>
      <c r="E245" s="78" t="s">
        <v>359</v>
      </c>
    </row>
    <row r="246" spans="1:8" x14ac:dyDescent="0.35">
      <c r="C246" s="2"/>
      <c r="E246" s="78"/>
    </row>
    <row r="247" spans="1:8" x14ac:dyDescent="0.35">
      <c r="C247" s="2"/>
      <c r="E247" s="78"/>
    </row>
    <row r="248" spans="1:8" x14ac:dyDescent="0.35">
      <c r="A248" t="s">
        <v>350</v>
      </c>
      <c r="B248" s="25">
        <f>Vth+(((VOUT*IOUT)/VIN_min)/gfs)</f>
        <v>2.2666666666666666</v>
      </c>
      <c r="C248" s="2" t="s">
        <v>10</v>
      </c>
      <c r="E248" s="78" t="s">
        <v>351</v>
      </c>
    </row>
    <row r="249" spans="1:8" x14ac:dyDescent="0.35">
      <c r="A249" t="s">
        <v>360</v>
      </c>
      <c r="B249" s="1">
        <f>(Qgd+(Qgs/2))*((Rgate+B242)/(Vcc-B248))</f>
        <v>8.5060975609756104E-9</v>
      </c>
      <c r="C249" s="2" t="s">
        <v>51</v>
      </c>
      <c r="E249" s="78" t="s">
        <v>352</v>
      </c>
    </row>
    <row r="250" spans="1:8" ht="15" thickBot="1" x14ac:dyDescent="0.4">
      <c r="A250" t="s">
        <v>361</v>
      </c>
      <c r="B250" s="1">
        <f>(Qgd+(Qgs/2))*((B242+Rgate)/B248)</f>
        <v>1.0257352941176472E-8</v>
      </c>
      <c r="C250" t="s">
        <v>51</v>
      </c>
      <c r="E250" s="79" t="s">
        <v>353</v>
      </c>
    </row>
    <row r="253" spans="1:8" x14ac:dyDescent="0.35">
      <c r="A253" s="28" t="s">
        <v>576</v>
      </c>
    </row>
    <row r="254" spans="1:8" ht="15.5" x14ac:dyDescent="0.4">
      <c r="A254" t="s">
        <v>347</v>
      </c>
      <c r="B254" s="3">
        <f>'Design Converter'!H83*(10^-3)</f>
        <v>8.8000000000000005E-3</v>
      </c>
      <c r="C254" s="2" t="s">
        <v>36</v>
      </c>
      <c r="E254" s="78" t="s">
        <v>327</v>
      </c>
    </row>
    <row r="255" spans="1:8" ht="15.5" x14ac:dyDescent="0.4">
      <c r="A255" t="s">
        <v>339</v>
      </c>
      <c r="B255" s="3">
        <f>'Design Converter'!H84*(10^-9)</f>
        <v>9.0000000000000012E-9</v>
      </c>
      <c r="C255" t="s">
        <v>162</v>
      </c>
      <c r="E255" s="78" t="s">
        <v>328</v>
      </c>
    </row>
    <row r="256" spans="1:8" ht="15.5" x14ac:dyDescent="0.4">
      <c r="A256" t="s">
        <v>341</v>
      </c>
      <c r="B256" s="3">
        <f>'Design Converter'!H85*(10^-9)</f>
        <v>2.4E-9</v>
      </c>
      <c r="C256" t="s">
        <v>162</v>
      </c>
      <c r="E256" s="78" t="s">
        <v>329</v>
      </c>
    </row>
    <row r="257" spans="1:5" ht="15.5" x14ac:dyDescent="0.4">
      <c r="A257" t="s">
        <v>340</v>
      </c>
      <c r="B257" s="3">
        <f>'Design Converter'!H86*(10^-9)</f>
        <v>4.5000000000000006E-9</v>
      </c>
      <c r="C257" t="s">
        <v>162</v>
      </c>
      <c r="E257" s="78" t="s">
        <v>330</v>
      </c>
    </row>
    <row r="258" spans="1:5" ht="15.5" x14ac:dyDescent="0.4">
      <c r="A258" t="s">
        <v>342</v>
      </c>
      <c r="B258" s="3">
        <f>'Design Converter'!H87</f>
        <v>0</v>
      </c>
      <c r="C258" s="2" t="s">
        <v>36</v>
      </c>
      <c r="E258" s="78" t="s">
        <v>331</v>
      </c>
    </row>
    <row r="259" spans="1:5" x14ac:dyDescent="0.35">
      <c r="A259" t="s">
        <v>348</v>
      </c>
      <c r="B259" s="12">
        <v>5</v>
      </c>
      <c r="C259" s="2"/>
      <c r="E259" s="78" t="s">
        <v>349</v>
      </c>
    </row>
    <row r="260" spans="1:5" ht="15.5" x14ac:dyDescent="0.4">
      <c r="A260" t="s">
        <v>343</v>
      </c>
      <c r="B260" s="187">
        <v>50</v>
      </c>
      <c r="C260" s="2" t="s">
        <v>337</v>
      </c>
      <c r="E260" s="78" t="s">
        <v>332</v>
      </c>
    </row>
    <row r="261" spans="1:5" ht="15.5" x14ac:dyDescent="0.4">
      <c r="A261" t="s">
        <v>344</v>
      </c>
      <c r="B261" s="3">
        <f>'Design Converter'!H88</f>
        <v>1.6</v>
      </c>
      <c r="C261" s="2" t="s">
        <v>10</v>
      </c>
      <c r="E261" s="78" t="s">
        <v>333</v>
      </c>
    </row>
    <row r="262" spans="1:5" x14ac:dyDescent="0.35">
      <c r="A262" t="s">
        <v>354</v>
      </c>
      <c r="B262" s="12">
        <f>Vcc</f>
        <v>5</v>
      </c>
      <c r="C262" s="2" t="s">
        <v>10</v>
      </c>
      <c r="E262" s="78" t="s">
        <v>359</v>
      </c>
    </row>
    <row r="263" spans="1:5" x14ac:dyDescent="0.35">
      <c r="A263" t="s">
        <v>346</v>
      </c>
      <c r="B263" s="3">
        <f>'Design Converter'!H89*10^-9</f>
        <v>1.9000000000000001E-8</v>
      </c>
      <c r="C263" t="s">
        <v>345</v>
      </c>
      <c r="E263" t="s">
        <v>577</v>
      </c>
    </row>
    <row r="264" spans="1:5" x14ac:dyDescent="0.35">
      <c r="A264" t="s">
        <v>321</v>
      </c>
      <c r="B264" s="3">
        <f>'Design Converter'!H90</f>
        <v>0.8</v>
      </c>
      <c r="C264" t="s">
        <v>10</v>
      </c>
      <c r="E264" t="s">
        <v>578</v>
      </c>
    </row>
    <row r="265" spans="1:5" x14ac:dyDescent="0.35">
      <c r="C265" s="2"/>
      <c r="E265" s="78"/>
    </row>
    <row r="266" spans="1:5" x14ac:dyDescent="0.35">
      <c r="A266" t="s">
        <v>350</v>
      </c>
      <c r="B266" s="25">
        <f>Vth+(((VOUT*IOUT)/VIN_min)/B260)</f>
        <v>2.2666666666666666</v>
      </c>
      <c r="C266" s="2" t="s">
        <v>10</v>
      </c>
      <c r="E266" s="78" t="s">
        <v>351</v>
      </c>
    </row>
    <row r="267" spans="1:5" x14ac:dyDescent="0.35">
      <c r="A267" t="s">
        <v>360</v>
      </c>
      <c r="B267" s="1">
        <f>(B256+(B257/2))*((B258+B259)/(Vcc-B266))</f>
        <v>8.5060975609756104E-9</v>
      </c>
      <c r="C267" s="2" t="s">
        <v>51</v>
      </c>
      <c r="E267" s="78" t="s">
        <v>352</v>
      </c>
    </row>
    <row r="268" spans="1:5" ht="15" thickBot="1" x14ac:dyDescent="0.4">
      <c r="A268" t="s">
        <v>361</v>
      </c>
      <c r="B268" s="1">
        <f>(Qgd+(Qgs/2))*((B259+Rgate)/B266)</f>
        <v>1.0257352941176472E-8</v>
      </c>
      <c r="C268" t="s">
        <v>51</v>
      </c>
      <c r="E268" s="79" t="s">
        <v>353</v>
      </c>
    </row>
  </sheetData>
  <mergeCells count="2">
    <mergeCell ref="A1:J1"/>
    <mergeCell ref="E5:H5"/>
  </mergeCells>
  <pageMargins left="0.7" right="0.7" top="0.75" bottom="0.75" header="0.3" footer="0.3"/>
  <pageSetup orientation="portrait" r:id="rId1"/>
  <ignoredErrors>
    <ignoredError sqref="B199 B201" formula="1"/>
  </ignoredErrors>
  <drawing r:id="rId2"/>
  <legacyDrawing r:id="rId3"/>
  <oleObjects>
    <mc:AlternateContent xmlns:mc="http://schemas.openxmlformats.org/markup-compatibility/2006">
      <mc:Choice Requires="x14">
        <oleObject progId="Mathcad" shapeId="2053" r:id="rId4">
          <objectPr defaultSize="0" autoPict="0" r:id="rId5">
            <anchor moveWithCells="1">
              <from>
                <xdr:col>8</xdr:col>
                <xdr:colOff>63500</xdr:colOff>
                <xdr:row>110</xdr:row>
                <xdr:rowOff>0</xdr:rowOff>
              </from>
              <to>
                <xdr:col>13</xdr:col>
                <xdr:colOff>25400</xdr:colOff>
                <xdr:row>112</xdr:row>
                <xdr:rowOff>31750</xdr:rowOff>
              </to>
            </anchor>
          </objectPr>
        </oleObject>
      </mc:Choice>
      <mc:Fallback>
        <oleObject progId="Mathcad" shapeId="205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W157"/>
  <sheetViews>
    <sheetView topLeftCell="P1" zoomScaleNormal="100" workbookViewId="0">
      <pane ySplit="6" topLeftCell="A118" activePane="bottomLeft" state="frozen"/>
      <selection activeCell="R1" sqref="R1"/>
      <selection pane="bottomLeft" activeCell="AM101" sqref="AM101"/>
    </sheetView>
  </sheetViews>
  <sheetFormatPr defaultRowHeight="14.5" x14ac:dyDescent="0.35"/>
  <cols>
    <col min="10" max="10" width="10" bestFit="1" customWidth="1"/>
    <col min="18" max="18" width="8.90625"/>
    <col min="21" max="21" width="8.90625"/>
    <col min="24" max="24" width="8.90625"/>
    <col min="25" max="25" width="12" bestFit="1" customWidth="1"/>
    <col min="28" max="28" width="8.90625"/>
    <col min="30" max="30" width="8.90625"/>
    <col min="35" max="35" width="8.90625"/>
    <col min="39" max="39" width="11" bestFit="1" customWidth="1"/>
    <col min="40" max="40" width="11" customWidth="1"/>
    <col min="43" max="44" width="8.6328125"/>
    <col min="45" max="46" width="8.90625"/>
  </cols>
  <sheetData>
    <row r="1" spans="1:49" ht="28" x14ac:dyDescent="0.6">
      <c r="A1" s="213" t="s">
        <v>15</v>
      </c>
      <c r="B1" s="213"/>
      <c r="C1" s="213"/>
      <c r="D1" s="213"/>
      <c r="E1" s="213"/>
      <c r="F1" s="213"/>
      <c r="G1" s="213"/>
      <c r="H1" s="213"/>
      <c r="I1" s="213"/>
      <c r="J1" s="213"/>
      <c r="K1" s="213"/>
      <c r="L1" s="213"/>
      <c r="M1" s="213"/>
    </row>
    <row r="4" spans="1:49" ht="15" thickBot="1" x14ac:dyDescent="0.4">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row>
    <row r="5" spans="1:49" ht="29" x14ac:dyDescent="0.35">
      <c r="R5" s="219" t="s">
        <v>314</v>
      </c>
      <c r="S5" s="220"/>
      <c r="T5" s="220"/>
      <c r="U5" s="221"/>
      <c r="V5" s="219" t="s">
        <v>315</v>
      </c>
      <c r="W5" s="220"/>
      <c r="X5" s="221"/>
      <c r="Y5" s="219" t="s">
        <v>379</v>
      </c>
      <c r="Z5" s="220"/>
      <c r="AA5" s="220"/>
      <c r="AB5" s="220"/>
      <c r="AC5" s="220"/>
      <c r="AD5" s="221"/>
      <c r="AE5" s="219" t="s">
        <v>573</v>
      </c>
      <c r="AF5" s="220"/>
      <c r="AG5" s="220"/>
      <c r="AH5" s="220"/>
      <c r="AI5" s="221"/>
      <c r="AJ5" s="219" t="s">
        <v>574</v>
      </c>
      <c r="AK5" s="220"/>
      <c r="AL5" s="220"/>
      <c r="AM5" s="220"/>
      <c r="AN5" s="222"/>
      <c r="AO5" s="221"/>
      <c r="AP5" s="215" t="s">
        <v>376</v>
      </c>
      <c r="AQ5" s="216"/>
      <c r="AR5" s="216"/>
      <c r="AS5" s="217"/>
      <c r="AT5" s="218"/>
      <c r="AU5" s="83" t="s">
        <v>369</v>
      </c>
      <c r="AV5" s="84"/>
      <c r="AW5" s="85"/>
    </row>
    <row r="6" spans="1:49" ht="16.5" x14ac:dyDescent="0.45">
      <c r="R6" s="73" t="s">
        <v>31</v>
      </c>
      <c r="S6" s="71" t="s">
        <v>33</v>
      </c>
      <c r="T6" s="71" t="s">
        <v>270</v>
      </c>
      <c r="U6" s="74" t="s">
        <v>273</v>
      </c>
      <c r="V6" s="73" t="s">
        <v>271</v>
      </c>
      <c r="W6" s="71" t="s">
        <v>272</v>
      </c>
      <c r="X6" s="74" t="s">
        <v>319</v>
      </c>
      <c r="Y6" s="73" t="s">
        <v>316</v>
      </c>
      <c r="Z6" s="71" t="s">
        <v>318</v>
      </c>
      <c r="AA6" s="71" t="s">
        <v>317</v>
      </c>
      <c r="AB6" s="80" t="s">
        <v>323</v>
      </c>
      <c r="AC6" s="80" t="s">
        <v>324</v>
      </c>
      <c r="AD6" s="82" t="s">
        <v>367</v>
      </c>
      <c r="AE6" s="73" t="s">
        <v>362</v>
      </c>
      <c r="AF6" s="71" t="s">
        <v>363</v>
      </c>
      <c r="AG6" s="80" t="s">
        <v>365</v>
      </c>
      <c r="AH6" s="80" t="s">
        <v>364</v>
      </c>
      <c r="AI6" s="82" t="s">
        <v>366</v>
      </c>
      <c r="AJ6" s="73" t="s">
        <v>322</v>
      </c>
      <c r="AK6" s="71" t="s">
        <v>587</v>
      </c>
      <c r="AL6" s="71" t="s">
        <v>325</v>
      </c>
      <c r="AM6" s="71" t="s">
        <v>326</v>
      </c>
      <c r="AN6" s="188" t="s">
        <v>588</v>
      </c>
      <c r="AO6" s="74" t="s">
        <v>591</v>
      </c>
      <c r="AP6" s="73" t="s">
        <v>368</v>
      </c>
      <c r="AQ6" s="206" t="s">
        <v>324</v>
      </c>
      <c r="AR6" s="206" t="s">
        <v>593</v>
      </c>
      <c r="AS6" s="71" t="s">
        <v>371</v>
      </c>
      <c r="AT6" s="74" t="s">
        <v>372</v>
      </c>
      <c r="AU6" s="73" t="s">
        <v>370</v>
      </c>
      <c r="AV6" s="71" t="s">
        <v>378</v>
      </c>
      <c r="AW6" s="74" t="s">
        <v>377</v>
      </c>
    </row>
    <row r="7" spans="1:49" x14ac:dyDescent="0.35">
      <c r="Q7">
        <v>0</v>
      </c>
      <c r="R7" s="73">
        <f t="shared" ref="R7:R70" si="0">VOUT</f>
        <v>50</v>
      </c>
      <c r="S7" s="71">
        <f t="shared" ref="S7:S38" si="1">Q7*$O$12</f>
        <v>0</v>
      </c>
      <c r="T7" s="71">
        <f t="shared" ref="T7:T70" si="2">VIN_var</f>
        <v>5</v>
      </c>
      <c r="U7" s="74">
        <f t="shared" ref="U7:U38" si="3">(R7*S7)/(T7*EFF_est)</f>
        <v>0</v>
      </c>
      <c r="V7" s="73">
        <f>IF(Variable_Management!$B$20=3,2,IF((S7*R7/T7)&lt;((T7*(1-(T7/R7)))/(2*Lm*Fsw)),1,2))</f>
        <v>1</v>
      </c>
      <c r="W7" s="71">
        <f>CHOOSE(V7,SQRT((2*S7*Lm*Fsw*(R7-T7))/((T7)^2)),1-(T7/R7))</f>
        <v>0</v>
      </c>
      <c r="X7" s="74">
        <f t="shared" ref="X7:X38" si="4">CHOOSE(V7,(Lm*Z7*Fsw)/(R7-T7),1-W7)</f>
        <v>0</v>
      </c>
      <c r="Y7" s="73">
        <f t="shared" ref="Y7:Y38" si="5">(T7*W7)/(Lm*Fsw)</f>
        <v>0</v>
      </c>
      <c r="Z7" s="71">
        <f>CHOOSE(V7,Y7,U7+(0.5*Y7))</f>
        <v>0</v>
      </c>
      <c r="AA7" s="71">
        <f>CHOOSE(V7,Z7*SQRT((W7+X7)/3),SQRT((U7^2)+((Y7^2)/12)))</f>
        <v>0</v>
      </c>
      <c r="AB7" s="71">
        <v>0</v>
      </c>
      <c r="AC7" s="71">
        <f t="shared" ref="AC7:AC38" si="6">(AA7^2)*Rdcr</f>
        <v>0</v>
      </c>
      <c r="AD7" s="74">
        <f>AB7+AC7</f>
        <v>0</v>
      </c>
      <c r="AE7" s="73">
        <f>U7*W7</f>
        <v>0</v>
      </c>
      <c r="AF7" s="71">
        <f>CHOOSE(V7,Z7*SQRT(W7/3),SQRT(W7*((Z7^2)+((Y7^2)/3)-(Z7*Y7))))</f>
        <v>0</v>
      </c>
      <c r="AG7" s="71">
        <f t="shared" ref="AG7:AG38" si="7">(AF7^2)*RDS_on</f>
        <v>0</v>
      </c>
      <c r="AH7" s="71">
        <f>((R7*U7)/2)*Fsw*(tr_sw+tf_sw)</f>
        <v>0</v>
      </c>
      <c r="AI7" s="74">
        <f>AG7+AH7</f>
        <v>0</v>
      </c>
      <c r="AJ7" s="73">
        <f>X7*U7</f>
        <v>0</v>
      </c>
      <c r="AK7" s="71">
        <f>CHOOSE(V7,Z7*SQRT(X7/3),SQRT(X7*((Z7^2)+((Y7^2)/3)-(Y7*Z7))))</f>
        <v>0</v>
      </c>
      <c r="AL7" s="71">
        <f t="shared" ref="AL7:AL38" si="8">(AK7^2)*RDS_on_HS</f>
        <v>0</v>
      </c>
      <c r="AM7" s="71">
        <f>CHOOSE(V7,0,(R7+Vd_rect)*Qrr*Fsw)</f>
        <v>0</v>
      </c>
      <c r="AN7" s="188">
        <f>Vd_rect*t_dead*Fsw*Z7</f>
        <v>0</v>
      </c>
      <c r="AO7" s="74">
        <f>AL7+AM7+AN7</f>
        <v>0</v>
      </c>
      <c r="AP7" s="73">
        <f>(AA7^2)*R_cs</f>
        <v>0</v>
      </c>
      <c r="AQ7" s="206">
        <f t="shared" ref="AQ7:AQ38" si="9">Rdcr*AA7^2</f>
        <v>0</v>
      </c>
      <c r="AR7" s="206">
        <f t="shared" ref="AR7:AR38" si="10">ABS(7.759*10^-3*Fsw^0.9458*(0.00787*Y7)^2.304)</f>
        <v>0</v>
      </c>
      <c r="AS7" s="71">
        <f t="shared" ref="AS7:AS38" si="11">(Qg_tot+Qg_tot_HS)*Vcc*Fsw</f>
        <v>3.9600000000000003E-2</v>
      </c>
      <c r="AT7" s="74">
        <f t="shared" ref="AT7:AT38" si="12">IQ*T7</f>
        <v>1.6499999999999998E-5</v>
      </c>
      <c r="AU7" s="73">
        <f>AP7+AO7+AI7+AD7+AS7+AT7+AQ7+AR7</f>
        <v>3.9616500000000006E-2</v>
      </c>
      <c r="AV7" s="71">
        <f>R7*S7</f>
        <v>0</v>
      </c>
      <c r="AW7" s="74">
        <f>(AV7/(AV7+AU7))*100</f>
        <v>0</v>
      </c>
    </row>
    <row r="8" spans="1:49" x14ac:dyDescent="0.35">
      <c r="M8">
        <f>Fsw</f>
        <v>440000</v>
      </c>
      <c r="Q8">
        <v>1</v>
      </c>
      <c r="R8" s="73">
        <f t="shared" si="0"/>
        <v>50</v>
      </c>
      <c r="S8" s="71">
        <f t="shared" si="1"/>
        <v>1.3333333333333334E-2</v>
      </c>
      <c r="T8" s="71">
        <f t="shared" si="2"/>
        <v>5</v>
      </c>
      <c r="U8" s="74">
        <f t="shared" si="3"/>
        <v>0.13333333333333336</v>
      </c>
      <c r="V8" s="73">
        <f>IF(Variable_Management!$B$20=3,2,IF((S8*R8/T8)&lt;((T8*(1-(T8/R8)))/(2*Lm*Fsw)),1,2))</f>
        <v>1</v>
      </c>
      <c r="W8" s="71">
        <f t="shared" ref="W8:W38" si="13">CHOOSE(V8,SQRT((2*S8*Lm*Fsw*(R8-T8))/((T8)^2)),1-(T8/R8))</f>
        <v>0.50342824712167278</v>
      </c>
      <c r="X8" s="74">
        <f t="shared" si="4"/>
        <v>5.5936471902408087E-2</v>
      </c>
      <c r="Y8" s="73">
        <f t="shared" si="5"/>
        <v>0.47673129462279618</v>
      </c>
      <c r="Z8" s="71">
        <f t="shared" ref="Z8:Z15" si="14">CHOOSE(V8,Y8,U8+(0.5*Y8))</f>
        <v>0.47673129462279618</v>
      </c>
      <c r="AA8" s="71">
        <f t="shared" ref="AA8:AA15" si="15">CHOOSE(V8,Z8*SQRT((W8+X8)/3),SQRT((U8^2)+((Y8^2)/12)))</f>
        <v>0.20585459693089656</v>
      </c>
      <c r="AB8" s="71">
        <v>0</v>
      </c>
      <c r="AC8" s="71">
        <f t="shared" si="6"/>
        <v>1.8221729483360209E-4</v>
      </c>
      <c r="AD8" s="74">
        <f t="shared" ref="AD8:AD71" si="16">AB8+AC8</f>
        <v>1.8221729483360209E-4</v>
      </c>
      <c r="AE8" s="73">
        <f>U8*W8</f>
        <v>6.7123766282889713E-2</v>
      </c>
      <c r="AF8" s="71">
        <f t="shared" ref="AF8:AF71" si="17">CHOOSE(V8,Z8*SQRT(W8/3),SQRT(W8*((Z8^2)+((Y8^2)/3)-(Z8*Y8))))</f>
        <v>0.19529081793526212</v>
      </c>
      <c r="AG8" s="71">
        <f t="shared" si="7"/>
        <v>3.3561883141444856E-4</v>
      </c>
      <c r="AH8" s="71">
        <f t="shared" ref="AH8:AH38" si="18">((R8*U8)/2)*Fsw*(tr_sw+tf_sw)</f>
        <v>2.7519727403156394E-2</v>
      </c>
      <c r="AI8" s="74">
        <f t="shared" ref="AI8:AI71" si="19">AG8+AH8</f>
        <v>2.7855346234570841E-2</v>
      </c>
      <c r="AJ8" s="73">
        <f t="shared" ref="AJ8:AJ71" si="20">X8*U8</f>
        <v>7.4581962536544128E-3</v>
      </c>
      <c r="AK8" s="71">
        <f t="shared" ref="AK8:AK38" si="21">CHOOSE(V8,Z8*SQRT(X8/3),SQRT(X8*((Z8^2)+((Y8^2)/3)-(Y8*Z8))))</f>
        <v>6.5096939311754046E-2</v>
      </c>
      <c r="AL8" s="71">
        <f t="shared" si="8"/>
        <v>3.7290981268272066E-5</v>
      </c>
      <c r="AM8" s="71">
        <f t="shared" ref="AM8:AM39" si="22">CHOOSE(V8,(R8+Vd_rect)*Qrr*Fsw,(R8+Vd_rect)*Qrr*Fsw)</f>
        <v>0.42468800000000007</v>
      </c>
      <c r="AN8" s="188">
        <f t="shared" ref="AN8:AN38" si="23">Vd_rect*t_dead*Fsw*Z8</f>
        <v>3.3561883141444851E-3</v>
      </c>
      <c r="AO8" s="74">
        <f t="shared" ref="AO8:AO71" si="24">AL8+AM8+AN8</f>
        <v>0.42808147929541279</v>
      </c>
      <c r="AP8" s="73">
        <f t="shared" ref="AP8:AP38" si="25">(AA8^2)*R_cs</f>
        <v>8.4752230155163771E-5</v>
      </c>
      <c r="AQ8" s="206">
        <f t="shared" si="9"/>
        <v>1.8221729483360209E-4</v>
      </c>
      <c r="AR8" s="206">
        <f t="shared" si="10"/>
        <v>4.3496227682791409E-3</v>
      </c>
      <c r="AS8" s="71">
        <f t="shared" si="11"/>
        <v>3.9600000000000003E-2</v>
      </c>
      <c r="AT8" s="74">
        <f t="shared" si="12"/>
        <v>1.6499999999999998E-5</v>
      </c>
      <c r="AU8" s="73">
        <f t="shared" ref="AU8:AU71" si="26">AP8+AO8+AI8+AD8+AS8+AT8+AQ8+AR8</f>
        <v>0.50035213511808507</v>
      </c>
      <c r="AV8" s="71">
        <f t="shared" ref="AV8:AV71" si="27">R8*S8</f>
        <v>0.66666666666666674</v>
      </c>
      <c r="AW8" s="74">
        <f t="shared" ref="AW8:AW71" si="28">(AV8/(AV8+AU8))*100</f>
        <v>57.125614912726022</v>
      </c>
    </row>
    <row r="9" spans="1:49" x14ac:dyDescent="0.35">
      <c r="N9" s="71" t="s">
        <v>198</v>
      </c>
      <c r="O9" s="71">
        <f>VIN_var</f>
        <v>5</v>
      </c>
      <c r="P9" t="s">
        <v>10</v>
      </c>
      <c r="Q9">
        <v>2</v>
      </c>
      <c r="R9" s="73">
        <f t="shared" si="0"/>
        <v>50</v>
      </c>
      <c r="S9" s="71">
        <f t="shared" si="1"/>
        <v>2.6666666666666668E-2</v>
      </c>
      <c r="T9" s="71">
        <f t="shared" si="2"/>
        <v>5</v>
      </c>
      <c r="U9" s="74">
        <f t="shared" si="3"/>
        <v>0.26666666666666672</v>
      </c>
      <c r="V9" s="73">
        <f>IF(Variable_Management!$B$20=3,2,IF((S9*R9/T9)&lt;((T9*(1-(T9/R9)))/(2*Lm*Fsw)),1,2))</f>
        <v>1</v>
      </c>
      <c r="W9" s="71">
        <f t="shared" si="13"/>
        <v>0.71195505476118359</v>
      </c>
      <c r="X9" s="74">
        <f t="shared" si="4"/>
        <v>7.9106117195687053E-2</v>
      </c>
      <c r="Y9" s="73">
        <f t="shared" si="5"/>
        <v>0.67419986246324204</v>
      </c>
      <c r="Z9" s="71">
        <f t="shared" si="14"/>
        <v>0.67419986246324204</v>
      </c>
      <c r="AA9" s="71">
        <f t="shared" si="15"/>
        <v>0.3462047852453784</v>
      </c>
      <c r="AB9" s="71">
        <v>0</v>
      </c>
      <c r="AC9" s="71">
        <f t="shared" si="6"/>
        <v>5.1538833930523385E-4</v>
      </c>
      <c r="AD9" s="74">
        <f t="shared" si="16"/>
        <v>5.1538833930523385E-4</v>
      </c>
      <c r="AE9" s="73">
        <f t="shared" ref="AE9:AE72" si="29">U9*W9</f>
        <v>0.18985468126964899</v>
      </c>
      <c r="AF9" s="71">
        <f t="shared" si="17"/>
        <v>0.32843869746745541</v>
      </c>
      <c r="AG9" s="71">
        <f t="shared" si="7"/>
        <v>9.4927340634824459E-4</v>
      </c>
      <c r="AH9" s="71">
        <f t="shared" si="18"/>
        <v>5.5039454806312789E-2</v>
      </c>
      <c r="AI9" s="74">
        <f t="shared" si="19"/>
        <v>5.5988728212661036E-2</v>
      </c>
      <c r="AJ9" s="73">
        <f t="shared" si="20"/>
        <v>2.1094964585516553E-2</v>
      </c>
      <c r="AK9" s="71">
        <f t="shared" si="21"/>
        <v>0.10947956582248514</v>
      </c>
      <c r="AL9" s="71">
        <f t="shared" si="8"/>
        <v>1.0547482292758273E-4</v>
      </c>
      <c r="AM9" s="71">
        <f t="shared" si="22"/>
        <v>0.42468800000000007</v>
      </c>
      <c r="AN9" s="188">
        <f t="shared" si="23"/>
        <v>4.7463670317412238E-3</v>
      </c>
      <c r="AO9" s="74">
        <f t="shared" si="24"/>
        <v>0.42953984185466892</v>
      </c>
      <c r="AP9" s="73">
        <f t="shared" si="25"/>
        <v>2.3971550665359716E-4</v>
      </c>
      <c r="AQ9" s="206">
        <f t="shared" si="9"/>
        <v>5.1538833930523385E-4</v>
      </c>
      <c r="AR9" s="206">
        <f t="shared" si="10"/>
        <v>9.6658076483837705E-3</v>
      </c>
      <c r="AS9" s="71">
        <f t="shared" si="11"/>
        <v>3.9600000000000003E-2</v>
      </c>
      <c r="AT9" s="74">
        <f t="shared" si="12"/>
        <v>1.6499999999999998E-5</v>
      </c>
      <c r="AU9" s="73">
        <f t="shared" si="26"/>
        <v>0.53608136990097777</v>
      </c>
      <c r="AV9" s="71">
        <f t="shared" si="27"/>
        <v>1.3333333333333335</v>
      </c>
      <c r="AW9" s="74">
        <f t="shared" si="28"/>
        <v>71.323571544960416</v>
      </c>
    </row>
    <row r="10" spans="1:49" x14ac:dyDescent="0.35">
      <c r="N10" s="71"/>
      <c r="O10" s="71"/>
      <c r="Q10">
        <v>3</v>
      </c>
      <c r="R10" s="73">
        <f t="shared" si="0"/>
        <v>50</v>
      </c>
      <c r="S10" s="71">
        <f t="shared" si="1"/>
        <v>0.04</v>
      </c>
      <c r="T10" s="71">
        <f t="shared" si="2"/>
        <v>5</v>
      </c>
      <c r="U10" s="74">
        <f t="shared" si="3"/>
        <v>0.4</v>
      </c>
      <c r="V10" s="73">
        <f>IF(Variable_Management!$B$20=3,2,IF((S10*R10/T10)&lt;((T10*(1-(T10/R10)))/(2*Lm*Fsw)),1,2))</f>
        <v>1</v>
      </c>
      <c r="W10" s="71">
        <f t="shared" si="13"/>
        <v>0.87196330198007765</v>
      </c>
      <c r="X10" s="74">
        <f t="shared" si="4"/>
        <v>9.688481133111973E-2</v>
      </c>
      <c r="Y10" s="73">
        <f t="shared" si="5"/>
        <v>0.82572282384477047</v>
      </c>
      <c r="Z10" s="71">
        <f t="shared" si="14"/>
        <v>0.82572282384477047</v>
      </c>
      <c r="AA10" s="71">
        <f t="shared" si="15"/>
        <v>0.46924700641056</v>
      </c>
      <c r="AB10" s="71">
        <v>0</v>
      </c>
      <c r="AC10" s="71">
        <f t="shared" si="6"/>
        <v>9.468288380086702E-4</v>
      </c>
      <c r="AD10" s="74">
        <f t="shared" si="16"/>
        <v>9.468288380086702E-4</v>
      </c>
      <c r="AE10" s="73">
        <f t="shared" si="29"/>
        <v>0.34878532079203106</v>
      </c>
      <c r="AF10" s="71">
        <f t="shared" si="17"/>
        <v>0.44516679764190065</v>
      </c>
      <c r="AG10" s="71">
        <f t="shared" si="7"/>
        <v>1.7439266039601554E-3</v>
      </c>
      <c r="AH10" s="71">
        <f t="shared" si="18"/>
        <v>8.2559182209469159E-2</v>
      </c>
      <c r="AI10" s="74">
        <f t="shared" si="19"/>
        <v>8.4303108813429312E-2</v>
      </c>
      <c r="AJ10" s="73">
        <f t="shared" si="20"/>
        <v>3.8753924532447893E-2</v>
      </c>
      <c r="AK10" s="71">
        <f t="shared" si="21"/>
        <v>0.14838893254730021</v>
      </c>
      <c r="AL10" s="71">
        <f t="shared" si="8"/>
        <v>1.9376962266223944E-4</v>
      </c>
      <c r="AM10" s="71">
        <f t="shared" si="22"/>
        <v>0.42468800000000007</v>
      </c>
      <c r="AN10" s="188">
        <f t="shared" si="23"/>
        <v>5.8130886798671844E-3</v>
      </c>
      <c r="AO10" s="74">
        <f t="shared" si="24"/>
        <v>0.43069485830252952</v>
      </c>
      <c r="AP10" s="73">
        <f t="shared" si="25"/>
        <v>4.403855060505443E-4</v>
      </c>
      <c r="AQ10" s="206">
        <f t="shared" si="9"/>
        <v>9.468288380086702E-4</v>
      </c>
      <c r="AR10" s="206">
        <f t="shared" si="10"/>
        <v>1.5420387198206192E-2</v>
      </c>
      <c r="AS10" s="71">
        <f t="shared" si="11"/>
        <v>3.9600000000000003E-2</v>
      </c>
      <c r="AT10" s="74">
        <f t="shared" si="12"/>
        <v>1.6499999999999998E-5</v>
      </c>
      <c r="AU10" s="73">
        <f t="shared" si="26"/>
        <v>0.57236889749623276</v>
      </c>
      <c r="AV10" s="71">
        <f t="shared" si="27"/>
        <v>2</v>
      </c>
      <c r="AW10" s="74">
        <f t="shared" si="28"/>
        <v>77.749346213393522</v>
      </c>
    </row>
    <row r="11" spans="1:49" x14ac:dyDescent="0.35">
      <c r="N11" s="71" t="s">
        <v>268</v>
      </c>
      <c r="O11" s="71">
        <v>150</v>
      </c>
      <c r="Q11">
        <v>4</v>
      </c>
      <c r="R11" s="73">
        <f t="shared" si="0"/>
        <v>50</v>
      </c>
      <c r="S11" s="71">
        <f t="shared" si="1"/>
        <v>5.3333333333333337E-2</v>
      </c>
      <c r="T11" s="71">
        <f t="shared" si="2"/>
        <v>5</v>
      </c>
      <c r="U11" s="74">
        <f t="shared" si="3"/>
        <v>0.53333333333333344</v>
      </c>
      <c r="V11" s="73">
        <f>IF(Variable_Management!$B$20=3,2,IF((S11*R11/T11)&lt;((T11*(1-(T11/R11)))/(2*Lm*Fsw)),1,2))</f>
        <v>2</v>
      </c>
      <c r="W11" s="71">
        <f t="shared" si="13"/>
        <v>0.9</v>
      </c>
      <c r="X11" s="74">
        <f t="shared" si="4"/>
        <v>9.9999999999999978E-2</v>
      </c>
      <c r="Y11" s="73">
        <f t="shared" si="5"/>
        <v>0.85227272727272718</v>
      </c>
      <c r="Z11" s="71">
        <f t="shared" si="14"/>
        <v>0.95946969696969697</v>
      </c>
      <c r="AA11" s="71">
        <f t="shared" si="15"/>
        <v>0.58734587588193632</v>
      </c>
      <c r="AB11" s="71">
        <v>0</v>
      </c>
      <c r="AC11" s="71">
        <f t="shared" si="6"/>
        <v>1.4833932650367314E-3</v>
      </c>
      <c r="AD11" s="74">
        <f t="shared" si="16"/>
        <v>1.4833932650367314E-3</v>
      </c>
      <c r="AE11" s="73">
        <f t="shared" si="29"/>
        <v>0.48000000000000009</v>
      </c>
      <c r="AF11" s="71">
        <f t="shared" si="17"/>
        <v>0.55720522262804295</v>
      </c>
      <c r="AG11" s="71">
        <f t="shared" si="7"/>
        <v>2.7322034090909086E-3</v>
      </c>
      <c r="AH11" s="71">
        <f t="shared" si="18"/>
        <v>0.11007890961262558</v>
      </c>
      <c r="AI11" s="74">
        <f t="shared" si="19"/>
        <v>0.11281111302171648</v>
      </c>
      <c r="AJ11" s="73">
        <f t="shared" si="20"/>
        <v>5.333333333333333E-2</v>
      </c>
      <c r="AK11" s="71">
        <f t="shared" si="21"/>
        <v>0.18573507420934762</v>
      </c>
      <c r="AL11" s="71">
        <f t="shared" si="8"/>
        <v>3.0357815656565648E-4</v>
      </c>
      <c r="AM11" s="71">
        <f t="shared" si="22"/>
        <v>0.42468800000000007</v>
      </c>
      <c r="AN11" s="188">
        <f t="shared" si="23"/>
        <v>6.7546666666666666E-3</v>
      </c>
      <c r="AO11" s="74">
        <f t="shared" si="24"/>
        <v>0.43174624482323243</v>
      </c>
      <c r="AP11" s="73">
        <f t="shared" si="25"/>
        <v>6.8995035583103797E-4</v>
      </c>
      <c r="AQ11" s="206">
        <f t="shared" si="9"/>
        <v>1.4833932650367314E-3</v>
      </c>
      <c r="AR11" s="206">
        <f t="shared" si="10"/>
        <v>1.6586782538474829E-2</v>
      </c>
      <c r="AS11" s="71">
        <f t="shared" si="11"/>
        <v>3.9600000000000003E-2</v>
      </c>
      <c r="AT11" s="74">
        <f t="shared" si="12"/>
        <v>1.6499999999999998E-5</v>
      </c>
      <c r="AU11" s="73">
        <f t="shared" si="26"/>
        <v>0.6044173772693282</v>
      </c>
      <c r="AV11" s="71">
        <f t="shared" si="27"/>
        <v>2.666666666666667</v>
      </c>
      <c r="AW11" s="74">
        <f t="shared" si="28"/>
        <v>81.522413696774009</v>
      </c>
    </row>
    <row r="12" spans="1:49" x14ac:dyDescent="0.35">
      <c r="N12" s="71" t="s">
        <v>269</v>
      </c>
      <c r="O12" s="71">
        <f>IOUT/(O11)</f>
        <v>1.3333333333333334E-2</v>
      </c>
      <c r="Q12">
        <v>5</v>
      </c>
      <c r="R12" s="73">
        <f t="shared" si="0"/>
        <v>50</v>
      </c>
      <c r="S12" s="71">
        <f t="shared" si="1"/>
        <v>6.6666666666666666E-2</v>
      </c>
      <c r="T12" s="71">
        <f t="shared" si="2"/>
        <v>5</v>
      </c>
      <c r="U12" s="74">
        <f t="shared" si="3"/>
        <v>0.66666666666666674</v>
      </c>
      <c r="V12" s="73">
        <f>IF(Variable_Management!$B$20=3,2,IF((S12*R12/T12)&lt;((T12*(1-(T12/R12)))/(2*Lm*Fsw)),1,2))</f>
        <v>2</v>
      </c>
      <c r="W12" s="71">
        <f t="shared" si="13"/>
        <v>0.9</v>
      </c>
      <c r="X12" s="74">
        <f t="shared" si="4"/>
        <v>9.9999999999999978E-2</v>
      </c>
      <c r="Y12" s="73">
        <f t="shared" si="5"/>
        <v>0.85227272727272718</v>
      </c>
      <c r="Z12" s="71">
        <f t="shared" si="14"/>
        <v>1.0928030303030303</v>
      </c>
      <c r="AA12" s="71">
        <f t="shared" si="15"/>
        <v>0.71061605520528381</v>
      </c>
      <c r="AB12" s="71">
        <v>0</v>
      </c>
      <c r="AC12" s="71">
        <f t="shared" si="6"/>
        <v>2.1713932650367315E-3</v>
      </c>
      <c r="AD12" s="74">
        <f t="shared" si="16"/>
        <v>2.1713932650367315E-3</v>
      </c>
      <c r="AE12" s="73">
        <f t="shared" si="29"/>
        <v>0.60000000000000009</v>
      </c>
      <c r="AF12" s="71">
        <f t="shared" si="17"/>
        <v>0.67414958289979443</v>
      </c>
      <c r="AG12" s="71">
        <f t="shared" si="7"/>
        <v>3.9994034090909082E-3</v>
      </c>
      <c r="AH12" s="71">
        <f t="shared" si="18"/>
        <v>0.13759863701578195</v>
      </c>
      <c r="AI12" s="74">
        <f t="shared" si="19"/>
        <v>0.14159804042487287</v>
      </c>
      <c r="AJ12" s="73">
        <f t="shared" si="20"/>
        <v>6.6666666666666666E-2</v>
      </c>
      <c r="AK12" s="71">
        <f t="shared" si="21"/>
        <v>0.2247165276332648</v>
      </c>
      <c r="AL12" s="71">
        <f t="shared" si="8"/>
        <v>4.4437815656565643E-4</v>
      </c>
      <c r="AM12" s="71">
        <f t="shared" si="22"/>
        <v>0.42468800000000007</v>
      </c>
      <c r="AN12" s="188">
        <f t="shared" si="23"/>
        <v>7.6933333333333333E-3</v>
      </c>
      <c r="AO12" s="74">
        <f t="shared" si="24"/>
        <v>0.43282571148989907</v>
      </c>
      <c r="AP12" s="73">
        <f t="shared" si="25"/>
        <v>1.0099503558310379E-3</v>
      </c>
      <c r="AQ12" s="206">
        <f t="shared" si="9"/>
        <v>2.1713932650367315E-3</v>
      </c>
      <c r="AR12" s="206">
        <f t="shared" si="10"/>
        <v>1.6586782538474829E-2</v>
      </c>
      <c r="AS12" s="71">
        <f t="shared" si="11"/>
        <v>3.9600000000000003E-2</v>
      </c>
      <c r="AT12" s="74">
        <f t="shared" si="12"/>
        <v>1.6499999999999998E-5</v>
      </c>
      <c r="AU12" s="73">
        <f t="shared" si="26"/>
        <v>0.63597977133915107</v>
      </c>
      <c r="AV12" s="71">
        <f t="shared" si="27"/>
        <v>3.3333333333333335</v>
      </c>
      <c r="AW12" s="74">
        <f t="shared" si="28"/>
        <v>83.977586182593996</v>
      </c>
    </row>
    <row r="13" spans="1:49" x14ac:dyDescent="0.35">
      <c r="Q13">
        <v>6</v>
      </c>
      <c r="R13" s="73">
        <f t="shared" si="0"/>
        <v>50</v>
      </c>
      <c r="S13" s="71">
        <f t="shared" si="1"/>
        <v>0.08</v>
      </c>
      <c r="T13" s="71">
        <f t="shared" si="2"/>
        <v>5</v>
      </c>
      <c r="U13" s="74">
        <f t="shared" si="3"/>
        <v>0.8</v>
      </c>
      <c r="V13" s="73">
        <f>IF(Variable_Management!$B$20=3,2,IF((S13*R13/T13)&lt;((T13*(1-(T13/R13)))/(2*Lm*Fsw)),1,2))</f>
        <v>2</v>
      </c>
      <c r="W13" s="71">
        <f t="shared" si="13"/>
        <v>0.9</v>
      </c>
      <c r="X13" s="74">
        <f t="shared" si="4"/>
        <v>9.9999999999999978E-2</v>
      </c>
      <c r="Y13" s="73">
        <f t="shared" si="5"/>
        <v>0.85227272727272718</v>
      </c>
      <c r="Z13" s="71">
        <f t="shared" si="14"/>
        <v>1.2261363636363636</v>
      </c>
      <c r="AA13" s="71">
        <f t="shared" si="15"/>
        <v>0.83697714035155979</v>
      </c>
      <c r="AB13" s="71">
        <v>0</v>
      </c>
      <c r="AC13" s="71">
        <f t="shared" si="6"/>
        <v>3.0122821539256208E-3</v>
      </c>
      <c r="AD13" s="74">
        <f t="shared" si="16"/>
        <v>3.0122821539256208E-3</v>
      </c>
      <c r="AE13" s="73">
        <f t="shared" si="29"/>
        <v>0.72000000000000008</v>
      </c>
      <c r="AF13" s="71">
        <f t="shared" si="17"/>
        <v>0.79402623390160543</v>
      </c>
      <c r="AG13" s="71">
        <f t="shared" si="7"/>
        <v>5.5482034090909103E-3</v>
      </c>
      <c r="AH13" s="71">
        <f t="shared" si="18"/>
        <v>0.16511836441893832</v>
      </c>
      <c r="AI13" s="74">
        <f t="shared" si="19"/>
        <v>0.17066656782802922</v>
      </c>
      <c r="AJ13" s="73">
        <f t="shared" si="20"/>
        <v>7.9999999999999988E-2</v>
      </c>
      <c r="AK13" s="71">
        <f t="shared" si="21"/>
        <v>0.26467541130053507</v>
      </c>
      <c r="AL13" s="71">
        <f t="shared" si="8"/>
        <v>6.1646704545454518E-4</v>
      </c>
      <c r="AM13" s="71">
        <f t="shared" si="22"/>
        <v>0.42468800000000007</v>
      </c>
      <c r="AN13" s="188">
        <f t="shared" si="23"/>
        <v>8.631999999999999E-3</v>
      </c>
      <c r="AO13" s="74">
        <f t="shared" si="24"/>
        <v>0.43393646704545458</v>
      </c>
      <c r="AP13" s="73">
        <f t="shared" si="25"/>
        <v>1.4010614669421493E-3</v>
      </c>
      <c r="AQ13" s="206">
        <f t="shared" si="9"/>
        <v>3.0122821539256208E-3</v>
      </c>
      <c r="AR13" s="206">
        <f t="shared" si="10"/>
        <v>1.6586782538474829E-2</v>
      </c>
      <c r="AS13" s="71">
        <f t="shared" si="11"/>
        <v>3.9600000000000003E-2</v>
      </c>
      <c r="AT13" s="74">
        <f t="shared" si="12"/>
        <v>1.6499999999999998E-5</v>
      </c>
      <c r="AU13" s="73">
        <f t="shared" si="26"/>
        <v>0.66823194318675183</v>
      </c>
      <c r="AV13" s="71">
        <f t="shared" si="27"/>
        <v>4</v>
      </c>
      <c r="AW13" s="74">
        <f t="shared" si="28"/>
        <v>85.685545377366452</v>
      </c>
    </row>
    <row r="14" spans="1:49" x14ac:dyDescent="0.35">
      <c r="Q14">
        <v>7</v>
      </c>
      <c r="R14" s="73">
        <f t="shared" si="0"/>
        <v>50</v>
      </c>
      <c r="S14" s="71">
        <f t="shared" si="1"/>
        <v>9.3333333333333338E-2</v>
      </c>
      <c r="T14" s="71">
        <f t="shared" si="2"/>
        <v>5</v>
      </c>
      <c r="U14" s="74">
        <f t="shared" si="3"/>
        <v>0.93333333333333335</v>
      </c>
      <c r="V14" s="73">
        <f>IF(Variable_Management!$B$20=3,2,IF((S14*R14/T14)&lt;((T14*(1-(T14/R14)))/(2*Lm*Fsw)),1,2))</f>
        <v>2</v>
      </c>
      <c r="W14" s="71">
        <f t="shared" si="13"/>
        <v>0.9</v>
      </c>
      <c r="X14" s="74">
        <f t="shared" si="4"/>
        <v>9.9999999999999978E-2</v>
      </c>
      <c r="Y14" s="73">
        <f t="shared" si="5"/>
        <v>0.85227272727272718</v>
      </c>
      <c r="Z14" s="71">
        <f t="shared" si="14"/>
        <v>1.3594696969696969</v>
      </c>
      <c r="AA14" s="71">
        <f t="shared" si="15"/>
        <v>0.96521595748422306</v>
      </c>
      <c r="AB14" s="71">
        <v>0</v>
      </c>
      <c r="AC14" s="71">
        <f t="shared" si="6"/>
        <v>4.0060599317033978E-3</v>
      </c>
      <c r="AD14" s="74">
        <f t="shared" si="16"/>
        <v>4.0060599317033978E-3</v>
      </c>
      <c r="AE14" s="73">
        <f t="shared" si="29"/>
        <v>0.84000000000000008</v>
      </c>
      <c r="AF14" s="71">
        <f t="shared" si="17"/>
        <v>0.91568425787711727</v>
      </c>
      <c r="AG14" s="71">
        <f t="shared" si="7"/>
        <v>7.3786034090909097E-3</v>
      </c>
      <c r="AH14" s="71">
        <f t="shared" si="18"/>
        <v>0.19263809182209471</v>
      </c>
      <c r="AI14" s="74">
        <f t="shared" si="19"/>
        <v>0.20001669523118562</v>
      </c>
      <c r="AJ14" s="73">
        <f t="shared" si="20"/>
        <v>9.333333333333331E-2</v>
      </c>
      <c r="AK14" s="71">
        <f t="shared" si="21"/>
        <v>0.30522808595903905</v>
      </c>
      <c r="AL14" s="71">
        <f t="shared" si="8"/>
        <v>8.1984482323232315E-4</v>
      </c>
      <c r="AM14" s="71">
        <f t="shared" si="22"/>
        <v>0.42468800000000007</v>
      </c>
      <c r="AN14" s="188">
        <f t="shared" si="23"/>
        <v>9.5706666666666666E-3</v>
      </c>
      <c r="AO14" s="74">
        <f t="shared" si="24"/>
        <v>0.43507851148989907</v>
      </c>
      <c r="AP14" s="73">
        <f t="shared" si="25"/>
        <v>1.8632836891643711E-3</v>
      </c>
      <c r="AQ14" s="206">
        <f t="shared" si="9"/>
        <v>4.0060599317033978E-3</v>
      </c>
      <c r="AR14" s="206">
        <f t="shared" si="10"/>
        <v>1.6586782538474829E-2</v>
      </c>
      <c r="AS14" s="71">
        <f t="shared" si="11"/>
        <v>3.9600000000000003E-2</v>
      </c>
      <c r="AT14" s="74">
        <f t="shared" si="12"/>
        <v>1.6499999999999998E-5</v>
      </c>
      <c r="AU14" s="73">
        <f t="shared" si="26"/>
        <v>0.70117389281213072</v>
      </c>
      <c r="AV14" s="71">
        <f t="shared" si="27"/>
        <v>4.666666666666667</v>
      </c>
      <c r="AW14" s="74">
        <f t="shared" si="28"/>
        <v>86.937505221276297</v>
      </c>
    </row>
    <row r="15" spans="1:49" x14ac:dyDescent="0.35">
      <c r="O15">
        <f>0.205*2.5/(Lm*Fsw)</f>
        <v>9.7064393939393923E-2</v>
      </c>
      <c r="Q15">
        <v>8</v>
      </c>
      <c r="R15" s="73">
        <f t="shared" si="0"/>
        <v>50</v>
      </c>
      <c r="S15" s="71">
        <f t="shared" si="1"/>
        <v>0.10666666666666667</v>
      </c>
      <c r="T15" s="71">
        <f t="shared" si="2"/>
        <v>5</v>
      </c>
      <c r="U15" s="74">
        <f t="shared" si="3"/>
        <v>1.0666666666666669</v>
      </c>
      <c r="V15" s="73">
        <f>IF(Variable_Management!$B$20=3,2,IF((S15*R15/T15)&lt;((T15*(1-(T15/R15)))/(2*Lm*Fsw)),1,2))</f>
        <v>2</v>
      </c>
      <c r="W15" s="71">
        <f t="shared" si="13"/>
        <v>0.9</v>
      </c>
      <c r="X15" s="74">
        <f t="shared" si="4"/>
        <v>9.9999999999999978E-2</v>
      </c>
      <c r="Y15" s="73">
        <f t="shared" si="5"/>
        <v>0.85227272727272718</v>
      </c>
      <c r="Z15" s="71">
        <f t="shared" si="14"/>
        <v>1.4928030303030304</v>
      </c>
      <c r="AA15" s="71">
        <f t="shared" si="15"/>
        <v>1.0946727872971231</v>
      </c>
      <c r="AB15" s="71">
        <v>0</v>
      </c>
      <c r="AC15" s="71">
        <f t="shared" si="6"/>
        <v>5.152726598370066E-3</v>
      </c>
      <c r="AD15" s="74">
        <f t="shared" si="16"/>
        <v>5.152726598370066E-3</v>
      </c>
      <c r="AE15" s="73">
        <f t="shared" si="29"/>
        <v>0.96000000000000019</v>
      </c>
      <c r="AF15" s="71">
        <f t="shared" si="17"/>
        <v>1.0384977901391834</v>
      </c>
      <c r="AG15" s="71">
        <f t="shared" si="7"/>
        <v>9.4906034090909142E-3</v>
      </c>
      <c r="AH15" s="71">
        <f t="shared" si="18"/>
        <v>0.22015781922525116</v>
      </c>
      <c r="AI15" s="74">
        <f t="shared" si="19"/>
        <v>0.22964842263434207</v>
      </c>
      <c r="AJ15" s="73">
        <f t="shared" si="20"/>
        <v>0.10666666666666666</v>
      </c>
      <c r="AK15" s="71">
        <f t="shared" si="21"/>
        <v>0.3461659300463944</v>
      </c>
      <c r="AL15" s="71">
        <f t="shared" si="8"/>
        <v>1.05451148989899E-3</v>
      </c>
      <c r="AM15" s="71">
        <f t="shared" si="22"/>
        <v>0.42468800000000007</v>
      </c>
      <c r="AN15" s="188">
        <f t="shared" si="23"/>
        <v>1.0509333333333334E-2</v>
      </c>
      <c r="AO15" s="74">
        <f t="shared" si="24"/>
        <v>0.43625184482323237</v>
      </c>
      <c r="AP15" s="73">
        <f t="shared" si="25"/>
        <v>2.3966170224977053E-3</v>
      </c>
      <c r="AQ15" s="206">
        <f t="shared" si="9"/>
        <v>5.152726598370066E-3</v>
      </c>
      <c r="AR15" s="206">
        <f t="shared" si="10"/>
        <v>1.6586782538474829E-2</v>
      </c>
      <c r="AS15" s="71">
        <f t="shared" si="11"/>
        <v>3.9600000000000003E-2</v>
      </c>
      <c r="AT15" s="74">
        <f t="shared" si="12"/>
        <v>1.6499999999999998E-5</v>
      </c>
      <c r="AU15" s="73">
        <f t="shared" si="26"/>
        <v>0.73480562021528706</v>
      </c>
      <c r="AV15" s="71">
        <f t="shared" si="27"/>
        <v>5.3333333333333339</v>
      </c>
      <c r="AW15" s="74">
        <f t="shared" si="28"/>
        <v>87.890758174125594</v>
      </c>
    </row>
    <row r="16" spans="1:49" x14ac:dyDescent="0.35">
      <c r="Q16">
        <v>9</v>
      </c>
      <c r="R16" s="73">
        <f t="shared" si="0"/>
        <v>50</v>
      </c>
      <c r="S16" s="71">
        <f t="shared" si="1"/>
        <v>0.12000000000000001</v>
      </c>
      <c r="T16" s="71">
        <f t="shared" si="2"/>
        <v>5</v>
      </c>
      <c r="U16" s="74">
        <f t="shared" si="3"/>
        <v>1.2000000000000002</v>
      </c>
      <c r="V16" s="73">
        <f>IF(Variable_Management!$B$20=3,2,IF((S16*R16/T16)&lt;((T16*(1-(T16/R16)))/(2*Lm*Fsw)),1,2))</f>
        <v>2</v>
      </c>
      <c r="W16" s="71">
        <f t="shared" si="13"/>
        <v>0.9</v>
      </c>
      <c r="X16" s="74">
        <f t="shared" si="4"/>
        <v>9.9999999999999978E-2</v>
      </c>
      <c r="Y16" s="73">
        <f t="shared" si="5"/>
        <v>0.85227272727272718</v>
      </c>
      <c r="Z16" s="71">
        <f t="shared" ref="Z16:Z79" si="30">CHOOSE(V16,Y16,U16+(0.5*Y16))</f>
        <v>1.6261363636363637</v>
      </c>
      <c r="AA16" s="71">
        <f t="shared" ref="AA16:AA79" si="31">CHOOSE(V16,Z16*SQRT((W16+X16)/3),SQRT((U16^2)+((Y16^2)/12)))</f>
        <v>1.2249615232614757</v>
      </c>
      <c r="AB16" s="71">
        <v>0</v>
      </c>
      <c r="AC16" s="71">
        <f t="shared" si="6"/>
        <v>6.4522821539256224E-3</v>
      </c>
      <c r="AD16" s="74">
        <f t="shared" si="16"/>
        <v>6.4522821539256224E-3</v>
      </c>
      <c r="AE16" s="73">
        <f t="shared" si="29"/>
        <v>1.0800000000000003</v>
      </c>
      <c r="AF16" s="71">
        <f t="shared" si="17"/>
        <v>1.1621005378726779</v>
      </c>
      <c r="AG16" s="71">
        <f t="shared" si="7"/>
        <v>1.1884203409090912E-2</v>
      </c>
      <c r="AH16" s="71">
        <f t="shared" si="18"/>
        <v>0.24767754662840752</v>
      </c>
      <c r="AI16" s="74">
        <f t="shared" si="19"/>
        <v>0.25956175003749843</v>
      </c>
      <c r="AJ16" s="73">
        <f t="shared" si="20"/>
        <v>0.12</v>
      </c>
      <c r="AK16" s="71">
        <f t="shared" si="21"/>
        <v>0.38736684595755927</v>
      </c>
      <c r="AL16" s="71">
        <f t="shared" si="8"/>
        <v>1.3204670454545458E-3</v>
      </c>
      <c r="AM16" s="71">
        <f t="shared" si="22"/>
        <v>0.42468800000000007</v>
      </c>
      <c r="AN16" s="188">
        <f t="shared" si="23"/>
        <v>1.1448000000000002E-2</v>
      </c>
      <c r="AO16" s="74">
        <f t="shared" si="24"/>
        <v>0.4374564670454546</v>
      </c>
      <c r="AP16" s="73">
        <f t="shared" si="25"/>
        <v>3.0010614669421501E-3</v>
      </c>
      <c r="AQ16" s="206">
        <f t="shared" si="9"/>
        <v>6.4522821539256224E-3</v>
      </c>
      <c r="AR16" s="206">
        <f t="shared" si="10"/>
        <v>1.6586782538474829E-2</v>
      </c>
      <c r="AS16" s="71">
        <f t="shared" si="11"/>
        <v>3.9600000000000003E-2</v>
      </c>
      <c r="AT16" s="74">
        <f t="shared" si="12"/>
        <v>1.6499999999999998E-5</v>
      </c>
      <c r="AU16" s="73">
        <f t="shared" si="26"/>
        <v>0.76912712539622097</v>
      </c>
      <c r="AV16" s="71">
        <f t="shared" si="27"/>
        <v>6.0000000000000009</v>
      </c>
      <c r="AW16" s="74">
        <f t="shared" si="28"/>
        <v>88.637720770368887</v>
      </c>
    </row>
    <row r="17" spans="17:49" x14ac:dyDescent="0.35">
      <c r="Q17">
        <v>10</v>
      </c>
      <c r="R17" s="73">
        <f t="shared" si="0"/>
        <v>50</v>
      </c>
      <c r="S17" s="71">
        <f t="shared" si="1"/>
        <v>0.13333333333333333</v>
      </c>
      <c r="T17" s="71">
        <f t="shared" si="2"/>
        <v>5</v>
      </c>
      <c r="U17" s="74">
        <f t="shared" si="3"/>
        <v>1.3333333333333335</v>
      </c>
      <c r="V17" s="73">
        <f>IF(Variable_Management!$B$20=3,2,IF((S17*R17/T17)&lt;((T17*(1-(T17/R17)))/(2*Lm*Fsw)),1,2))</f>
        <v>2</v>
      </c>
      <c r="W17" s="71">
        <f t="shared" si="13"/>
        <v>0.9</v>
      </c>
      <c r="X17" s="74">
        <f t="shared" si="4"/>
        <v>9.9999999999999978E-2</v>
      </c>
      <c r="Y17" s="73">
        <f t="shared" si="5"/>
        <v>0.85227272727272718</v>
      </c>
      <c r="Z17" s="71">
        <f t="shared" si="30"/>
        <v>1.759469696969697</v>
      </c>
      <c r="AA17" s="71">
        <f t="shared" si="31"/>
        <v>1.3558423622415892</v>
      </c>
      <c r="AB17" s="71">
        <v>0</v>
      </c>
      <c r="AC17" s="71">
        <f t="shared" si="6"/>
        <v>7.9047265983700661E-3</v>
      </c>
      <c r="AD17" s="74">
        <f t="shared" si="16"/>
        <v>7.9047265983700661E-3</v>
      </c>
      <c r="AE17" s="73">
        <f t="shared" si="29"/>
        <v>1.2000000000000002</v>
      </c>
      <c r="AF17" s="71">
        <f t="shared" si="17"/>
        <v>1.2862650038479502</v>
      </c>
      <c r="AG17" s="71">
        <f t="shared" si="7"/>
        <v>1.4559403409090912E-2</v>
      </c>
      <c r="AH17" s="71">
        <f t="shared" si="18"/>
        <v>0.27519727403156391</v>
      </c>
      <c r="AI17" s="74">
        <f t="shared" si="19"/>
        <v>0.28975667744065481</v>
      </c>
      <c r="AJ17" s="73">
        <f t="shared" si="20"/>
        <v>0.13333333333333333</v>
      </c>
      <c r="AK17" s="71">
        <f t="shared" si="21"/>
        <v>0.42875500128265004</v>
      </c>
      <c r="AL17" s="71">
        <f t="shared" si="8"/>
        <v>1.6177114898989901E-3</v>
      </c>
      <c r="AM17" s="71">
        <f t="shared" si="22"/>
        <v>0.42468800000000007</v>
      </c>
      <c r="AN17" s="188">
        <f t="shared" si="23"/>
        <v>1.2386666666666667E-2</v>
      </c>
      <c r="AO17" s="74">
        <f t="shared" si="24"/>
        <v>0.4386923781565657</v>
      </c>
      <c r="AP17" s="73">
        <f t="shared" si="25"/>
        <v>3.6766170224977052E-3</v>
      </c>
      <c r="AQ17" s="206">
        <f t="shared" si="9"/>
        <v>7.9047265983700661E-3</v>
      </c>
      <c r="AR17" s="206">
        <f t="shared" si="10"/>
        <v>1.6586782538474829E-2</v>
      </c>
      <c r="AS17" s="71">
        <f t="shared" si="11"/>
        <v>3.9600000000000003E-2</v>
      </c>
      <c r="AT17" s="74">
        <f t="shared" si="12"/>
        <v>1.6499999999999998E-5</v>
      </c>
      <c r="AU17" s="73">
        <f t="shared" si="26"/>
        <v>0.80413840835493311</v>
      </c>
      <c r="AV17" s="71">
        <f t="shared" si="27"/>
        <v>6.666666666666667</v>
      </c>
      <c r="AW17" s="74">
        <f t="shared" si="28"/>
        <v>89.236254991533045</v>
      </c>
    </row>
    <row r="18" spans="17:49" x14ac:dyDescent="0.35">
      <c r="Q18">
        <v>11</v>
      </c>
      <c r="R18" s="73">
        <f t="shared" si="0"/>
        <v>50</v>
      </c>
      <c r="S18" s="71">
        <f t="shared" si="1"/>
        <v>0.14666666666666667</v>
      </c>
      <c r="T18" s="71">
        <f t="shared" si="2"/>
        <v>5</v>
      </c>
      <c r="U18" s="74">
        <f t="shared" si="3"/>
        <v>1.4666666666666666</v>
      </c>
      <c r="V18" s="73">
        <f>IF(Variable_Management!$B$20=3,2,IF((S18*R18/T18)&lt;((T18*(1-(T18/R18)))/(2*Lm*Fsw)),1,2))</f>
        <v>2</v>
      </c>
      <c r="W18" s="71">
        <f t="shared" si="13"/>
        <v>0.9</v>
      </c>
      <c r="X18" s="74">
        <f t="shared" si="4"/>
        <v>9.9999999999999978E-2</v>
      </c>
      <c r="Y18" s="73">
        <f t="shared" si="5"/>
        <v>0.85227272727272718</v>
      </c>
      <c r="Z18" s="71">
        <f t="shared" si="30"/>
        <v>1.8928030303030301</v>
      </c>
      <c r="AA18" s="71">
        <f t="shared" si="31"/>
        <v>1.48715898429932</v>
      </c>
      <c r="AB18" s="71">
        <v>0</v>
      </c>
      <c r="AC18" s="71">
        <f t="shared" si="6"/>
        <v>9.5100599317033963E-3</v>
      </c>
      <c r="AD18" s="74">
        <f t="shared" si="16"/>
        <v>9.5100599317033963E-3</v>
      </c>
      <c r="AE18" s="73">
        <f t="shared" si="29"/>
        <v>1.3199999999999998</v>
      </c>
      <c r="AF18" s="71">
        <f t="shared" si="17"/>
        <v>1.4108428899505312</v>
      </c>
      <c r="AG18" s="71">
        <f t="shared" si="7"/>
        <v>1.7516203409090908E-2</v>
      </c>
      <c r="AH18" s="71">
        <f t="shared" si="18"/>
        <v>0.30271700143472025</v>
      </c>
      <c r="AI18" s="74">
        <f t="shared" si="19"/>
        <v>0.32023320484381113</v>
      </c>
      <c r="AJ18" s="73">
        <f t="shared" si="20"/>
        <v>0.14666666666666661</v>
      </c>
      <c r="AK18" s="71">
        <f t="shared" si="21"/>
        <v>0.4702809633168436</v>
      </c>
      <c r="AL18" s="71">
        <f t="shared" si="8"/>
        <v>1.9462448232323219E-3</v>
      </c>
      <c r="AM18" s="71">
        <f t="shared" si="22"/>
        <v>0.42468800000000007</v>
      </c>
      <c r="AN18" s="188">
        <f t="shared" si="23"/>
        <v>1.3325333333333333E-2</v>
      </c>
      <c r="AO18" s="74">
        <f t="shared" si="24"/>
        <v>0.43995957815656572</v>
      </c>
      <c r="AP18" s="73">
        <f t="shared" si="25"/>
        <v>4.4232836891643706E-3</v>
      </c>
      <c r="AQ18" s="206">
        <f t="shared" si="9"/>
        <v>9.5100599317033963E-3</v>
      </c>
      <c r="AR18" s="206">
        <f t="shared" si="10"/>
        <v>1.6586782538474829E-2</v>
      </c>
      <c r="AS18" s="71">
        <f t="shared" si="11"/>
        <v>3.9600000000000003E-2</v>
      </c>
      <c r="AT18" s="74">
        <f t="shared" si="12"/>
        <v>1.6499999999999998E-5</v>
      </c>
      <c r="AU18" s="73">
        <f t="shared" si="26"/>
        <v>0.83983946909142271</v>
      </c>
      <c r="AV18" s="71">
        <f t="shared" si="27"/>
        <v>7.333333333333333</v>
      </c>
      <c r="AW18" s="74">
        <f t="shared" si="28"/>
        <v>89.72443762791525</v>
      </c>
    </row>
    <row r="19" spans="17:49" x14ac:dyDescent="0.35">
      <c r="Q19">
        <v>12</v>
      </c>
      <c r="R19" s="73">
        <f t="shared" si="0"/>
        <v>50</v>
      </c>
      <c r="S19" s="71">
        <f t="shared" si="1"/>
        <v>0.16</v>
      </c>
      <c r="T19" s="71">
        <f t="shared" si="2"/>
        <v>5</v>
      </c>
      <c r="U19" s="74">
        <f t="shared" si="3"/>
        <v>1.6</v>
      </c>
      <c r="V19" s="73">
        <f>IF(Variable_Management!$B$20=3,2,IF((S19*R19/T19)&lt;((T19*(1-(T19/R19)))/(2*Lm*Fsw)),1,2))</f>
        <v>2</v>
      </c>
      <c r="W19" s="71">
        <f t="shared" si="13"/>
        <v>0.9</v>
      </c>
      <c r="X19" s="74">
        <f t="shared" si="4"/>
        <v>9.9999999999999978E-2</v>
      </c>
      <c r="Y19" s="73">
        <f t="shared" si="5"/>
        <v>0.85227272727272718</v>
      </c>
      <c r="Z19" s="71">
        <f t="shared" si="30"/>
        <v>2.0261363636363638</v>
      </c>
      <c r="AA19" s="71">
        <f t="shared" si="31"/>
        <v>1.6188053414388881</v>
      </c>
      <c r="AB19" s="71">
        <v>0</v>
      </c>
      <c r="AC19" s="71">
        <f t="shared" si="6"/>
        <v>1.1268282153925623E-2</v>
      </c>
      <c r="AD19" s="74">
        <f t="shared" si="16"/>
        <v>1.1268282153925623E-2</v>
      </c>
      <c r="AE19" s="73">
        <f t="shared" si="29"/>
        <v>1.4400000000000002</v>
      </c>
      <c r="AF19" s="71">
        <f t="shared" si="17"/>
        <v>1.5357335902180325</v>
      </c>
      <c r="AG19" s="71">
        <f t="shared" si="7"/>
        <v>2.0754603409090917E-2</v>
      </c>
      <c r="AH19" s="71">
        <f t="shared" si="18"/>
        <v>0.33023672883787664</v>
      </c>
      <c r="AI19" s="74">
        <f t="shared" si="19"/>
        <v>0.35099133224696755</v>
      </c>
      <c r="AJ19" s="73">
        <f t="shared" si="20"/>
        <v>0.15999999999999998</v>
      </c>
      <c r="AK19" s="71">
        <f t="shared" si="21"/>
        <v>0.51191119673934404</v>
      </c>
      <c r="AL19" s="71">
        <f t="shared" si="8"/>
        <v>2.3060670454545453E-3</v>
      </c>
      <c r="AM19" s="71">
        <f t="shared" si="22"/>
        <v>0.42468800000000007</v>
      </c>
      <c r="AN19" s="188">
        <f t="shared" si="23"/>
        <v>1.4264000000000002E-2</v>
      </c>
      <c r="AO19" s="74">
        <f t="shared" si="24"/>
        <v>0.44125806704545462</v>
      </c>
      <c r="AP19" s="73">
        <f t="shared" si="25"/>
        <v>5.2410614669421499E-3</v>
      </c>
      <c r="AQ19" s="206">
        <f t="shared" si="9"/>
        <v>1.1268282153925623E-2</v>
      </c>
      <c r="AR19" s="206">
        <f t="shared" si="10"/>
        <v>1.6586782538474829E-2</v>
      </c>
      <c r="AS19" s="71">
        <f t="shared" si="11"/>
        <v>3.9600000000000003E-2</v>
      </c>
      <c r="AT19" s="74">
        <f t="shared" si="12"/>
        <v>1.6499999999999998E-5</v>
      </c>
      <c r="AU19" s="73">
        <f t="shared" si="26"/>
        <v>0.87623030760569021</v>
      </c>
      <c r="AV19" s="71">
        <f t="shared" si="27"/>
        <v>8</v>
      </c>
      <c r="AW19" s="74">
        <f t="shared" si="28"/>
        <v>90.128350918802965</v>
      </c>
    </row>
    <row r="20" spans="17:49" x14ac:dyDescent="0.35">
      <c r="Q20">
        <v>13</v>
      </c>
      <c r="R20" s="73">
        <f t="shared" si="0"/>
        <v>50</v>
      </c>
      <c r="S20" s="71">
        <f t="shared" si="1"/>
        <v>0.17333333333333334</v>
      </c>
      <c r="T20" s="71">
        <f t="shared" si="2"/>
        <v>5</v>
      </c>
      <c r="U20" s="74">
        <f t="shared" si="3"/>
        <v>1.7333333333333336</v>
      </c>
      <c r="V20" s="73">
        <f>IF(Variable_Management!$B$20=3,2,IF((S20*R20/T20)&lt;((T20*(1-(T20/R20)))/(2*Lm*Fsw)),1,2))</f>
        <v>2</v>
      </c>
      <c r="W20" s="71">
        <f t="shared" si="13"/>
        <v>0.9</v>
      </c>
      <c r="X20" s="74">
        <f t="shared" si="4"/>
        <v>9.9999999999999978E-2</v>
      </c>
      <c r="Y20" s="73">
        <f t="shared" si="5"/>
        <v>0.85227272727272718</v>
      </c>
      <c r="Z20" s="71">
        <f t="shared" si="30"/>
        <v>2.1594696969696972</v>
      </c>
      <c r="AA20" s="71">
        <f t="shared" si="31"/>
        <v>1.7507070508556022</v>
      </c>
      <c r="AB20" s="71">
        <v>0</v>
      </c>
      <c r="AC20" s="71">
        <f t="shared" si="6"/>
        <v>1.3179393265036737E-2</v>
      </c>
      <c r="AD20" s="74">
        <f t="shared" si="16"/>
        <v>1.3179393265036737E-2</v>
      </c>
      <c r="AE20" s="73">
        <f t="shared" si="29"/>
        <v>1.5600000000000003</v>
      </c>
      <c r="AF20" s="71">
        <f t="shared" si="17"/>
        <v>1.6608665389259811</v>
      </c>
      <c r="AG20" s="71">
        <f t="shared" si="7"/>
        <v>2.4274603409090916E-2</v>
      </c>
      <c r="AH20" s="71">
        <f t="shared" si="18"/>
        <v>0.35775645624103314</v>
      </c>
      <c r="AI20" s="74">
        <f t="shared" si="19"/>
        <v>0.38203105965012407</v>
      </c>
      <c r="AJ20" s="73">
        <f t="shared" si="20"/>
        <v>0.17333333333333331</v>
      </c>
      <c r="AK20" s="71">
        <f t="shared" si="21"/>
        <v>0.55362217964199367</v>
      </c>
      <c r="AL20" s="71">
        <f t="shared" si="8"/>
        <v>2.6971781565656573E-3</v>
      </c>
      <c r="AM20" s="71">
        <f t="shared" si="22"/>
        <v>0.42468800000000007</v>
      </c>
      <c r="AN20" s="188">
        <f t="shared" si="23"/>
        <v>1.5202666666666668E-2</v>
      </c>
      <c r="AO20" s="74">
        <f t="shared" si="24"/>
        <v>0.44258784482323238</v>
      </c>
      <c r="AP20" s="73">
        <f t="shared" si="25"/>
        <v>6.1299503558310403E-3</v>
      </c>
      <c r="AQ20" s="206">
        <f t="shared" si="9"/>
        <v>1.3179393265036737E-2</v>
      </c>
      <c r="AR20" s="206">
        <f t="shared" si="10"/>
        <v>1.6586782538474829E-2</v>
      </c>
      <c r="AS20" s="71">
        <f t="shared" si="11"/>
        <v>3.9600000000000003E-2</v>
      </c>
      <c r="AT20" s="74">
        <f t="shared" si="12"/>
        <v>1.6499999999999998E-5</v>
      </c>
      <c r="AU20" s="73">
        <f t="shared" si="26"/>
        <v>0.9133109238977356</v>
      </c>
      <c r="AV20" s="71">
        <f t="shared" si="27"/>
        <v>8.6666666666666679</v>
      </c>
      <c r="AW20" s="74">
        <f t="shared" si="28"/>
        <v>90.466460748329069</v>
      </c>
    </row>
    <row r="21" spans="17:49" x14ac:dyDescent="0.35">
      <c r="Q21">
        <v>14</v>
      </c>
      <c r="R21" s="73">
        <f t="shared" si="0"/>
        <v>50</v>
      </c>
      <c r="S21" s="71">
        <f t="shared" si="1"/>
        <v>0.18666666666666668</v>
      </c>
      <c r="T21" s="71">
        <f t="shared" si="2"/>
        <v>5</v>
      </c>
      <c r="U21" s="74">
        <f t="shared" si="3"/>
        <v>1.8666666666666667</v>
      </c>
      <c r="V21" s="73">
        <f>IF(Variable_Management!$B$20=3,2,IF((S21*R21/T21)&lt;((T21*(1-(T21/R21)))/(2*Lm*Fsw)),1,2))</f>
        <v>2</v>
      </c>
      <c r="W21" s="71">
        <f t="shared" si="13"/>
        <v>0.9</v>
      </c>
      <c r="X21" s="74">
        <f t="shared" si="4"/>
        <v>9.9999999999999978E-2</v>
      </c>
      <c r="Y21" s="73">
        <f t="shared" si="5"/>
        <v>0.85227272727272718</v>
      </c>
      <c r="Z21" s="71">
        <f t="shared" si="30"/>
        <v>2.2928030303030305</v>
      </c>
      <c r="AA21" s="71">
        <f t="shared" si="31"/>
        <v>1.8828104466237485</v>
      </c>
      <c r="AB21" s="71">
        <v>0</v>
      </c>
      <c r="AC21" s="71">
        <f t="shared" si="6"/>
        <v>1.5243393265036733E-2</v>
      </c>
      <c r="AD21" s="74">
        <f t="shared" si="16"/>
        <v>1.5243393265036733E-2</v>
      </c>
      <c r="AE21" s="73">
        <f t="shared" si="29"/>
        <v>1.6800000000000002</v>
      </c>
      <c r="AF21" s="71">
        <f t="shared" si="17"/>
        <v>1.7861908241069788</v>
      </c>
      <c r="AG21" s="71">
        <f t="shared" si="7"/>
        <v>2.8076203409090922E-2</v>
      </c>
      <c r="AH21" s="71">
        <f t="shared" si="18"/>
        <v>0.38527618364418942</v>
      </c>
      <c r="AI21" s="74">
        <f t="shared" si="19"/>
        <v>0.41335238705328037</v>
      </c>
      <c r="AJ21" s="73">
        <f t="shared" si="20"/>
        <v>0.18666666666666662</v>
      </c>
      <c r="AK21" s="71">
        <f t="shared" si="21"/>
        <v>0.59539694136899279</v>
      </c>
      <c r="AL21" s="71">
        <f t="shared" si="8"/>
        <v>3.1195781565656567E-3</v>
      </c>
      <c r="AM21" s="71">
        <f t="shared" si="22"/>
        <v>0.42468800000000007</v>
      </c>
      <c r="AN21" s="188">
        <f t="shared" si="23"/>
        <v>1.6141333333333334E-2</v>
      </c>
      <c r="AO21" s="74">
        <f t="shared" si="24"/>
        <v>0.44394891148989907</v>
      </c>
      <c r="AP21" s="73">
        <f t="shared" si="25"/>
        <v>7.0899503558310385E-3</v>
      </c>
      <c r="AQ21" s="206">
        <f t="shared" si="9"/>
        <v>1.5243393265036733E-2</v>
      </c>
      <c r="AR21" s="206">
        <f t="shared" si="10"/>
        <v>1.6586782538474829E-2</v>
      </c>
      <c r="AS21" s="71">
        <f t="shared" si="11"/>
        <v>3.9600000000000003E-2</v>
      </c>
      <c r="AT21" s="74">
        <f t="shared" si="12"/>
        <v>1.6499999999999998E-5</v>
      </c>
      <c r="AU21" s="73">
        <f t="shared" si="26"/>
        <v>0.95108131796755868</v>
      </c>
      <c r="AV21" s="71">
        <f t="shared" si="27"/>
        <v>9.3333333333333339</v>
      </c>
      <c r="AW21" s="74">
        <f t="shared" si="28"/>
        <v>90.752207585803106</v>
      </c>
    </row>
    <row r="22" spans="17:49" x14ac:dyDescent="0.35">
      <c r="Q22">
        <v>15</v>
      </c>
      <c r="R22" s="73">
        <f t="shared" si="0"/>
        <v>50</v>
      </c>
      <c r="S22" s="71">
        <f t="shared" si="1"/>
        <v>0.2</v>
      </c>
      <c r="T22" s="71">
        <f t="shared" si="2"/>
        <v>5</v>
      </c>
      <c r="U22" s="74">
        <f t="shared" si="3"/>
        <v>2</v>
      </c>
      <c r="V22" s="73">
        <f>IF(Variable_Management!$B$20=3,2,IF((S22*R22/T22)&lt;((T22*(1-(T22/R22)))/(2*Lm*Fsw)),1,2))</f>
        <v>2</v>
      </c>
      <c r="W22" s="71">
        <f t="shared" si="13"/>
        <v>0.9</v>
      </c>
      <c r="X22" s="74">
        <f t="shared" si="4"/>
        <v>9.9999999999999978E-2</v>
      </c>
      <c r="Y22" s="73">
        <f t="shared" si="5"/>
        <v>0.85227272727272718</v>
      </c>
      <c r="Z22" s="71">
        <f t="shared" si="30"/>
        <v>2.4261363636363638</v>
      </c>
      <c r="AA22" s="71">
        <f t="shared" si="31"/>
        <v>2.0150758629567953</v>
      </c>
      <c r="AB22" s="71">
        <v>0</v>
      </c>
      <c r="AC22" s="71">
        <f t="shared" si="6"/>
        <v>1.7460282153925616E-2</v>
      </c>
      <c r="AD22" s="74">
        <f t="shared" si="16"/>
        <v>1.7460282153925616E-2</v>
      </c>
      <c r="AE22" s="73">
        <f t="shared" si="29"/>
        <v>1.8</v>
      </c>
      <c r="AF22" s="71">
        <f t="shared" si="17"/>
        <v>1.911668815491838</v>
      </c>
      <c r="AG22" s="71">
        <f t="shared" si="7"/>
        <v>3.215940340909091E-2</v>
      </c>
      <c r="AH22" s="71">
        <f t="shared" si="18"/>
        <v>0.41279591104734581</v>
      </c>
      <c r="AI22" s="74">
        <f t="shared" si="19"/>
        <v>0.44495531445643671</v>
      </c>
      <c r="AJ22" s="73">
        <f t="shared" si="20"/>
        <v>0.19999999999999996</v>
      </c>
      <c r="AK22" s="71">
        <f t="shared" si="21"/>
        <v>0.63722293849727929</v>
      </c>
      <c r="AL22" s="71">
        <f t="shared" si="8"/>
        <v>3.5732670454545453E-3</v>
      </c>
      <c r="AM22" s="71">
        <f t="shared" si="22"/>
        <v>0.42468800000000007</v>
      </c>
      <c r="AN22" s="188">
        <f t="shared" si="23"/>
        <v>1.7080000000000001E-2</v>
      </c>
      <c r="AO22" s="74">
        <f t="shared" si="24"/>
        <v>0.44534126704545457</v>
      </c>
      <c r="AP22" s="73">
        <f t="shared" si="25"/>
        <v>8.121061466942147E-3</v>
      </c>
      <c r="AQ22" s="206">
        <f t="shared" si="9"/>
        <v>1.7460282153925616E-2</v>
      </c>
      <c r="AR22" s="206">
        <f t="shared" si="10"/>
        <v>1.6586782538474829E-2</v>
      </c>
      <c r="AS22" s="71">
        <f t="shared" si="11"/>
        <v>3.9600000000000003E-2</v>
      </c>
      <c r="AT22" s="74">
        <f t="shared" si="12"/>
        <v>1.6499999999999998E-5</v>
      </c>
      <c r="AU22" s="73">
        <f t="shared" si="26"/>
        <v>0.98954148981515933</v>
      </c>
      <c r="AV22" s="71">
        <f t="shared" si="27"/>
        <v>10</v>
      </c>
      <c r="AW22" s="74">
        <f t="shared" si="28"/>
        <v>90.995607134908738</v>
      </c>
    </row>
    <row r="23" spans="17:49" x14ac:dyDescent="0.35">
      <c r="Q23">
        <v>16</v>
      </c>
      <c r="R23" s="73">
        <f t="shared" si="0"/>
        <v>50</v>
      </c>
      <c r="S23" s="71">
        <f t="shared" si="1"/>
        <v>0.21333333333333335</v>
      </c>
      <c r="T23" s="71">
        <f t="shared" si="2"/>
        <v>5</v>
      </c>
      <c r="U23" s="74">
        <f t="shared" si="3"/>
        <v>2.1333333333333337</v>
      </c>
      <c r="V23" s="73">
        <f>IF(Variable_Management!$B$20=3,2,IF((S23*R23/T23)&lt;((T23*(1-(T23/R23)))/(2*Lm*Fsw)),1,2))</f>
        <v>2</v>
      </c>
      <c r="W23" s="71">
        <f t="shared" si="13"/>
        <v>0.9</v>
      </c>
      <c r="X23" s="74">
        <f t="shared" si="4"/>
        <v>9.9999999999999978E-2</v>
      </c>
      <c r="Y23" s="73">
        <f t="shared" si="5"/>
        <v>0.85227272727272718</v>
      </c>
      <c r="Z23" s="71">
        <f t="shared" si="30"/>
        <v>2.5594696969696975</v>
      </c>
      <c r="AA23" s="71">
        <f t="shared" si="31"/>
        <v>2.14747336295056</v>
      </c>
      <c r="AB23" s="71">
        <v>0</v>
      </c>
      <c r="AC23" s="71">
        <f t="shared" si="6"/>
        <v>1.9830059931703409E-2</v>
      </c>
      <c r="AD23" s="74">
        <f t="shared" si="16"/>
        <v>1.9830059931703409E-2</v>
      </c>
      <c r="AE23" s="73">
        <f t="shared" si="29"/>
        <v>1.9200000000000004</v>
      </c>
      <c r="AF23" s="71">
        <f t="shared" si="17"/>
        <v>2.0372721124395654</v>
      </c>
      <c r="AG23" s="71">
        <f t="shared" si="7"/>
        <v>3.6524203409090933E-2</v>
      </c>
      <c r="AH23" s="71">
        <f t="shared" si="18"/>
        <v>0.44031563845050231</v>
      </c>
      <c r="AI23" s="74">
        <f t="shared" si="19"/>
        <v>0.47683984185959327</v>
      </c>
      <c r="AJ23" s="73">
        <f t="shared" si="20"/>
        <v>0.21333333333333332</v>
      </c>
      <c r="AK23" s="71">
        <f t="shared" si="21"/>
        <v>0.67909070414652173</v>
      </c>
      <c r="AL23" s="71">
        <f t="shared" si="8"/>
        <v>4.0582448232323251E-3</v>
      </c>
      <c r="AM23" s="71">
        <f t="shared" si="22"/>
        <v>0.42468800000000007</v>
      </c>
      <c r="AN23" s="188">
        <f t="shared" si="23"/>
        <v>1.8018666666666672E-2</v>
      </c>
      <c r="AO23" s="74">
        <f t="shared" si="24"/>
        <v>0.44676491148989905</v>
      </c>
      <c r="AP23" s="73">
        <f t="shared" si="25"/>
        <v>9.2232836891643754E-3</v>
      </c>
      <c r="AQ23" s="206">
        <f t="shared" si="9"/>
        <v>1.9830059931703409E-2</v>
      </c>
      <c r="AR23" s="206">
        <f t="shared" si="10"/>
        <v>1.6586782538474829E-2</v>
      </c>
      <c r="AS23" s="71">
        <f t="shared" si="11"/>
        <v>3.9600000000000003E-2</v>
      </c>
      <c r="AT23" s="74">
        <f t="shared" si="12"/>
        <v>1.6499999999999998E-5</v>
      </c>
      <c r="AU23" s="73">
        <f t="shared" si="26"/>
        <v>1.0286914394405384</v>
      </c>
      <c r="AV23" s="71">
        <f t="shared" si="27"/>
        <v>10.666666666666668</v>
      </c>
      <c r="AW23" s="74">
        <f t="shared" si="28"/>
        <v>91.204275832277716</v>
      </c>
    </row>
    <row r="24" spans="17:49" x14ac:dyDescent="0.35">
      <c r="Q24">
        <v>17</v>
      </c>
      <c r="R24" s="73">
        <f t="shared" si="0"/>
        <v>50</v>
      </c>
      <c r="S24" s="71">
        <f t="shared" si="1"/>
        <v>0.22666666666666668</v>
      </c>
      <c r="T24" s="71">
        <f t="shared" si="2"/>
        <v>5</v>
      </c>
      <c r="U24" s="74">
        <f t="shared" si="3"/>
        <v>2.2666666666666666</v>
      </c>
      <c r="V24" s="73">
        <f>IF(Variable_Management!$B$20=3,2,IF((S24*R24/T24)&lt;((T24*(1-(T24/R24)))/(2*Lm*Fsw)),1,2))</f>
        <v>2</v>
      </c>
      <c r="W24" s="71">
        <f t="shared" si="13"/>
        <v>0.9</v>
      </c>
      <c r="X24" s="74">
        <f t="shared" si="4"/>
        <v>9.9999999999999978E-2</v>
      </c>
      <c r="Y24" s="73">
        <f t="shared" si="5"/>
        <v>0.85227272727272718</v>
      </c>
      <c r="Z24" s="71">
        <f t="shared" si="30"/>
        <v>2.6928030303030304</v>
      </c>
      <c r="AA24" s="71">
        <f t="shared" si="31"/>
        <v>2.2799799365891031</v>
      </c>
      <c r="AB24" s="71">
        <v>0</v>
      </c>
      <c r="AC24" s="71">
        <f t="shared" si="6"/>
        <v>2.2352726598370062E-2</v>
      </c>
      <c r="AD24" s="74">
        <f t="shared" si="16"/>
        <v>2.2352726598370062E-2</v>
      </c>
      <c r="AE24" s="73">
        <f t="shared" si="29"/>
        <v>2.04</v>
      </c>
      <c r="AF24" s="71">
        <f t="shared" si="17"/>
        <v>2.1629788857323522</v>
      </c>
      <c r="AG24" s="71">
        <f t="shared" si="7"/>
        <v>4.1170603409090921E-2</v>
      </c>
      <c r="AH24" s="71">
        <f t="shared" si="18"/>
        <v>0.46783536585365859</v>
      </c>
      <c r="AI24" s="74">
        <f t="shared" si="19"/>
        <v>0.50900596926274955</v>
      </c>
      <c r="AJ24" s="73">
        <f t="shared" si="20"/>
        <v>0.2266666666666666</v>
      </c>
      <c r="AK24" s="71">
        <f t="shared" si="21"/>
        <v>0.72099296191078399</v>
      </c>
      <c r="AL24" s="71">
        <f t="shared" si="8"/>
        <v>4.5745114898989902E-3</v>
      </c>
      <c r="AM24" s="71">
        <f t="shared" si="22"/>
        <v>0.42468800000000007</v>
      </c>
      <c r="AN24" s="188">
        <f t="shared" si="23"/>
        <v>1.8957333333333333E-2</v>
      </c>
      <c r="AO24" s="74">
        <f t="shared" si="24"/>
        <v>0.44821984482323241</v>
      </c>
      <c r="AP24" s="73">
        <f t="shared" si="25"/>
        <v>1.0396617022497702E-2</v>
      </c>
      <c r="AQ24" s="206">
        <f t="shared" si="9"/>
        <v>2.2352726598370062E-2</v>
      </c>
      <c r="AR24" s="206">
        <f t="shared" si="10"/>
        <v>1.6586782538474829E-2</v>
      </c>
      <c r="AS24" s="71">
        <f t="shared" si="11"/>
        <v>3.9600000000000003E-2</v>
      </c>
      <c r="AT24" s="74">
        <f t="shared" si="12"/>
        <v>1.6499999999999998E-5</v>
      </c>
      <c r="AU24" s="73">
        <f t="shared" si="26"/>
        <v>1.0685311668436948</v>
      </c>
      <c r="AV24" s="71">
        <f t="shared" si="27"/>
        <v>11.333333333333334</v>
      </c>
      <c r="AW24" s="74">
        <f t="shared" si="28"/>
        <v>91.384108681170943</v>
      </c>
    </row>
    <row r="25" spans="17:49" x14ac:dyDescent="0.35">
      <c r="Q25">
        <v>18</v>
      </c>
      <c r="R25" s="73">
        <f t="shared" si="0"/>
        <v>50</v>
      </c>
      <c r="S25" s="71">
        <f t="shared" si="1"/>
        <v>0.24000000000000002</v>
      </c>
      <c r="T25" s="71">
        <f t="shared" si="2"/>
        <v>5</v>
      </c>
      <c r="U25" s="74">
        <f t="shared" si="3"/>
        <v>2.4000000000000004</v>
      </c>
      <c r="V25" s="73">
        <f>IF(Variable_Management!$B$20=3,2,IF((S25*R25/T25)&lt;((T25*(1-(T25/R25)))/(2*Lm*Fsw)),1,2))</f>
        <v>2</v>
      </c>
      <c r="W25" s="71">
        <f t="shared" si="13"/>
        <v>0.9</v>
      </c>
      <c r="X25" s="74">
        <f t="shared" si="4"/>
        <v>9.9999999999999978E-2</v>
      </c>
      <c r="Y25" s="73">
        <f t="shared" si="5"/>
        <v>0.85227272727272718</v>
      </c>
      <c r="Z25" s="71">
        <f t="shared" si="30"/>
        <v>2.8261363636363641</v>
      </c>
      <c r="AA25" s="71">
        <f t="shared" si="31"/>
        <v>2.4125776119062108</v>
      </c>
      <c r="AB25" s="71">
        <v>0</v>
      </c>
      <c r="AC25" s="71">
        <f t="shared" si="6"/>
        <v>2.5028282153925621E-2</v>
      </c>
      <c r="AD25" s="74">
        <f t="shared" si="16"/>
        <v>2.5028282153925621E-2</v>
      </c>
      <c r="AE25" s="73">
        <f t="shared" si="29"/>
        <v>2.1600000000000006</v>
      </c>
      <c r="AF25" s="71">
        <f t="shared" si="17"/>
        <v>2.2887720856660168</v>
      </c>
      <c r="AG25" s="71">
        <f t="shared" si="7"/>
        <v>4.6098603409090923E-2</v>
      </c>
      <c r="AH25" s="71">
        <f t="shared" si="18"/>
        <v>0.49535509325681504</v>
      </c>
      <c r="AI25" s="74">
        <f t="shared" si="19"/>
        <v>0.54145369666590593</v>
      </c>
      <c r="AJ25" s="73">
        <f t="shared" si="20"/>
        <v>0.24</v>
      </c>
      <c r="AK25" s="71">
        <f t="shared" si="21"/>
        <v>0.76292402855533892</v>
      </c>
      <c r="AL25" s="71">
        <f t="shared" si="8"/>
        <v>5.1220670454545465E-3</v>
      </c>
      <c r="AM25" s="71">
        <f t="shared" si="22"/>
        <v>0.42468800000000007</v>
      </c>
      <c r="AN25" s="188">
        <f t="shared" si="23"/>
        <v>1.9896000000000004E-2</v>
      </c>
      <c r="AO25" s="74">
        <f t="shared" si="24"/>
        <v>0.44970606704545463</v>
      </c>
      <c r="AP25" s="73">
        <f t="shared" si="25"/>
        <v>1.1641061466942149E-2</v>
      </c>
      <c r="AQ25" s="206">
        <f t="shared" si="9"/>
        <v>2.5028282153925621E-2</v>
      </c>
      <c r="AR25" s="206">
        <f t="shared" si="10"/>
        <v>1.6586782538474829E-2</v>
      </c>
      <c r="AS25" s="71">
        <f t="shared" si="11"/>
        <v>3.9600000000000003E-2</v>
      </c>
      <c r="AT25" s="74">
        <f t="shared" si="12"/>
        <v>1.6499999999999998E-5</v>
      </c>
      <c r="AU25" s="73">
        <f t="shared" si="26"/>
        <v>1.109060672024629</v>
      </c>
      <c r="AV25" s="71">
        <f t="shared" si="27"/>
        <v>12.000000000000002</v>
      </c>
      <c r="AW25" s="74">
        <f t="shared" si="28"/>
        <v>91.539739575762141</v>
      </c>
    </row>
    <row r="26" spans="17:49" x14ac:dyDescent="0.35">
      <c r="Q26">
        <v>19</v>
      </c>
      <c r="R26" s="73">
        <f t="shared" si="0"/>
        <v>50</v>
      </c>
      <c r="S26" s="71">
        <f t="shared" si="1"/>
        <v>0.25333333333333335</v>
      </c>
      <c r="T26" s="71">
        <f t="shared" si="2"/>
        <v>5</v>
      </c>
      <c r="U26" s="74">
        <f t="shared" si="3"/>
        <v>2.5333333333333337</v>
      </c>
      <c r="V26" s="73">
        <f>IF(Variable_Management!$B$20=3,2,IF((S26*R26/T26)&lt;((T26*(1-(T26/R26)))/(2*Lm*Fsw)),1,2))</f>
        <v>2</v>
      </c>
      <c r="W26" s="71">
        <f t="shared" si="13"/>
        <v>0.9</v>
      </c>
      <c r="X26" s="74">
        <f t="shared" si="4"/>
        <v>9.9999999999999978E-2</v>
      </c>
      <c r="Y26" s="73">
        <f t="shared" si="5"/>
        <v>0.85227272727272718</v>
      </c>
      <c r="Z26" s="71">
        <f t="shared" si="30"/>
        <v>2.9594696969696974</v>
      </c>
      <c r="AA26" s="71">
        <f t="shared" si="31"/>
        <v>2.5452521508190213</v>
      </c>
      <c r="AB26" s="71">
        <v>0</v>
      </c>
      <c r="AC26" s="71">
        <f t="shared" si="6"/>
        <v>2.7856726598370074E-2</v>
      </c>
      <c r="AD26" s="74">
        <f t="shared" si="16"/>
        <v>2.7856726598370074E-2</v>
      </c>
      <c r="AE26" s="73">
        <f t="shared" si="29"/>
        <v>2.2800000000000002</v>
      </c>
      <c r="AF26" s="71">
        <f t="shared" si="17"/>
        <v>2.4146382048091533</v>
      </c>
      <c r="AG26" s="71">
        <f t="shared" si="7"/>
        <v>5.1308203409090945E-2</v>
      </c>
      <c r="AH26" s="71">
        <f t="shared" si="18"/>
        <v>0.52287482065997148</v>
      </c>
      <c r="AI26" s="74">
        <f t="shared" si="19"/>
        <v>0.57418302406906241</v>
      </c>
      <c r="AJ26" s="73">
        <f t="shared" si="20"/>
        <v>0.2533333333333333</v>
      </c>
      <c r="AK26" s="71">
        <f t="shared" si="21"/>
        <v>0.80487940160305105</v>
      </c>
      <c r="AL26" s="71">
        <f t="shared" si="8"/>
        <v>5.7009114898989932E-3</v>
      </c>
      <c r="AM26" s="71">
        <f t="shared" si="22"/>
        <v>0.42468800000000007</v>
      </c>
      <c r="AN26" s="188">
        <f t="shared" si="23"/>
        <v>2.0834666666666671E-2</v>
      </c>
      <c r="AO26" s="74">
        <f t="shared" si="24"/>
        <v>0.45122357815656572</v>
      </c>
      <c r="AP26" s="73">
        <f t="shared" si="25"/>
        <v>1.2956617022497709E-2</v>
      </c>
      <c r="AQ26" s="206">
        <f t="shared" si="9"/>
        <v>2.7856726598370074E-2</v>
      </c>
      <c r="AR26" s="206">
        <f t="shared" si="10"/>
        <v>1.6586782538474829E-2</v>
      </c>
      <c r="AS26" s="71">
        <f t="shared" si="11"/>
        <v>3.9600000000000003E-2</v>
      </c>
      <c r="AT26" s="74">
        <f t="shared" si="12"/>
        <v>1.6499999999999998E-5</v>
      </c>
      <c r="AU26" s="73">
        <f t="shared" si="26"/>
        <v>1.1502799549833409</v>
      </c>
      <c r="AV26" s="71">
        <f t="shared" si="27"/>
        <v>12.666666666666668</v>
      </c>
      <c r="AW26" s="74">
        <f t="shared" si="28"/>
        <v>91.674861411269063</v>
      </c>
    </row>
    <row r="27" spans="17:49" x14ac:dyDescent="0.35">
      <c r="Q27">
        <v>20</v>
      </c>
      <c r="R27" s="73">
        <f t="shared" si="0"/>
        <v>50</v>
      </c>
      <c r="S27" s="71">
        <f t="shared" si="1"/>
        <v>0.26666666666666666</v>
      </c>
      <c r="T27" s="71">
        <f t="shared" si="2"/>
        <v>5</v>
      </c>
      <c r="U27" s="74">
        <f t="shared" si="3"/>
        <v>2.666666666666667</v>
      </c>
      <c r="V27" s="73">
        <f>IF(Variable_Management!$B$20=3,2,IF((S27*R27/T27)&lt;((T27*(1-(T27/R27)))/(2*Lm*Fsw)),1,2))</f>
        <v>2</v>
      </c>
      <c r="W27" s="71">
        <f t="shared" si="13"/>
        <v>0.9</v>
      </c>
      <c r="X27" s="74">
        <f t="shared" si="4"/>
        <v>9.9999999999999978E-2</v>
      </c>
      <c r="Y27" s="73">
        <f t="shared" si="5"/>
        <v>0.85227272727272718</v>
      </c>
      <c r="Z27" s="71">
        <f t="shared" si="30"/>
        <v>3.0928030303030307</v>
      </c>
      <c r="AA27" s="71">
        <f t="shared" si="31"/>
        <v>2.677992129298028</v>
      </c>
      <c r="AB27" s="71">
        <v>0</v>
      </c>
      <c r="AC27" s="71">
        <f t="shared" si="6"/>
        <v>3.0838059931703399E-2</v>
      </c>
      <c r="AD27" s="74">
        <f t="shared" si="16"/>
        <v>3.0838059931703399E-2</v>
      </c>
      <c r="AE27" s="73">
        <f t="shared" si="29"/>
        <v>2.4000000000000004</v>
      </c>
      <c r="AF27" s="71">
        <f t="shared" si="17"/>
        <v>2.5405664053757717</v>
      </c>
      <c r="AG27" s="71">
        <f t="shared" si="7"/>
        <v>5.679940340909094E-2</v>
      </c>
      <c r="AH27" s="71">
        <f t="shared" si="18"/>
        <v>0.55039454806312782</v>
      </c>
      <c r="AI27" s="74">
        <f t="shared" si="19"/>
        <v>0.60719395147221877</v>
      </c>
      <c r="AJ27" s="73">
        <f t="shared" si="20"/>
        <v>0.26666666666666666</v>
      </c>
      <c r="AK27" s="71">
        <f t="shared" si="21"/>
        <v>0.8468554684585905</v>
      </c>
      <c r="AL27" s="71">
        <f t="shared" si="8"/>
        <v>6.3110448232323252E-3</v>
      </c>
      <c r="AM27" s="71">
        <f t="shared" si="22"/>
        <v>0.42468800000000007</v>
      </c>
      <c r="AN27" s="188">
        <f t="shared" si="23"/>
        <v>2.1773333333333336E-2</v>
      </c>
      <c r="AO27" s="74">
        <f t="shared" si="24"/>
        <v>0.45277237815656568</v>
      </c>
      <c r="AP27" s="73">
        <f t="shared" si="25"/>
        <v>1.4343283689164371E-2</v>
      </c>
      <c r="AQ27" s="206">
        <f t="shared" si="9"/>
        <v>3.0838059931703399E-2</v>
      </c>
      <c r="AR27" s="206">
        <f t="shared" si="10"/>
        <v>1.6586782538474829E-2</v>
      </c>
      <c r="AS27" s="71">
        <f t="shared" si="11"/>
        <v>3.9600000000000003E-2</v>
      </c>
      <c r="AT27" s="74">
        <f t="shared" si="12"/>
        <v>1.6499999999999998E-5</v>
      </c>
      <c r="AU27" s="73">
        <f t="shared" si="26"/>
        <v>1.1921890157198305</v>
      </c>
      <c r="AV27" s="71">
        <f t="shared" si="27"/>
        <v>13.333333333333334</v>
      </c>
      <c r="AW27" s="74">
        <f t="shared" si="28"/>
        <v>91.792453399808082</v>
      </c>
    </row>
    <row r="28" spans="17:49" x14ac:dyDescent="0.35">
      <c r="Q28">
        <v>21</v>
      </c>
      <c r="R28" s="73">
        <f t="shared" si="0"/>
        <v>50</v>
      </c>
      <c r="S28" s="71">
        <f t="shared" si="1"/>
        <v>0.28000000000000003</v>
      </c>
      <c r="T28" s="71">
        <f t="shared" si="2"/>
        <v>5</v>
      </c>
      <c r="U28" s="74">
        <f t="shared" si="3"/>
        <v>2.8000000000000003</v>
      </c>
      <c r="V28" s="73">
        <f>IF(Variable_Management!$B$20=3,2,IF((S28*R28/T28)&lt;((T28*(1-(T28/R28)))/(2*Lm*Fsw)),1,2))</f>
        <v>2</v>
      </c>
      <c r="W28" s="71">
        <f t="shared" si="13"/>
        <v>0.9</v>
      </c>
      <c r="X28" s="74">
        <f t="shared" si="4"/>
        <v>9.9999999999999978E-2</v>
      </c>
      <c r="Y28" s="73">
        <f t="shared" si="5"/>
        <v>0.85227272727272718</v>
      </c>
      <c r="Z28" s="71">
        <f t="shared" si="30"/>
        <v>3.226136363636364</v>
      </c>
      <c r="AA28" s="71">
        <f t="shared" si="31"/>
        <v>2.8107882761729095</v>
      </c>
      <c r="AB28" s="71">
        <v>0</v>
      </c>
      <c r="AC28" s="71">
        <f t="shared" si="6"/>
        <v>3.3972282153925629E-2</v>
      </c>
      <c r="AD28" s="74">
        <f t="shared" si="16"/>
        <v>3.3972282153925629E-2</v>
      </c>
      <c r="AE28" s="73">
        <f t="shared" si="29"/>
        <v>2.5200000000000005</v>
      </c>
      <c r="AF28" s="71">
        <f t="shared" si="17"/>
        <v>2.6665478919614345</v>
      </c>
      <c r="AG28" s="71">
        <f t="shared" si="7"/>
        <v>6.2572203409090935E-2</v>
      </c>
      <c r="AH28" s="71">
        <f t="shared" si="18"/>
        <v>0.57791427546628416</v>
      </c>
      <c r="AI28" s="74">
        <f t="shared" si="19"/>
        <v>0.64048647887537513</v>
      </c>
      <c r="AJ28" s="73">
        <f t="shared" si="20"/>
        <v>0.27999999999999997</v>
      </c>
      <c r="AK28" s="71">
        <f t="shared" si="21"/>
        <v>0.88884929732047802</v>
      </c>
      <c r="AL28" s="71">
        <f t="shared" si="8"/>
        <v>6.9524670454545467E-3</v>
      </c>
      <c r="AM28" s="71">
        <f t="shared" si="22"/>
        <v>0.42468800000000007</v>
      </c>
      <c r="AN28" s="188">
        <f t="shared" si="23"/>
        <v>2.2712000000000003E-2</v>
      </c>
      <c r="AO28" s="74">
        <f t="shared" si="24"/>
        <v>0.45435246704545462</v>
      </c>
      <c r="AP28" s="73">
        <f t="shared" si="25"/>
        <v>1.5801061466942153E-2</v>
      </c>
      <c r="AQ28" s="206">
        <f t="shared" si="9"/>
        <v>3.3972282153925629E-2</v>
      </c>
      <c r="AR28" s="206">
        <f t="shared" si="10"/>
        <v>1.6586782538474829E-2</v>
      </c>
      <c r="AS28" s="71">
        <f t="shared" si="11"/>
        <v>3.9600000000000003E-2</v>
      </c>
      <c r="AT28" s="74">
        <f t="shared" si="12"/>
        <v>1.6499999999999998E-5</v>
      </c>
      <c r="AU28" s="73">
        <f t="shared" si="26"/>
        <v>1.2347878542340982</v>
      </c>
      <c r="AV28" s="71">
        <f t="shared" si="27"/>
        <v>14.000000000000002</v>
      </c>
      <c r="AW28" s="74">
        <f t="shared" si="28"/>
        <v>91.894945528296802</v>
      </c>
    </row>
    <row r="29" spans="17:49" x14ac:dyDescent="0.35">
      <c r="Q29">
        <v>22</v>
      </c>
      <c r="R29" s="73">
        <f t="shared" si="0"/>
        <v>50</v>
      </c>
      <c r="S29" s="71">
        <f t="shared" si="1"/>
        <v>0.29333333333333333</v>
      </c>
      <c r="T29" s="71">
        <f t="shared" si="2"/>
        <v>5</v>
      </c>
      <c r="U29" s="74">
        <f t="shared" si="3"/>
        <v>2.9333333333333331</v>
      </c>
      <c r="V29" s="73">
        <f>IF(Variable_Management!$B$20=3,2,IF((S29*R29/T29)&lt;((T29*(1-(T29/R29)))/(2*Lm*Fsw)),1,2))</f>
        <v>2</v>
      </c>
      <c r="W29" s="71">
        <f t="shared" si="13"/>
        <v>0.9</v>
      </c>
      <c r="X29" s="74">
        <f t="shared" si="4"/>
        <v>9.9999999999999978E-2</v>
      </c>
      <c r="Y29" s="73">
        <f t="shared" si="5"/>
        <v>0.85227272727272718</v>
      </c>
      <c r="Z29" s="71">
        <f t="shared" si="30"/>
        <v>3.3594696969696969</v>
      </c>
      <c r="AA29" s="71">
        <f t="shared" si="31"/>
        <v>2.9436329896771296</v>
      </c>
      <c r="AB29" s="71">
        <v>0</v>
      </c>
      <c r="AC29" s="71">
        <f t="shared" si="6"/>
        <v>3.7259393265036723E-2</v>
      </c>
      <c r="AD29" s="74">
        <f t="shared" si="16"/>
        <v>3.7259393265036723E-2</v>
      </c>
      <c r="AE29" s="73">
        <f t="shared" si="29"/>
        <v>2.6399999999999997</v>
      </c>
      <c r="AF29" s="71">
        <f t="shared" si="17"/>
        <v>2.7925754528971938</v>
      </c>
      <c r="AG29" s="71">
        <f t="shared" si="7"/>
        <v>6.8626603409090908E-2</v>
      </c>
      <c r="AH29" s="71">
        <f t="shared" si="18"/>
        <v>0.60543400286944049</v>
      </c>
      <c r="AI29" s="74">
        <f t="shared" si="19"/>
        <v>0.67406060627853137</v>
      </c>
      <c r="AJ29" s="73">
        <f t="shared" si="20"/>
        <v>0.29333333333333322</v>
      </c>
      <c r="AK29" s="71">
        <f t="shared" si="21"/>
        <v>0.93085848429906448</v>
      </c>
      <c r="AL29" s="71">
        <f t="shared" si="8"/>
        <v>7.6251781565656552E-3</v>
      </c>
      <c r="AM29" s="71">
        <f t="shared" si="22"/>
        <v>0.42468800000000007</v>
      </c>
      <c r="AN29" s="188">
        <f t="shared" si="23"/>
        <v>2.3650666666666667E-2</v>
      </c>
      <c r="AO29" s="74">
        <f t="shared" si="24"/>
        <v>0.45596384482323238</v>
      </c>
      <c r="AP29" s="73">
        <f t="shared" si="25"/>
        <v>1.7329950355831035E-2</v>
      </c>
      <c r="AQ29" s="206">
        <f t="shared" si="9"/>
        <v>3.7259393265036723E-2</v>
      </c>
      <c r="AR29" s="206">
        <f t="shared" si="10"/>
        <v>1.6586782538474829E-2</v>
      </c>
      <c r="AS29" s="71">
        <f t="shared" si="11"/>
        <v>3.9600000000000003E-2</v>
      </c>
      <c r="AT29" s="74">
        <f t="shared" si="12"/>
        <v>1.6499999999999998E-5</v>
      </c>
      <c r="AU29" s="73">
        <f t="shared" si="26"/>
        <v>1.2780764705261431</v>
      </c>
      <c r="AV29" s="71">
        <f t="shared" si="27"/>
        <v>14.666666666666666</v>
      </c>
      <c r="AW29" s="74">
        <f t="shared" si="28"/>
        <v>91.984339543577249</v>
      </c>
    </row>
    <row r="30" spans="17:49" x14ac:dyDescent="0.35">
      <c r="Q30">
        <v>23</v>
      </c>
      <c r="R30" s="73">
        <f t="shared" si="0"/>
        <v>50</v>
      </c>
      <c r="S30" s="71">
        <f t="shared" si="1"/>
        <v>0.3066666666666667</v>
      </c>
      <c r="T30" s="71">
        <f t="shared" si="2"/>
        <v>5</v>
      </c>
      <c r="U30" s="74">
        <f t="shared" si="3"/>
        <v>3.0666666666666673</v>
      </c>
      <c r="V30" s="73">
        <f>IF(Variable_Management!$B$20=3,2,IF((S30*R30/T30)&lt;((T30*(1-(T30/R30)))/(2*Lm*Fsw)),1,2))</f>
        <v>2</v>
      </c>
      <c r="W30" s="71">
        <f t="shared" si="13"/>
        <v>0.9</v>
      </c>
      <c r="X30" s="74">
        <f t="shared" si="4"/>
        <v>9.9999999999999978E-2</v>
      </c>
      <c r="Y30" s="73">
        <f t="shared" si="5"/>
        <v>0.85227272727272718</v>
      </c>
      <c r="Z30" s="71">
        <f t="shared" si="30"/>
        <v>3.4928030303030311</v>
      </c>
      <c r="AA30" s="71">
        <f t="shared" si="31"/>
        <v>3.0765199784684518</v>
      </c>
      <c r="AB30" s="71">
        <v>0</v>
      </c>
      <c r="AC30" s="71">
        <f t="shared" si="6"/>
        <v>4.069939326503675E-2</v>
      </c>
      <c r="AD30" s="74">
        <f t="shared" si="16"/>
        <v>4.069939326503675E-2</v>
      </c>
      <c r="AE30" s="73">
        <f t="shared" si="29"/>
        <v>2.7600000000000007</v>
      </c>
      <c r="AF30" s="71">
        <f t="shared" si="17"/>
        <v>2.9186431196917466</v>
      </c>
      <c r="AG30" s="71">
        <f t="shared" si="7"/>
        <v>7.4962603409090944E-2</v>
      </c>
      <c r="AH30" s="71">
        <f t="shared" si="18"/>
        <v>0.63295373027259716</v>
      </c>
      <c r="AI30" s="74">
        <f t="shared" si="19"/>
        <v>0.70791633368168805</v>
      </c>
      <c r="AJ30" s="73">
        <f t="shared" si="20"/>
        <v>0.30666666666666664</v>
      </c>
      <c r="AK30" s="71">
        <f t="shared" si="21"/>
        <v>0.97288103989724872</v>
      </c>
      <c r="AL30" s="71">
        <f t="shared" si="8"/>
        <v>8.3291781565656593E-3</v>
      </c>
      <c r="AM30" s="71">
        <f t="shared" si="22"/>
        <v>0.42468800000000007</v>
      </c>
      <c r="AN30" s="188">
        <f t="shared" si="23"/>
        <v>2.4589333333333338E-2</v>
      </c>
      <c r="AO30" s="74">
        <f t="shared" si="24"/>
        <v>0.45760651148989906</v>
      </c>
      <c r="AP30" s="73">
        <f t="shared" si="25"/>
        <v>1.8929950355831046E-2</v>
      </c>
      <c r="AQ30" s="206">
        <f t="shared" si="9"/>
        <v>4.069939326503675E-2</v>
      </c>
      <c r="AR30" s="206">
        <f t="shared" si="10"/>
        <v>1.6586782538474829E-2</v>
      </c>
      <c r="AS30" s="71">
        <f t="shared" si="11"/>
        <v>3.9600000000000003E-2</v>
      </c>
      <c r="AT30" s="74">
        <f t="shared" si="12"/>
        <v>1.6499999999999998E-5</v>
      </c>
      <c r="AU30" s="73">
        <f t="shared" si="26"/>
        <v>1.3220548645959669</v>
      </c>
      <c r="AV30" s="71">
        <f t="shared" si="27"/>
        <v>15.333333333333336</v>
      </c>
      <c r="AW30" s="74">
        <f t="shared" si="28"/>
        <v>92.062299305876692</v>
      </c>
    </row>
    <row r="31" spans="17:49" x14ac:dyDescent="0.35">
      <c r="Q31">
        <v>24</v>
      </c>
      <c r="R31" s="73">
        <f t="shared" si="0"/>
        <v>50</v>
      </c>
      <c r="S31" s="71">
        <f t="shared" si="1"/>
        <v>0.32</v>
      </c>
      <c r="T31" s="71">
        <f t="shared" si="2"/>
        <v>5</v>
      </c>
      <c r="U31" s="74">
        <f t="shared" si="3"/>
        <v>3.2</v>
      </c>
      <c r="V31" s="73">
        <f>IF(Variable_Management!$B$20=3,2,IF((S31*R31/T31)&lt;((T31*(1-(T31/R31)))/(2*Lm*Fsw)),1,2))</f>
        <v>2</v>
      </c>
      <c r="W31" s="71">
        <f t="shared" si="13"/>
        <v>0.9</v>
      </c>
      <c r="X31" s="74">
        <f t="shared" si="4"/>
        <v>9.9999999999999978E-2</v>
      </c>
      <c r="Y31" s="73">
        <f t="shared" si="5"/>
        <v>0.85227272727272718</v>
      </c>
      <c r="Z31" s="71">
        <f t="shared" si="30"/>
        <v>3.6261363636363639</v>
      </c>
      <c r="AA31" s="71">
        <f t="shared" si="31"/>
        <v>3.2094439913279489</v>
      </c>
      <c r="AB31" s="71">
        <v>0</v>
      </c>
      <c r="AC31" s="71">
        <f t="shared" si="6"/>
        <v>4.4292282153925625E-2</v>
      </c>
      <c r="AD31" s="74">
        <f t="shared" si="16"/>
        <v>4.4292282153925625E-2</v>
      </c>
      <c r="AE31" s="73">
        <f t="shared" si="29"/>
        <v>2.8800000000000003</v>
      </c>
      <c r="AF31" s="71">
        <f t="shared" si="17"/>
        <v>3.0447459106014039</v>
      </c>
      <c r="AG31" s="71">
        <f t="shared" si="7"/>
        <v>8.1580203409090959E-2</v>
      </c>
      <c r="AH31" s="71">
        <f t="shared" si="18"/>
        <v>0.66047345767575327</v>
      </c>
      <c r="AI31" s="74">
        <f t="shared" si="19"/>
        <v>0.74205366108484427</v>
      </c>
      <c r="AJ31" s="73">
        <f t="shared" si="20"/>
        <v>0.31999999999999995</v>
      </c>
      <c r="AK31" s="71">
        <f t="shared" si="21"/>
        <v>1.014915303533801</v>
      </c>
      <c r="AL31" s="71">
        <f t="shared" si="8"/>
        <v>9.064467045454546E-3</v>
      </c>
      <c r="AM31" s="71">
        <f t="shared" si="22"/>
        <v>0.42468800000000007</v>
      </c>
      <c r="AN31" s="188">
        <f t="shared" si="23"/>
        <v>2.5528000000000002E-2</v>
      </c>
      <c r="AO31" s="74">
        <f t="shared" si="24"/>
        <v>0.45928046704545461</v>
      </c>
      <c r="AP31" s="73">
        <f t="shared" si="25"/>
        <v>2.0601061466942152E-2</v>
      </c>
      <c r="AQ31" s="206">
        <f t="shared" si="9"/>
        <v>4.4292282153925625E-2</v>
      </c>
      <c r="AR31" s="206">
        <f t="shared" si="10"/>
        <v>1.6586782538474829E-2</v>
      </c>
      <c r="AS31" s="71">
        <f t="shared" si="11"/>
        <v>3.9600000000000003E-2</v>
      </c>
      <c r="AT31" s="74">
        <f t="shared" si="12"/>
        <v>1.6499999999999998E-5</v>
      </c>
      <c r="AU31" s="73">
        <f t="shared" si="26"/>
        <v>1.3667230364435672</v>
      </c>
      <c r="AV31" s="71">
        <f t="shared" si="27"/>
        <v>16</v>
      </c>
      <c r="AW31" s="74">
        <f t="shared" si="28"/>
        <v>92.130219192328127</v>
      </c>
    </row>
    <row r="32" spans="17:49" x14ac:dyDescent="0.35">
      <c r="Q32">
        <v>25</v>
      </c>
      <c r="R32" s="73">
        <f t="shared" si="0"/>
        <v>50</v>
      </c>
      <c r="S32" s="71">
        <f t="shared" si="1"/>
        <v>0.33333333333333337</v>
      </c>
      <c r="T32" s="71">
        <f t="shared" si="2"/>
        <v>5</v>
      </c>
      <c r="U32" s="74">
        <f t="shared" si="3"/>
        <v>3.3333333333333335</v>
      </c>
      <c r="V32" s="73">
        <f>IF(Variable_Management!$B$20=3,2,IF((S32*R32/T32)&lt;((T32*(1-(T32/R32)))/(2*Lm*Fsw)),1,2))</f>
        <v>2</v>
      </c>
      <c r="W32" s="71">
        <f t="shared" si="13"/>
        <v>0.9</v>
      </c>
      <c r="X32" s="74">
        <f t="shared" si="4"/>
        <v>9.9999999999999978E-2</v>
      </c>
      <c r="Y32" s="73">
        <f t="shared" si="5"/>
        <v>0.85227272727272718</v>
      </c>
      <c r="Z32" s="71">
        <f t="shared" si="30"/>
        <v>3.7594696969696972</v>
      </c>
      <c r="AA32" s="71">
        <f t="shared" si="31"/>
        <v>3.3424006110252833</v>
      </c>
      <c r="AB32" s="71">
        <v>0</v>
      </c>
      <c r="AC32" s="71">
        <f t="shared" si="6"/>
        <v>4.8038059931703403E-2</v>
      </c>
      <c r="AD32" s="74">
        <f t="shared" si="16"/>
        <v>4.8038059931703403E-2</v>
      </c>
      <c r="AE32" s="73">
        <f t="shared" si="29"/>
        <v>3</v>
      </c>
      <c r="AF32" s="71">
        <f t="shared" si="17"/>
        <v>3.1708796350735184</v>
      </c>
      <c r="AG32" s="71">
        <f t="shared" si="7"/>
        <v>8.847940340909094E-2</v>
      </c>
      <c r="AH32" s="71">
        <f t="shared" si="18"/>
        <v>0.68799318507890983</v>
      </c>
      <c r="AI32" s="74">
        <f t="shared" si="19"/>
        <v>0.77647258848800083</v>
      </c>
      <c r="AJ32" s="73">
        <f t="shared" si="20"/>
        <v>0.33333333333333326</v>
      </c>
      <c r="AK32" s="71">
        <f t="shared" si="21"/>
        <v>1.0569598783578393</v>
      </c>
      <c r="AL32" s="71">
        <f t="shared" si="8"/>
        <v>9.8310448232323232E-3</v>
      </c>
      <c r="AM32" s="71">
        <f t="shared" si="22"/>
        <v>0.42468800000000007</v>
      </c>
      <c r="AN32" s="188">
        <f t="shared" si="23"/>
        <v>2.646666666666667E-2</v>
      </c>
      <c r="AO32" s="74">
        <f t="shared" si="24"/>
        <v>0.46098571148989909</v>
      </c>
      <c r="AP32" s="73">
        <f t="shared" si="25"/>
        <v>2.2343283689164373E-2</v>
      </c>
      <c r="AQ32" s="206">
        <f t="shared" si="9"/>
        <v>4.8038059931703403E-2</v>
      </c>
      <c r="AR32" s="206">
        <f t="shared" si="10"/>
        <v>1.6586782538474829E-2</v>
      </c>
      <c r="AS32" s="71">
        <f t="shared" si="11"/>
        <v>3.9600000000000003E-2</v>
      </c>
      <c r="AT32" s="74">
        <f t="shared" si="12"/>
        <v>1.6499999999999998E-5</v>
      </c>
      <c r="AU32" s="73">
        <f t="shared" si="26"/>
        <v>1.4120809860689463</v>
      </c>
      <c r="AV32" s="71">
        <f t="shared" si="27"/>
        <v>16.666666666666668</v>
      </c>
      <c r="AW32" s="74">
        <f t="shared" si="28"/>
        <v>92.189276529587076</v>
      </c>
    </row>
    <row r="33" spans="17:49" x14ac:dyDescent="0.35">
      <c r="Q33">
        <v>26</v>
      </c>
      <c r="R33" s="73">
        <f t="shared" si="0"/>
        <v>50</v>
      </c>
      <c r="S33" s="71">
        <f t="shared" si="1"/>
        <v>0.34666666666666668</v>
      </c>
      <c r="T33" s="71">
        <f t="shared" si="2"/>
        <v>5</v>
      </c>
      <c r="U33" s="74">
        <f t="shared" si="3"/>
        <v>3.4666666666666672</v>
      </c>
      <c r="V33" s="73">
        <f>IF(Variable_Management!$B$20=3,2,IF((S33*R33/T33)&lt;((T33*(1-(T33/R33)))/(2*Lm*Fsw)),1,2))</f>
        <v>2</v>
      </c>
      <c r="W33" s="71">
        <f t="shared" si="13"/>
        <v>0.9</v>
      </c>
      <c r="X33" s="74">
        <f t="shared" si="4"/>
        <v>9.9999999999999978E-2</v>
      </c>
      <c r="Y33" s="73">
        <f t="shared" si="5"/>
        <v>0.85227272727272718</v>
      </c>
      <c r="Z33" s="71">
        <f t="shared" si="30"/>
        <v>3.892803030303031</v>
      </c>
      <c r="AA33" s="71">
        <f t="shared" si="31"/>
        <v>3.4753860952775959</v>
      </c>
      <c r="AB33" s="71">
        <v>0</v>
      </c>
      <c r="AC33" s="71">
        <f t="shared" si="6"/>
        <v>5.1936726598370078E-2</v>
      </c>
      <c r="AD33" s="74">
        <f t="shared" si="16"/>
        <v>5.1936726598370078E-2</v>
      </c>
      <c r="AE33" s="73">
        <f t="shared" si="29"/>
        <v>3.1200000000000006</v>
      </c>
      <c r="AF33" s="71">
        <f t="shared" si="17"/>
        <v>3.2970407428668471</v>
      </c>
      <c r="AG33" s="71">
        <f t="shared" si="7"/>
        <v>9.5660203409090955E-2</v>
      </c>
      <c r="AH33" s="71">
        <f t="shared" si="18"/>
        <v>0.71551291248206628</v>
      </c>
      <c r="AI33" s="74">
        <f t="shared" si="19"/>
        <v>0.81117311589115726</v>
      </c>
      <c r="AJ33" s="73">
        <f t="shared" si="20"/>
        <v>0.34666666666666662</v>
      </c>
      <c r="AK33" s="71">
        <f t="shared" si="21"/>
        <v>1.0990135809556156</v>
      </c>
      <c r="AL33" s="71">
        <f t="shared" si="8"/>
        <v>1.0628911489898992E-2</v>
      </c>
      <c r="AM33" s="71">
        <f t="shared" si="22"/>
        <v>0.42468800000000007</v>
      </c>
      <c r="AN33" s="188">
        <f t="shared" si="23"/>
        <v>2.7405333333333341E-2</v>
      </c>
      <c r="AO33" s="74">
        <f t="shared" si="24"/>
        <v>0.46272224482323238</v>
      </c>
      <c r="AP33" s="73">
        <f t="shared" si="25"/>
        <v>2.415661702249771E-2</v>
      </c>
      <c r="AQ33" s="206">
        <f t="shared" si="9"/>
        <v>5.1936726598370078E-2</v>
      </c>
      <c r="AR33" s="206">
        <f t="shared" si="10"/>
        <v>1.6586782538474829E-2</v>
      </c>
      <c r="AS33" s="71">
        <f t="shared" si="11"/>
        <v>3.9600000000000003E-2</v>
      </c>
      <c r="AT33" s="74">
        <f t="shared" si="12"/>
        <v>1.6499999999999998E-5</v>
      </c>
      <c r="AU33" s="73">
        <f t="shared" si="26"/>
        <v>1.4581287134721026</v>
      </c>
      <c r="AV33" s="71">
        <f t="shared" si="27"/>
        <v>17.333333333333336</v>
      </c>
      <c r="AW33" s="74">
        <f t="shared" si="28"/>
        <v>92.2404722429781</v>
      </c>
    </row>
    <row r="34" spans="17:49" x14ac:dyDescent="0.35">
      <c r="Q34">
        <v>27</v>
      </c>
      <c r="R34" s="73">
        <f t="shared" si="0"/>
        <v>50</v>
      </c>
      <c r="S34" s="71">
        <f t="shared" si="1"/>
        <v>0.36000000000000004</v>
      </c>
      <c r="T34" s="71">
        <f t="shared" si="2"/>
        <v>5</v>
      </c>
      <c r="U34" s="74">
        <f t="shared" si="3"/>
        <v>3.6000000000000005</v>
      </c>
      <c r="V34" s="73">
        <f>IF(Variable_Management!$B$20=3,2,IF((S34*R34/T34)&lt;((T34*(1-(T34/R34)))/(2*Lm*Fsw)),1,2))</f>
        <v>2</v>
      </c>
      <c r="W34" s="71">
        <f t="shared" si="13"/>
        <v>0.9</v>
      </c>
      <c r="X34" s="74">
        <f t="shared" si="4"/>
        <v>9.9999999999999978E-2</v>
      </c>
      <c r="Y34" s="73">
        <f t="shared" si="5"/>
        <v>0.85227272727272718</v>
      </c>
      <c r="Z34" s="71">
        <f t="shared" si="30"/>
        <v>4.0261363636363638</v>
      </c>
      <c r="AA34" s="71">
        <f t="shared" si="31"/>
        <v>3.6083972527246884</v>
      </c>
      <c r="AB34" s="71">
        <v>0</v>
      </c>
      <c r="AC34" s="71">
        <f t="shared" si="6"/>
        <v>5.5988282153925636E-2</v>
      </c>
      <c r="AD34" s="74">
        <f t="shared" si="16"/>
        <v>5.5988282153925636E-2</v>
      </c>
      <c r="AE34" s="73">
        <f t="shared" si="29"/>
        <v>3.2400000000000007</v>
      </c>
      <c r="AF34" s="71">
        <f t="shared" si="17"/>
        <v>3.42322620639127</v>
      </c>
      <c r="AG34" s="71">
        <f t="shared" si="7"/>
        <v>0.10312260340909091</v>
      </c>
      <c r="AH34" s="71">
        <f t="shared" si="18"/>
        <v>0.74303263988522261</v>
      </c>
      <c r="AI34" s="74">
        <f t="shared" si="19"/>
        <v>0.84615524329431357</v>
      </c>
      <c r="AJ34" s="73">
        <f t="shared" si="20"/>
        <v>0.36</v>
      </c>
      <c r="AK34" s="71">
        <f t="shared" si="21"/>
        <v>1.1410754021304232</v>
      </c>
      <c r="AL34" s="71">
        <f t="shared" si="8"/>
        <v>1.1458067045454544E-2</v>
      </c>
      <c r="AM34" s="71">
        <f t="shared" si="22"/>
        <v>0.42468800000000007</v>
      </c>
      <c r="AN34" s="188">
        <f t="shared" si="23"/>
        <v>2.8344000000000001E-2</v>
      </c>
      <c r="AO34" s="74">
        <f t="shared" si="24"/>
        <v>0.46449006704545459</v>
      </c>
      <c r="AP34" s="73">
        <f t="shared" si="25"/>
        <v>2.6041061466942156E-2</v>
      </c>
      <c r="AQ34" s="206">
        <f t="shared" si="9"/>
        <v>5.5988282153925636E-2</v>
      </c>
      <c r="AR34" s="206">
        <f t="shared" si="10"/>
        <v>1.6586782538474829E-2</v>
      </c>
      <c r="AS34" s="71">
        <f t="shared" si="11"/>
        <v>3.9600000000000003E-2</v>
      </c>
      <c r="AT34" s="74">
        <f t="shared" si="12"/>
        <v>1.6499999999999998E-5</v>
      </c>
      <c r="AU34" s="73">
        <f t="shared" si="26"/>
        <v>1.5048662186530368</v>
      </c>
      <c r="AV34" s="71">
        <f t="shared" si="27"/>
        <v>18.000000000000004</v>
      </c>
      <c r="AW34" s="74">
        <f t="shared" si="28"/>
        <v>92.284662700152779</v>
      </c>
    </row>
    <row r="35" spans="17:49" x14ac:dyDescent="0.35">
      <c r="Q35">
        <v>28</v>
      </c>
      <c r="R35" s="73">
        <f t="shared" si="0"/>
        <v>50</v>
      </c>
      <c r="S35" s="71">
        <f t="shared" si="1"/>
        <v>0.37333333333333335</v>
      </c>
      <c r="T35" s="71">
        <f t="shared" si="2"/>
        <v>5</v>
      </c>
      <c r="U35" s="74">
        <f t="shared" si="3"/>
        <v>3.7333333333333334</v>
      </c>
      <c r="V35" s="73">
        <f>IF(Variable_Management!$B$20=3,2,IF((S35*R35/T35)&lt;((T35*(1-(T35/R35)))/(2*Lm*Fsw)),1,2))</f>
        <v>2</v>
      </c>
      <c r="W35" s="71">
        <f t="shared" si="13"/>
        <v>0.9</v>
      </c>
      <c r="X35" s="74">
        <f t="shared" si="4"/>
        <v>9.9999999999999978E-2</v>
      </c>
      <c r="Y35" s="73">
        <f t="shared" si="5"/>
        <v>0.85227272727272718</v>
      </c>
      <c r="Z35" s="71">
        <f t="shared" si="30"/>
        <v>4.1594696969696967</v>
      </c>
      <c r="AA35" s="71">
        <f t="shared" si="31"/>
        <v>3.7414313452539596</v>
      </c>
      <c r="AB35" s="71">
        <v>0</v>
      </c>
      <c r="AC35" s="71">
        <f t="shared" si="6"/>
        <v>6.0192726598370078E-2</v>
      </c>
      <c r="AD35" s="74">
        <f t="shared" si="16"/>
        <v>6.0192726598370078E-2</v>
      </c>
      <c r="AE35" s="73">
        <f t="shared" si="29"/>
        <v>3.3600000000000003</v>
      </c>
      <c r="AF35" s="71">
        <f t="shared" si="17"/>
        <v>3.5494334280450963</v>
      </c>
      <c r="AG35" s="71">
        <f t="shared" si="7"/>
        <v>0.11086660340909088</v>
      </c>
      <c r="AH35" s="71">
        <f t="shared" si="18"/>
        <v>0.77055236728837884</v>
      </c>
      <c r="AI35" s="74">
        <f t="shared" si="19"/>
        <v>0.88141897069746977</v>
      </c>
      <c r="AJ35" s="73">
        <f t="shared" si="20"/>
        <v>0.37333333333333324</v>
      </c>
      <c r="AK35" s="71">
        <f t="shared" si="21"/>
        <v>1.183144476015032</v>
      </c>
      <c r="AL35" s="71">
        <f t="shared" si="8"/>
        <v>1.2318511489898987E-2</v>
      </c>
      <c r="AM35" s="71">
        <f t="shared" si="22"/>
        <v>0.42468800000000007</v>
      </c>
      <c r="AN35" s="188">
        <f t="shared" si="23"/>
        <v>2.9282666666666665E-2</v>
      </c>
      <c r="AO35" s="74">
        <f t="shared" si="24"/>
        <v>0.46628917815656573</v>
      </c>
      <c r="AP35" s="73">
        <f t="shared" si="25"/>
        <v>2.799661702249771E-2</v>
      </c>
      <c r="AQ35" s="206">
        <f t="shared" si="9"/>
        <v>6.0192726598370078E-2</v>
      </c>
      <c r="AR35" s="206">
        <f t="shared" si="10"/>
        <v>1.6586782538474829E-2</v>
      </c>
      <c r="AS35" s="71">
        <f t="shared" si="11"/>
        <v>3.9600000000000003E-2</v>
      </c>
      <c r="AT35" s="74">
        <f t="shared" si="12"/>
        <v>1.6499999999999998E-5</v>
      </c>
      <c r="AU35" s="73">
        <f t="shared" si="26"/>
        <v>1.5522935016117485</v>
      </c>
      <c r="AV35" s="71">
        <f t="shared" si="27"/>
        <v>18.666666666666668</v>
      </c>
      <c r="AW35" s="74">
        <f t="shared" si="28"/>
        <v>92.322584897085122</v>
      </c>
    </row>
    <row r="36" spans="17:49" x14ac:dyDescent="0.35">
      <c r="Q36">
        <v>29</v>
      </c>
      <c r="R36" s="73">
        <f t="shared" si="0"/>
        <v>50</v>
      </c>
      <c r="S36" s="71">
        <f t="shared" si="1"/>
        <v>0.38666666666666671</v>
      </c>
      <c r="T36" s="71">
        <f t="shared" si="2"/>
        <v>5</v>
      </c>
      <c r="U36" s="74">
        <f t="shared" si="3"/>
        <v>3.8666666666666671</v>
      </c>
      <c r="V36" s="73">
        <f>IF(Variable_Management!$B$20=3,2,IF((S36*R36/T36)&lt;((T36*(1-(T36/R36)))/(2*Lm*Fsw)),1,2))</f>
        <v>2</v>
      </c>
      <c r="W36" s="71">
        <f t="shared" si="13"/>
        <v>0.9</v>
      </c>
      <c r="X36" s="74">
        <f t="shared" si="4"/>
        <v>9.9999999999999978E-2</v>
      </c>
      <c r="Y36" s="73">
        <f t="shared" si="5"/>
        <v>0.85227272727272718</v>
      </c>
      <c r="Z36" s="71">
        <f t="shared" si="30"/>
        <v>4.2928030303030305</v>
      </c>
      <c r="AA36" s="71">
        <f t="shared" si="31"/>
        <v>3.8744860103737873</v>
      </c>
      <c r="AB36" s="71">
        <v>0</v>
      </c>
      <c r="AC36" s="71">
        <f t="shared" si="6"/>
        <v>6.4550059931703402E-2</v>
      </c>
      <c r="AD36" s="74">
        <f t="shared" si="16"/>
        <v>6.4550059931703402E-2</v>
      </c>
      <c r="AE36" s="73">
        <f t="shared" si="29"/>
        <v>3.4800000000000004</v>
      </c>
      <c r="AF36" s="71">
        <f t="shared" si="17"/>
        <v>3.6756601665719817</v>
      </c>
      <c r="AG36" s="71">
        <f t="shared" si="7"/>
        <v>0.11889220340909093</v>
      </c>
      <c r="AH36" s="71">
        <f t="shared" si="18"/>
        <v>0.79807209469153539</v>
      </c>
      <c r="AI36" s="74">
        <f t="shared" si="19"/>
        <v>0.9169642981006263</v>
      </c>
      <c r="AJ36" s="73">
        <f t="shared" si="20"/>
        <v>0.3866666666666666</v>
      </c>
      <c r="AK36" s="71">
        <f t="shared" si="21"/>
        <v>1.2252200555239936</v>
      </c>
      <c r="AL36" s="71">
        <f t="shared" si="8"/>
        <v>1.3210244823232319E-2</v>
      </c>
      <c r="AM36" s="71">
        <f t="shared" si="22"/>
        <v>0.42468800000000007</v>
      </c>
      <c r="AN36" s="188">
        <f t="shared" si="23"/>
        <v>3.0221333333333336E-2</v>
      </c>
      <c r="AO36" s="74">
        <f t="shared" si="24"/>
        <v>0.46811957815656569</v>
      </c>
      <c r="AP36" s="73">
        <f t="shared" si="25"/>
        <v>3.0023283689164373E-2</v>
      </c>
      <c r="AQ36" s="206">
        <f t="shared" si="9"/>
        <v>6.4550059931703402E-2</v>
      </c>
      <c r="AR36" s="206">
        <f t="shared" si="10"/>
        <v>1.6586782538474829E-2</v>
      </c>
      <c r="AS36" s="71">
        <f t="shared" si="11"/>
        <v>3.9600000000000003E-2</v>
      </c>
      <c r="AT36" s="74">
        <f t="shared" si="12"/>
        <v>1.6499999999999998E-5</v>
      </c>
      <c r="AU36" s="73">
        <f t="shared" si="26"/>
        <v>1.6004105623482383</v>
      </c>
      <c r="AV36" s="71">
        <f t="shared" si="27"/>
        <v>19.333333333333336</v>
      </c>
      <c r="AW36" s="74">
        <f t="shared" si="28"/>
        <v>92.354876555653348</v>
      </c>
    </row>
    <row r="37" spans="17:49" x14ac:dyDescent="0.35">
      <c r="Q37">
        <v>30</v>
      </c>
      <c r="R37" s="73">
        <f t="shared" si="0"/>
        <v>50</v>
      </c>
      <c r="S37" s="71">
        <f t="shared" si="1"/>
        <v>0.4</v>
      </c>
      <c r="T37" s="71">
        <f t="shared" si="2"/>
        <v>5</v>
      </c>
      <c r="U37" s="74">
        <f t="shared" si="3"/>
        <v>4</v>
      </c>
      <c r="V37" s="73">
        <f>IF(Variable_Management!$B$20=3,2,IF((S37*R37/T37)&lt;((T37*(1-(T37/R37)))/(2*Lm*Fsw)),1,2))</f>
        <v>2</v>
      </c>
      <c r="W37" s="71">
        <f t="shared" si="13"/>
        <v>0.9</v>
      </c>
      <c r="X37" s="74">
        <f t="shared" si="4"/>
        <v>9.9999999999999978E-2</v>
      </c>
      <c r="Y37" s="73">
        <f t="shared" si="5"/>
        <v>0.85227272727272718</v>
      </c>
      <c r="Z37" s="71">
        <f t="shared" si="30"/>
        <v>4.4261363636363633</v>
      </c>
      <c r="AA37" s="71">
        <f t="shared" si="31"/>
        <v>4.0075591989976989</v>
      </c>
      <c r="AB37" s="71">
        <v>0</v>
      </c>
      <c r="AC37" s="71">
        <f t="shared" si="6"/>
        <v>6.9060282153925637E-2</v>
      </c>
      <c r="AD37" s="74">
        <f t="shared" si="16"/>
        <v>6.9060282153925637E-2</v>
      </c>
      <c r="AE37" s="73">
        <f t="shared" si="29"/>
        <v>3.6</v>
      </c>
      <c r="AF37" s="71">
        <f t="shared" si="17"/>
        <v>3.8019044780378115</v>
      </c>
      <c r="AG37" s="71">
        <f t="shared" si="7"/>
        <v>0.12719940340909089</v>
      </c>
      <c r="AH37" s="71">
        <f t="shared" si="18"/>
        <v>0.82559182209469162</v>
      </c>
      <c r="AI37" s="74">
        <f t="shared" si="19"/>
        <v>0.95279122550378248</v>
      </c>
      <c r="AJ37" s="73">
        <f t="shared" si="20"/>
        <v>0.39999999999999991</v>
      </c>
      <c r="AK37" s="71">
        <f t="shared" si="21"/>
        <v>1.2673014926792703</v>
      </c>
      <c r="AL37" s="71">
        <f t="shared" si="8"/>
        <v>1.4133267045454539E-2</v>
      </c>
      <c r="AM37" s="71">
        <f t="shared" si="22"/>
        <v>0.42468800000000007</v>
      </c>
      <c r="AN37" s="188">
        <f t="shared" si="23"/>
        <v>3.116E-2</v>
      </c>
      <c r="AO37" s="74">
        <f t="shared" si="24"/>
        <v>0.46998126704545462</v>
      </c>
      <c r="AP37" s="73">
        <f t="shared" si="25"/>
        <v>3.2121061466942158E-2</v>
      </c>
      <c r="AQ37" s="206">
        <f t="shared" si="9"/>
        <v>6.9060282153925637E-2</v>
      </c>
      <c r="AR37" s="206">
        <f t="shared" si="10"/>
        <v>1.6586782538474829E-2</v>
      </c>
      <c r="AS37" s="71">
        <f t="shared" si="11"/>
        <v>3.9600000000000003E-2</v>
      </c>
      <c r="AT37" s="74">
        <f t="shared" si="12"/>
        <v>1.6499999999999998E-5</v>
      </c>
      <c r="AU37" s="73">
        <f t="shared" si="26"/>
        <v>1.6492174008625058</v>
      </c>
      <c r="AV37" s="71">
        <f t="shared" si="27"/>
        <v>20</v>
      </c>
      <c r="AW37" s="74">
        <f t="shared" si="28"/>
        <v>92.382092293106183</v>
      </c>
    </row>
    <row r="38" spans="17:49" x14ac:dyDescent="0.35">
      <c r="Q38">
        <v>31</v>
      </c>
      <c r="R38" s="73">
        <f t="shared" si="0"/>
        <v>50</v>
      </c>
      <c r="S38" s="71">
        <f t="shared" si="1"/>
        <v>0.41333333333333339</v>
      </c>
      <c r="T38" s="71">
        <f t="shared" si="2"/>
        <v>5</v>
      </c>
      <c r="U38" s="74">
        <f t="shared" si="3"/>
        <v>4.1333333333333337</v>
      </c>
      <c r="V38" s="73">
        <f>IF(Variable_Management!$B$20=3,2,IF((S38*R38/T38)&lt;((T38*(1-(T38/R38)))/(2*Lm*Fsw)),1,2))</f>
        <v>2</v>
      </c>
      <c r="W38" s="71">
        <f t="shared" si="13"/>
        <v>0.9</v>
      </c>
      <c r="X38" s="74">
        <f t="shared" si="4"/>
        <v>9.9999999999999978E-2</v>
      </c>
      <c r="Y38" s="73">
        <f t="shared" si="5"/>
        <v>0.85227272727272718</v>
      </c>
      <c r="Z38" s="71">
        <f t="shared" si="30"/>
        <v>4.5594696969696971</v>
      </c>
      <c r="AA38" s="71">
        <f t="shared" si="31"/>
        <v>4.1406491251874415</v>
      </c>
      <c r="AB38" s="71">
        <v>0</v>
      </c>
      <c r="AC38" s="71">
        <f t="shared" si="6"/>
        <v>7.3723393265036768E-2</v>
      </c>
      <c r="AD38" s="74">
        <f t="shared" si="16"/>
        <v>7.3723393265036768E-2</v>
      </c>
      <c r="AE38" s="73">
        <f t="shared" si="29"/>
        <v>3.7200000000000006</v>
      </c>
      <c r="AF38" s="71">
        <f t="shared" si="17"/>
        <v>3.9281646681527964</v>
      </c>
      <c r="AG38" s="71">
        <f t="shared" si="7"/>
        <v>0.13578820340909095</v>
      </c>
      <c r="AH38" s="71">
        <f t="shared" si="18"/>
        <v>0.85311154949784818</v>
      </c>
      <c r="AI38" s="74">
        <f t="shared" si="19"/>
        <v>0.9888997529069391</v>
      </c>
      <c r="AJ38" s="73">
        <f t="shared" si="20"/>
        <v>0.41333333333333327</v>
      </c>
      <c r="AK38" s="71">
        <f t="shared" si="21"/>
        <v>1.3093882227175986</v>
      </c>
      <c r="AL38" s="71">
        <f t="shared" si="8"/>
        <v>1.5087578156565655E-2</v>
      </c>
      <c r="AM38" s="71">
        <f t="shared" si="22"/>
        <v>0.42468800000000007</v>
      </c>
      <c r="AN38" s="188">
        <f t="shared" si="23"/>
        <v>3.2098666666666671E-2</v>
      </c>
      <c r="AO38" s="74">
        <f t="shared" si="24"/>
        <v>0.47187424482323237</v>
      </c>
      <c r="AP38" s="73">
        <f t="shared" si="25"/>
        <v>3.4289950355831052E-2</v>
      </c>
      <c r="AQ38" s="206">
        <f t="shared" si="9"/>
        <v>7.3723393265036768E-2</v>
      </c>
      <c r="AR38" s="206">
        <f t="shared" si="10"/>
        <v>1.6586782538474829E-2</v>
      </c>
      <c r="AS38" s="71">
        <f t="shared" si="11"/>
        <v>3.9600000000000003E-2</v>
      </c>
      <c r="AT38" s="74">
        <f t="shared" si="12"/>
        <v>1.6499999999999998E-5</v>
      </c>
      <c r="AU38" s="73">
        <f t="shared" si="26"/>
        <v>1.6987140171545512</v>
      </c>
      <c r="AV38" s="71">
        <f t="shared" si="27"/>
        <v>20.666666666666668</v>
      </c>
      <c r="AW38" s="74">
        <f t="shared" si="28"/>
        <v>92.40471673087427</v>
      </c>
    </row>
    <row r="39" spans="17:49" x14ac:dyDescent="0.35">
      <c r="Q39">
        <v>32</v>
      </c>
      <c r="R39" s="73">
        <f t="shared" si="0"/>
        <v>50</v>
      </c>
      <c r="S39" s="71">
        <f t="shared" ref="S39:S70" si="32">Q39*$O$12</f>
        <v>0.42666666666666669</v>
      </c>
      <c r="T39" s="71">
        <f t="shared" si="2"/>
        <v>5</v>
      </c>
      <c r="U39" s="74">
        <f t="shared" ref="U39:U70" si="33">(R39*S39)/(T39*EFF_est)</f>
        <v>4.2666666666666675</v>
      </c>
      <c r="V39" s="73">
        <f>IF(Variable_Management!$B$20=3,2,IF((S39*R39/T39)&lt;((T39*(1-(T39/R39)))/(2*Lm*Fsw)),1,2))</f>
        <v>2</v>
      </c>
      <c r="W39" s="71">
        <f t="shared" ref="W39:W70" si="34">CHOOSE(V39,SQRT((2*S39*Lm*Fsw*(R39-T39))/((T39)^2)),1-(T39/R39))</f>
        <v>0.9</v>
      </c>
      <c r="X39" s="74">
        <f t="shared" ref="X39:X70" si="35">CHOOSE(V39,(Lm*Z39*Fsw)/(R39-T39),1-W39)</f>
        <v>9.9999999999999978E-2</v>
      </c>
      <c r="Y39" s="73">
        <f t="shared" ref="Y39:Y70" si="36">(T39*W39)/(Lm*Fsw)</f>
        <v>0.85227272727272718</v>
      </c>
      <c r="Z39" s="71">
        <f t="shared" si="30"/>
        <v>4.6928030303030308</v>
      </c>
      <c r="AA39" s="71">
        <f t="shared" si="31"/>
        <v>4.2737542252585756</v>
      </c>
      <c r="AB39" s="71">
        <v>0</v>
      </c>
      <c r="AC39" s="71">
        <f t="shared" ref="AC39:AC70" si="37">(AA39^2)*Rdcr</f>
        <v>7.8539393265036769E-2</v>
      </c>
      <c r="AD39" s="74">
        <f t="shared" si="16"/>
        <v>7.8539393265036769E-2</v>
      </c>
      <c r="AE39" s="73">
        <f t="shared" si="29"/>
        <v>3.8400000000000007</v>
      </c>
      <c r="AF39" s="71">
        <f t="shared" si="17"/>
        <v>4.0544392534756239</v>
      </c>
      <c r="AG39" s="71">
        <f t="shared" ref="AG39:AG70" si="38">(AF39^2)*RDS_on</f>
        <v>0.14465860340909101</v>
      </c>
      <c r="AH39" s="71">
        <f t="shared" ref="AH39:AH70" si="39">((R39*U39)/2)*Fsw*(tr_sw+tf_sw)</f>
        <v>0.88063127690100462</v>
      </c>
      <c r="AI39" s="74">
        <f t="shared" si="19"/>
        <v>1.0252898803100956</v>
      </c>
      <c r="AJ39" s="73">
        <f t="shared" si="20"/>
        <v>0.42666666666666664</v>
      </c>
      <c r="AK39" s="71">
        <f t="shared" ref="AK39:AK70" si="40">CHOOSE(V39,Z39*SQRT(X39/3),SQRT(X39*((Z39^2)+((Y39^2)/3)-(Y39*Z39))))</f>
        <v>1.351479751158541</v>
      </c>
      <c r="AL39" s="71">
        <f t="shared" ref="AL39:AL70" si="41">(AK39^2)*RDS_on_HS</f>
        <v>1.6073178156565657E-2</v>
      </c>
      <c r="AM39" s="71">
        <f t="shared" si="22"/>
        <v>0.42468800000000007</v>
      </c>
      <c r="AN39" s="188">
        <f t="shared" ref="AN39:AN70" si="42">Vd_rect*t_dead*Fsw*Z39</f>
        <v>3.3037333333333335E-2</v>
      </c>
      <c r="AO39" s="74">
        <f t="shared" si="24"/>
        <v>0.47379851148989904</v>
      </c>
      <c r="AP39" s="73">
        <f t="shared" ref="AP39:AP70" si="43">(AA39^2)*R_cs</f>
        <v>3.6529950355831058E-2</v>
      </c>
      <c r="AQ39" s="206">
        <f t="shared" ref="AQ39:AQ70" si="44">Rdcr*AA39^2</f>
        <v>7.8539393265036769E-2</v>
      </c>
      <c r="AR39" s="206">
        <f t="shared" ref="AR39:AR70" si="45">ABS(7.759*10^-3*Fsw^0.9458*(0.00787*Y39)^2.304)</f>
        <v>1.6586782538474829E-2</v>
      </c>
      <c r="AS39" s="71">
        <f t="shared" ref="AS39:AS70" si="46">(Qg_tot+Qg_tot_HS)*Vcc*Fsw</f>
        <v>3.9600000000000003E-2</v>
      </c>
      <c r="AT39" s="74">
        <f t="shared" ref="AT39:AT70" si="47">IQ*T39</f>
        <v>1.6499999999999998E-5</v>
      </c>
      <c r="AU39" s="73">
        <f t="shared" si="26"/>
        <v>1.7489004112243742</v>
      </c>
      <c r="AV39" s="71">
        <f t="shared" si="27"/>
        <v>21.333333333333336</v>
      </c>
      <c r="AW39" s="74">
        <f t="shared" si="28"/>
        <v>92.423175197951863</v>
      </c>
    </row>
    <row r="40" spans="17:49" x14ac:dyDescent="0.35">
      <c r="Q40">
        <v>33</v>
      </c>
      <c r="R40" s="73">
        <f t="shared" si="0"/>
        <v>50</v>
      </c>
      <c r="S40" s="71">
        <f t="shared" si="32"/>
        <v>0.44</v>
      </c>
      <c r="T40" s="71">
        <f t="shared" si="2"/>
        <v>5</v>
      </c>
      <c r="U40" s="74">
        <f t="shared" si="33"/>
        <v>4.4000000000000004</v>
      </c>
      <c r="V40" s="73">
        <f>IF(Variable_Management!$B$20=3,2,IF((S40*R40/T40)&lt;((T40*(1-(T40/R40)))/(2*Lm*Fsw)),1,2))</f>
        <v>2</v>
      </c>
      <c r="W40" s="71">
        <f t="shared" si="34"/>
        <v>0.9</v>
      </c>
      <c r="X40" s="74">
        <f t="shared" si="35"/>
        <v>9.9999999999999978E-2</v>
      </c>
      <c r="Y40" s="73">
        <f t="shared" si="36"/>
        <v>0.85227272727272718</v>
      </c>
      <c r="Z40" s="71">
        <f t="shared" si="30"/>
        <v>4.8261363636363637</v>
      </c>
      <c r="AA40" s="71">
        <f t="shared" si="31"/>
        <v>4.4068731242765633</v>
      </c>
      <c r="AB40" s="71">
        <v>0</v>
      </c>
      <c r="AC40" s="71">
        <f t="shared" si="37"/>
        <v>8.3508282153925639E-2</v>
      </c>
      <c r="AD40" s="74">
        <f t="shared" si="16"/>
        <v>8.3508282153925639E-2</v>
      </c>
      <c r="AE40" s="73">
        <f t="shared" si="29"/>
        <v>3.9600000000000004</v>
      </c>
      <c r="AF40" s="71">
        <f t="shared" si="17"/>
        <v>4.1807269296288618</v>
      </c>
      <c r="AG40" s="71">
        <f t="shared" si="38"/>
        <v>0.15381060340909095</v>
      </c>
      <c r="AH40" s="71">
        <f t="shared" si="39"/>
        <v>0.90815100430416096</v>
      </c>
      <c r="AI40" s="74">
        <f t="shared" si="19"/>
        <v>1.0619616077132519</v>
      </c>
      <c r="AJ40" s="73">
        <f t="shared" si="20"/>
        <v>0.43999999999999995</v>
      </c>
      <c r="AK40" s="71">
        <f t="shared" si="40"/>
        <v>1.3935756432096205</v>
      </c>
      <c r="AL40" s="71">
        <f t="shared" si="41"/>
        <v>1.7090067045454547E-2</v>
      </c>
      <c r="AM40" s="71">
        <f t="shared" ref="AM40:AM71" si="48">CHOOSE(V40,(R40+Vd_rect)*Qrr*Fsw,(R40+Vd_rect)*Qrr*Fsw)</f>
        <v>0.42468800000000007</v>
      </c>
      <c r="AN40" s="188">
        <f t="shared" si="42"/>
        <v>3.3975999999999999E-2</v>
      </c>
      <c r="AO40" s="74">
        <f t="shared" si="24"/>
        <v>0.47575406704545464</v>
      </c>
      <c r="AP40" s="73">
        <f t="shared" si="43"/>
        <v>3.8841061466942162E-2</v>
      </c>
      <c r="AQ40" s="206">
        <f t="shared" si="44"/>
        <v>8.3508282153925639E-2</v>
      </c>
      <c r="AR40" s="206">
        <f t="shared" si="45"/>
        <v>1.6586782538474829E-2</v>
      </c>
      <c r="AS40" s="71">
        <f t="shared" si="46"/>
        <v>3.9600000000000003E-2</v>
      </c>
      <c r="AT40" s="74">
        <f t="shared" si="47"/>
        <v>1.6499999999999998E-5</v>
      </c>
      <c r="AU40" s="73">
        <f t="shared" si="26"/>
        <v>1.7997765830719752</v>
      </c>
      <c r="AV40" s="71">
        <f t="shared" si="27"/>
        <v>22</v>
      </c>
      <c r="AW40" s="74">
        <f t="shared" si="28"/>
        <v>92.437842528521472</v>
      </c>
    </row>
    <row r="41" spans="17:49" x14ac:dyDescent="0.35">
      <c r="Q41">
        <v>34</v>
      </c>
      <c r="R41" s="73">
        <f t="shared" si="0"/>
        <v>50</v>
      </c>
      <c r="S41" s="71">
        <f t="shared" si="32"/>
        <v>0.45333333333333337</v>
      </c>
      <c r="T41" s="71">
        <f t="shared" si="2"/>
        <v>5</v>
      </c>
      <c r="U41" s="74">
        <f t="shared" si="33"/>
        <v>4.5333333333333332</v>
      </c>
      <c r="V41" s="73">
        <f>IF(Variable_Management!$B$20=3,2,IF((S41*R41/T41)&lt;((T41*(1-(T41/R41)))/(2*Lm*Fsw)),1,2))</f>
        <v>2</v>
      </c>
      <c r="W41" s="71">
        <f t="shared" si="34"/>
        <v>0.9</v>
      </c>
      <c r="X41" s="74">
        <f t="shared" si="35"/>
        <v>9.9999999999999978E-2</v>
      </c>
      <c r="Y41" s="73">
        <f t="shared" si="36"/>
        <v>0.85227272727272718</v>
      </c>
      <c r="Z41" s="71">
        <f t="shared" si="30"/>
        <v>4.9594696969696965</v>
      </c>
      <c r="AA41" s="71">
        <f t="shared" si="31"/>
        <v>4.540004608431822</v>
      </c>
      <c r="AB41" s="71">
        <v>0</v>
      </c>
      <c r="AC41" s="71">
        <f t="shared" si="37"/>
        <v>8.8630059931703378E-2</v>
      </c>
      <c r="AD41" s="74">
        <f t="shared" si="16"/>
        <v>8.8630059931703378E-2</v>
      </c>
      <c r="AE41" s="73">
        <f t="shared" si="29"/>
        <v>4.08</v>
      </c>
      <c r="AF41" s="71">
        <f t="shared" si="17"/>
        <v>4.3070265450916327</v>
      </c>
      <c r="AG41" s="71">
        <f t="shared" si="38"/>
        <v>0.16324420340909093</v>
      </c>
      <c r="AH41" s="71">
        <f t="shared" si="39"/>
        <v>0.93567073170731718</v>
      </c>
      <c r="AI41" s="74">
        <f t="shared" si="19"/>
        <v>1.098914935116408</v>
      </c>
      <c r="AJ41" s="73">
        <f t="shared" si="20"/>
        <v>0.4533333333333332</v>
      </c>
      <c r="AK41" s="71">
        <f t="shared" si="40"/>
        <v>1.435675515030544</v>
      </c>
      <c r="AL41" s="71">
        <f t="shared" si="41"/>
        <v>1.8138244823232317E-2</v>
      </c>
      <c r="AM41" s="71">
        <f t="shared" si="48"/>
        <v>0.42468800000000007</v>
      </c>
      <c r="AN41" s="188">
        <f t="shared" si="42"/>
        <v>3.4914666666666663E-2</v>
      </c>
      <c r="AO41" s="74">
        <f t="shared" si="24"/>
        <v>0.47774091148989906</v>
      </c>
      <c r="AP41" s="73">
        <f t="shared" si="43"/>
        <v>4.1223283689164364E-2</v>
      </c>
      <c r="AQ41" s="206">
        <f t="shared" si="44"/>
        <v>8.8630059931703378E-2</v>
      </c>
      <c r="AR41" s="206">
        <f t="shared" si="45"/>
        <v>1.6586782538474829E-2</v>
      </c>
      <c r="AS41" s="71">
        <f t="shared" si="46"/>
        <v>3.9600000000000003E-2</v>
      </c>
      <c r="AT41" s="74">
        <f t="shared" si="47"/>
        <v>1.6499999999999998E-5</v>
      </c>
      <c r="AU41" s="73">
        <f t="shared" si="26"/>
        <v>1.8513425326973534</v>
      </c>
      <c r="AV41" s="71">
        <f t="shared" si="27"/>
        <v>22.666666666666668</v>
      </c>
      <c r="AW41" s="74">
        <f t="shared" si="28"/>
        <v>92.44905033829022</v>
      </c>
    </row>
    <row r="42" spans="17:49" x14ac:dyDescent="0.35">
      <c r="Q42">
        <v>35</v>
      </c>
      <c r="R42" s="73">
        <f t="shared" si="0"/>
        <v>50</v>
      </c>
      <c r="S42" s="71">
        <f t="shared" si="32"/>
        <v>0.46666666666666667</v>
      </c>
      <c r="T42" s="71">
        <f t="shared" si="2"/>
        <v>5</v>
      </c>
      <c r="U42" s="74">
        <f t="shared" si="33"/>
        <v>4.6666666666666661</v>
      </c>
      <c r="V42" s="73">
        <f>IF(Variable_Management!$B$20=3,2,IF((S42*R42/T42)&lt;((T42*(1-(T42/R42)))/(2*Lm*Fsw)),1,2))</f>
        <v>2</v>
      </c>
      <c r="W42" s="71">
        <f t="shared" si="34"/>
        <v>0.9</v>
      </c>
      <c r="X42" s="74">
        <f t="shared" si="35"/>
        <v>9.9999999999999978E-2</v>
      </c>
      <c r="Y42" s="73">
        <f t="shared" si="36"/>
        <v>0.85227272727272718</v>
      </c>
      <c r="Z42" s="71">
        <f t="shared" si="30"/>
        <v>5.0928030303030294</v>
      </c>
      <c r="AA42" s="71">
        <f t="shared" si="31"/>
        <v>4.6731476021252361</v>
      </c>
      <c r="AB42" s="71">
        <v>0</v>
      </c>
      <c r="AC42" s="71">
        <f t="shared" si="37"/>
        <v>9.3904726598370028E-2</v>
      </c>
      <c r="AD42" s="74">
        <f t="shared" si="16"/>
        <v>9.3904726598370028E-2</v>
      </c>
      <c r="AE42" s="73">
        <f t="shared" si="29"/>
        <v>4.1999999999999993</v>
      </c>
      <c r="AF42" s="71">
        <f t="shared" si="17"/>
        <v>4.433337079461019</v>
      </c>
      <c r="AG42" s="71">
        <f t="shared" si="38"/>
        <v>0.17295940340909083</v>
      </c>
      <c r="AH42" s="71">
        <f t="shared" si="39"/>
        <v>0.96319045911047352</v>
      </c>
      <c r="AI42" s="74">
        <f t="shared" si="19"/>
        <v>1.1361498625195643</v>
      </c>
      <c r="AJ42" s="73">
        <f t="shared" si="20"/>
        <v>0.46666666666666651</v>
      </c>
      <c r="AK42" s="71">
        <f t="shared" si="40"/>
        <v>1.4777790264870063</v>
      </c>
      <c r="AL42" s="71">
        <f t="shared" si="41"/>
        <v>1.9217711489898984E-2</v>
      </c>
      <c r="AM42" s="71">
        <f t="shared" si="48"/>
        <v>0.42468800000000007</v>
      </c>
      <c r="AN42" s="188">
        <f t="shared" si="42"/>
        <v>3.5853333333333327E-2</v>
      </c>
      <c r="AO42" s="74">
        <f t="shared" si="24"/>
        <v>0.47975904482323239</v>
      </c>
      <c r="AP42" s="73">
        <f t="shared" si="43"/>
        <v>4.3676617022497685E-2</v>
      </c>
      <c r="AQ42" s="206">
        <f t="shared" si="44"/>
        <v>9.3904726598370028E-2</v>
      </c>
      <c r="AR42" s="206">
        <f t="shared" si="45"/>
        <v>1.6586782538474829E-2</v>
      </c>
      <c r="AS42" s="71">
        <f t="shared" si="46"/>
        <v>3.9600000000000003E-2</v>
      </c>
      <c r="AT42" s="74">
        <f t="shared" si="47"/>
        <v>1.6499999999999998E-5</v>
      </c>
      <c r="AU42" s="73">
        <f t="shared" si="26"/>
        <v>1.9035982601005097</v>
      </c>
      <c r="AV42" s="71">
        <f t="shared" si="27"/>
        <v>23.333333333333332</v>
      </c>
      <c r="AW42" s="74">
        <f t="shared" si="28"/>
        <v>92.457093077845528</v>
      </c>
    </row>
    <row r="43" spans="17:49" x14ac:dyDescent="0.35">
      <c r="Q43">
        <v>36</v>
      </c>
      <c r="R43" s="73">
        <f t="shared" si="0"/>
        <v>50</v>
      </c>
      <c r="S43" s="71">
        <f t="shared" si="32"/>
        <v>0.48000000000000004</v>
      </c>
      <c r="T43" s="71">
        <f t="shared" si="2"/>
        <v>5</v>
      </c>
      <c r="U43" s="74">
        <f t="shared" si="33"/>
        <v>4.8000000000000007</v>
      </c>
      <c r="V43" s="73">
        <f>IF(Variable_Management!$B$20=3,2,IF((S43*R43/T43)&lt;((T43*(1-(T43/R43)))/(2*Lm*Fsw)),1,2))</f>
        <v>2</v>
      </c>
      <c r="W43" s="71">
        <f t="shared" si="34"/>
        <v>0.9</v>
      </c>
      <c r="X43" s="74">
        <f t="shared" si="35"/>
        <v>9.9999999999999978E-2</v>
      </c>
      <c r="Y43" s="73">
        <f t="shared" si="36"/>
        <v>0.85227272727272718</v>
      </c>
      <c r="Z43" s="71">
        <f t="shared" si="30"/>
        <v>5.226136363636364</v>
      </c>
      <c r="AA43" s="71">
        <f t="shared" si="31"/>
        <v>4.8063011488535636</v>
      </c>
      <c r="AB43" s="71">
        <v>0</v>
      </c>
      <c r="AC43" s="71">
        <f t="shared" si="37"/>
        <v>9.9332282153925672E-2</v>
      </c>
      <c r="AD43" s="74">
        <f t="shared" si="16"/>
        <v>9.9332282153925672E-2</v>
      </c>
      <c r="AE43" s="73">
        <f t="shared" si="29"/>
        <v>4.3200000000000012</v>
      </c>
      <c r="AF43" s="71">
        <f t="shared" si="17"/>
        <v>4.5596576253183709</v>
      </c>
      <c r="AG43" s="71">
        <f t="shared" si="38"/>
        <v>0.18295620340909091</v>
      </c>
      <c r="AH43" s="71">
        <f t="shared" si="39"/>
        <v>0.99071018651363008</v>
      </c>
      <c r="AI43" s="74">
        <f t="shared" si="19"/>
        <v>1.1736663899227211</v>
      </c>
      <c r="AJ43" s="73">
        <f t="shared" si="20"/>
        <v>0.48</v>
      </c>
      <c r="AK43" s="71">
        <f t="shared" si="40"/>
        <v>1.5198858751061235</v>
      </c>
      <c r="AL43" s="71">
        <f t="shared" si="41"/>
        <v>2.0328467045454542E-2</v>
      </c>
      <c r="AM43" s="71">
        <f t="shared" si="48"/>
        <v>0.42468800000000007</v>
      </c>
      <c r="AN43" s="188">
        <f t="shared" si="42"/>
        <v>3.6792000000000005E-2</v>
      </c>
      <c r="AO43" s="74">
        <f t="shared" si="24"/>
        <v>0.4818084670454546</v>
      </c>
      <c r="AP43" s="73">
        <f t="shared" si="43"/>
        <v>4.6201061466942174E-2</v>
      </c>
      <c r="AQ43" s="206">
        <f t="shared" si="44"/>
        <v>9.9332282153925672E-2</v>
      </c>
      <c r="AR43" s="206">
        <f t="shared" si="45"/>
        <v>1.6586782538474829E-2</v>
      </c>
      <c r="AS43" s="71">
        <f t="shared" si="46"/>
        <v>3.9600000000000003E-2</v>
      </c>
      <c r="AT43" s="74">
        <f t="shared" si="47"/>
        <v>1.6499999999999998E-5</v>
      </c>
      <c r="AU43" s="73">
        <f t="shared" si="26"/>
        <v>1.9565437652814446</v>
      </c>
      <c r="AV43" s="71">
        <f t="shared" si="27"/>
        <v>24.000000000000004</v>
      </c>
      <c r="AW43" s="74">
        <f t="shared" si="28"/>
        <v>92.462233096309035</v>
      </c>
    </row>
    <row r="44" spans="17:49" x14ac:dyDescent="0.35">
      <c r="Q44">
        <v>37</v>
      </c>
      <c r="R44" s="73">
        <f t="shared" si="0"/>
        <v>50</v>
      </c>
      <c r="S44" s="71">
        <f t="shared" si="32"/>
        <v>0.49333333333333335</v>
      </c>
      <c r="T44" s="71">
        <f t="shared" si="2"/>
        <v>5</v>
      </c>
      <c r="U44" s="74">
        <f t="shared" si="33"/>
        <v>4.9333333333333336</v>
      </c>
      <c r="V44" s="73">
        <f>IF(Variable_Management!$B$20=3,2,IF((S44*R44/T44)&lt;((T44*(1-(T44/R44)))/(2*Lm*Fsw)),1,2))</f>
        <v>2</v>
      </c>
      <c r="W44" s="71">
        <f t="shared" si="34"/>
        <v>0.9</v>
      </c>
      <c r="X44" s="74">
        <f t="shared" si="35"/>
        <v>9.9999999999999978E-2</v>
      </c>
      <c r="Y44" s="73">
        <f t="shared" si="36"/>
        <v>0.85227272727272718</v>
      </c>
      <c r="Z44" s="71">
        <f t="shared" si="30"/>
        <v>5.3594696969696969</v>
      </c>
      <c r="AA44" s="71">
        <f t="shared" si="31"/>
        <v>4.9394643951797912</v>
      </c>
      <c r="AB44" s="71">
        <v>0</v>
      </c>
      <c r="AC44" s="71">
        <f t="shared" si="37"/>
        <v>0.1049127265983701</v>
      </c>
      <c r="AD44" s="74">
        <f t="shared" si="16"/>
        <v>0.1049127265983701</v>
      </c>
      <c r="AE44" s="73">
        <f t="shared" si="29"/>
        <v>4.4400000000000004</v>
      </c>
      <c r="AF44" s="71">
        <f t="shared" si="17"/>
        <v>4.6859873730222494</v>
      </c>
      <c r="AG44" s="71">
        <f t="shared" si="38"/>
        <v>0.19323460340909088</v>
      </c>
      <c r="AH44" s="71">
        <f t="shared" si="39"/>
        <v>1.0182299139167865</v>
      </c>
      <c r="AI44" s="74">
        <f t="shared" si="19"/>
        <v>1.2114645173258773</v>
      </c>
      <c r="AJ44" s="73">
        <f t="shared" si="20"/>
        <v>0.49333333333333323</v>
      </c>
      <c r="AK44" s="71">
        <f t="shared" si="40"/>
        <v>1.5619957910074165</v>
      </c>
      <c r="AL44" s="71">
        <f t="shared" si="41"/>
        <v>2.1470511489898984E-2</v>
      </c>
      <c r="AM44" s="71">
        <f t="shared" si="48"/>
        <v>0.42468800000000007</v>
      </c>
      <c r="AN44" s="188">
        <f t="shared" si="42"/>
        <v>3.7730666666666669E-2</v>
      </c>
      <c r="AO44" s="74">
        <f t="shared" si="24"/>
        <v>0.48388917815656574</v>
      </c>
      <c r="AP44" s="73">
        <f t="shared" si="43"/>
        <v>4.8796617022497719E-2</v>
      </c>
      <c r="AQ44" s="206">
        <f t="shared" si="44"/>
        <v>0.1049127265983701</v>
      </c>
      <c r="AR44" s="206">
        <f t="shared" si="45"/>
        <v>1.6586782538474829E-2</v>
      </c>
      <c r="AS44" s="71">
        <f t="shared" si="46"/>
        <v>3.9600000000000003E-2</v>
      </c>
      <c r="AT44" s="74">
        <f t="shared" si="47"/>
        <v>1.6499999999999998E-5</v>
      </c>
      <c r="AU44" s="73">
        <f t="shared" si="26"/>
        <v>2.0101790482401558</v>
      </c>
      <c r="AV44" s="71">
        <f t="shared" si="27"/>
        <v>24.666666666666668</v>
      </c>
      <c r="AW44" s="74">
        <f t="shared" si="28"/>
        <v>92.464704899062028</v>
      </c>
    </row>
    <row r="45" spans="17:49" x14ac:dyDescent="0.35">
      <c r="Q45">
        <v>38</v>
      </c>
      <c r="R45" s="73">
        <f t="shared" si="0"/>
        <v>50</v>
      </c>
      <c r="S45" s="71">
        <f t="shared" si="32"/>
        <v>0.50666666666666671</v>
      </c>
      <c r="T45" s="71">
        <f t="shared" si="2"/>
        <v>5</v>
      </c>
      <c r="U45" s="74">
        <f t="shared" si="33"/>
        <v>5.0666666666666673</v>
      </c>
      <c r="V45" s="73">
        <f>IF(Variable_Management!$B$20=3,2,IF((S45*R45/T45)&lt;((T45*(1-(T45/R45)))/(2*Lm*Fsw)),1,2))</f>
        <v>2</v>
      </c>
      <c r="W45" s="71">
        <f t="shared" si="34"/>
        <v>0.9</v>
      </c>
      <c r="X45" s="74">
        <f t="shared" si="35"/>
        <v>9.9999999999999978E-2</v>
      </c>
      <c r="Y45" s="73">
        <f t="shared" si="36"/>
        <v>0.85227272727272718</v>
      </c>
      <c r="Z45" s="71">
        <f t="shared" si="30"/>
        <v>5.4928030303030306</v>
      </c>
      <c r="AA45" s="71">
        <f t="shared" si="31"/>
        <v>5.0726365772231494</v>
      </c>
      <c r="AB45" s="71">
        <v>0</v>
      </c>
      <c r="AC45" s="71">
        <f t="shared" si="37"/>
        <v>0.11064605993170341</v>
      </c>
      <c r="AD45" s="74">
        <f t="shared" si="16"/>
        <v>0.11064605993170341</v>
      </c>
      <c r="AE45" s="73">
        <f t="shared" si="29"/>
        <v>4.5600000000000005</v>
      </c>
      <c r="AF45" s="71">
        <f t="shared" si="17"/>
        <v>4.8123255978917276</v>
      </c>
      <c r="AG45" s="71">
        <f t="shared" si="38"/>
        <v>0.203794603409091</v>
      </c>
      <c r="AH45" s="71">
        <f t="shared" si="39"/>
        <v>1.045749641319943</v>
      </c>
      <c r="AI45" s="74">
        <f t="shared" si="19"/>
        <v>1.2495442447290339</v>
      </c>
      <c r="AJ45" s="73">
        <f t="shared" si="20"/>
        <v>0.5066666666666666</v>
      </c>
      <c r="AK45" s="71">
        <f t="shared" si="40"/>
        <v>1.6041085326305755</v>
      </c>
      <c r="AL45" s="71">
        <f t="shared" si="41"/>
        <v>2.2643844823232322E-2</v>
      </c>
      <c r="AM45" s="71">
        <f t="shared" si="48"/>
        <v>0.42468800000000007</v>
      </c>
      <c r="AN45" s="188">
        <f t="shared" si="42"/>
        <v>3.866933333333334E-2</v>
      </c>
      <c r="AO45" s="74">
        <f t="shared" si="24"/>
        <v>0.48600117815656574</v>
      </c>
      <c r="AP45" s="73">
        <f t="shared" si="43"/>
        <v>5.1463283689164377E-2</v>
      </c>
      <c r="AQ45" s="206">
        <f t="shared" si="44"/>
        <v>0.11064605993170341</v>
      </c>
      <c r="AR45" s="206">
        <f t="shared" si="45"/>
        <v>1.6586782538474829E-2</v>
      </c>
      <c r="AS45" s="71">
        <f t="shared" si="46"/>
        <v>3.9600000000000003E-2</v>
      </c>
      <c r="AT45" s="74">
        <f t="shared" si="47"/>
        <v>1.6499999999999998E-5</v>
      </c>
      <c r="AU45" s="73">
        <f t="shared" si="26"/>
        <v>2.0645041089766458</v>
      </c>
      <c r="AV45" s="71">
        <f t="shared" si="27"/>
        <v>25.333333333333336</v>
      </c>
      <c r="AW45" s="74">
        <f t="shared" si="28"/>
        <v>92.464718745325243</v>
      </c>
    </row>
    <row r="46" spans="17:49" x14ac:dyDescent="0.35">
      <c r="Q46">
        <v>39</v>
      </c>
      <c r="R46" s="73">
        <f t="shared" si="0"/>
        <v>50</v>
      </c>
      <c r="S46" s="71">
        <f t="shared" si="32"/>
        <v>0.52</v>
      </c>
      <c r="T46" s="71">
        <f t="shared" si="2"/>
        <v>5</v>
      </c>
      <c r="U46" s="74">
        <f t="shared" si="33"/>
        <v>5.2</v>
      </c>
      <c r="V46" s="73">
        <f>IF(Variable_Management!$B$20=3,2,IF((S46*R46/T46)&lt;((T46*(1-(T46/R46)))/(2*Lm*Fsw)),1,2))</f>
        <v>2</v>
      </c>
      <c r="W46" s="71">
        <f t="shared" si="34"/>
        <v>0.9</v>
      </c>
      <c r="X46" s="74">
        <f t="shared" si="35"/>
        <v>9.9999999999999978E-2</v>
      </c>
      <c r="Y46" s="73">
        <f t="shared" si="36"/>
        <v>0.85227272727272718</v>
      </c>
      <c r="Z46" s="71">
        <f t="shared" si="30"/>
        <v>5.6261363636363635</v>
      </c>
      <c r="AA46" s="71">
        <f t="shared" si="31"/>
        <v>5.205817009218733</v>
      </c>
      <c r="AB46" s="71">
        <v>0</v>
      </c>
      <c r="AC46" s="71">
        <f t="shared" si="37"/>
        <v>0.11653228215392562</v>
      </c>
      <c r="AD46" s="74">
        <f t="shared" si="16"/>
        <v>0.11653228215392562</v>
      </c>
      <c r="AE46" s="73">
        <f t="shared" si="29"/>
        <v>4.6800000000000006</v>
      </c>
      <c r="AF46" s="71">
        <f t="shared" si="17"/>
        <v>4.9386716493530889</v>
      </c>
      <c r="AG46" s="71">
        <f t="shared" si="38"/>
        <v>0.21463620340909087</v>
      </c>
      <c r="AH46" s="71">
        <f t="shared" si="39"/>
        <v>1.0732693687230992</v>
      </c>
      <c r="AI46" s="74">
        <f t="shared" si="19"/>
        <v>1.2879055721321901</v>
      </c>
      <c r="AJ46" s="73">
        <f t="shared" si="20"/>
        <v>0.51999999999999991</v>
      </c>
      <c r="AK46" s="71">
        <f t="shared" si="40"/>
        <v>1.6462238831176963</v>
      </c>
      <c r="AL46" s="71">
        <f t="shared" si="41"/>
        <v>2.3848467045454538E-2</v>
      </c>
      <c r="AM46" s="71">
        <f t="shared" si="48"/>
        <v>0.42468800000000007</v>
      </c>
      <c r="AN46" s="188">
        <f t="shared" si="42"/>
        <v>3.9607999999999997E-2</v>
      </c>
      <c r="AO46" s="74">
        <f t="shared" si="24"/>
        <v>0.48814446704545456</v>
      </c>
      <c r="AP46" s="73">
        <f t="shared" si="43"/>
        <v>5.4201061466942153E-2</v>
      </c>
      <c r="AQ46" s="206">
        <f t="shared" si="44"/>
        <v>0.11653228215392562</v>
      </c>
      <c r="AR46" s="206">
        <f t="shared" si="45"/>
        <v>1.6586782538474829E-2</v>
      </c>
      <c r="AS46" s="71">
        <f t="shared" si="46"/>
        <v>3.9600000000000003E-2</v>
      </c>
      <c r="AT46" s="74">
        <f t="shared" si="47"/>
        <v>1.6499999999999998E-5</v>
      </c>
      <c r="AU46" s="73">
        <f t="shared" si="26"/>
        <v>2.1195189474909131</v>
      </c>
      <c r="AV46" s="71">
        <f t="shared" si="27"/>
        <v>26</v>
      </c>
      <c r="AW46" s="74">
        <f t="shared" si="28"/>
        <v>92.462463701997166</v>
      </c>
    </row>
    <row r="47" spans="17:49" x14ac:dyDescent="0.35">
      <c r="Q47">
        <v>40</v>
      </c>
      <c r="R47" s="73">
        <f t="shared" si="0"/>
        <v>50</v>
      </c>
      <c r="S47" s="71">
        <f t="shared" si="32"/>
        <v>0.53333333333333333</v>
      </c>
      <c r="T47" s="71">
        <f t="shared" si="2"/>
        <v>5</v>
      </c>
      <c r="U47" s="74">
        <f t="shared" si="33"/>
        <v>5.3333333333333339</v>
      </c>
      <c r="V47" s="73">
        <f>IF(Variable_Management!$B$20=3,2,IF((S47*R47/T47)&lt;((T47*(1-(T47/R47)))/(2*Lm*Fsw)),1,2))</f>
        <v>2</v>
      </c>
      <c r="W47" s="71">
        <f t="shared" si="34"/>
        <v>0.9</v>
      </c>
      <c r="X47" s="74">
        <f t="shared" si="35"/>
        <v>9.9999999999999978E-2</v>
      </c>
      <c r="Y47" s="73">
        <f t="shared" si="36"/>
        <v>0.85227272727272718</v>
      </c>
      <c r="Z47" s="71">
        <f t="shared" si="30"/>
        <v>5.7594696969696972</v>
      </c>
      <c r="AA47" s="71">
        <f t="shared" si="31"/>
        <v>5.3390050737862689</v>
      </c>
      <c r="AB47" s="71">
        <v>0</v>
      </c>
      <c r="AC47" s="71">
        <f t="shared" si="37"/>
        <v>0.12257139326503674</v>
      </c>
      <c r="AD47" s="74">
        <f t="shared" si="16"/>
        <v>0.12257139326503674</v>
      </c>
      <c r="AE47" s="73">
        <f t="shared" si="29"/>
        <v>4.8000000000000007</v>
      </c>
      <c r="AF47" s="71">
        <f t="shared" si="17"/>
        <v>5.0650249417079847</v>
      </c>
      <c r="AG47" s="71">
        <f t="shared" si="38"/>
        <v>0.22575940340909098</v>
      </c>
      <c r="AH47" s="71">
        <f t="shared" si="39"/>
        <v>1.1007890961262556</v>
      </c>
      <c r="AI47" s="74">
        <f t="shared" si="19"/>
        <v>1.3265484995353467</v>
      </c>
      <c r="AJ47" s="73">
        <f t="shared" si="20"/>
        <v>0.53333333333333333</v>
      </c>
      <c r="AK47" s="71">
        <f t="shared" si="40"/>
        <v>1.6883416472359947</v>
      </c>
      <c r="AL47" s="71">
        <f t="shared" si="41"/>
        <v>2.5084378156565657E-2</v>
      </c>
      <c r="AM47" s="71">
        <f t="shared" si="48"/>
        <v>0.42468800000000007</v>
      </c>
      <c r="AN47" s="188">
        <f t="shared" si="42"/>
        <v>4.0546666666666668E-2</v>
      </c>
      <c r="AO47" s="74">
        <f t="shared" si="24"/>
        <v>0.49031904482323241</v>
      </c>
      <c r="AP47" s="73">
        <f t="shared" si="43"/>
        <v>5.7009950355831049E-2</v>
      </c>
      <c r="AQ47" s="206">
        <f t="shared" si="44"/>
        <v>0.12257139326503674</v>
      </c>
      <c r="AR47" s="206">
        <f t="shared" si="45"/>
        <v>1.6586782538474829E-2</v>
      </c>
      <c r="AS47" s="71">
        <f t="shared" si="46"/>
        <v>3.9600000000000003E-2</v>
      </c>
      <c r="AT47" s="74">
        <f t="shared" si="47"/>
        <v>1.6499999999999998E-5</v>
      </c>
      <c r="AU47" s="73">
        <f t="shared" si="26"/>
        <v>2.1752235637829584</v>
      </c>
      <c r="AV47" s="71">
        <f t="shared" si="27"/>
        <v>26.666666666666668</v>
      </c>
      <c r="AW47" s="74">
        <f t="shared" si="28"/>
        <v>92.458110247273311</v>
      </c>
    </row>
    <row r="48" spans="17:49" x14ac:dyDescent="0.35">
      <c r="Q48">
        <v>41</v>
      </c>
      <c r="R48" s="73">
        <f t="shared" si="0"/>
        <v>50</v>
      </c>
      <c r="S48" s="71">
        <f t="shared" si="32"/>
        <v>0.54666666666666675</v>
      </c>
      <c r="T48" s="71">
        <f t="shared" si="2"/>
        <v>5</v>
      </c>
      <c r="U48" s="74">
        <f t="shared" si="33"/>
        <v>5.4666666666666668</v>
      </c>
      <c r="V48" s="73">
        <f>IF(Variable_Management!$B$20=3,2,IF((S48*R48/T48)&lt;((T48*(1-(T48/R48)))/(2*Lm*Fsw)),1,2))</f>
        <v>2</v>
      </c>
      <c r="W48" s="71">
        <f t="shared" si="34"/>
        <v>0.9</v>
      </c>
      <c r="X48" s="74">
        <f t="shared" si="35"/>
        <v>9.9999999999999978E-2</v>
      </c>
      <c r="Y48" s="73">
        <f t="shared" si="36"/>
        <v>0.85227272727272718</v>
      </c>
      <c r="Z48" s="71">
        <f t="shared" si="30"/>
        <v>5.8928030303030301</v>
      </c>
      <c r="AA48" s="71">
        <f t="shared" si="31"/>
        <v>5.4722002136175094</v>
      </c>
      <c r="AB48" s="71">
        <v>0</v>
      </c>
      <c r="AC48" s="71">
        <f t="shared" si="37"/>
        <v>0.12876339326503672</v>
      </c>
      <c r="AD48" s="74">
        <f t="shared" si="16"/>
        <v>0.12876339326503672</v>
      </c>
      <c r="AE48" s="73">
        <f t="shared" si="29"/>
        <v>4.92</v>
      </c>
      <c r="AF48" s="71">
        <f t="shared" si="17"/>
        <v>5.1913849462473847</v>
      </c>
      <c r="AG48" s="71">
        <f t="shared" si="38"/>
        <v>0.23716420340909089</v>
      </c>
      <c r="AH48" s="71">
        <f t="shared" si="39"/>
        <v>1.1283088235294119</v>
      </c>
      <c r="AI48" s="74">
        <f t="shared" si="19"/>
        <v>1.3654730269385027</v>
      </c>
      <c r="AJ48" s="73">
        <f t="shared" si="20"/>
        <v>0.54666666666666652</v>
      </c>
      <c r="AK48" s="71">
        <f t="shared" si="40"/>
        <v>1.7304616487491282</v>
      </c>
      <c r="AL48" s="71">
        <f t="shared" si="41"/>
        <v>2.6351578156565653E-2</v>
      </c>
      <c r="AM48" s="71">
        <f t="shared" si="48"/>
        <v>0.42468800000000007</v>
      </c>
      <c r="AN48" s="188">
        <f t="shared" si="42"/>
        <v>4.1485333333333332E-2</v>
      </c>
      <c r="AO48" s="74">
        <f t="shared" si="24"/>
        <v>0.49252491148989902</v>
      </c>
      <c r="AP48" s="73">
        <f t="shared" si="43"/>
        <v>5.9889950355831036E-2</v>
      </c>
      <c r="AQ48" s="206">
        <f t="shared" si="44"/>
        <v>0.12876339326503672</v>
      </c>
      <c r="AR48" s="206">
        <f t="shared" si="45"/>
        <v>1.6586782538474829E-2</v>
      </c>
      <c r="AS48" s="71">
        <f t="shared" si="46"/>
        <v>3.9600000000000003E-2</v>
      </c>
      <c r="AT48" s="74">
        <f t="shared" si="47"/>
        <v>1.6499999999999998E-5</v>
      </c>
      <c r="AU48" s="73">
        <f t="shared" si="26"/>
        <v>2.2316179578527811</v>
      </c>
      <c r="AV48" s="71">
        <f t="shared" si="27"/>
        <v>27.333333333333336</v>
      </c>
      <c r="AW48" s="74">
        <f t="shared" si="28"/>
        <v>92.451812499626655</v>
      </c>
    </row>
    <row r="49" spans="17:49" x14ac:dyDescent="0.35">
      <c r="Q49">
        <v>42</v>
      </c>
      <c r="R49" s="73">
        <f t="shared" si="0"/>
        <v>50</v>
      </c>
      <c r="S49" s="71">
        <f t="shared" si="32"/>
        <v>0.56000000000000005</v>
      </c>
      <c r="T49" s="71">
        <f t="shared" si="2"/>
        <v>5</v>
      </c>
      <c r="U49" s="74">
        <f t="shared" si="33"/>
        <v>5.6000000000000005</v>
      </c>
      <c r="V49" s="73">
        <f>IF(Variable_Management!$B$20=3,2,IF((S49*R49/T49)&lt;((T49*(1-(T49/R49)))/(2*Lm*Fsw)),1,2))</f>
        <v>2</v>
      </c>
      <c r="W49" s="71">
        <f t="shared" si="34"/>
        <v>0.9</v>
      </c>
      <c r="X49" s="74">
        <f t="shared" si="35"/>
        <v>9.9999999999999978E-2</v>
      </c>
      <c r="Y49" s="73">
        <f t="shared" si="36"/>
        <v>0.85227272727272718</v>
      </c>
      <c r="Z49" s="71">
        <f t="shared" si="30"/>
        <v>6.0261363636363638</v>
      </c>
      <c r="AA49" s="71">
        <f t="shared" si="31"/>
        <v>5.6054019243468245</v>
      </c>
      <c r="AB49" s="71">
        <v>0</v>
      </c>
      <c r="AC49" s="71">
        <f t="shared" si="37"/>
        <v>0.13510828215392565</v>
      </c>
      <c r="AD49" s="74">
        <f t="shared" si="16"/>
        <v>0.13510828215392565</v>
      </c>
      <c r="AE49" s="73">
        <f t="shared" si="29"/>
        <v>5.0400000000000009</v>
      </c>
      <c r="AF49" s="71">
        <f t="shared" si="17"/>
        <v>5.3177511844880421</v>
      </c>
      <c r="AG49" s="71">
        <f t="shared" si="38"/>
        <v>0.24885060340909099</v>
      </c>
      <c r="AH49" s="71">
        <f t="shared" si="39"/>
        <v>1.1558285509325683</v>
      </c>
      <c r="AI49" s="74">
        <f t="shared" si="19"/>
        <v>1.4046791543416592</v>
      </c>
      <c r="AJ49" s="73">
        <f t="shared" si="20"/>
        <v>0.55999999999999994</v>
      </c>
      <c r="AK49" s="71">
        <f t="shared" si="40"/>
        <v>1.7725837281626804</v>
      </c>
      <c r="AL49" s="71">
        <f t="shared" si="41"/>
        <v>2.7650067045454547E-2</v>
      </c>
      <c r="AM49" s="71">
        <f t="shared" si="48"/>
        <v>0.42468800000000007</v>
      </c>
      <c r="AN49" s="188">
        <f t="shared" si="42"/>
        <v>4.2424000000000003E-2</v>
      </c>
      <c r="AO49" s="74">
        <f t="shared" si="24"/>
        <v>0.49476206704545461</v>
      </c>
      <c r="AP49" s="73">
        <f t="shared" si="43"/>
        <v>6.2841061466942169E-2</v>
      </c>
      <c r="AQ49" s="206">
        <f t="shared" si="44"/>
        <v>0.13510828215392565</v>
      </c>
      <c r="AR49" s="206">
        <f t="shared" si="45"/>
        <v>1.6586782538474829E-2</v>
      </c>
      <c r="AS49" s="71">
        <f t="shared" si="46"/>
        <v>3.9600000000000003E-2</v>
      </c>
      <c r="AT49" s="74">
        <f t="shared" si="47"/>
        <v>1.6499999999999998E-5</v>
      </c>
      <c r="AU49" s="73">
        <f t="shared" si="26"/>
        <v>2.2887021297003822</v>
      </c>
      <c r="AV49" s="71">
        <f t="shared" si="27"/>
        <v>28.000000000000004</v>
      </c>
      <c r="AW49" s="74">
        <f t="shared" si="28"/>
        <v>92.443710133567805</v>
      </c>
    </row>
    <row r="50" spans="17:49" x14ac:dyDescent="0.35">
      <c r="Q50">
        <v>43</v>
      </c>
      <c r="R50" s="73">
        <f t="shared" si="0"/>
        <v>50</v>
      </c>
      <c r="S50" s="71">
        <f t="shared" si="32"/>
        <v>0.57333333333333336</v>
      </c>
      <c r="T50" s="71">
        <f t="shared" si="2"/>
        <v>5</v>
      </c>
      <c r="U50" s="74">
        <f t="shared" si="33"/>
        <v>5.7333333333333334</v>
      </c>
      <c r="V50" s="73">
        <f>IF(Variable_Management!$B$20=3,2,IF((S50*R50/T50)&lt;((T50*(1-(T50/R50)))/(2*Lm*Fsw)),1,2))</f>
        <v>2</v>
      </c>
      <c r="W50" s="71">
        <f t="shared" si="34"/>
        <v>0.9</v>
      </c>
      <c r="X50" s="74">
        <f t="shared" si="35"/>
        <v>9.9999999999999978E-2</v>
      </c>
      <c r="Y50" s="73">
        <f t="shared" si="36"/>
        <v>0.85227272727272718</v>
      </c>
      <c r="Z50" s="71">
        <f t="shared" si="30"/>
        <v>6.1594696969696967</v>
      </c>
      <c r="AA50" s="71">
        <f t="shared" si="31"/>
        <v>5.7386097484131282</v>
      </c>
      <c r="AB50" s="71">
        <v>0</v>
      </c>
      <c r="AC50" s="71">
        <f t="shared" si="37"/>
        <v>0.14160605993170342</v>
      </c>
      <c r="AD50" s="74">
        <f t="shared" si="16"/>
        <v>0.14160605993170342</v>
      </c>
      <c r="AE50" s="73">
        <f t="shared" si="29"/>
        <v>5.16</v>
      </c>
      <c r="AF50" s="71">
        <f t="shared" si="17"/>
        <v>5.4441232223493952</v>
      </c>
      <c r="AG50" s="71">
        <f t="shared" si="38"/>
        <v>0.26081860340909085</v>
      </c>
      <c r="AH50" s="71">
        <f t="shared" si="39"/>
        <v>1.1833482783357248</v>
      </c>
      <c r="AI50" s="74">
        <f t="shared" si="19"/>
        <v>1.4441668817448157</v>
      </c>
      <c r="AJ50" s="73">
        <f t="shared" si="20"/>
        <v>0.57333333333333325</v>
      </c>
      <c r="AK50" s="71">
        <f t="shared" si="40"/>
        <v>1.8147077407831316</v>
      </c>
      <c r="AL50" s="71">
        <f t="shared" si="41"/>
        <v>2.8979844823232317E-2</v>
      </c>
      <c r="AM50" s="71">
        <f t="shared" si="48"/>
        <v>0.42468800000000007</v>
      </c>
      <c r="AN50" s="188">
        <f t="shared" si="42"/>
        <v>4.3362666666666667E-2</v>
      </c>
      <c r="AO50" s="74">
        <f t="shared" si="24"/>
        <v>0.49703051148989902</v>
      </c>
      <c r="AP50" s="73">
        <f t="shared" si="43"/>
        <v>6.5863283689164373E-2</v>
      </c>
      <c r="AQ50" s="206">
        <f t="shared" si="44"/>
        <v>0.14160605993170342</v>
      </c>
      <c r="AR50" s="206">
        <f t="shared" si="45"/>
        <v>1.6586782538474829E-2</v>
      </c>
      <c r="AS50" s="71">
        <f t="shared" si="46"/>
        <v>3.9600000000000003E-2</v>
      </c>
      <c r="AT50" s="74">
        <f t="shared" si="47"/>
        <v>1.6499999999999998E-5</v>
      </c>
      <c r="AU50" s="73">
        <f t="shared" si="26"/>
        <v>2.3464760793257606</v>
      </c>
      <c r="AV50" s="71">
        <f t="shared" si="27"/>
        <v>28.666666666666668</v>
      </c>
      <c r="AW50" s="74">
        <f t="shared" si="28"/>
        <v>92.433930032360308</v>
      </c>
    </row>
    <row r="51" spans="17:49" x14ac:dyDescent="0.35">
      <c r="Q51">
        <v>44</v>
      </c>
      <c r="R51" s="73">
        <f t="shared" si="0"/>
        <v>50</v>
      </c>
      <c r="S51" s="71">
        <f t="shared" si="32"/>
        <v>0.58666666666666667</v>
      </c>
      <c r="T51" s="71">
        <f t="shared" si="2"/>
        <v>5</v>
      </c>
      <c r="U51" s="74">
        <f t="shared" si="33"/>
        <v>5.8666666666666663</v>
      </c>
      <c r="V51" s="73">
        <f>IF(Variable_Management!$B$20=3,2,IF((S51*R51/T51)&lt;((T51*(1-(T51/R51)))/(2*Lm*Fsw)),1,2))</f>
        <v>2</v>
      </c>
      <c r="W51" s="71">
        <f t="shared" si="34"/>
        <v>0.9</v>
      </c>
      <c r="X51" s="74">
        <f t="shared" si="35"/>
        <v>9.9999999999999978E-2</v>
      </c>
      <c r="Y51" s="73">
        <f t="shared" si="36"/>
        <v>0.85227272727272718</v>
      </c>
      <c r="Z51" s="71">
        <f t="shared" si="30"/>
        <v>6.2928030303030296</v>
      </c>
      <c r="AA51" s="71">
        <f t="shared" si="31"/>
        <v>5.8718232697560682</v>
      </c>
      <c r="AB51" s="71">
        <v>0</v>
      </c>
      <c r="AC51" s="71">
        <f t="shared" si="37"/>
        <v>0.14825672659837003</v>
      </c>
      <c r="AD51" s="74">
        <f t="shared" si="16"/>
        <v>0.14825672659837003</v>
      </c>
      <c r="AE51" s="73">
        <f t="shared" si="29"/>
        <v>5.2799999999999994</v>
      </c>
      <c r="AF51" s="71">
        <f t="shared" si="17"/>
        <v>5.570500665121938</v>
      </c>
      <c r="AG51" s="71">
        <f t="shared" si="38"/>
        <v>0.27306820340909083</v>
      </c>
      <c r="AH51" s="71">
        <f t="shared" si="39"/>
        <v>1.210868005738881</v>
      </c>
      <c r="AI51" s="74">
        <f t="shared" si="19"/>
        <v>1.4839362091479718</v>
      </c>
      <c r="AJ51" s="73">
        <f t="shared" si="20"/>
        <v>0.58666666666666645</v>
      </c>
      <c r="AK51" s="71">
        <f t="shared" si="40"/>
        <v>1.8568335550406458</v>
      </c>
      <c r="AL51" s="71">
        <f t="shared" si="41"/>
        <v>3.0340911489898974E-2</v>
      </c>
      <c r="AM51" s="71">
        <f t="shared" si="48"/>
        <v>0.42468800000000007</v>
      </c>
      <c r="AN51" s="188">
        <f t="shared" si="42"/>
        <v>4.4301333333333331E-2</v>
      </c>
      <c r="AO51" s="74">
        <f t="shared" si="24"/>
        <v>0.49933024482323241</v>
      </c>
      <c r="AP51" s="73">
        <f t="shared" si="43"/>
        <v>6.8956617022497682E-2</v>
      </c>
      <c r="AQ51" s="206">
        <f t="shared" si="44"/>
        <v>0.14825672659837003</v>
      </c>
      <c r="AR51" s="206">
        <f t="shared" si="45"/>
        <v>1.6586782538474829E-2</v>
      </c>
      <c r="AS51" s="71">
        <f t="shared" si="46"/>
        <v>3.9600000000000003E-2</v>
      </c>
      <c r="AT51" s="74">
        <f t="shared" si="47"/>
        <v>1.6499999999999998E-5</v>
      </c>
      <c r="AU51" s="73">
        <f t="shared" si="26"/>
        <v>2.4049398067289163</v>
      </c>
      <c r="AV51" s="71">
        <f t="shared" si="27"/>
        <v>29.333333333333332</v>
      </c>
      <c r="AW51" s="74">
        <f t="shared" si="28"/>
        <v>92.422587718884955</v>
      </c>
    </row>
    <row r="52" spans="17:49" x14ac:dyDescent="0.35">
      <c r="Q52">
        <v>45</v>
      </c>
      <c r="R52" s="73">
        <f t="shared" si="0"/>
        <v>50</v>
      </c>
      <c r="S52" s="71">
        <f t="shared" si="32"/>
        <v>0.60000000000000009</v>
      </c>
      <c r="T52" s="71">
        <f t="shared" si="2"/>
        <v>5</v>
      </c>
      <c r="U52" s="74">
        <f t="shared" si="33"/>
        <v>6.0000000000000009</v>
      </c>
      <c r="V52" s="73">
        <f>IF(Variable_Management!$B$20=3,2,IF((S52*R52/T52)&lt;((T52*(1-(T52/R52)))/(2*Lm*Fsw)),1,2))</f>
        <v>2</v>
      </c>
      <c r="W52" s="71">
        <f t="shared" si="34"/>
        <v>0.9</v>
      </c>
      <c r="X52" s="74">
        <f t="shared" si="35"/>
        <v>9.9999999999999978E-2</v>
      </c>
      <c r="Y52" s="73">
        <f t="shared" si="36"/>
        <v>0.85227272727272718</v>
      </c>
      <c r="Z52" s="71">
        <f t="shared" si="30"/>
        <v>6.4261363636363642</v>
      </c>
      <c r="AA52" s="71">
        <f t="shared" si="31"/>
        <v>6.0050421092171442</v>
      </c>
      <c r="AB52" s="71">
        <v>0</v>
      </c>
      <c r="AC52" s="71">
        <f t="shared" si="37"/>
        <v>0.1550602821539257</v>
      </c>
      <c r="AD52" s="74">
        <f t="shared" si="16"/>
        <v>0.1550602821539257</v>
      </c>
      <c r="AE52" s="73">
        <f t="shared" si="29"/>
        <v>5.4000000000000012</v>
      </c>
      <c r="AF52" s="71">
        <f t="shared" si="17"/>
        <v>5.6968831531043342</v>
      </c>
      <c r="AG52" s="71">
        <f t="shared" si="38"/>
        <v>0.28559940340909107</v>
      </c>
      <c r="AH52" s="71">
        <f t="shared" si="39"/>
        <v>1.2383877331420376</v>
      </c>
      <c r="AI52" s="74">
        <f t="shared" si="19"/>
        <v>1.5239871365511286</v>
      </c>
      <c r="AJ52" s="73">
        <f t="shared" si="20"/>
        <v>0.6</v>
      </c>
      <c r="AK52" s="71">
        <f t="shared" si="40"/>
        <v>1.8989610510347776</v>
      </c>
      <c r="AL52" s="71">
        <f t="shared" si="41"/>
        <v>3.1733267045454545E-2</v>
      </c>
      <c r="AM52" s="71">
        <f t="shared" si="48"/>
        <v>0.42468800000000007</v>
      </c>
      <c r="AN52" s="188">
        <f t="shared" si="42"/>
        <v>4.5240000000000002E-2</v>
      </c>
      <c r="AO52" s="74">
        <f t="shared" si="24"/>
        <v>0.50166126704545455</v>
      </c>
      <c r="AP52" s="73">
        <f t="shared" si="43"/>
        <v>7.212106146694218E-2</v>
      </c>
      <c r="AQ52" s="206">
        <f t="shared" si="44"/>
        <v>0.1550602821539257</v>
      </c>
      <c r="AR52" s="206">
        <f t="shared" si="45"/>
        <v>1.6586782538474829E-2</v>
      </c>
      <c r="AS52" s="71">
        <f t="shared" si="46"/>
        <v>3.9600000000000003E-2</v>
      </c>
      <c r="AT52" s="74">
        <f t="shared" si="47"/>
        <v>1.6499999999999998E-5</v>
      </c>
      <c r="AU52" s="73">
        <f t="shared" si="26"/>
        <v>2.4640933119098518</v>
      </c>
      <c r="AV52" s="71">
        <f t="shared" si="27"/>
        <v>30.000000000000004</v>
      </c>
      <c r="AW52" s="74">
        <f t="shared" si="28"/>
        <v>92.409788598636538</v>
      </c>
    </row>
    <row r="53" spans="17:49" x14ac:dyDescent="0.35">
      <c r="Q53">
        <v>46</v>
      </c>
      <c r="R53" s="73">
        <f t="shared" si="0"/>
        <v>50</v>
      </c>
      <c r="S53" s="71">
        <f t="shared" si="32"/>
        <v>0.6133333333333334</v>
      </c>
      <c r="T53" s="71">
        <f t="shared" si="2"/>
        <v>5</v>
      </c>
      <c r="U53" s="74">
        <f t="shared" si="33"/>
        <v>6.1333333333333346</v>
      </c>
      <c r="V53" s="73">
        <f>IF(Variable_Management!$B$20=3,2,IF((S53*R53/T53)&lt;((T53*(1-(T53/R53)))/(2*Lm*Fsw)),1,2))</f>
        <v>2</v>
      </c>
      <c r="W53" s="71">
        <f t="shared" si="34"/>
        <v>0.9</v>
      </c>
      <c r="X53" s="74">
        <f t="shared" si="35"/>
        <v>9.9999999999999978E-2</v>
      </c>
      <c r="Y53" s="73">
        <f t="shared" si="36"/>
        <v>0.85227272727272718</v>
      </c>
      <c r="Z53" s="71">
        <f t="shared" si="30"/>
        <v>6.5594696969696979</v>
      </c>
      <c r="AA53" s="71">
        <f t="shared" si="31"/>
        <v>6.1382659205388679</v>
      </c>
      <c r="AB53" s="71">
        <v>0</v>
      </c>
      <c r="AC53" s="71">
        <f t="shared" si="37"/>
        <v>0.16201672659837016</v>
      </c>
      <c r="AD53" s="74">
        <f t="shared" si="16"/>
        <v>0.16201672659837016</v>
      </c>
      <c r="AE53" s="73">
        <f t="shared" si="29"/>
        <v>5.5200000000000014</v>
      </c>
      <c r="AF53" s="71">
        <f t="shared" si="17"/>
        <v>5.8232703578078855</v>
      </c>
      <c r="AG53" s="71">
        <f t="shared" si="38"/>
        <v>0.29841220340909103</v>
      </c>
      <c r="AH53" s="71">
        <f t="shared" si="39"/>
        <v>1.2659074605451943</v>
      </c>
      <c r="AI53" s="74">
        <f t="shared" si="19"/>
        <v>1.5643196639542853</v>
      </c>
      <c r="AJ53" s="73">
        <f t="shared" si="20"/>
        <v>0.61333333333333329</v>
      </c>
      <c r="AK53" s="71">
        <f t="shared" si="40"/>
        <v>1.9410901192692949</v>
      </c>
      <c r="AL53" s="71">
        <f t="shared" si="41"/>
        <v>3.3156911489898994E-2</v>
      </c>
      <c r="AM53" s="71">
        <f t="shared" si="48"/>
        <v>0.42468800000000007</v>
      </c>
      <c r="AN53" s="188">
        <f t="shared" si="42"/>
        <v>4.6178666666666673E-2</v>
      </c>
      <c r="AO53" s="74">
        <f t="shared" si="24"/>
        <v>0.50402357815656573</v>
      </c>
      <c r="AP53" s="73">
        <f t="shared" si="43"/>
        <v>7.5356617022497741E-2</v>
      </c>
      <c r="AQ53" s="206">
        <f t="shared" si="44"/>
        <v>0.16201672659837016</v>
      </c>
      <c r="AR53" s="206">
        <f t="shared" si="45"/>
        <v>1.6586782538474829E-2</v>
      </c>
      <c r="AS53" s="71">
        <f t="shared" si="46"/>
        <v>3.9600000000000003E-2</v>
      </c>
      <c r="AT53" s="74">
        <f t="shared" si="47"/>
        <v>1.6499999999999998E-5</v>
      </c>
      <c r="AU53" s="73">
        <f t="shared" si="26"/>
        <v>2.5239365948685641</v>
      </c>
      <c r="AV53" s="71">
        <f t="shared" si="27"/>
        <v>30.666666666666671</v>
      </c>
      <c r="AW53" s="74">
        <f t="shared" si="28"/>
        <v>92.39562904301421</v>
      </c>
    </row>
    <row r="54" spans="17:49" x14ac:dyDescent="0.35">
      <c r="Q54">
        <v>47</v>
      </c>
      <c r="R54" s="73">
        <f t="shared" si="0"/>
        <v>50</v>
      </c>
      <c r="S54" s="71">
        <f t="shared" si="32"/>
        <v>0.62666666666666671</v>
      </c>
      <c r="T54" s="71">
        <f t="shared" si="2"/>
        <v>5</v>
      </c>
      <c r="U54" s="74">
        <f t="shared" si="33"/>
        <v>6.2666666666666675</v>
      </c>
      <c r="V54" s="73">
        <f>IF(Variable_Management!$B$20=3,2,IF((S54*R54/T54)&lt;((T54*(1-(T54/R54)))/(2*Lm*Fsw)),1,2))</f>
        <v>2</v>
      </c>
      <c r="W54" s="71">
        <f t="shared" si="34"/>
        <v>0.9</v>
      </c>
      <c r="X54" s="74">
        <f t="shared" si="35"/>
        <v>9.9999999999999978E-2</v>
      </c>
      <c r="Y54" s="73">
        <f t="shared" si="36"/>
        <v>0.85227272727272718</v>
      </c>
      <c r="Z54" s="71">
        <f t="shared" si="30"/>
        <v>6.6928030303030308</v>
      </c>
      <c r="AA54" s="71">
        <f t="shared" si="31"/>
        <v>6.2714943868732114</v>
      </c>
      <c r="AB54" s="71">
        <v>0</v>
      </c>
      <c r="AC54" s="71">
        <f t="shared" si="37"/>
        <v>0.16912605993170346</v>
      </c>
      <c r="AD54" s="74">
        <f t="shared" si="16"/>
        <v>0.16912605993170346</v>
      </c>
      <c r="AE54" s="73">
        <f t="shared" si="29"/>
        <v>5.6400000000000006</v>
      </c>
      <c r="AF54" s="71">
        <f t="shared" si="17"/>
        <v>5.9496619786441629</v>
      </c>
      <c r="AG54" s="71">
        <f t="shared" si="38"/>
        <v>0.31150660340909098</v>
      </c>
      <c r="AH54" s="71">
        <f t="shared" si="39"/>
        <v>1.2934271879483503</v>
      </c>
      <c r="AI54" s="74">
        <f t="shared" si="19"/>
        <v>1.6049337913574413</v>
      </c>
      <c r="AJ54" s="73">
        <f t="shared" si="20"/>
        <v>0.62666666666666659</v>
      </c>
      <c r="AK54" s="71">
        <f t="shared" si="40"/>
        <v>1.9832206595480542</v>
      </c>
      <c r="AL54" s="71">
        <f t="shared" si="41"/>
        <v>3.4611844823232332E-2</v>
      </c>
      <c r="AM54" s="71">
        <f t="shared" si="48"/>
        <v>0.42468800000000007</v>
      </c>
      <c r="AN54" s="188">
        <f t="shared" si="42"/>
        <v>4.7117333333333337E-2</v>
      </c>
      <c r="AO54" s="74">
        <f t="shared" si="24"/>
        <v>0.50641717815656573</v>
      </c>
      <c r="AP54" s="73">
        <f t="shared" si="43"/>
        <v>7.8663283689164407E-2</v>
      </c>
      <c r="AQ54" s="206">
        <f t="shared" si="44"/>
        <v>0.16912605993170346</v>
      </c>
      <c r="AR54" s="206">
        <f t="shared" si="45"/>
        <v>1.6586782538474829E-2</v>
      </c>
      <c r="AS54" s="71">
        <f t="shared" si="46"/>
        <v>3.9600000000000003E-2</v>
      </c>
      <c r="AT54" s="74">
        <f t="shared" si="47"/>
        <v>1.6499999999999998E-5</v>
      </c>
      <c r="AU54" s="73">
        <f t="shared" si="26"/>
        <v>2.5844696556050533</v>
      </c>
      <c r="AV54" s="71">
        <f t="shared" si="27"/>
        <v>31.333333333333336</v>
      </c>
      <c r="AW54" s="74">
        <f t="shared" si="28"/>
        <v>92.380197336343016</v>
      </c>
    </row>
    <row r="55" spans="17:49" x14ac:dyDescent="0.35">
      <c r="Q55">
        <v>48</v>
      </c>
      <c r="R55" s="73">
        <f t="shared" si="0"/>
        <v>50</v>
      </c>
      <c r="S55" s="71">
        <f t="shared" si="32"/>
        <v>0.64</v>
      </c>
      <c r="T55" s="71">
        <f t="shared" si="2"/>
        <v>5</v>
      </c>
      <c r="U55" s="74">
        <f t="shared" si="33"/>
        <v>6.4</v>
      </c>
      <c r="V55" s="73">
        <f>IF(Variable_Management!$B$20=3,2,IF((S55*R55/T55)&lt;((T55*(1-(T55/R55)))/(2*Lm*Fsw)),1,2))</f>
        <v>2</v>
      </c>
      <c r="W55" s="71">
        <f t="shared" si="34"/>
        <v>0.9</v>
      </c>
      <c r="X55" s="74">
        <f t="shared" si="35"/>
        <v>9.9999999999999978E-2</v>
      </c>
      <c r="Y55" s="73">
        <f t="shared" si="36"/>
        <v>0.85227272727272718</v>
      </c>
      <c r="Z55" s="71">
        <f t="shared" si="30"/>
        <v>6.8261363636363637</v>
      </c>
      <c r="AA55" s="71">
        <f t="shared" si="31"/>
        <v>6.4047272177252861</v>
      </c>
      <c r="AB55" s="71">
        <v>0</v>
      </c>
      <c r="AC55" s="71">
        <f t="shared" si="37"/>
        <v>0.17638828215392566</v>
      </c>
      <c r="AD55" s="74">
        <f t="shared" si="16"/>
        <v>0.17638828215392566</v>
      </c>
      <c r="AE55" s="73">
        <f t="shared" si="29"/>
        <v>5.7600000000000007</v>
      </c>
      <c r="AF55" s="71">
        <f t="shared" si="17"/>
        <v>6.0760577400255151</v>
      </c>
      <c r="AG55" s="71">
        <f t="shared" si="38"/>
        <v>0.32488260340909092</v>
      </c>
      <c r="AH55" s="71">
        <f t="shared" si="39"/>
        <v>1.3209469153515065</v>
      </c>
      <c r="AI55" s="74">
        <f t="shared" si="19"/>
        <v>1.6458295187605976</v>
      </c>
      <c r="AJ55" s="73">
        <f t="shared" si="20"/>
        <v>0.6399999999999999</v>
      </c>
      <c r="AK55" s="71">
        <f t="shared" si="40"/>
        <v>2.0253525800085046</v>
      </c>
      <c r="AL55" s="71">
        <f t="shared" si="41"/>
        <v>3.6098067045454534E-2</v>
      </c>
      <c r="AM55" s="71">
        <f t="shared" si="48"/>
        <v>0.42468800000000007</v>
      </c>
      <c r="AN55" s="188">
        <f t="shared" si="42"/>
        <v>4.8056000000000001E-2</v>
      </c>
      <c r="AO55" s="74">
        <f t="shared" si="24"/>
        <v>0.50884206704545465</v>
      </c>
      <c r="AP55" s="73">
        <f t="shared" si="43"/>
        <v>8.2041061466942164E-2</v>
      </c>
      <c r="AQ55" s="206">
        <f t="shared" si="44"/>
        <v>0.17638828215392566</v>
      </c>
      <c r="AR55" s="206">
        <f t="shared" si="45"/>
        <v>1.6586782538474829E-2</v>
      </c>
      <c r="AS55" s="71">
        <f t="shared" si="46"/>
        <v>3.9600000000000003E-2</v>
      </c>
      <c r="AT55" s="74">
        <f t="shared" si="47"/>
        <v>1.6499999999999998E-5</v>
      </c>
      <c r="AU55" s="73">
        <f t="shared" si="26"/>
        <v>2.6456924941193205</v>
      </c>
      <c r="AV55" s="71">
        <f t="shared" si="27"/>
        <v>32</v>
      </c>
      <c r="AW55" s="74">
        <f t="shared" si="28"/>
        <v>92.363574506214889</v>
      </c>
    </row>
    <row r="56" spans="17:49" x14ac:dyDescent="0.35">
      <c r="Q56">
        <v>49</v>
      </c>
      <c r="R56" s="73">
        <f t="shared" si="0"/>
        <v>50</v>
      </c>
      <c r="S56" s="71">
        <f t="shared" si="32"/>
        <v>0.65333333333333332</v>
      </c>
      <c r="T56" s="71">
        <f t="shared" si="2"/>
        <v>5</v>
      </c>
      <c r="U56" s="74">
        <f t="shared" si="33"/>
        <v>6.5333333333333332</v>
      </c>
      <c r="V56" s="73">
        <f>IF(Variable_Management!$B$20=3,2,IF((S56*R56/T56)&lt;((T56*(1-(T56/R56)))/(2*Lm*Fsw)),1,2))</f>
        <v>2</v>
      </c>
      <c r="W56" s="71">
        <f t="shared" si="34"/>
        <v>0.9</v>
      </c>
      <c r="X56" s="74">
        <f t="shared" si="35"/>
        <v>9.9999999999999978E-2</v>
      </c>
      <c r="Y56" s="73">
        <f t="shared" si="36"/>
        <v>0.85227272727272718</v>
      </c>
      <c r="Z56" s="71">
        <f t="shared" si="30"/>
        <v>6.9594696969696965</v>
      </c>
      <c r="AA56" s="71">
        <f t="shared" si="31"/>
        <v>6.5379641462702685</v>
      </c>
      <c r="AB56" s="71">
        <v>0</v>
      </c>
      <c r="AC56" s="71">
        <f t="shared" si="37"/>
        <v>0.18380339326503675</v>
      </c>
      <c r="AD56" s="74">
        <f t="shared" si="16"/>
        <v>0.18380339326503675</v>
      </c>
      <c r="AE56" s="73">
        <f t="shared" si="29"/>
        <v>5.88</v>
      </c>
      <c r="AF56" s="71">
        <f t="shared" si="17"/>
        <v>6.2024573888196892</v>
      </c>
      <c r="AG56" s="71">
        <f t="shared" si="38"/>
        <v>0.3385402034090908</v>
      </c>
      <c r="AH56" s="71">
        <f t="shared" si="39"/>
        <v>1.3484666427546632</v>
      </c>
      <c r="AI56" s="74">
        <f t="shared" si="19"/>
        <v>1.687006846163754</v>
      </c>
      <c r="AJ56" s="73">
        <f t="shared" si="20"/>
        <v>0.65333333333333321</v>
      </c>
      <c r="AK56" s="71">
        <f t="shared" si="40"/>
        <v>2.0674857962732296</v>
      </c>
      <c r="AL56" s="71">
        <f t="shared" si="41"/>
        <v>3.7615578156565646E-2</v>
      </c>
      <c r="AM56" s="71">
        <f t="shared" si="48"/>
        <v>0.42468800000000007</v>
      </c>
      <c r="AN56" s="188">
        <f t="shared" si="42"/>
        <v>4.8994666666666666E-2</v>
      </c>
      <c r="AO56" s="74">
        <f t="shared" si="24"/>
        <v>0.51129824482323238</v>
      </c>
      <c r="AP56" s="73">
        <f t="shared" si="43"/>
        <v>8.548995035583104E-2</v>
      </c>
      <c r="AQ56" s="206">
        <f t="shared" si="44"/>
        <v>0.18380339326503675</v>
      </c>
      <c r="AR56" s="206">
        <f t="shared" si="45"/>
        <v>1.6586782538474829E-2</v>
      </c>
      <c r="AS56" s="71">
        <f t="shared" si="46"/>
        <v>3.9600000000000003E-2</v>
      </c>
      <c r="AT56" s="74">
        <f t="shared" si="47"/>
        <v>1.6499999999999998E-5</v>
      </c>
      <c r="AU56" s="73">
        <f t="shared" si="26"/>
        <v>2.7076051104113659</v>
      </c>
      <c r="AV56" s="71">
        <f t="shared" si="27"/>
        <v>32.666666666666664</v>
      </c>
      <c r="AW56" s="74">
        <f t="shared" si="28"/>
        <v>92.345835053583073</v>
      </c>
    </row>
    <row r="57" spans="17:49" x14ac:dyDescent="0.35">
      <c r="Q57">
        <v>50</v>
      </c>
      <c r="R57" s="73">
        <f t="shared" si="0"/>
        <v>50</v>
      </c>
      <c r="S57" s="71">
        <f t="shared" si="32"/>
        <v>0.66666666666666674</v>
      </c>
      <c r="T57" s="71">
        <f t="shared" si="2"/>
        <v>5</v>
      </c>
      <c r="U57" s="74">
        <f t="shared" si="33"/>
        <v>6.666666666666667</v>
      </c>
      <c r="V57" s="73">
        <f>IF(Variable_Management!$B$20=3,2,IF((S57*R57/T57)&lt;((T57*(1-(T57/R57)))/(2*Lm*Fsw)),1,2))</f>
        <v>2</v>
      </c>
      <c r="W57" s="71">
        <f t="shared" si="34"/>
        <v>0.9</v>
      </c>
      <c r="X57" s="74">
        <f t="shared" si="35"/>
        <v>9.9999999999999978E-2</v>
      </c>
      <c r="Y57" s="73">
        <f t="shared" si="36"/>
        <v>0.85227272727272718</v>
      </c>
      <c r="Z57" s="71">
        <f t="shared" si="30"/>
        <v>7.0928030303030303</v>
      </c>
      <c r="AA57" s="71">
        <f t="shared" si="31"/>
        <v>6.6712049269914893</v>
      </c>
      <c r="AB57" s="71">
        <v>0</v>
      </c>
      <c r="AC57" s="71">
        <f t="shared" si="37"/>
        <v>0.19137139326503674</v>
      </c>
      <c r="AD57" s="74">
        <f t="shared" si="16"/>
        <v>0.19137139326503674</v>
      </c>
      <c r="AE57" s="73">
        <f t="shared" si="29"/>
        <v>6</v>
      </c>
      <c r="AF57" s="71">
        <f t="shared" si="17"/>
        <v>6.3288606921091226</v>
      </c>
      <c r="AG57" s="71">
        <f t="shared" si="38"/>
        <v>0.3524794034090909</v>
      </c>
      <c r="AH57" s="71">
        <f t="shared" si="39"/>
        <v>1.3759863701578197</v>
      </c>
      <c r="AI57" s="74">
        <f t="shared" si="19"/>
        <v>1.7284657735669104</v>
      </c>
      <c r="AJ57" s="73">
        <f t="shared" si="20"/>
        <v>0.66666666666666652</v>
      </c>
      <c r="AK57" s="71">
        <f t="shared" si="40"/>
        <v>2.1096202307030407</v>
      </c>
      <c r="AL57" s="71">
        <f t="shared" si="41"/>
        <v>3.9164378156565649E-2</v>
      </c>
      <c r="AM57" s="71">
        <f t="shared" si="48"/>
        <v>0.42468800000000007</v>
      </c>
      <c r="AN57" s="188">
        <f t="shared" si="42"/>
        <v>4.9933333333333337E-2</v>
      </c>
      <c r="AO57" s="74">
        <f t="shared" si="24"/>
        <v>0.51378571148989904</v>
      </c>
      <c r="AP57" s="73">
        <f t="shared" si="43"/>
        <v>8.9009950355831036E-2</v>
      </c>
      <c r="AQ57" s="206">
        <f t="shared" si="44"/>
        <v>0.19137139326503674</v>
      </c>
      <c r="AR57" s="206">
        <f t="shared" si="45"/>
        <v>1.6586782538474829E-2</v>
      </c>
      <c r="AS57" s="71">
        <f t="shared" si="46"/>
        <v>3.9600000000000003E-2</v>
      </c>
      <c r="AT57" s="74">
        <f t="shared" si="47"/>
        <v>1.6499999999999998E-5</v>
      </c>
      <c r="AU57" s="73">
        <f t="shared" si="26"/>
        <v>2.7702075044811889</v>
      </c>
      <c r="AV57" s="71">
        <f t="shared" si="27"/>
        <v>33.333333333333336</v>
      </c>
      <c r="AW57" s="74">
        <f t="shared" si="28"/>
        <v>92.327047596451521</v>
      </c>
    </row>
    <row r="58" spans="17:49" x14ac:dyDescent="0.35">
      <c r="Q58">
        <v>51</v>
      </c>
      <c r="R58" s="73">
        <f t="shared" si="0"/>
        <v>50</v>
      </c>
      <c r="S58" s="71">
        <f t="shared" si="32"/>
        <v>0.68</v>
      </c>
      <c r="T58" s="71">
        <f t="shared" si="2"/>
        <v>5</v>
      </c>
      <c r="U58" s="74">
        <f t="shared" si="33"/>
        <v>6.8</v>
      </c>
      <c r="V58" s="73">
        <f>IF(Variable_Management!$B$20=3,2,IF((S58*R58/T58)&lt;((T58*(1-(T58/R58)))/(2*Lm*Fsw)),1,2))</f>
        <v>2</v>
      </c>
      <c r="W58" s="71">
        <f t="shared" si="34"/>
        <v>0.9</v>
      </c>
      <c r="X58" s="74">
        <f t="shared" si="35"/>
        <v>9.9999999999999978E-2</v>
      </c>
      <c r="Y58" s="73">
        <f t="shared" si="36"/>
        <v>0.85227272727272718</v>
      </c>
      <c r="Z58" s="71">
        <f t="shared" si="30"/>
        <v>7.2261363636363631</v>
      </c>
      <c r="AA58" s="71">
        <f t="shared" si="31"/>
        <v>6.8044493335957075</v>
      </c>
      <c r="AB58" s="71">
        <v>0</v>
      </c>
      <c r="AC58" s="71">
        <f t="shared" si="37"/>
        <v>0.1990922821539256</v>
      </c>
      <c r="AD58" s="74">
        <f t="shared" si="16"/>
        <v>0.1990922821539256</v>
      </c>
      <c r="AE58" s="73">
        <f t="shared" si="29"/>
        <v>6.12</v>
      </c>
      <c r="AF58" s="71">
        <f t="shared" si="17"/>
        <v>6.4552674352131971</v>
      </c>
      <c r="AG58" s="71">
        <f t="shared" si="38"/>
        <v>0.36670020340909099</v>
      </c>
      <c r="AH58" s="71">
        <f t="shared" si="39"/>
        <v>1.4035060975609759</v>
      </c>
      <c r="AI58" s="74">
        <f t="shared" si="19"/>
        <v>1.7702063009700668</v>
      </c>
      <c r="AJ58" s="73">
        <f t="shared" si="20"/>
        <v>0.67999999999999983</v>
      </c>
      <c r="AK58" s="71">
        <f t="shared" si="40"/>
        <v>2.1517558117377322</v>
      </c>
      <c r="AL58" s="71">
        <f t="shared" si="41"/>
        <v>4.0744467045454549E-2</v>
      </c>
      <c r="AM58" s="71">
        <f t="shared" si="48"/>
        <v>0.42468800000000007</v>
      </c>
      <c r="AN58" s="188">
        <f t="shared" si="42"/>
        <v>5.0872000000000001E-2</v>
      </c>
      <c r="AO58" s="74">
        <f t="shared" si="24"/>
        <v>0.51630446704545463</v>
      </c>
      <c r="AP58" s="73">
        <f t="shared" si="43"/>
        <v>9.260106146694215E-2</v>
      </c>
      <c r="AQ58" s="206">
        <f t="shared" si="44"/>
        <v>0.1990922821539256</v>
      </c>
      <c r="AR58" s="206">
        <f t="shared" si="45"/>
        <v>1.6586782538474829E-2</v>
      </c>
      <c r="AS58" s="71">
        <f t="shared" si="46"/>
        <v>3.9600000000000003E-2</v>
      </c>
      <c r="AT58" s="74">
        <f t="shared" si="47"/>
        <v>1.6499999999999998E-5</v>
      </c>
      <c r="AU58" s="73">
        <f t="shared" si="26"/>
        <v>2.8334996763287896</v>
      </c>
      <c r="AV58" s="71">
        <f t="shared" si="27"/>
        <v>34</v>
      </c>
      <c r="AW58" s="74">
        <f t="shared" si="28"/>
        <v>92.307275438858852</v>
      </c>
    </row>
    <row r="59" spans="17:49" x14ac:dyDescent="0.35">
      <c r="Q59">
        <v>52</v>
      </c>
      <c r="R59" s="73">
        <f t="shared" si="0"/>
        <v>50</v>
      </c>
      <c r="S59" s="71">
        <f t="shared" si="32"/>
        <v>0.69333333333333336</v>
      </c>
      <c r="T59" s="71">
        <f t="shared" si="2"/>
        <v>5</v>
      </c>
      <c r="U59" s="74">
        <f t="shared" si="33"/>
        <v>6.9333333333333345</v>
      </c>
      <c r="V59" s="73">
        <f>IF(Variable_Management!$B$20=3,2,IF((S59*R59/T59)&lt;((T59*(1-(T59/R59)))/(2*Lm*Fsw)),1,2))</f>
        <v>2</v>
      </c>
      <c r="W59" s="71">
        <f t="shared" si="34"/>
        <v>0.9</v>
      </c>
      <c r="X59" s="74">
        <f t="shared" si="35"/>
        <v>9.9999999999999978E-2</v>
      </c>
      <c r="Y59" s="73">
        <f t="shared" si="36"/>
        <v>0.85227272727272718</v>
      </c>
      <c r="Z59" s="71">
        <f t="shared" si="30"/>
        <v>7.3594696969696978</v>
      </c>
      <c r="AA59" s="71">
        <f t="shared" si="31"/>
        <v>6.9376971571683788</v>
      </c>
      <c r="AB59" s="71">
        <v>0</v>
      </c>
      <c r="AC59" s="71">
        <f t="shared" si="37"/>
        <v>0.20696605993170347</v>
      </c>
      <c r="AD59" s="74">
        <f t="shared" si="16"/>
        <v>0.20696605993170347</v>
      </c>
      <c r="AE59" s="73">
        <f t="shared" si="29"/>
        <v>6.2400000000000011</v>
      </c>
      <c r="AF59" s="71">
        <f t="shared" si="17"/>
        <v>6.5816774199381713</v>
      </c>
      <c r="AG59" s="71">
        <f t="shared" si="38"/>
        <v>0.38120260340909107</v>
      </c>
      <c r="AH59" s="71">
        <f t="shared" si="39"/>
        <v>1.4310258249641326</v>
      </c>
      <c r="AI59" s="74">
        <f t="shared" si="19"/>
        <v>1.8122284283732237</v>
      </c>
      <c r="AJ59" s="73">
        <f t="shared" si="20"/>
        <v>0.69333333333333325</v>
      </c>
      <c r="AK59" s="71">
        <f t="shared" si="40"/>
        <v>2.1938924733127236</v>
      </c>
      <c r="AL59" s="71">
        <f t="shared" si="41"/>
        <v>4.235584482323234E-2</v>
      </c>
      <c r="AM59" s="71">
        <f t="shared" si="48"/>
        <v>0.42468800000000007</v>
      </c>
      <c r="AN59" s="188">
        <f t="shared" si="42"/>
        <v>5.1810666666666672E-2</v>
      </c>
      <c r="AO59" s="74">
        <f t="shared" si="24"/>
        <v>0.51885451148989903</v>
      </c>
      <c r="AP59" s="73">
        <f t="shared" si="43"/>
        <v>9.6263283689164411E-2</v>
      </c>
      <c r="AQ59" s="206">
        <f t="shared" si="44"/>
        <v>0.20696605993170347</v>
      </c>
      <c r="AR59" s="206">
        <f t="shared" si="45"/>
        <v>1.6586782538474829E-2</v>
      </c>
      <c r="AS59" s="71">
        <f t="shared" si="46"/>
        <v>3.9600000000000003E-2</v>
      </c>
      <c r="AT59" s="74">
        <f t="shared" si="47"/>
        <v>1.6499999999999998E-5</v>
      </c>
      <c r="AU59" s="73">
        <f t="shared" si="26"/>
        <v>2.8974816259541689</v>
      </c>
      <c r="AV59" s="71">
        <f t="shared" si="27"/>
        <v>34.666666666666671</v>
      </c>
      <c r="AW59" s="74">
        <f t="shared" si="28"/>
        <v>92.28657707507945</v>
      </c>
    </row>
    <row r="60" spans="17:49" x14ac:dyDescent="0.35">
      <c r="Q60">
        <v>53</v>
      </c>
      <c r="R60" s="73">
        <f t="shared" si="0"/>
        <v>50</v>
      </c>
      <c r="S60" s="71">
        <f t="shared" si="32"/>
        <v>0.70666666666666667</v>
      </c>
      <c r="T60" s="71">
        <f t="shared" si="2"/>
        <v>5</v>
      </c>
      <c r="U60" s="74">
        <f t="shared" si="33"/>
        <v>7.0666666666666673</v>
      </c>
      <c r="V60" s="73">
        <f>IF(Variable_Management!$B$20=3,2,IF((S60*R60/T60)&lt;((T60*(1-(T60/R60)))/(2*Lm*Fsw)),1,2))</f>
        <v>2</v>
      </c>
      <c r="W60" s="71">
        <f t="shared" si="34"/>
        <v>0.9</v>
      </c>
      <c r="X60" s="74">
        <f t="shared" si="35"/>
        <v>9.9999999999999978E-2</v>
      </c>
      <c r="Y60" s="73">
        <f t="shared" si="36"/>
        <v>0.85227272727272718</v>
      </c>
      <c r="Z60" s="71">
        <f t="shared" si="30"/>
        <v>7.4928030303030306</v>
      </c>
      <c r="AA60" s="71">
        <f t="shared" si="31"/>
        <v>7.070948204537272</v>
      </c>
      <c r="AB60" s="71">
        <v>0</v>
      </c>
      <c r="AC60" s="71">
        <f t="shared" si="37"/>
        <v>0.21499272659837015</v>
      </c>
      <c r="AD60" s="74">
        <f t="shared" si="16"/>
        <v>0.21499272659837015</v>
      </c>
      <c r="AE60" s="73">
        <f t="shared" si="29"/>
        <v>6.36</v>
      </c>
      <c r="AF60" s="71">
        <f t="shared" si="17"/>
        <v>6.7080904630247771</v>
      </c>
      <c r="AG60" s="71">
        <f t="shared" si="38"/>
        <v>0.39598660340909092</v>
      </c>
      <c r="AH60" s="71">
        <f t="shared" si="39"/>
        <v>1.4585455523672888</v>
      </c>
      <c r="AI60" s="74">
        <f t="shared" si="19"/>
        <v>1.8545321557763796</v>
      </c>
      <c r="AJ60" s="73">
        <f t="shared" si="20"/>
        <v>0.70666666666666655</v>
      </c>
      <c r="AK60" s="71">
        <f t="shared" si="40"/>
        <v>2.2360301543415919</v>
      </c>
      <c r="AL60" s="71">
        <f t="shared" si="41"/>
        <v>4.399851148989898E-2</v>
      </c>
      <c r="AM60" s="71">
        <f t="shared" si="48"/>
        <v>0.42468800000000007</v>
      </c>
      <c r="AN60" s="188">
        <f t="shared" si="42"/>
        <v>5.2749333333333336E-2</v>
      </c>
      <c r="AO60" s="74">
        <f t="shared" si="24"/>
        <v>0.52143584482323235</v>
      </c>
      <c r="AP60" s="73">
        <f t="shared" si="43"/>
        <v>9.999661702249775E-2</v>
      </c>
      <c r="AQ60" s="206">
        <f t="shared" si="44"/>
        <v>0.21499272659837015</v>
      </c>
      <c r="AR60" s="206">
        <f t="shared" si="45"/>
        <v>1.6586782538474829E-2</v>
      </c>
      <c r="AS60" s="71">
        <f t="shared" si="46"/>
        <v>3.9600000000000003E-2</v>
      </c>
      <c r="AT60" s="74">
        <f t="shared" si="47"/>
        <v>1.6499999999999998E-5</v>
      </c>
      <c r="AU60" s="73">
        <f t="shared" si="26"/>
        <v>2.9621533533573245</v>
      </c>
      <c r="AV60" s="71">
        <f t="shared" si="27"/>
        <v>35.333333333333336</v>
      </c>
      <c r="AW60" s="74">
        <f t="shared" si="28"/>
        <v>92.265006637487645</v>
      </c>
    </row>
    <row r="61" spans="17:49" x14ac:dyDescent="0.35">
      <c r="Q61">
        <v>54</v>
      </c>
      <c r="R61" s="73">
        <f t="shared" si="0"/>
        <v>50</v>
      </c>
      <c r="S61" s="71">
        <f t="shared" si="32"/>
        <v>0.72000000000000008</v>
      </c>
      <c r="T61" s="71">
        <f t="shared" si="2"/>
        <v>5</v>
      </c>
      <c r="U61" s="74">
        <f t="shared" si="33"/>
        <v>7.2000000000000011</v>
      </c>
      <c r="V61" s="73">
        <f>IF(Variable_Management!$B$20=3,2,IF((S61*R61/T61)&lt;((T61*(1-(T61/R61)))/(2*Lm*Fsw)),1,2))</f>
        <v>2</v>
      </c>
      <c r="W61" s="71">
        <f t="shared" si="34"/>
        <v>0.9</v>
      </c>
      <c r="X61" s="74">
        <f t="shared" si="35"/>
        <v>9.9999999999999978E-2</v>
      </c>
      <c r="Y61" s="73">
        <f t="shared" si="36"/>
        <v>0.85227272727272718</v>
      </c>
      <c r="Z61" s="71">
        <f t="shared" si="30"/>
        <v>7.6261363636363644</v>
      </c>
      <c r="AA61" s="71">
        <f t="shared" si="31"/>
        <v>7.2042022968175381</v>
      </c>
      <c r="AB61" s="71">
        <v>0</v>
      </c>
      <c r="AC61" s="71">
        <f t="shared" si="37"/>
        <v>0.22317228215392571</v>
      </c>
      <c r="AD61" s="74">
        <f t="shared" si="16"/>
        <v>0.22317228215392571</v>
      </c>
      <c r="AE61" s="73">
        <f t="shared" si="29"/>
        <v>6.4800000000000013</v>
      </c>
      <c r="AF61" s="71">
        <f t="shared" si="17"/>
        <v>6.8345063947679483</v>
      </c>
      <c r="AG61" s="71">
        <f t="shared" si="38"/>
        <v>0.41105220340909104</v>
      </c>
      <c r="AH61" s="71">
        <f t="shared" si="39"/>
        <v>1.4860652797704452</v>
      </c>
      <c r="AI61" s="74">
        <f t="shared" si="19"/>
        <v>1.8971174831795363</v>
      </c>
      <c r="AJ61" s="73">
        <f t="shared" si="20"/>
        <v>0.72</v>
      </c>
      <c r="AK61" s="71">
        <f t="shared" si="40"/>
        <v>2.2781687982559826</v>
      </c>
      <c r="AL61" s="71">
        <f t="shared" si="41"/>
        <v>4.5672467045454551E-2</v>
      </c>
      <c r="AM61" s="71">
        <f t="shared" si="48"/>
        <v>0.42468800000000007</v>
      </c>
      <c r="AN61" s="188">
        <f t="shared" si="42"/>
        <v>5.3688000000000007E-2</v>
      </c>
      <c r="AO61" s="74">
        <f t="shared" si="24"/>
        <v>0.5240484670454546</v>
      </c>
      <c r="AP61" s="73">
        <f t="shared" si="43"/>
        <v>0.10380106146694219</v>
      </c>
      <c r="AQ61" s="206">
        <f t="shared" si="44"/>
        <v>0.22317228215392571</v>
      </c>
      <c r="AR61" s="206">
        <f t="shared" si="45"/>
        <v>1.6586782538474829E-2</v>
      </c>
      <c r="AS61" s="71">
        <f t="shared" si="46"/>
        <v>3.9600000000000003E-2</v>
      </c>
      <c r="AT61" s="74">
        <f t="shared" si="47"/>
        <v>1.6499999999999998E-5</v>
      </c>
      <c r="AU61" s="73">
        <f t="shared" si="26"/>
        <v>3.0275148585382596</v>
      </c>
      <c r="AV61" s="71">
        <f t="shared" si="27"/>
        <v>36.000000000000007</v>
      </c>
      <c r="AW61" s="74">
        <f t="shared" si="28"/>
        <v>92.24261429529399</v>
      </c>
    </row>
    <row r="62" spans="17:49" x14ac:dyDescent="0.35">
      <c r="Q62">
        <v>55</v>
      </c>
      <c r="R62" s="73">
        <f t="shared" si="0"/>
        <v>50</v>
      </c>
      <c r="S62" s="71">
        <f t="shared" si="32"/>
        <v>0.73333333333333339</v>
      </c>
      <c r="T62" s="71">
        <f t="shared" si="2"/>
        <v>5</v>
      </c>
      <c r="U62" s="74">
        <f t="shared" si="33"/>
        <v>7.3333333333333339</v>
      </c>
      <c r="V62" s="73">
        <f>IF(Variable_Management!$B$20=3,2,IF((S62*R62/T62)&lt;((T62*(1-(T62/R62)))/(2*Lm*Fsw)),1,2))</f>
        <v>2</v>
      </c>
      <c r="W62" s="71">
        <f t="shared" si="34"/>
        <v>0.9</v>
      </c>
      <c r="X62" s="74">
        <f t="shared" si="35"/>
        <v>9.9999999999999978E-2</v>
      </c>
      <c r="Y62" s="73">
        <f t="shared" si="36"/>
        <v>0.85227272727272718</v>
      </c>
      <c r="Z62" s="71">
        <f t="shared" si="30"/>
        <v>7.7594696969696972</v>
      </c>
      <c r="AA62" s="71">
        <f t="shared" si="31"/>
        <v>7.3374592681151469</v>
      </c>
      <c r="AB62" s="71">
        <v>0</v>
      </c>
      <c r="AC62" s="71">
        <f t="shared" si="37"/>
        <v>0.23150472659837013</v>
      </c>
      <c r="AD62" s="74">
        <f t="shared" si="16"/>
        <v>0.23150472659837013</v>
      </c>
      <c r="AE62" s="73">
        <f t="shared" si="29"/>
        <v>6.6000000000000005</v>
      </c>
      <c r="AF62" s="71">
        <f t="shared" si="17"/>
        <v>6.9609250577867856</v>
      </c>
      <c r="AG62" s="71">
        <f t="shared" si="38"/>
        <v>0.42639940340909088</v>
      </c>
      <c r="AH62" s="71">
        <f t="shared" si="39"/>
        <v>1.5135850071736014</v>
      </c>
      <c r="AI62" s="74">
        <f t="shared" si="19"/>
        <v>1.9399844105826922</v>
      </c>
      <c r="AJ62" s="73">
        <f t="shared" si="20"/>
        <v>0.73333333333333328</v>
      </c>
      <c r="AK62" s="71">
        <f t="shared" si="40"/>
        <v>2.3203083525955952</v>
      </c>
      <c r="AL62" s="71">
        <f t="shared" si="41"/>
        <v>4.7377711489898992E-2</v>
      </c>
      <c r="AM62" s="71">
        <f t="shared" si="48"/>
        <v>0.42468800000000007</v>
      </c>
      <c r="AN62" s="188">
        <f t="shared" si="42"/>
        <v>5.4626666666666671E-2</v>
      </c>
      <c r="AO62" s="74">
        <f t="shared" si="24"/>
        <v>0.52669237815656578</v>
      </c>
      <c r="AP62" s="73">
        <f t="shared" si="43"/>
        <v>0.10767661702249774</v>
      </c>
      <c r="AQ62" s="206">
        <f t="shared" si="44"/>
        <v>0.23150472659837013</v>
      </c>
      <c r="AR62" s="206">
        <f t="shared" si="45"/>
        <v>1.6586782538474829E-2</v>
      </c>
      <c r="AS62" s="71">
        <f t="shared" si="46"/>
        <v>3.9600000000000003E-2</v>
      </c>
      <c r="AT62" s="74">
        <f t="shared" si="47"/>
        <v>1.6499999999999998E-5</v>
      </c>
      <c r="AU62" s="73">
        <f t="shared" si="26"/>
        <v>3.0935661414969706</v>
      </c>
      <c r="AV62" s="71">
        <f t="shared" si="27"/>
        <v>36.666666666666671</v>
      </c>
      <c r="AW62" s="74">
        <f t="shared" si="28"/>
        <v>92.21944661032822</v>
      </c>
    </row>
    <row r="63" spans="17:49" x14ac:dyDescent="0.35">
      <c r="Q63">
        <v>56</v>
      </c>
      <c r="R63" s="73">
        <f t="shared" si="0"/>
        <v>50</v>
      </c>
      <c r="S63" s="71">
        <f t="shared" si="32"/>
        <v>0.7466666666666667</v>
      </c>
      <c r="T63" s="71">
        <f t="shared" si="2"/>
        <v>5</v>
      </c>
      <c r="U63" s="74">
        <f t="shared" si="33"/>
        <v>7.4666666666666668</v>
      </c>
      <c r="V63" s="73">
        <f>IF(Variable_Management!$B$20=3,2,IF((S63*R63/T63)&lt;((T63*(1-(T63/R63)))/(2*Lm*Fsw)),1,2))</f>
        <v>2</v>
      </c>
      <c r="W63" s="71">
        <f t="shared" si="34"/>
        <v>0.9</v>
      </c>
      <c r="X63" s="74">
        <f t="shared" si="35"/>
        <v>9.9999999999999978E-2</v>
      </c>
      <c r="Y63" s="73">
        <f t="shared" si="36"/>
        <v>0.85227272727272718</v>
      </c>
      <c r="Z63" s="71">
        <f t="shared" si="30"/>
        <v>7.8928030303030301</v>
      </c>
      <c r="AA63" s="71">
        <f t="shared" si="31"/>
        <v>7.4707189643689711</v>
      </c>
      <c r="AB63" s="71">
        <v>0</v>
      </c>
      <c r="AC63" s="71">
        <f t="shared" si="37"/>
        <v>0.23999005993170341</v>
      </c>
      <c r="AD63" s="74">
        <f t="shared" si="16"/>
        <v>0.23999005993170341</v>
      </c>
      <c r="AE63" s="73">
        <f t="shared" si="29"/>
        <v>6.7200000000000006</v>
      </c>
      <c r="AF63" s="71">
        <f t="shared" si="17"/>
        <v>7.087346305926074</v>
      </c>
      <c r="AG63" s="71">
        <f t="shared" si="38"/>
        <v>0.44202820340909094</v>
      </c>
      <c r="AH63" s="71">
        <f t="shared" si="39"/>
        <v>1.5411047345767577</v>
      </c>
      <c r="AI63" s="74">
        <f t="shared" si="19"/>
        <v>1.9831329379858487</v>
      </c>
      <c r="AJ63" s="73">
        <f t="shared" si="20"/>
        <v>0.74666666666666648</v>
      </c>
      <c r="AK63" s="71">
        <f t="shared" si="40"/>
        <v>2.3624487686420244</v>
      </c>
      <c r="AL63" s="71">
        <f t="shared" si="41"/>
        <v>4.911424482323231E-2</v>
      </c>
      <c r="AM63" s="71">
        <f t="shared" si="48"/>
        <v>0.42468800000000007</v>
      </c>
      <c r="AN63" s="188">
        <f t="shared" si="42"/>
        <v>5.5565333333333335E-2</v>
      </c>
      <c r="AO63" s="74">
        <f t="shared" si="24"/>
        <v>0.52936757815656565</v>
      </c>
      <c r="AP63" s="73">
        <f t="shared" si="43"/>
        <v>0.11162328368916438</v>
      </c>
      <c r="AQ63" s="206">
        <f t="shared" si="44"/>
        <v>0.23999005993170341</v>
      </c>
      <c r="AR63" s="206">
        <f t="shared" si="45"/>
        <v>1.6586782538474829E-2</v>
      </c>
      <c r="AS63" s="71">
        <f t="shared" si="46"/>
        <v>3.9600000000000003E-2</v>
      </c>
      <c r="AT63" s="74">
        <f t="shared" si="47"/>
        <v>1.6499999999999998E-5</v>
      </c>
      <c r="AU63" s="73">
        <f t="shared" si="26"/>
        <v>3.1603072022334602</v>
      </c>
      <c r="AV63" s="71">
        <f t="shared" si="27"/>
        <v>37.333333333333336</v>
      </c>
      <c r="AW63" s="74">
        <f t="shared" si="28"/>
        <v>92.195546855171813</v>
      </c>
    </row>
    <row r="64" spans="17:49" x14ac:dyDescent="0.35">
      <c r="Q64">
        <v>57</v>
      </c>
      <c r="R64" s="73">
        <f t="shared" si="0"/>
        <v>50</v>
      </c>
      <c r="S64" s="71">
        <f t="shared" si="32"/>
        <v>0.76</v>
      </c>
      <c r="T64" s="71">
        <f t="shared" si="2"/>
        <v>5</v>
      </c>
      <c r="U64" s="74">
        <f t="shared" si="33"/>
        <v>7.6</v>
      </c>
      <c r="V64" s="73">
        <f>IF(Variable_Management!$B$20=3,2,IF((S64*R64/T64)&lt;((T64*(1-(T64/R64)))/(2*Lm*Fsw)),1,2))</f>
        <v>2</v>
      </c>
      <c r="W64" s="71">
        <f t="shared" si="34"/>
        <v>0.9</v>
      </c>
      <c r="X64" s="74">
        <f t="shared" si="35"/>
        <v>9.9999999999999978E-2</v>
      </c>
      <c r="Y64" s="73">
        <f t="shared" si="36"/>
        <v>0.85227272727272718</v>
      </c>
      <c r="Z64" s="71">
        <f t="shared" si="30"/>
        <v>8.026136363636363</v>
      </c>
      <c r="AA64" s="71">
        <f t="shared" si="31"/>
        <v>7.6039812423145205</v>
      </c>
      <c r="AB64" s="71">
        <v>0</v>
      </c>
      <c r="AC64" s="71">
        <f t="shared" si="37"/>
        <v>0.24862828215392566</v>
      </c>
      <c r="AD64" s="74">
        <f t="shared" si="16"/>
        <v>0.24862828215392566</v>
      </c>
      <c r="AE64" s="73">
        <f t="shared" si="29"/>
        <v>6.84</v>
      </c>
      <c r="AF64" s="71">
        <f t="shared" si="17"/>
        <v>7.213770003273182</v>
      </c>
      <c r="AG64" s="71">
        <f t="shared" si="38"/>
        <v>0.45793860340909093</v>
      </c>
      <c r="AH64" s="71">
        <f t="shared" si="39"/>
        <v>1.5686244619799141</v>
      </c>
      <c r="AI64" s="74">
        <f t="shared" si="19"/>
        <v>2.0265630653890052</v>
      </c>
      <c r="AJ64" s="73">
        <f t="shared" si="20"/>
        <v>0.75999999999999979</v>
      </c>
      <c r="AK64" s="71">
        <f t="shared" si="40"/>
        <v>2.4045900010910604</v>
      </c>
      <c r="AL64" s="71">
        <f t="shared" si="41"/>
        <v>5.0882067045454532E-2</v>
      </c>
      <c r="AM64" s="71">
        <f t="shared" si="48"/>
        <v>0.42468800000000007</v>
      </c>
      <c r="AN64" s="188">
        <f t="shared" si="42"/>
        <v>5.6503999999999999E-2</v>
      </c>
      <c r="AO64" s="74">
        <f t="shared" si="24"/>
        <v>0.53207406704545457</v>
      </c>
      <c r="AP64" s="73">
        <f t="shared" si="43"/>
        <v>0.11564106146694217</v>
      </c>
      <c r="AQ64" s="206">
        <f t="shared" si="44"/>
        <v>0.24862828215392566</v>
      </c>
      <c r="AR64" s="206">
        <f t="shared" si="45"/>
        <v>1.6586782538474829E-2</v>
      </c>
      <c r="AS64" s="71">
        <f t="shared" si="46"/>
        <v>3.9600000000000003E-2</v>
      </c>
      <c r="AT64" s="74">
        <f t="shared" si="47"/>
        <v>1.6499999999999998E-5</v>
      </c>
      <c r="AU64" s="73">
        <f t="shared" si="26"/>
        <v>3.2277380407477279</v>
      </c>
      <c r="AV64" s="71">
        <f t="shared" si="27"/>
        <v>38</v>
      </c>
      <c r="AW64" s="74">
        <f t="shared" si="28"/>
        <v>92.170955298208284</v>
      </c>
    </row>
    <row r="65" spans="17:49" x14ac:dyDescent="0.35">
      <c r="Q65">
        <v>58</v>
      </c>
      <c r="R65" s="73">
        <f t="shared" si="0"/>
        <v>50</v>
      </c>
      <c r="S65" s="71">
        <f t="shared" si="32"/>
        <v>0.77333333333333343</v>
      </c>
      <c r="T65" s="71">
        <f t="shared" si="2"/>
        <v>5</v>
      </c>
      <c r="U65" s="74">
        <f t="shared" si="33"/>
        <v>7.7333333333333343</v>
      </c>
      <c r="V65" s="73">
        <f>IF(Variable_Management!$B$20=3,2,IF((S65*R65/T65)&lt;((T65*(1-(T65/R65)))/(2*Lm*Fsw)),1,2))</f>
        <v>2</v>
      </c>
      <c r="W65" s="71">
        <f t="shared" si="34"/>
        <v>0.9</v>
      </c>
      <c r="X65" s="74">
        <f t="shared" si="35"/>
        <v>9.9999999999999978E-2</v>
      </c>
      <c r="Y65" s="73">
        <f t="shared" si="36"/>
        <v>0.85227272727272718</v>
      </c>
      <c r="Z65" s="71">
        <f t="shared" si="30"/>
        <v>8.1594696969696976</v>
      </c>
      <c r="AA65" s="71">
        <f t="shared" si="31"/>
        <v>7.7372459685546726</v>
      </c>
      <c r="AB65" s="71">
        <v>0</v>
      </c>
      <c r="AC65" s="71">
        <f t="shared" si="37"/>
        <v>0.25741939326503677</v>
      </c>
      <c r="AD65" s="74">
        <f t="shared" si="16"/>
        <v>0.25741939326503677</v>
      </c>
      <c r="AE65" s="73">
        <f t="shared" si="29"/>
        <v>6.9600000000000009</v>
      </c>
      <c r="AF65" s="71">
        <f t="shared" si="17"/>
        <v>7.3401960232764889</v>
      </c>
      <c r="AG65" s="71">
        <f t="shared" si="38"/>
        <v>0.47413060340909108</v>
      </c>
      <c r="AH65" s="71">
        <f t="shared" si="39"/>
        <v>1.5961441893830708</v>
      </c>
      <c r="AI65" s="74">
        <f t="shared" si="19"/>
        <v>2.0702747927921621</v>
      </c>
      <c r="AJ65" s="73">
        <f t="shared" si="20"/>
        <v>0.77333333333333321</v>
      </c>
      <c r="AK65" s="71">
        <f t="shared" si="40"/>
        <v>2.4467320077588295</v>
      </c>
      <c r="AL65" s="71">
        <f t="shared" si="41"/>
        <v>5.2681178156565665E-2</v>
      </c>
      <c r="AM65" s="71">
        <f t="shared" si="48"/>
        <v>0.42468800000000007</v>
      </c>
      <c r="AN65" s="188">
        <f t="shared" si="42"/>
        <v>5.744266666666667E-2</v>
      </c>
      <c r="AO65" s="74">
        <f t="shared" si="24"/>
        <v>0.53481184482323241</v>
      </c>
      <c r="AP65" s="73">
        <f t="shared" si="43"/>
        <v>0.11972995035583106</v>
      </c>
      <c r="AQ65" s="206">
        <f t="shared" si="44"/>
        <v>0.25741939326503677</v>
      </c>
      <c r="AR65" s="206">
        <f t="shared" si="45"/>
        <v>1.6586782538474829E-2</v>
      </c>
      <c r="AS65" s="71">
        <f t="shared" si="46"/>
        <v>3.9600000000000003E-2</v>
      </c>
      <c r="AT65" s="74">
        <f t="shared" si="47"/>
        <v>1.6499999999999998E-5</v>
      </c>
      <c r="AU65" s="73">
        <f t="shared" si="26"/>
        <v>3.2958586570397737</v>
      </c>
      <c r="AV65" s="71">
        <f t="shared" si="27"/>
        <v>38.666666666666671</v>
      </c>
      <c r="AW65" s="74">
        <f t="shared" si="28"/>
        <v>92.145709459535794</v>
      </c>
    </row>
    <row r="66" spans="17:49" x14ac:dyDescent="0.35">
      <c r="Q66">
        <v>59</v>
      </c>
      <c r="R66" s="73">
        <f t="shared" si="0"/>
        <v>50</v>
      </c>
      <c r="S66" s="71">
        <f t="shared" si="32"/>
        <v>0.78666666666666674</v>
      </c>
      <c r="T66" s="71">
        <f t="shared" si="2"/>
        <v>5</v>
      </c>
      <c r="U66" s="74">
        <f t="shared" si="33"/>
        <v>7.8666666666666671</v>
      </c>
      <c r="V66" s="73">
        <f>IF(Variable_Management!$B$20=3,2,IF((S66*R66/T66)&lt;((T66*(1-(T66/R66)))/(2*Lm*Fsw)),1,2))</f>
        <v>2</v>
      </c>
      <c r="W66" s="71">
        <f t="shared" si="34"/>
        <v>0.9</v>
      </c>
      <c r="X66" s="74">
        <f t="shared" si="35"/>
        <v>9.9999999999999978E-2</v>
      </c>
      <c r="Y66" s="73">
        <f t="shared" si="36"/>
        <v>0.85227272727272718</v>
      </c>
      <c r="Z66" s="71">
        <f t="shared" si="30"/>
        <v>8.2928030303030305</v>
      </c>
      <c r="AA66" s="71">
        <f t="shared" si="31"/>
        <v>7.8705130187247345</v>
      </c>
      <c r="AB66" s="71">
        <v>0</v>
      </c>
      <c r="AC66" s="71">
        <f t="shared" si="37"/>
        <v>0.26636339326503677</v>
      </c>
      <c r="AD66" s="74">
        <f t="shared" si="16"/>
        <v>0.26636339326503677</v>
      </c>
      <c r="AE66" s="73">
        <f t="shared" si="29"/>
        <v>7.080000000000001</v>
      </c>
      <c r="AF66" s="71">
        <f t="shared" si="17"/>
        <v>7.4666242479532858</v>
      </c>
      <c r="AG66" s="71">
        <f t="shared" si="38"/>
        <v>0.49060420340909094</v>
      </c>
      <c r="AH66" s="71">
        <f t="shared" si="39"/>
        <v>1.623663916786227</v>
      </c>
      <c r="AI66" s="74">
        <f t="shared" si="19"/>
        <v>2.1142681201953177</v>
      </c>
      <c r="AJ66" s="73">
        <f t="shared" si="20"/>
        <v>0.78666666666666651</v>
      </c>
      <c r="AK66" s="71">
        <f t="shared" si="40"/>
        <v>2.4888747493177621</v>
      </c>
      <c r="AL66" s="71">
        <f t="shared" si="41"/>
        <v>5.4511578156565668E-2</v>
      </c>
      <c r="AM66" s="71">
        <f t="shared" si="48"/>
        <v>0.42468800000000007</v>
      </c>
      <c r="AN66" s="188">
        <f t="shared" si="42"/>
        <v>5.8381333333333334E-2</v>
      </c>
      <c r="AO66" s="74">
        <f t="shared" si="24"/>
        <v>0.53758091148989906</v>
      </c>
      <c r="AP66" s="73">
        <f t="shared" si="43"/>
        <v>0.12388995035583106</v>
      </c>
      <c r="AQ66" s="206">
        <f t="shared" si="44"/>
        <v>0.26636339326503677</v>
      </c>
      <c r="AR66" s="206">
        <f t="shared" si="45"/>
        <v>1.6586782538474829E-2</v>
      </c>
      <c r="AS66" s="71">
        <f t="shared" si="46"/>
        <v>3.9600000000000003E-2</v>
      </c>
      <c r="AT66" s="74">
        <f t="shared" si="47"/>
        <v>1.6499999999999998E-5</v>
      </c>
      <c r="AU66" s="73">
        <f t="shared" si="26"/>
        <v>3.3646690511095962</v>
      </c>
      <c r="AV66" s="71">
        <f t="shared" si="27"/>
        <v>39.333333333333336</v>
      </c>
      <c r="AW66" s="74">
        <f t="shared" si="28"/>
        <v>92.11984434115935</v>
      </c>
    </row>
    <row r="67" spans="17:49" x14ac:dyDescent="0.35">
      <c r="Q67">
        <v>60</v>
      </c>
      <c r="R67" s="73">
        <f t="shared" si="0"/>
        <v>50</v>
      </c>
      <c r="S67" s="71">
        <f t="shared" si="32"/>
        <v>0.8</v>
      </c>
      <c r="T67" s="71">
        <f t="shared" si="2"/>
        <v>5</v>
      </c>
      <c r="U67" s="74">
        <f t="shared" si="33"/>
        <v>8</v>
      </c>
      <c r="V67" s="73">
        <f>IF(Variable_Management!$B$20=3,2,IF((S67*R67/T67)&lt;((T67*(1-(T67/R67)))/(2*Lm*Fsw)),1,2))</f>
        <v>2</v>
      </c>
      <c r="W67" s="71">
        <f t="shared" si="34"/>
        <v>0.9</v>
      </c>
      <c r="X67" s="74">
        <f t="shared" si="35"/>
        <v>9.9999999999999978E-2</v>
      </c>
      <c r="Y67" s="73">
        <f t="shared" si="36"/>
        <v>0.85227272727272718</v>
      </c>
      <c r="Z67" s="71">
        <f t="shared" si="30"/>
        <v>8.4261363636363633</v>
      </c>
      <c r="AA67" s="71">
        <f t="shared" si="31"/>
        <v>8.0037822767408571</v>
      </c>
      <c r="AB67" s="71">
        <v>0</v>
      </c>
      <c r="AC67" s="71">
        <f t="shared" si="37"/>
        <v>0.27546028215392554</v>
      </c>
      <c r="AD67" s="74">
        <f t="shared" si="16"/>
        <v>0.27546028215392554</v>
      </c>
      <c r="AE67" s="73">
        <f t="shared" si="29"/>
        <v>7.2</v>
      </c>
      <c r="AF67" s="71">
        <f t="shared" si="17"/>
        <v>7.5930545671767673</v>
      </c>
      <c r="AG67" s="71">
        <f t="shared" si="38"/>
        <v>0.50735940340909091</v>
      </c>
      <c r="AH67" s="71">
        <f t="shared" si="39"/>
        <v>1.6511836441893832</v>
      </c>
      <c r="AI67" s="74">
        <f t="shared" si="19"/>
        <v>2.1585430475984744</v>
      </c>
      <c r="AJ67" s="73">
        <f t="shared" si="20"/>
        <v>0.79999999999999982</v>
      </c>
      <c r="AK67" s="71">
        <f t="shared" si="40"/>
        <v>2.5310181890589218</v>
      </c>
      <c r="AL67" s="71">
        <f t="shared" si="41"/>
        <v>5.637326704545452E-2</v>
      </c>
      <c r="AM67" s="71">
        <f t="shared" si="48"/>
        <v>0.42468800000000007</v>
      </c>
      <c r="AN67" s="188">
        <f t="shared" si="42"/>
        <v>5.9319999999999998E-2</v>
      </c>
      <c r="AO67" s="74">
        <f t="shared" si="24"/>
        <v>0.54038126704545464</v>
      </c>
      <c r="AP67" s="73">
        <f t="shared" si="43"/>
        <v>0.1281210614669421</v>
      </c>
      <c r="AQ67" s="206">
        <f t="shared" si="44"/>
        <v>0.27546028215392554</v>
      </c>
      <c r="AR67" s="206">
        <f t="shared" si="45"/>
        <v>1.6586782538474829E-2</v>
      </c>
      <c r="AS67" s="71">
        <f t="shared" si="46"/>
        <v>3.9600000000000003E-2</v>
      </c>
      <c r="AT67" s="74">
        <f t="shared" si="47"/>
        <v>1.6499999999999998E-5</v>
      </c>
      <c r="AU67" s="73">
        <f t="shared" si="26"/>
        <v>3.434169222957197</v>
      </c>
      <c r="AV67" s="71">
        <f t="shared" si="27"/>
        <v>40</v>
      </c>
      <c r="AW67" s="74">
        <f t="shared" si="28"/>
        <v>92.093392634428341</v>
      </c>
    </row>
    <row r="68" spans="17:49" x14ac:dyDescent="0.35">
      <c r="Q68">
        <v>61</v>
      </c>
      <c r="R68" s="73">
        <f t="shared" si="0"/>
        <v>50</v>
      </c>
      <c r="S68" s="71">
        <f t="shared" si="32"/>
        <v>0.81333333333333335</v>
      </c>
      <c r="T68" s="71">
        <f t="shared" si="2"/>
        <v>5</v>
      </c>
      <c r="U68" s="74">
        <f t="shared" si="33"/>
        <v>8.1333333333333329</v>
      </c>
      <c r="V68" s="73">
        <f>IF(Variable_Management!$B$20=3,2,IF((S68*R68/T68)&lt;((T68*(1-(T68/R68)))/(2*Lm*Fsw)),1,2))</f>
        <v>2</v>
      </c>
      <c r="W68" s="71">
        <f t="shared" si="34"/>
        <v>0.9</v>
      </c>
      <c r="X68" s="74">
        <f t="shared" si="35"/>
        <v>9.9999999999999978E-2</v>
      </c>
      <c r="Y68" s="73">
        <f t="shared" si="36"/>
        <v>0.85227272727272718</v>
      </c>
      <c r="Z68" s="71">
        <f t="shared" si="30"/>
        <v>8.5594696969696962</v>
      </c>
      <c r="AA68" s="71">
        <f t="shared" si="31"/>
        <v>8.1370536341222532</v>
      </c>
      <c r="AB68" s="71">
        <v>0</v>
      </c>
      <c r="AC68" s="71">
        <f t="shared" si="37"/>
        <v>0.28471005993170334</v>
      </c>
      <c r="AD68" s="74">
        <f t="shared" si="16"/>
        <v>0.28471005993170334</v>
      </c>
      <c r="AE68" s="73">
        <f t="shared" si="29"/>
        <v>7.3199999999999994</v>
      </c>
      <c r="AF68" s="71">
        <f t="shared" si="17"/>
        <v>7.7194868780330186</v>
      </c>
      <c r="AG68" s="71">
        <f t="shared" si="38"/>
        <v>0.52439620340909088</v>
      </c>
      <c r="AH68" s="71">
        <f t="shared" si="39"/>
        <v>1.6787033715925395</v>
      </c>
      <c r="AI68" s="74">
        <f t="shared" si="19"/>
        <v>2.2030995750016302</v>
      </c>
      <c r="AJ68" s="73">
        <f t="shared" si="20"/>
        <v>0.81333333333333313</v>
      </c>
      <c r="AK68" s="71">
        <f t="shared" si="40"/>
        <v>2.5731622926776727</v>
      </c>
      <c r="AL68" s="71">
        <f t="shared" si="41"/>
        <v>5.826624482323231E-2</v>
      </c>
      <c r="AM68" s="71">
        <f t="shared" si="48"/>
        <v>0.42468800000000007</v>
      </c>
      <c r="AN68" s="188">
        <f t="shared" si="42"/>
        <v>6.0258666666666662E-2</v>
      </c>
      <c r="AO68" s="74">
        <f t="shared" si="24"/>
        <v>0.54321291148989903</v>
      </c>
      <c r="AP68" s="73">
        <f t="shared" si="43"/>
        <v>0.13242328368916434</v>
      </c>
      <c r="AQ68" s="206">
        <f t="shared" si="44"/>
        <v>0.28471005993170334</v>
      </c>
      <c r="AR68" s="206">
        <f t="shared" si="45"/>
        <v>1.6586782538474829E-2</v>
      </c>
      <c r="AS68" s="71">
        <f t="shared" si="46"/>
        <v>3.9600000000000003E-2</v>
      </c>
      <c r="AT68" s="74">
        <f t="shared" si="47"/>
        <v>1.6499999999999998E-5</v>
      </c>
      <c r="AU68" s="73">
        <f t="shared" si="26"/>
        <v>3.5043591725825749</v>
      </c>
      <c r="AV68" s="71">
        <f t="shared" si="27"/>
        <v>40.666666666666664</v>
      </c>
      <c r="AW68" s="74">
        <f t="shared" si="28"/>
        <v>92.066384907301185</v>
      </c>
    </row>
    <row r="69" spans="17:49" x14ac:dyDescent="0.35">
      <c r="Q69">
        <v>62</v>
      </c>
      <c r="R69" s="73">
        <f t="shared" si="0"/>
        <v>50</v>
      </c>
      <c r="S69" s="71">
        <f t="shared" si="32"/>
        <v>0.82666666666666677</v>
      </c>
      <c r="T69" s="71">
        <f t="shared" si="2"/>
        <v>5</v>
      </c>
      <c r="U69" s="74">
        <f t="shared" si="33"/>
        <v>8.2666666666666675</v>
      </c>
      <c r="V69" s="73">
        <f>IF(Variable_Management!$B$20=3,2,IF((S69*R69/T69)&lt;((T69*(1-(T69/R69)))/(2*Lm*Fsw)),1,2))</f>
        <v>2</v>
      </c>
      <c r="W69" s="71">
        <f t="shared" si="34"/>
        <v>0.9</v>
      </c>
      <c r="X69" s="74">
        <f t="shared" si="35"/>
        <v>9.9999999999999978E-2</v>
      </c>
      <c r="Y69" s="73">
        <f t="shared" si="36"/>
        <v>0.85227272727272718</v>
      </c>
      <c r="Z69" s="71">
        <f t="shared" si="30"/>
        <v>8.6928030303030308</v>
      </c>
      <c r="AA69" s="71">
        <f t="shared" si="31"/>
        <v>8.2703269893788871</v>
      </c>
      <c r="AB69" s="71">
        <v>0</v>
      </c>
      <c r="AC69" s="71">
        <f t="shared" si="37"/>
        <v>0.29411272659837001</v>
      </c>
      <c r="AD69" s="74">
        <f t="shared" si="16"/>
        <v>0.29411272659837001</v>
      </c>
      <c r="AE69" s="73">
        <f t="shared" si="29"/>
        <v>7.4400000000000013</v>
      </c>
      <c r="AF69" s="71">
        <f t="shared" si="17"/>
        <v>7.8459210842401408</v>
      </c>
      <c r="AG69" s="71">
        <f t="shared" si="38"/>
        <v>0.54171460340909106</v>
      </c>
      <c r="AH69" s="71">
        <f t="shared" si="39"/>
        <v>1.7062230989956964</v>
      </c>
      <c r="AI69" s="74">
        <f t="shared" si="19"/>
        <v>2.2479377024047875</v>
      </c>
      <c r="AJ69" s="73">
        <f t="shared" si="20"/>
        <v>0.82666666666666655</v>
      </c>
      <c r="AK69" s="71">
        <f t="shared" si="40"/>
        <v>2.6153070280800463</v>
      </c>
      <c r="AL69" s="71">
        <f t="shared" si="41"/>
        <v>6.0190511489898985E-2</v>
      </c>
      <c r="AM69" s="71">
        <f t="shared" si="48"/>
        <v>0.42468800000000007</v>
      </c>
      <c r="AN69" s="188">
        <f t="shared" si="42"/>
        <v>6.119733333333334E-2</v>
      </c>
      <c r="AO69" s="74">
        <f t="shared" si="24"/>
        <v>0.54607584482323235</v>
      </c>
      <c r="AP69" s="73">
        <f t="shared" si="43"/>
        <v>0.13679661702249768</v>
      </c>
      <c r="AQ69" s="206">
        <f t="shared" si="44"/>
        <v>0.29411272659837001</v>
      </c>
      <c r="AR69" s="206">
        <f t="shared" si="45"/>
        <v>1.6586782538474829E-2</v>
      </c>
      <c r="AS69" s="71">
        <f t="shared" si="46"/>
        <v>3.9600000000000003E-2</v>
      </c>
      <c r="AT69" s="74">
        <f t="shared" si="47"/>
        <v>1.6499999999999998E-5</v>
      </c>
      <c r="AU69" s="73">
        <f t="shared" si="26"/>
        <v>3.5752388999857323</v>
      </c>
      <c r="AV69" s="71">
        <f t="shared" si="27"/>
        <v>41.333333333333336</v>
      </c>
      <c r="AW69" s="74">
        <f t="shared" si="28"/>
        <v>92.038849773689407</v>
      </c>
    </row>
    <row r="70" spans="17:49" x14ac:dyDescent="0.35">
      <c r="Q70">
        <v>63</v>
      </c>
      <c r="R70" s="73">
        <f t="shared" si="0"/>
        <v>50</v>
      </c>
      <c r="S70" s="71">
        <f t="shared" si="32"/>
        <v>0.84000000000000008</v>
      </c>
      <c r="T70" s="71">
        <f t="shared" si="2"/>
        <v>5</v>
      </c>
      <c r="U70" s="74">
        <f t="shared" si="33"/>
        <v>8.4000000000000021</v>
      </c>
      <c r="V70" s="73">
        <f>IF(Variable_Management!$B$20=3,2,IF((S70*R70/T70)&lt;((T70*(1-(T70/R70)))/(2*Lm*Fsw)),1,2))</f>
        <v>2</v>
      </c>
      <c r="W70" s="71">
        <f t="shared" si="34"/>
        <v>0.9</v>
      </c>
      <c r="X70" s="74">
        <f t="shared" si="35"/>
        <v>9.9999999999999978E-2</v>
      </c>
      <c r="Y70" s="73">
        <f t="shared" si="36"/>
        <v>0.85227272727272718</v>
      </c>
      <c r="Z70" s="71">
        <f t="shared" si="30"/>
        <v>8.8261363636363654</v>
      </c>
      <c r="AA70" s="71">
        <f t="shared" si="31"/>
        <v>8.4036022474574015</v>
      </c>
      <c r="AB70" s="71">
        <v>0</v>
      </c>
      <c r="AC70" s="71">
        <f t="shared" si="37"/>
        <v>0.30366828215392566</v>
      </c>
      <c r="AD70" s="74">
        <f t="shared" si="16"/>
        <v>0.30366828215392566</v>
      </c>
      <c r="AE70" s="73">
        <f t="shared" si="29"/>
        <v>7.5600000000000023</v>
      </c>
      <c r="AF70" s="71">
        <f t="shared" si="17"/>
        <v>7.9723570956225984</v>
      </c>
      <c r="AG70" s="71">
        <f t="shared" si="38"/>
        <v>0.55931460340909112</v>
      </c>
      <c r="AH70" s="71">
        <f t="shared" si="39"/>
        <v>1.733742826398853</v>
      </c>
      <c r="AI70" s="74">
        <f t="shared" si="19"/>
        <v>2.293057429807944</v>
      </c>
      <c r="AJ70" s="73">
        <f t="shared" si="20"/>
        <v>0.84000000000000008</v>
      </c>
      <c r="AK70" s="71">
        <f t="shared" si="40"/>
        <v>2.6574523652075324</v>
      </c>
      <c r="AL70" s="71">
        <f t="shared" si="41"/>
        <v>6.2146067045454549E-2</v>
      </c>
      <c r="AM70" s="71">
        <f t="shared" si="48"/>
        <v>0.42468800000000007</v>
      </c>
      <c r="AN70" s="188">
        <f t="shared" si="42"/>
        <v>6.2136000000000018E-2</v>
      </c>
      <c r="AO70" s="74">
        <f t="shared" si="24"/>
        <v>0.54897006704545459</v>
      </c>
      <c r="AP70" s="73">
        <f t="shared" si="43"/>
        <v>0.14124106146694218</v>
      </c>
      <c r="AQ70" s="206">
        <f t="shared" si="44"/>
        <v>0.30366828215392566</v>
      </c>
      <c r="AR70" s="206">
        <f t="shared" si="45"/>
        <v>1.6586782538474829E-2</v>
      </c>
      <c r="AS70" s="71">
        <f t="shared" si="46"/>
        <v>3.9600000000000003E-2</v>
      </c>
      <c r="AT70" s="74">
        <f t="shared" si="47"/>
        <v>1.6499999999999998E-5</v>
      </c>
      <c r="AU70" s="73">
        <f t="shared" si="26"/>
        <v>3.6468084051666669</v>
      </c>
      <c r="AV70" s="71">
        <f t="shared" si="27"/>
        <v>42.000000000000007</v>
      </c>
      <c r="AW70" s="74">
        <f t="shared" si="28"/>
        <v>92.010814046850442</v>
      </c>
    </row>
    <row r="71" spans="17:49" x14ac:dyDescent="0.35">
      <c r="Q71">
        <v>64</v>
      </c>
      <c r="R71" s="73">
        <f t="shared" ref="R71:R134" si="49">VOUT</f>
        <v>50</v>
      </c>
      <c r="S71" s="71">
        <f t="shared" ref="S71:S102" si="50">Q71*$O$12</f>
        <v>0.85333333333333339</v>
      </c>
      <c r="T71" s="71">
        <f t="shared" ref="T71:T134" si="51">VIN_var</f>
        <v>5</v>
      </c>
      <c r="U71" s="74">
        <f t="shared" ref="U71:U102" si="52">(R71*S71)/(T71*EFF_est)</f>
        <v>8.533333333333335</v>
      </c>
      <c r="V71" s="73">
        <f>IF(Variable_Management!$B$20=3,2,IF((S71*R71/T71)&lt;((T71*(1-(T71/R71)))/(2*Lm*Fsw)),1,2))</f>
        <v>2</v>
      </c>
      <c r="W71" s="71">
        <f t="shared" ref="W71:W102" si="53">CHOOSE(V71,SQRT((2*S71*Lm*Fsw*(R71-T71))/((T71)^2)),1-(T71/R71))</f>
        <v>0.9</v>
      </c>
      <c r="X71" s="74">
        <f t="shared" ref="X71:X102" si="54">CHOOSE(V71,(Lm*Z71*Fsw)/(R71-T71),1-W71)</f>
        <v>9.9999999999999978E-2</v>
      </c>
      <c r="Y71" s="73">
        <f t="shared" ref="Y71:Y102" si="55">(T71*W71)/(Lm*Fsw)</f>
        <v>0.85227272727272718</v>
      </c>
      <c r="Z71" s="71">
        <f t="shared" si="30"/>
        <v>8.9594696969696983</v>
      </c>
      <c r="AA71" s="71">
        <f t="shared" si="31"/>
        <v>8.5368793192389028</v>
      </c>
      <c r="AB71" s="71">
        <v>0</v>
      </c>
      <c r="AC71" s="71">
        <f t="shared" ref="AC71:AC102" si="56">(AA71^2)*Rdcr</f>
        <v>0.31337672659837018</v>
      </c>
      <c r="AD71" s="74">
        <f t="shared" si="16"/>
        <v>0.31337672659837018</v>
      </c>
      <c r="AE71" s="73">
        <f t="shared" si="29"/>
        <v>7.6800000000000015</v>
      </c>
      <c r="AF71" s="71">
        <f t="shared" si="17"/>
        <v>8.0987948276347872</v>
      </c>
      <c r="AG71" s="71">
        <f t="shared" ref="AG71:AG102" si="57">(AF71^2)*RDS_on</f>
        <v>0.57719620340909106</v>
      </c>
      <c r="AH71" s="71">
        <f t="shared" ref="AH71:AH102" si="58">((R71*U71)/2)*Fsw*(tr_sw+tf_sw)</f>
        <v>1.7612625538020092</v>
      </c>
      <c r="AI71" s="74">
        <f t="shared" si="19"/>
        <v>2.3384587572111002</v>
      </c>
      <c r="AJ71" s="73">
        <f t="shared" si="20"/>
        <v>0.85333333333333328</v>
      </c>
      <c r="AK71" s="71">
        <f t="shared" ref="AK71:AK102" si="59">CHOOSE(V71,Z71*SQRT(X71/3),SQRT(X71*((Z71^2)+((Y71^2)/3)-(Y71*Z71))))</f>
        <v>2.699598275878262</v>
      </c>
      <c r="AL71" s="71">
        <f t="shared" ref="AL71:AL102" si="60">(AK71^2)*RDS_on_HS</f>
        <v>6.4132911489898997E-2</v>
      </c>
      <c r="AM71" s="71">
        <f t="shared" si="48"/>
        <v>0.42468800000000007</v>
      </c>
      <c r="AN71" s="188">
        <f t="shared" ref="AN71:AN102" si="61">Vd_rect*t_dead*Fsw*Z71</f>
        <v>6.3074666666666682E-2</v>
      </c>
      <c r="AO71" s="74">
        <f t="shared" si="24"/>
        <v>0.55189557815656576</v>
      </c>
      <c r="AP71" s="73">
        <f t="shared" ref="AP71:AP102" si="62">(AA71^2)*R_cs</f>
        <v>0.14575661702249776</v>
      </c>
      <c r="AQ71" s="206">
        <f t="shared" ref="AQ71:AQ102" si="63">Rdcr*AA71^2</f>
        <v>0.31337672659837018</v>
      </c>
      <c r="AR71" s="206">
        <f t="shared" ref="AR71:AR102" si="64">ABS(7.759*10^-3*Fsw^0.9458*(0.00787*Y71)^2.304)</f>
        <v>1.6586782538474829E-2</v>
      </c>
      <c r="AS71" s="71">
        <f t="shared" ref="AS71:AS102" si="65">(Qg_tot+Qg_tot_HS)*Vcc*Fsw</f>
        <v>3.9600000000000003E-2</v>
      </c>
      <c r="AT71" s="74">
        <f t="shared" ref="AT71:AT102" si="66">IQ*T71</f>
        <v>1.6499999999999998E-5</v>
      </c>
      <c r="AU71" s="73">
        <f t="shared" si="26"/>
        <v>3.7190676881253792</v>
      </c>
      <c r="AV71" s="71">
        <f t="shared" si="27"/>
        <v>42.666666666666671</v>
      </c>
      <c r="AW71" s="74">
        <f t="shared" si="28"/>
        <v>91.982302878554805</v>
      </c>
    </row>
    <row r="72" spans="17:49" x14ac:dyDescent="0.35">
      <c r="Q72">
        <v>65</v>
      </c>
      <c r="R72" s="73">
        <f t="shared" si="49"/>
        <v>50</v>
      </c>
      <c r="S72" s="71">
        <f t="shared" si="50"/>
        <v>0.8666666666666667</v>
      </c>
      <c r="T72" s="71">
        <f t="shared" si="51"/>
        <v>5</v>
      </c>
      <c r="U72" s="74">
        <f t="shared" si="52"/>
        <v>8.6666666666666679</v>
      </c>
      <c r="V72" s="73">
        <f>IF(Variable_Management!$B$20=3,2,IF((S72*R72/T72)&lt;((T72*(1-(T72/R72)))/(2*Lm*Fsw)),1,2))</f>
        <v>2</v>
      </c>
      <c r="W72" s="71">
        <f t="shared" si="53"/>
        <v>0.9</v>
      </c>
      <c r="X72" s="74">
        <f t="shared" si="54"/>
        <v>9.9999999999999978E-2</v>
      </c>
      <c r="Y72" s="73">
        <f t="shared" si="55"/>
        <v>0.85227272727272718</v>
      </c>
      <c r="Z72" s="71">
        <f t="shared" si="30"/>
        <v>9.0928030303030312</v>
      </c>
      <c r="AA72" s="71">
        <f t="shared" si="31"/>
        <v>8.6701581210830412</v>
      </c>
      <c r="AB72" s="71">
        <v>0</v>
      </c>
      <c r="AC72" s="71">
        <f t="shared" si="56"/>
        <v>0.32323805993170351</v>
      </c>
      <c r="AD72" s="74">
        <f t="shared" ref="AD72:AD135" si="67">AB72+AC72</f>
        <v>0.32323805993170351</v>
      </c>
      <c r="AE72" s="73">
        <f t="shared" si="29"/>
        <v>7.8000000000000016</v>
      </c>
      <c r="AF72" s="71">
        <f t="shared" ref="AF72:AF135" si="68">CHOOSE(V72,Z72*SQRT(W72/3),SQRT(W72*((Z72^2)+((Y72^2)/3)-(Z72*Y72))))</f>
        <v>8.2252342009285044</v>
      </c>
      <c r="AG72" s="71">
        <f t="shared" si="57"/>
        <v>0.59535940340909099</v>
      </c>
      <c r="AH72" s="71">
        <f t="shared" si="58"/>
        <v>1.7887822812051655</v>
      </c>
      <c r="AI72" s="74">
        <f t="shared" ref="AI72:AI135" si="69">AG72+AH72</f>
        <v>2.3841416846142565</v>
      </c>
      <c r="AJ72" s="73">
        <f t="shared" ref="AJ72:AJ135" si="70">X72*U72</f>
        <v>0.86666666666666659</v>
      </c>
      <c r="AK72" s="71">
        <f t="shared" si="59"/>
        <v>2.7417447336428347</v>
      </c>
      <c r="AL72" s="71">
        <f t="shared" si="60"/>
        <v>6.6151044823232322E-2</v>
      </c>
      <c r="AM72" s="71">
        <f t="shared" ref="AM72:AM103" si="71">CHOOSE(V72,(R72+Vd_rect)*Qrr*Fsw,(R72+Vd_rect)*Qrr*Fsw)</f>
        <v>0.42468800000000007</v>
      </c>
      <c r="AN72" s="188">
        <f t="shared" si="61"/>
        <v>6.4013333333333339E-2</v>
      </c>
      <c r="AO72" s="74">
        <f t="shared" ref="AO72:AO135" si="72">AL72+AM72+AN72</f>
        <v>0.55485237815656574</v>
      </c>
      <c r="AP72" s="73">
        <f t="shared" si="62"/>
        <v>0.15034328368916441</v>
      </c>
      <c r="AQ72" s="206">
        <f t="shared" si="63"/>
        <v>0.32323805993170351</v>
      </c>
      <c r="AR72" s="206">
        <f t="shared" si="64"/>
        <v>1.6586782538474829E-2</v>
      </c>
      <c r="AS72" s="71">
        <f t="shared" si="65"/>
        <v>3.9600000000000003E-2</v>
      </c>
      <c r="AT72" s="74">
        <f t="shared" si="66"/>
        <v>1.6499999999999998E-5</v>
      </c>
      <c r="AU72" s="73">
        <f t="shared" ref="AU72:AU135" si="73">AP72+AO72+AI72+AD72+AS72+AT72+AQ72+AR72</f>
        <v>3.7920167488618683</v>
      </c>
      <c r="AV72" s="71">
        <f t="shared" ref="AV72:AV135" si="74">R72*S72</f>
        <v>43.333333333333336</v>
      </c>
      <c r="AW72" s="74">
        <f t="shared" ref="AW72:AW135" si="75">(AV72/(AV72+AU72))*100</f>
        <v>91.95333988554377</v>
      </c>
    </row>
    <row r="73" spans="17:49" x14ac:dyDescent="0.35">
      <c r="Q73">
        <v>66</v>
      </c>
      <c r="R73" s="73">
        <f t="shared" si="49"/>
        <v>50</v>
      </c>
      <c r="S73" s="71">
        <f t="shared" si="50"/>
        <v>0.88</v>
      </c>
      <c r="T73" s="71">
        <f t="shared" si="51"/>
        <v>5</v>
      </c>
      <c r="U73" s="74">
        <f t="shared" si="52"/>
        <v>8.8000000000000007</v>
      </c>
      <c r="V73" s="73">
        <f>IF(Variable_Management!$B$20=3,2,IF((S73*R73/T73)&lt;((T73*(1-(T73/R73)))/(2*Lm*Fsw)),1,2))</f>
        <v>2</v>
      </c>
      <c r="W73" s="71">
        <f t="shared" si="53"/>
        <v>0.9</v>
      </c>
      <c r="X73" s="74">
        <f t="shared" si="54"/>
        <v>9.9999999999999978E-2</v>
      </c>
      <c r="Y73" s="73">
        <f t="shared" si="55"/>
        <v>0.85227272727272718</v>
      </c>
      <c r="Z73" s="71">
        <f t="shared" si="30"/>
        <v>9.226136363636364</v>
      </c>
      <c r="AA73" s="71">
        <f t="shared" si="31"/>
        <v>8.8034385744134713</v>
      </c>
      <c r="AB73" s="71">
        <v>0</v>
      </c>
      <c r="AC73" s="71">
        <f t="shared" si="56"/>
        <v>0.33325228215392572</v>
      </c>
      <c r="AD73" s="74">
        <f t="shared" si="67"/>
        <v>0.33325228215392572</v>
      </c>
      <c r="AE73" s="73">
        <f t="shared" ref="AE73:AE136" si="76">U73*W73</f>
        <v>7.9200000000000008</v>
      </c>
      <c r="AF73" s="71">
        <f t="shared" si="68"/>
        <v>8.3516751409596868</v>
      </c>
      <c r="AG73" s="71">
        <f t="shared" si="57"/>
        <v>0.61380420340909125</v>
      </c>
      <c r="AH73" s="71">
        <f t="shared" si="58"/>
        <v>1.8163020086083219</v>
      </c>
      <c r="AI73" s="74">
        <f t="shared" si="69"/>
        <v>2.4301062120174133</v>
      </c>
      <c r="AJ73" s="73">
        <f t="shared" si="70"/>
        <v>0.87999999999999989</v>
      </c>
      <c r="AK73" s="71">
        <f t="shared" si="59"/>
        <v>2.7838917136532282</v>
      </c>
      <c r="AL73" s="71">
        <f t="shared" si="60"/>
        <v>6.8200467045454544E-2</v>
      </c>
      <c r="AM73" s="71">
        <f t="shared" si="71"/>
        <v>0.42468800000000007</v>
      </c>
      <c r="AN73" s="188">
        <f t="shared" si="61"/>
        <v>6.495200000000001E-2</v>
      </c>
      <c r="AO73" s="74">
        <f t="shared" si="72"/>
        <v>0.55784046704545465</v>
      </c>
      <c r="AP73" s="73">
        <f t="shared" si="62"/>
        <v>0.1550010614669422</v>
      </c>
      <c r="AQ73" s="206">
        <f t="shared" si="63"/>
        <v>0.33325228215392572</v>
      </c>
      <c r="AR73" s="206">
        <f t="shared" si="64"/>
        <v>1.6586782538474829E-2</v>
      </c>
      <c r="AS73" s="71">
        <f t="shared" si="65"/>
        <v>3.9600000000000003E-2</v>
      </c>
      <c r="AT73" s="74">
        <f t="shared" si="66"/>
        <v>1.6499999999999998E-5</v>
      </c>
      <c r="AU73" s="73">
        <f t="shared" si="73"/>
        <v>3.8656555873761369</v>
      </c>
      <c r="AV73" s="71">
        <f t="shared" si="74"/>
        <v>44</v>
      </c>
      <c r="AW73" s="74">
        <f t="shared" si="75"/>
        <v>91.923947264611058</v>
      </c>
    </row>
    <row r="74" spans="17:49" x14ac:dyDescent="0.35">
      <c r="Q74">
        <v>67</v>
      </c>
      <c r="R74" s="73">
        <f t="shared" si="49"/>
        <v>50</v>
      </c>
      <c r="S74" s="71">
        <f t="shared" si="50"/>
        <v>0.89333333333333342</v>
      </c>
      <c r="T74" s="71">
        <f t="shared" si="51"/>
        <v>5</v>
      </c>
      <c r="U74" s="74">
        <f t="shared" si="52"/>
        <v>8.9333333333333336</v>
      </c>
      <c r="V74" s="73">
        <f>IF(Variable_Management!$B$20=3,2,IF((S74*R74/T74)&lt;((T74*(1-(T74/R74)))/(2*Lm*Fsw)),1,2))</f>
        <v>2</v>
      </c>
      <c r="W74" s="71">
        <f t="shared" si="53"/>
        <v>0.9</v>
      </c>
      <c r="X74" s="74">
        <f t="shared" si="54"/>
        <v>9.9999999999999978E-2</v>
      </c>
      <c r="Y74" s="73">
        <f t="shared" si="55"/>
        <v>0.85227272727272718</v>
      </c>
      <c r="Z74" s="71">
        <f t="shared" si="30"/>
        <v>9.3594696969696969</v>
      </c>
      <c r="AA74" s="71">
        <f t="shared" si="31"/>
        <v>8.9367206053403905</v>
      </c>
      <c r="AB74" s="71">
        <v>0</v>
      </c>
      <c r="AC74" s="71">
        <f t="shared" si="56"/>
        <v>0.34341939326503668</v>
      </c>
      <c r="AD74" s="74">
        <f t="shared" si="67"/>
        <v>0.34341939326503668</v>
      </c>
      <c r="AE74" s="73">
        <f t="shared" si="76"/>
        <v>8.0400000000000009</v>
      </c>
      <c r="AF74" s="71">
        <f t="shared" si="68"/>
        <v>8.4781175776303073</v>
      </c>
      <c r="AG74" s="71">
        <f t="shared" si="57"/>
        <v>0.63253060340909117</v>
      </c>
      <c r="AH74" s="71">
        <f t="shared" si="58"/>
        <v>1.8438217360114781</v>
      </c>
      <c r="AI74" s="74">
        <f t="shared" si="69"/>
        <v>2.4763523394205693</v>
      </c>
      <c r="AJ74" s="73">
        <f t="shared" si="70"/>
        <v>0.8933333333333332</v>
      </c>
      <c r="AK74" s="71">
        <f t="shared" si="59"/>
        <v>2.8260391925434352</v>
      </c>
      <c r="AL74" s="71">
        <f t="shared" si="60"/>
        <v>7.0281178156565649E-2</v>
      </c>
      <c r="AM74" s="71">
        <f t="shared" si="71"/>
        <v>0.42468800000000007</v>
      </c>
      <c r="AN74" s="188">
        <f t="shared" si="61"/>
        <v>6.5890666666666667E-2</v>
      </c>
      <c r="AO74" s="74">
        <f t="shared" si="72"/>
        <v>0.56085984482323237</v>
      </c>
      <c r="AP74" s="73">
        <f t="shared" si="62"/>
        <v>0.15972995035583101</v>
      </c>
      <c r="AQ74" s="206">
        <f t="shared" si="63"/>
        <v>0.34341939326503668</v>
      </c>
      <c r="AR74" s="206">
        <f t="shared" si="64"/>
        <v>1.6586782538474829E-2</v>
      </c>
      <c r="AS74" s="71">
        <f t="shared" si="65"/>
        <v>3.9600000000000003E-2</v>
      </c>
      <c r="AT74" s="74">
        <f t="shared" si="66"/>
        <v>1.6499999999999998E-5</v>
      </c>
      <c r="AU74" s="73">
        <f t="shared" si="73"/>
        <v>3.9399842036681805</v>
      </c>
      <c r="AV74" s="71">
        <f t="shared" si="74"/>
        <v>44.666666666666671</v>
      </c>
      <c r="AW74" s="74">
        <f t="shared" si="75"/>
        <v>91.894145897485004</v>
      </c>
    </row>
    <row r="75" spans="17:49" x14ac:dyDescent="0.35">
      <c r="Q75">
        <v>68</v>
      </c>
      <c r="R75" s="73">
        <f t="shared" si="49"/>
        <v>50</v>
      </c>
      <c r="S75" s="71">
        <f t="shared" si="50"/>
        <v>0.90666666666666673</v>
      </c>
      <c r="T75" s="71">
        <f t="shared" si="51"/>
        <v>5</v>
      </c>
      <c r="U75" s="74">
        <f t="shared" si="52"/>
        <v>9.0666666666666664</v>
      </c>
      <c r="V75" s="73">
        <f>IF(Variable_Management!$B$20=3,2,IF((S75*R75/T75)&lt;((T75*(1-(T75/R75)))/(2*Lm*Fsw)),1,2))</f>
        <v>2</v>
      </c>
      <c r="W75" s="71">
        <f t="shared" si="53"/>
        <v>0.9</v>
      </c>
      <c r="X75" s="74">
        <f t="shared" si="54"/>
        <v>9.9999999999999978E-2</v>
      </c>
      <c r="Y75" s="73">
        <f t="shared" si="55"/>
        <v>0.85227272727272718</v>
      </c>
      <c r="Z75" s="71">
        <f t="shared" si="30"/>
        <v>9.4928030303030297</v>
      </c>
      <c r="AA75" s="71">
        <f t="shared" si="31"/>
        <v>9.0700041443163357</v>
      </c>
      <c r="AB75" s="71">
        <v>0</v>
      </c>
      <c r="AC75" s="71">
        <f t="shared" si="56"/>
        <v>0.35373939326503667</v>
      </c>
      <c r="AD75" s="74">
        <f t="shared" si="67"/>
        <v>0.35373939326503667</v>
      </c>
      <c r="AE75" s="73">
        <f t="shared" si="76"/>
        <v>8.16</v>
      </c>
      <c r="AF75" s="71">
        <f t="shared" si="68"/>
        <v>8.6045614449618508</v>
      </c>
      <c r="AG75" s="71">
        <f t="shared" si="57"/>
        <v>0.65153860340909098</v>
      </c>
      <c r="AH75" s="71">
        <f t="shared" si="58"/>
        <v>1.8713414634146344</v>
      </c>
      <c r="AI75" s="74">
        <f t="shared" si="69"/>
        <v>2.5228800668237255</v>
      </c>
      <c r="AJ75" s="73">
        <f t="shared" si="70"/>
        <v>0.9066666666666664</v>
      </c>
      <c r="AK75" s="71">
        <f t="shared" si="59"/>
        <v>2.8681871483206165</v>
      </c>
      <c r="AL75" s="71">
        <f t="shared" si="60"/>
        <v>7.2393178156565652E-2</v>
      </c>
      <c r="AM75" s="71">
        <f t="shared" si="71"/>
        <v>0.42468800000000007</v>
      </c>
      <c r="AN75" s="188">
        <f t="shared" si="61"/>
        <v>6.6829333333333338E-2</v>
      </c>
      <c r="AO75" s="74">
        <f t="shared" si="72"/>
        <v>0.56391051148989901</v>
      </c>
      <c r="AP75" s="73">
        <f t="shared" si="62"/>
        <v>0.16452995035583101</v>
      </c>
      <c r="AQ75" s="206">
        <f t="shared" si="63"/>
        <v>0.35373939326503667</v>
      </c>
      <c r="AR75" s="206">
        <f t="shared" si="64"/>
        <v>1.6586782538474829E-2</v>
      </c>
      <c r="AS75" s="71">
        <f t="shared" si="65"/>
        <v>3.9600000000000003E-2</v>
      </c>
      <c r="AT75" s="74">
        <f t="shared" si="66"/>
        <v>1.6499999999999998E-5</v>
      </c>
      <c r="AU75" s="73">
        <f t="shared" si="73"/>
        <v>4.0150025977380039</v>
      </c>
      <c r="AV75" s="71">
        <f t="shared" si="74"/>
        <v>45.333333333333336</v>
      </c>
      <c r="AW75" s="74">
        <f t="shared" si="75"/>
        <v>91.863955446550278</v>
      </c>
    </row>
    <row r="76" spans="17:49" x14ac:dyDescent="0.35">
      <c r="Q76">
        <v>69</v>
      </c>
      <c r="R76" s="73">
        <f t="shared" si="49"/>
        <v>50</v>
      </c>
      <c r="S76" s="71">
        <f t="shared" si="50"/>
        <v>0.92</v>
      </c>
      <c r="T76" s="71">
        <f t="shared" si="51"/>
        <v>5</v>
      </c>
      <c r="U76" s="74">
        <f t="shared" si="52"/>
        <v>9.1999999999999993</v>
      </c>
      <c r="V76" s="73">
        <f>IF(Variable_Management!$B$20=3,2,IF((S76*R76/T76)&lt;((T76*(1-(T76/R76)))/(2*Lm*Fsw)),1,2))</f>
        <v>2</v>
      </c>
      <c r="W76" s="71">
        <f t="shared" si="53"/>
        <v>0.9</v>
      </c>
      <c r="X76" s="74">
        <f t="shared" si="54"/>
        <v>9.9999999999999978E-2</v>
      </c>
      <c r="Y76" s="73">
        <f t="shared" si="55"/>
        <v>0.85227272727272718</v>
      </c>
      <c r="Z76" s="71">
        <f t="shared" si="30"/>
        <v>9.6261363636363626</v>
      </c>
      <c r="AA76" s="71">
        <f t="shared" si="31"/>
        <v>9.2032891258218683</v>
      </c>
      <c r="AB76" s="71">
        <v>0</v>
      </c>
      <c r="AC76" s="71">
        <f t="shared" si="56"/>
        <v>0.36421228215392554</v>
      </c>
      <c r="AD76" s="74">
        <f t="shared" si="67"/>
        <v>0.36421228215392554</v>
      </c>
      <c r="AE76" s="73">
        <f t="shared" si="76"/>
        <v>8.2799999999999994</v>
      </c>
      <c r="AF76" s="71">
        <f t="shared" si="68"/>
        <v>8.7310066807971207</v>
      </c>
      <c r="AG76" s="71">
        <f t="shared" si="57"/>
        <v>0.67082820340909077</v>
      </c>
      <c r="AH76" s="71">
        <f t="shared" si="58"/>
        <v>1.8988611908177906</v>
      </c>
      <c r="AI76" s="74">
        <f t="shared" si="69"/>
        <v>2.5696893942268813</v>
      </c>
      <c r="AJ76" s="73">
        <f t="shared" si="70"/>
        <v>0.91999999999999971</v>
      </c>
      <c r="AK76" s="71">
        <f t="shared" si="59"/>
        <v>2.9103355602657066</v>
      </c>
      <c r="AL76" s="71">
        <f t="shared" si="60"/>
        <v>7.4536467045454524E-2</v>
      </c>
      <c r="AM76" s="71">
        <f t="shared" si="71"/>
        <v>0.42468800000000007</v>
      </c>
      <c r="AN76" s="188">
        <f t="shared" si="61"/>
        <v>6.7767999999999995E-2</v>
      </c>
      <c r="AO76" s="74">
        <f t="shared" si="72"/>
        <v>0.56699246704545458</v>
      </c>
      <c r="AP76" s="73">
        <f t="shared" si="62"/>
        <v>0.16940106146694212</v>
      </c>
      <c r="AQ76" s="206">
        <f t="shared" si="63"/>
        <v>0.36421228215392554</v>
      </c>
      <c r="AR76" s="206">
        <f t="shared" si="64"/>
        <v>1.6586782538474829E-2</v>
      </c>
      <c r="AS76" s="71">
        <f t="shared" si="65"/>
        <v>3.9600000000000003E-2</v>
      </c>
      <c r="AT76" s="74">
        <f t="shared" si="66"/>
        <v>1.6499999999999998E-5</v>
      </c>
      <c r="AU76" s="73">
        <f t="shared" si="73"/>
        <v>4.0907107695856038</v>
      </c>
      <c r="AV76" s="71">
        <f t="shared" si="74"/>
        <v>46</v>
      </c>
      <c r="AW76" s="74">
        <f t="shared" si="75"/>
        <v>91.833394442329549</v>
      </c>
    </row>
    <row r="77" spans="17:49" x14ac:dyDescent="0.35">
      <c r="Q77">
        <v>70</v>
      </c>
      <c r="R77" s="73">
        <f t="shared" si="49"/>
        <v>50</v>
      </c>
      <c r="S77" s="71">
        <f t="shared" si="50"/>
        <v>0.93333333333333335</v>
      </c>
      <c r="T77" s="71">
        <f t="shared" si="51"/>
        <v>5</v>
      </c>
      <c r="U77" s="74">
        <f t="shared" si="52"/>
        <v>9.3333333333333321</v>
      </c>
      <c r="V77" s="73">
        <f>IF(Variable_Management!$B$20=3,2,IF((S77*R77/T77)&lt;((T77*(1-(T77/R77)))/(2*Lm*Fsw)),1,2))</f>
        <v>2</v>
      </c>
      <c r="W77" s="71">
        <f t="shared" si="53"/>
        <v>0.9</v>
      </c>
      <c r="X77" s="74">
        <f t="shared" si="54"/>
        <v>9.9999999999999978E-2</v>
      </c>
      <c r="Y77" s="73">
        <f t="shared" si="55"/>
        <v>0.85227272727272718</v>
      </c>
      <c r="Z77" s="71">
        <f t="shared" si="30"/>
        <v>9.7594696969696955</v>
      </c>
      <c r="AA77" s="71">
        <f t="shared" si="31"/>
        <v>9.3365754880781715</v>
      </c>
      <c r="AB77" s="71">
        <v>0</v>
      </c>
      <c r="AC77" s="71">
        <f t="shared" si="56"/>
        <v>0.37483805993170322</v>
      </c>
      <c r="AD77" s="74">
        <f t="shared" si="67"/>
        <v>0.37483805993170322</v>
      </c>
      <c r="AE77" s="73">
        <f t="shared" si="76"/>
        <v>8.3999999999999986</v>
      </c>
      <c r="AF77" s="71">
        <f t="shared" si="68"/>
        <v>8.8574532265275874</v>
      </c>
      <c r="AG77" s="71">
        <f t="shared" si="57"/>
        <v>0.69039940340909101</v>
      </c>
      <c r="AH77" s="71">
        <f t="shared" si="58"/>
        <v>1.926380918220947</v>
      </c>
      <c r="AI77" s="74">
        <f t="shared" si="69"/>
        <v>2.616780321630038</v>
      </c>
      <c r="AJ77" s="73">
        <f t="shared" si="70"/>
        <v>0.93333333333333302</v>
      </c>
      <c r="AK77" s="71">
        <f t="shared" si="59"/>
        <v>2.9524844088425284</v>
      </c>
      <c r="AL77" s="71">
        <f t="shared" si="60"/>
        <v>7.6711044823232294E-2</v>
      </c>
      <c r="AM77" s="71">
        <f t="shared" si="71"/>
        <v>0.42468800000000007</v>
      </c>
      <c r="AN77" s="188">
        <f t="shared" si="61"/>
        <v>6.8706666666666652E-2</v>
      </c>
      <c r="AO77" s="74">
        <f t="shared" si="72"/>
        <v>0.57010571148989908</v>
      </c>
      <c r="AP77" s="73">
        <f t="shared" si="62"/>
        <v>0.1743432836891643</v>
      </c>
      <c r="AQ77" s="206">
        <f t="shared" si="63"/>
        <v>0.37483805993170322</v>
      </c>
      <c r="AR77" s="206">
        <f t="shared" si="64"/>
        <v>1.6586782538474829E-2</v>
      </c>
      <c r="AS77" s="71">
        <f t="shared" si="65"/>
        <v>3.9600000000000003E-2</v>
      </c>
      <c r="AT77" s="74">
        <f t="shared" si="66"/>
        <v>1.6499999999999998E-5</v>
      </c>
      <c r="AU77" s="73">
        <f t="shared" si="73"/>
        <v>4.167108719210983</v>
      </c>
      <c r="AV77" s="71">
        <f t="shared" si="74"/>
        <v>46.666666666666664</v>
      </c>
      <c r="AW77" s="74">
        <f t="shared" si="75"/>
        <v>91.80248036354061</v>
      </c>
    </row>
    <row r="78" spans="17:49" x14ac:dyDescent="0.35">
      <c r="Q78">
        <v>71</v>
      </c>
      <c r="R78" s="73">
        <f t="shared" si="49"/>
        <v>50</v>
      </c>
      <c r="S78" s="71">
        <f t="shared" si="50"/>
        <v>0.94666666666666677</v>
      </c>
      <c r="T78" s="71">
        <f t="shared" si="51"/>
        <v>5</v>
      </c>
      <c r="U78" s="74">
        <f t="shared" si="52"/>
        <v>9.4666666666666668</v>
      </c>
      <c r="V78" s="73">
        <f>IF(Variable_Management!$B$20=3,2,IF((S78*R78/T78)&lt;((T78*(1-(T78/R78)))/(2*Lm*Fsw)),1,2))</f>
        <v>2</v>
      </c>
      <c r="W78" s="71">
        <f t="shared" si="53"/>
        <v>0.9</v>
      </c>
      <c r="X78" s="74">
        <f t="shared" si="54"/>
        <v>9.9999999999999978E-2</v>
      </c>
      <c r="Y78" s="73">
        <f t="shared" si="55"/>
        <v>0.85227272727272718</v>
      </c>
      <c r="Z78" s="71">
        <f t="shared" si="30"/>
        <v>9.8928030303030301</v>
      </c>
      <c r="AA78" s="71">
        <f t="shared" si="31"/>
        <v>9.4698631727839047</v>
      </c>
      <c r="AB78" s="71">
        <v>0</v>
      </c>
      <c r="AC78" s="71">
        <f t="shared" si="56"/>
        <v>0.38561672659837004</v>
      </c>
      <c r="AD78" s="74">
        <f t="shared" si="67"/>
        <v>0.38561672659837004</v>
      </c>
      <c r="AE78" s="73">
        <f t="shared" si="76"/>
        <v>8.52</v>
      </c>
      <c r="AF78" s="71">
        <f t="shared" si="68"/>
        <v>8.9839010268437374</v>
      </c>
      <c r="AG78" s="71">
        <f t="shared" si="57"/>
        <v>0.7102522034090909</v>
      </c>
      <c r="AH78" s="71">
        <f t="shared" si="58"/>
        <v>1.9539006456241035</v>
      </c>
      <c r="AI78" s="74">
        <f t="shared" si="69"/>
        <v>2.6641528490331945</v>
      </c>
      <c r="AJ78" s="73">
        <f t="shared" si="70"/>
        <v>0.94666666666666643</v>
      </c>
      <c r="AK78" s="71">
        <f t="shared" si="59"/>
        <v>2.9946336756145788</v>
      </c>
      <c r="AL78" s="71">
        <f t="shared" si="60"/>
        <v>7.8916911489898961E-2</v>
      </c>
      <c r="AM78" s="71">
        <f t="shared" si="71"/>
        <v>0.42468800000000007</v>
      </c>
      <c r="AN78" s="188">
        <f t="shared" si="61"/>
        <v>6.9645333333333337E-2</v>
      </c>
      <c r="AO78" s="74">
        <f t="shared" si="72"/>
        <v>0.57325024482323239</v>
      </c>
      <c r="AP78" s="73">
        <f t="shared" si="62"/>
        <v>0.17935661702249769</v>
      </c>
      <c r="AQ78" s="206">
        <f t="shared" si="63"/>
        <v>0.38561672659837004</v>
      </c>
      <c r="AR78" s="206">
        <f t="shared" si="64"/>
        <v>1.6586782538474829E-2</v>
      </c>
      <c r="AS78" s="71">
        <f t="shared" si="65"/>
        <v>3.9600000000000003E-2</v>
      </c>
      <c r="AT78" s="74">
        <f t="shared" si="66"/>
        <v>1.6499999999999998E-5</v>
      </c>
      <c r="AU78" s="73">
        <f t="shared" si="73"/>
        <v>4.24419644661414</v>
      </c>
      <c r="AV78" s="71">
        <f t="shared" si="74"/>
        <v>47.333333333333336</v>
      </c>
      <c r="AW78" s="74">
        <f t="shared" si="75"/>
        <v>91.771229710453838</v>
      </c>
    </row>
    <row r="79" spans="17:49" x14ac:dyDescent="0.35">
      <c r="Q79">
        <v>72</v>
      </c>
      <c r="R79" s="73">
        <f t="shared" si="49"/>
        <v>50</v>
      </c>
      <c r="S79" s="71">
        <f t="shared" si="50"/>
        <v>0.96000000000000008</v>
      </c>
      <c r="T79" s="71">
        <f t="shared" si="51"/>
        <v>5</v>
      </c>
      <c r="U79" s="74">
        <f t="shared" si="52"/>
        <v>9.6000000000000014</v>
      </c>
      <c r="V79" s="73">
        <f>IF(Variable_Management!$B$20=3,2,IF((S79*R79/T79)&lt;((T79*(1-(T79/R79)))/(2*Lm*Fsw)),1,2))</f>
        <v>2</v>
      </c>
      <c r="W79" s="71">
        <f t="shared" si="53"/>
        <v>0.9</v>
      </c>
      <c r="X79" s="74">
        <f t="shared" si="54"/>
        <v>9.9999999999999978E-2</v>
      </c>
      <c r="Y79" s="73">
        <f t="shared" si="55"/>
        <v>0.85227272727272718</v>
      </c>
      <c r="Z79" s="71">
        <f t="shared" si="30"/>
        <v>10.026136363636365</v>
      </c>
      <c r="AA79" s="71">
        <f t="shared" si="31"/>
        <v>9.6031521248739509</v>
      </c>
      <c r="AB79" s="71">
        <v>0</v>
      </c>
      <c r="AC79" s="71">
        <f t="shared" si="56"/>
        <v>0.39654828215392562</v>
      </c>
      <c r="AD79" s="74">
        <f t="shared" si="67"/>
        <v>0.39654828215392562</v>
      </c>
      <c r="AE79" s="73">
        <f t="shared" si="76"/>
        <v>8.6400000000000023</v>
      </c>
      <c r="AF79" s="71">
        <f t="shared" si="68"/>
        <v>9.1103500295062201</v>
      </c>
      <c r="AG79" s="71">
        <f t="shared" si="57"/>
        <v>0.73038660340909112</v>
      </c>
      <c r="AH79" s="71">
        <f t="shared" si="58"/>
        <v>1.9814203730272602</v>
      </c>
      <c r="AI79" s="74">
        <f t="shared" si="69"/>
        <v>2.7118069764363515</v>
      </c>
      <c r="AJ79" s="73">
        <f t="shared" si="70"/>
        <v>0.96</v>
      </c>
      <c r="AK79" s="71">
        <f t="shared" si="59"/>
        <v>3.0367833431687399</v>
      </c>
      <c r="AL79" s="71">
        <f t="shared" si="60"/>
        <v>8.1154067045454567E-2</v>
      </c>
      <c r="AM79" s="71">
        <f t="shared" si="71"/>
        <v>0.42468800000000007</v>
      </c>
      <c r="AN79" s="188">
        <f t="shared" si="61"/>
        <v>7.0584000000000008E-2</v>
      </c>
      <c r="AO79" s="74">
        <f t="shared" si="72"/>
        <v>0.57642606704545463</v>
      </c>
      <c r="AP79" s="73">
        <f t="shared" si="62"/>
        <v>0.18444106146694217</v>
      </c>
      <c r="AQ79" s="206">
        <f t="shared" si="63"/>
        <v>0.39654828215392562</v>
      </c>
      <c r="AR79" s="206">
        <f t="shared" si="64"/>
        <v>1.6586782538474829E-2</v>
      </c>
      <c r="AS79" s="71">
        <f t="shared" si="65"/>
        <v>3.9600000000000003E-2</v>
      </c>
      <c r="AT79" s="74">
        <f t="shared" si="66"/>
        <v>1.6499999999999998E-5</v>
      </c>
      <c r="AU79" s="73">
        <f t="shared" si="73"/>
        <v>4.3219739517950746</v>
      </c>
      <c r="AV79" s="71">
        <f t="shared" si="74"/>
        <v>48.000000000000007</v>
      </c>
      <c r="AW79" s="74">
        <f t="shared" si="75"/>
        <v>91.73965807219551</v>
      </c>
    </row>
    <row r="80" spans="17:49" x14ac:dyDescent="0.35">
      <c r="Q80">
        <v>73</v>
      </c>
      <c r="R80" s="73">
        <f t="shared" si="49"/>
        <v>50</v>
      </c>
      <c r="S80" s="71">
        <f t="shared" si="50"/>
        <v>0.97333333333333338</v>
      </c>
      <c r="T80" s="71">
        <f t="shared" si="51"/>
        <v>5</v>
      </c>
      <c r="U80" s="74">
        <f t="shared" si="52"/>
        <v>9.7333333333333343</v>
      </c>
      <c r="V80" s="73">
        <f>IF(Variable_Management!$B$20=3,2,IF((S80*R80/T80)&lt;((T80*(1-(T80/R80)))/(2*Lm*Fsw)),1,2))</f>
        <v>2</v>
      </c>
      <c r="W80" s="71">
        <f t="shared" si="53"/>
        <v>0.9</v>
      </c>
      <c r="X80" s="74">
        <f t="shared" si="54"/>
        <v>9.9999999999999978E-2</v>
      </c>
      <c r="Y80" s="73">
        <f t="shared" si="55"/>
        <v>0.85227272727272718</v>
      </c>
      <c r="Z80" s="71">
        <f t="shared" ref="Z80:Z143" si="77">CHOOSE(V80,Y80,U80+(0.5*Y80))</f>
        <v>10.159469696969698</v>
      </c>
      <c r="AA80" s="71">
        <f t="shared" ref="AA80:AA143" si="78">CHOOSE(V80,Z80*SQRT((W80+X80)/3),SQRT((U80^2)+((Y80^2)/12)))</f>
        <v>9.736442292297987</v>
      </c>
      <c r="AB80" s="71">
        <v>0</v>
      </c>
      <c r="AC80" s="71">
        <f t="shared" si="56"/>
        <v>0.40763272659837019</v>
      </c>
      <c r="AD80" s="74">
        <f t="shared" si="67"/>
        <v>0.40763272659837019</v>
      </c>
      <c r="AE80" s="73">
        <f t="shared" si="76"/>
        <v>8.7600000000000016</v>
      </c>
      <c r="AF80" s="71">
        <f t="shared" si="68"/>
        <v>9.2368001851357597</v>
      </c>
      <c r="AG80" s="71">
        <f t="shared" si="57"/>
        <v>0.75080260340909122</v>
      </c>
      <c r="AH80" s="71">
        <f t="shared" si="58"/>
        <v>2.0089401004304168</v>
      </c>
      <c r="AI80" s="74">
        <f t="shared" si="69"/>
        <v>2.7597427038395081</v>
      </c>
      <c r="AJ80" s="73">
        <f t="shared" si="70"/>
        <v>0.97333333333333316</v>
      </c>
      <c r="AK80" s="71">
        <f t="shared" si="59"/>
        <v>3.0789333950452527</v>
      </c>
      <c r="AL80" s="71">
        <f t="shared" si="60"/>
        <v>8.3422511489899001E-2</v>
      </c>
      <c r="AM80" s="71">
        <f t="shared" si="71"/>
        <v>0.42468800000000007</v>
      </c>
      <c r="AN80" s="188">
        <f t="shared" si="61"/>
        <v>7.1522666666666679E-2</v>
      </c>
      <c r="AO80" s="74">
        <f t="shared" si="72"/>
        <v>0.57963317815656579</v>
      </c>
      <c r="AP80" s="73">
        <f t="shared" si="62"/>
        <v>0.18959661702249775</v>
      </c>
      <c r="AQ80" s="206">
        <f t="shared" si="63"/>
        <v>0.40763272659837019</v>
      </c>
      <c r="AR80" s="206">
        <f t="shared" si="64"/>
        <v>1.6586782538474829E-2</v>
      </c>
      <c r="AS80" s="71">
        <f t="shared" si="65"/>
        <v>3.9600000000000003E-2</v>
      </c>
      <c r="AT80" s="74">
        <f t="shared" si="66"/>
        <v>1.6499999999999998E-5</v>
      </c>
      <c r="AU80" s="73">
        <f t="shared" si="73"/>
        <v>4.4004412347537878</v>
      </c>
      <c r="AV80" s="71">
        <f t="shared" si="74"/>
        <v>48.666666666666671</v>
      </c>
      <c r="AW80" s="74">
        <f t="shared" si="75"/>
        <v>91.707780188571391</v>
      </c>
    </row>
    <row r="81" spans="17:49" x14ac:dyDescent="0.35">
      <c r="Q81">
        <v>74</v>
      </c>
      <c r="R81" s="73">
        <f t="shared" si="49"/>
        <v>50</v>
      </c>
      <c r="S81" s="71">
        <f t="shared" si="50"/>
        <v>0.98666666666666669</v>
      </c>
      <c r="T81" s="71">
        <f t="shared" si="51"/>
        <v>5</v>
      </c>
      <c r="U81" s="74">
        <f t="shared" si="52"/>
        <v>9.8666666666666671</v>
      </c>
      <c r="V81" s="73">
        <f>IF(Variable_Management!$B$20=3,2,IF((S81*R81/T81)&lt;((T81*(1-(T81/R81)))/(2*Lm*Fsw)),1,2))</f>
        <v>2</v>
      </c>
      <c r="W81" s="71">
        <f t="shared" si="53"/>
        <v>0.9</v>
      </c>
      <c r="X81" s="74">
        <f t="shared" si="54"/>
        <v>9.9999999999999978E-2</v>
      </c>
      <c r="Y81" s="73">
        <f t="shared" si="55"/>
        <v>0.85227272727272718</v>
      </c>
      <c r="Z81" s="71">
        <f t="shared" si="77"/>
        <v>10.29280303030303</v>
      </c>
      <c r="AA81" s="71">
        <f t="shared" si="78"/>
        <v>9.8697336258169699</v>
      </c>
      <c r="AB81" s="71">
        <v>0</v>
      </c>
      <c r="AC81" s="71">
        <f t="shared" si="56"/>
        <v>0.41887005993170345</v>
      </c>
      <c r="AD81" s="74">
        <f t="shared" si="67"/>
        <v>0.41887005993170345</v>
      </c>
      <c r="AE81" s="73">
        <f t="shared" si="76"/>
        <v>8.8800000000000008</v>
      </c>
      <c r="AF81" s="71">
        <f t="shared" si="68"/>
        <v>9.3632514470200991</v>
      </c>
      <c r="AG81" s="71">
        <f t="shared" si="57"/>
        <v>0.77150020340909109</v>
      </c>
      <c r="AH81" s="71">
        <f t="shared" si="58"/>
        <v>2.036459827833573</v>
      </c>
      <c r="AI81" s="74">
        <f t="shared" si="69"/>
        <v>2.807960031242664</v>
      </c>
      <c r="AJ81" s="73">
        <f t="shared" si="70"/>
        <v>0.98666666666666647</v>
      </c>
      <c r="AK81" s="71">
        <f t="shared" si="59"/>
        <v>3.1210838156733658</v>
      </c>
      <c r="AL81" s="71">
        <f t="shared" si="60"/>
        <v>8.5722244823232319E-2</v>
      </c>
      <c r="AM81" s="71">
        <f t="shared" si="71"/>
        <v>0.42468800000000007</v>
      </c>
      <c r="AN81" s="188">
        <f t="shared" si="61"/>
        <v>7.2461333333333336E-2</v>
      </c>
      <c r="AO81" s="74">
        <f t="shared" si="72"/>
        <v>0.58287157815656576</v>
      </c>
      <c r="AP81" s="73">
        <f t="shared" si="62"/>
        <v>0.19482328368916438</v>
      </c>
      <c r="AQ81" s="206">
        <f t="shared" si="63"/>
        <v>0.41887005993170345</v>
      </c>
      <c r="AR81" s="206">
        <f t="shared" si="64"/>
        <v>1.6586782538474829E-2</v>
      </c>
      <c r="AS81" s="71">
        <f t="shared" si="65"/>
        <v>3.9600000000000003E-2</v>
      </c>
      <c r="AT81" s="74">
        <f t="shared" si="66"/>
        <v>1.6499999999999998E-5</v>
      </c>
      <c r="AU81" s="73">
        <f t="shared" si="73"/>
        <v>4.479598295490276</v>
      </c>
      <c r="AV81" s="71">
        <f t="shared" si="74"/>
        <v>49.333333333333336</v>
      </c>
      <c r="AW81" s="74">
        <f t="shared" si="75"/>
        <v>91.675610006924643</v>
      </c>
    </row>
    <row r="82" spans="17:49" x14ac:dyDescent="0.35">
      <c r="Q82">
        <v>75</v>
      </c>
      <c r="R82" s="73">
        <f t="shared" si="49"/>
        <v>50</v>
      </c>
      <c r="S82" s="71">
        <f t="shared" si="50"/>
        <v>1</v>
      </c>
      <c r="T82" s="71">
        <f t="shared" si="51"/>
        <v>5</v>
      </c>
      <c r="U82" s="74">
        <f t="shared" si="52"/>
        <v>10</v>
      </c>
      <c r="V82" s="73">
        <f>IF(Variable_Management!$B$20=3,2,IF((S82*R82/T82)&lt;((T82*(1-(T82/R82)))/(2*Lm*Fsw)),1,2))</f>
        <v>2</v>
      </c>
      <c r="W82" s="71">
        <f t="shared" si="53"/>
        <v>0.9</v>
      </c>
      <c r="X82" s="74">
        <f t="shared" si="54"/>
        <v>9.9999999999999978E-2</v>
      </c>
      <c r="Y82" s="73">
        <f t="shared" si="55"/>
        <v>0.85227272727272718</v>
      </c>
      <c r="Z82" s="71">
        <f t="shared" si="77"/>
        <v>10.426136363636363</v>
      </c>
      <c r="AA82" s="71">
        <f t="shared" si="78"/>
        <v>10.003026078815903</v>
      </c>
      <c r="AB82" s="71">
        <v>0</v>
      </c>
      <c r="AC82" s="71">
        <f t="shared" si="56"/>
        <v>0.43026028215392559</v>
      </c>
      <c r="AD82" s="74">
        <f t="shared" si="67"/>
        <v>0.43026028215392559</v>
      </c>
      <c r="AE82" s="73">
        <f t="shared" si="76"/>
        <v>9</v>
      </c>
      <c r="AF82" s="71">
        <f t="shared" si="68"/>
        <v>9.4897037709363694</v>
      </c>
      <c r="AG82" s="71">
        <f t="shared" si="57"/>
        <v>0.79247940340909084</v>
      </c>
      <c r="AH82" s="71">
        <f t="shared" si="58"/>
        <v>2.0639795552367293</v>
      </c>
      <c r="AI82" s="74">
        <f t="shared" si="69"/>
        <v>2.85645895864582</v>
      </c>
      <c r="AJ82" s="73">
        <f t="shared" si="70"/>
        <v>0.99999999999999978</v>
      </c>
      <c r="AK82" s="71">
        <f t="shared" si="59"/>
        <v>3.1632345903121228</v>
      </c>
      <c r="AL82" s="71">
        <f t="shared" si="60"/>
        <v>8.805326704545452E-2</v>
      </c>
      <c r="AM82" s="71">
        <f t="shared" si="71"/>
        <v>0.42468800000000007</v>
      </c>
      <c r="AN82" s="188">
        <f t="shared" si="61"/>
        <v>7.3400000000000007E-2</v>
      </c>
      <c r="AO82" s="74">
        <f t="shared" si="72"/>
        <v>0.58614126704545455</v>
      </c>
      <c r="AP82" s="73">
        <f t="shared" si="62"/>
        <v>0.20012106146694214</v>
      </c>
      <c r="AQ82" s="206">
        <f t="shared" si="63"/>
        <v>0.43026028215392559</v>
      </c>
      <c r="AR82" s="206">
        <f t="shared" si="64"/>
        <v>1.6586782538474829E-2</v>
      </c>
      <c r="AS82" s="71">
        <f t="shared" si="65"/>
        <v>3.9600000000000003E-2</v>
      </c>
      <c r="AT82" s="74">
        <f t="shared" si="66"/>
        <v>1.6499999999999998E-5</v>
      </c>
      <c r="AU82" s="73">
        <f t="shared" si="73"/>
        <v>4.5594451340045428</v>
      </c>
      <c r="AV82" s="71">
        <f t="shared" si="74"/>
        <v>50</v>
      </c>
      <c r="AW82" s="74">
        <f t="shared" si="75"/>
        <v>91.643160734486955</v>
      </c>
    </row>
    <row r="83" spans="17:49" x14ac:dyDescent="0.35">
      <c r="Q83">
        <v>76</v>
      </c>
      <c r="R83" s="73">
        <f t="shared" si="49"/>
        <v>50</v>
      </c>
      <c r="S83" s="71">
        <f t="shared" si="50"/>
        <v>1.0133333333333334</v>
      </c>
      <c r="T83" s="71">
        <f t="shared" si="51"/>
        <v>5</v>
      </c>
      <c r="U83" s="74">
        <f t="shared" si="52"/>
        <v>10.133333333333335</v>
      </c>
      <c r="V83" s="73">
        <f>IF(Variable_Management!$B$20=3,2,IF((S83*R83/T83)&lt;((T83*(1-(T83/R83)))/(2*Lm*Fsw)),1,2))</f>
        <v>2</v>
      </c>
      <c r="W83" s="71">
        <f t="shared" si="53"/>
        <v>0.9</v>
      </c>
      <c r="X83" s="74">
        <f t="shared" si="54"/>
        <v>9.9999999999999978E-2</v>
      </c>
      <c r="Y83" s="73">
        <f t="shared" si="55"/>
        <v>0.85227272727272718</v>
      </c>
      <c r="Z83" s="71">
        <f t="shared" si="77"/>
        <v>10.559469696969698</v>
      </c>
      <c r="AA83" s="71">
        <f t="shared" si="78"/>
        <v>10.136319607131355</v>
      </c>
      <c r="AB83" s="71">
        <v>0</v>
      </c>
      <c r="AC83" s="71">
        <f t="shared" si="56"/>
        <v>0.44180339326503687</v>
      </c>
      <c r="AD83" s="74">
        <f t="shared" si="67"/>
        <v>0.44180339326503687</v>
      </c>
      <c r="AE83" s="73">
        <f t="shared" si="76"/>
        <v>9.120000000000001</v>
      </c>
      <c r="AF83" s="71">
        <f t="shared" si="68"/>
        <v>9.6161571149874625</v>
      </c>
      <c r="AG83" s="71">
        <f t="shared" si="57"/>
        <v>0.81374020340909126</v>
      </c>
      <c r="AH83" s="71">
        <f t="shared" si="58"/>
        <v>2.0914992826398859</v>
      </c>
      <c r="AI83" s="74">
        <f t="shared" si="69"/>
        <v>2.905239486048977</v>
      </c>
      <c r="AJ83" s="73">
        <f t="shared" si="70"/>
        <v>1.0133333333333332</v>
      </c>
      <c r="AK83" s="71">
        <f t="shared" si="59"/>
        <v>3.2053857049958205</v>
      </c>
      <c r="AL83" s="71">
        <f t="shared" si="60"/>
        <v>9.0415578156565674E-2</v>
      </c>
      <c r="AM83" s="71">
        <f t="shared" si="71"/>
        <v>0.42468800000000007</v>
      </c>
      <c r="AN83" s="188">
        <f t="shared" si="61"/>
        <v>7.4338666666666678E-2</v>
      </c>
      <c r="AO83" s="74">
        <f t="shared" si="72"/>
        <v>0.58944224482323238</v>
      </c>
      <c r="AP83" s="73">
        <f t="shared" si="62"/>
        <v>0.20548995035583109</v>
      </c>
      <c r="AQ83" s="206">
        <f t="shared" si="63"/>
        <v>0.44180339326503687</v>
      </c>
      <c r="AR83" s="206">
        <f t="shared" si="64"/>
        <v>1.6586782538474829E-2</v>
      </c>
      <c r="AS83" s="71">
        <f t="shared" si="65"/>
        <v>3.9600000000000003E-2</v>
      </c>
      <c r="AT83" s="74">
        <f t="shared" si="66"/>
        <v>1.6499999999999998E-5</v>
      </c>
      <c r="AU83" s="73">
        <f t="shared" si="73"/>
        <v>4.639981750296589</v>
      </c>
      <c r="AV83" s="71">
        <f t="shared" si="74"/>
        <v>50.666666666666671</v>
      </c>
      <c r="AW83" s="74">
        <f t="shared" si="75"/>
        <v>91.610444886634184</v>
      </c>
    </row>
    <row r="84" spans="17:49" x14ac:dyDescent="0.35">
      <c r="Q84">
        <v>77</v>
      </c>
      <c r="R84" s="73">
        <f t="shared" si="49"/>
        <v>50</v>
      </c>
      <c r="S84" s="71">
        <f t="shared" si="50"/>
        <v>1.0266666666666668</v>
      </c>
      <c r="T84" s="71">
        <f t="shared" si="51"/>
        <v>5</v>
      </c>
      <c r="U84" s="74">
        <f t="shared" si="52"/>
        <v>10.266666666666669</v>
      </c>
      <c r="V84" s="73">
        <f>IF(Variable_Management!$B$20=3,2,IF((S84*R84/T84)&lt;((T84*(1-(T84/R84)))/(2*Lm*Fsw)),1,2))</f>
        <v>2</v>
      </c>
      <c r="W84" s="71">
        <f t="shared" si="53"/>
        <v>0.9</v>
      </c>
      <c r="X84" s="74">
        <f t="shared" si="54"/>
        <v>9.9999999999999978E-2</v>
      </c>
      <c r="Y84" s="73">
        <f t="shared" si="55"/>
        <v>0.85227272727272718</v>
      </c>
      <c r="Z84" s="71">
        <f t="shared" si="77"/>
        <v>10.692803030303033</v>
      </c>
      <c r="AA84" s="71">
        <f t="shared" si="78"/>
        <v>10.269614168892401</v>
      </c>
      <c r="AB84" s="71">
        <v>0</v>
      </c>
      <c r="AC84" s="71">
        <f t="shared" si="56"/>
        <v>0.45349939326503691</v>
      </c>
      <c r="AD84" s="74">
        <f t="shared" si="67"/>
        <v>0.45349939326503691</v>
      </c>
      <c r="AE84" s="73">
        <f t="shared" si="76"/>
        <v>9.240000000000002</v>
      </c>
      <c r="AF84" s="71">
        <f t="shared" si="68"/>
        <v>9.7426114394511298</v>
      </c>
      <c r="AG84" s="71">
        <f t="shared" si="57"/>
        <v>0.83528260340909133</v>
      </c>
      <c r="AH84" s="71">
        <f t="shared" si="58"/>
        <v>2.1190190100430426</v>
      </c>
      <c r="AI84" s="74">
        <f t="shared" si="69"/>
        <v>2.954301613452134</v>
      </c>
      <c r="AJ84" s="73">
        <f t="shared" si="70"/>
        <v>1.0266666666666666</v>
      </c>
      <c r="AK84" s="71">
        <f t="shared" si="59"/>
        <v>3.2475371464837095</v>
      </c>
      <c r="AL84" s="71">
        <f t="shared" si="60"/>
        <v>9.2809178156565683E-2</v>
      </c>
      <c r="AM84" s="71">
        <f t="shared" si="71"/>
        <v>0.42468800000000007</v>
      </c>
      <c r="AN84" s="188">
        <f t="shared" si="61"/>
        <v>7.5277333333333349E-2</v>
      </c>
      <c r="AO84" s="74">
        <f t="shared" si="72"/>
        <v>0.59277451148989901</v>
      </c>
      <c r="AP84" s="73">
        <f t="shared" si="62"/>
        <v>0.21092995035583112</v>
      </c>
      <c r="AQ84" s="206">
        <f t="shared" si="63"/>
        <v>0.45349939326503691</v>
      </c>
      <c r="AR84" s="206">
        <f t="shared" si="64"/>
        <v>1.6586782538474829E-2</v>
      </c>
      <c r="AS84" s="71">
        <f t="shared" si="65"/>
        <v>3.9600000000000003E-2</v>
      </c>
      <c r="AT84" s="74">
        <f t="shared" si="66"/>
        <v>1.6499999999999998E-5</v>
      </c>
      <c r="AU84" s="73">
        <f t="shared" si="73"/>
        <v>4.7212081443664138</v>
      </c>
      <c r="AV84" s="71">
        <f t="shared" si="74"/>
        <v>51.333333333333343</v>
      </c>
      <c r="AW84" s="74">
        <f t="shared" si="75"/>
        <v>91.577474331415843</v>
      </c>
    </row>
    <row r="85" spans="17:49" x14ac:dyDescent="0.35">
      <c r="Q85">
        <v>78</v>
      </c>
      <c r="R85" s="73">
        <f t="shared" si="49"/>
        <v>50</v>
      </c>
      <c r="S85" s="71">
        <f t="shared" si="50"/>
        <v>1.04</v>
      </c>
      <c r="T85" s="71">
        <f t="shared" si="51"/>
        <v>5</v>
      </c>
      <c r="U85" s="74">
        <f t="shared" si="52"/>
        <v>10.4</v>
      </c>
      <c r="V85" s="73">
        <f>IF(Variable_Management!$B$20=3,2,IF((S85*R85/T85)&lt;((T85*(1-(T85/R85)))/(2*Lm*Fsw)),1,2))</f>
        <v>2</v>
      </c>
      <c r="W85" s="71">
        <f t="shared" si="53"/>
        <v>0.9</v>
      </c>
      <c r="X85" s="74">
        <f t="shared" si="54"/>
        <v>9.9999999999999978E-2</v>
      </c>
      <c r="Y85" s="73">
        <f t="shared" si="55"/>
        <v>0.85227272727272718</v>
      </c>
      <c r="Z85" s="71">
        <f t="shared" si="77"/>
        <v>10.826136363636364</v>
      </c>
      <c r="AA85" s="71">
        <f t="shared" si="78"/>
        <v>10.402909724373805</v>
      </c>
      <c r="AB85" s="71">
        <v>0</v>
      </c>
      <c r="AC85" s="71">
        <f t="shared" si="56"/>
        <v>0.4653482821539256</v>
      </c>
      <c r="AD85" s="74">
        <f t="shared" si="67"/>
        <v>0.4653482821539256</v>
      </c>
      <c r="AE85" s="73">
        <f t="shared" si="76"/>
        <v>9.3600000000000012</v>
      </c>
      <c r="AF85" s="71">
        <f t="shared" si="68"/>
        <v>9.8690667066407034</v>
      </c>
      <c r="AG85" s="71">
        <f t="shared" si="57"/>
        <v>0.85710660340909106</v>
      </c>
      <c r="AH85" s="71">
        <f t="shared" si="58"/>
        <v>2.1465387374461984</v>
      </c>
      <c r="AI85" s="74">
        <f t="shared" si="69"/>
        <v>3.0036453408552894</v>
      </c>
      <c r="AJ85" s="73">
        <f t="shared" si="70"/>
        <v>1.0399999999999998</v>
      </c>
      <c r="AK85" s="71">
        <f t="shared" si="59"/>
        <v>3.2896889022135674</v>
      </c>
      <c r="AL85" s="71">
        <f t="shared" si="60"/>
        <v>9.5234067045454548E-2</v>
      </c>
      <c r="AM85" s="71">
        <f t="shared" si="71"/>
        <v>0.42468800000000007</v>
      </c>
      <c r="AN85" s="188">
        <f t="shared" si="61"/>
        <v>7.6216000000000006E-2</v>
      </c>
      <c r="AO85" s="74">
        <f t="shared" si="72"/>
        <v>0.59613806704545458</v>
      </c>
      <c r="AP85" s="73">
        <f t="shared" si="62"/>
        <v>0.21644106146694214</v>
      </c>
      <c r="AQ85" s="206">
        <f t="shared" si="63"/>
        <v>0.4653482821539256</v>
      </c>
      <c r="AR85" s="206">
        <f t="shared" si="64"/>
        <v>1.6586782538474829E-2</v>
      </c>
      <c r="AS85" s="71">
        <f t="shared" si="65"/>
        <v>3.9600000000000003E-2</v>
      </c>
      <c r="AT85" s="74">
        <f t="shared" si="66"/>
        <v>1.6499999999999998E-5</v>
      </c>
      <c r="AU85" s="73">
        <f t="shared" si="73"/>
        <v>4.8031243162140127</v>
      </c>
      <c r="AV85" s="71">
        <f t="shared" si="74"/>
        <v>52</v>
      </c>
      <c r="AW85" s="74">
        <f t="shared" si="75"/>
        <v>91.544260330689255</v>
      </c>
    </row>
    <row r="86" spans="17:49" x14ac:dyDescent="0.35">
      <c r="Q86">
        <v>79</v>
      </c>
      <c r="R86" s="73">
        <f t="shared" si="49"/>
        <v>50</v>
      </c>
      <c r="S86" s="71">
        <f t="shared" si="50"/>
        <v>1.0533333333333335</v>
      </c>
      <c r="T86" s="71">
        <f t="shared" si="51"/>
        <v>5</v>
      </c>
      <c r="U86" s="74">
        <f t="shared" si="52"/>
        <v>10.533333333333335</v>
      </c>
      <c r="V86" s="73">
        <f>IF(Variable_Management!$B$20=3,2,IF((S86*R86/T86)&lt;((T86*(1-(T86/R86)))/(2*Lm*Fsw)),1,2))</f>
        <v>2</v>
      </c>
      <c r="W86" s="71">
        <f t="shared" si="53"/>
        <v>0.9</v>
      </c>
      <c r="X86" s="74">
        <f t="shared" si="54"/>
        <v>9.9999999999999978E-2</v>
      </c>
      <c r="Y86" s="73">
        <f t="shared" si="55"/>
        <v>0.85227272727272718</v>
      </c>
      <c r="Z86" s="71">
        <f t="shared" si="77"/>
        <v>10.959469696969698</v>
      </c>
      <c r="AA86" s="71">
        <f t="shared" si="78"/>
        <v>10.536206235860336</v>
      </c>
      <c r="AB86" s="71">
        <v>0</v>
      </c>
      <c r="AC86" s="71">
        <f t="shared" si="56"/>
        <v>0.4773500599317036</v>
      </c>
      <c r="AD86" s="74">
        <f t="shared" si="67"/>
        <v>0.4773500599317036</v>
      </c>
      <c r="AE86" s="73">
        <f t="shared" si="76"/>
        <v>9.4800000000000022</v>
      </c>
      <c r="AF86" s="71">
        <f t="shared" si="68"/>
        <v>9.9955228807763739</v>
      </c>
      <c r="AG86" s="71">
        <f t="shared" si="57"/>
        <v>0.87921220340909134</v>
      </c>
      <c r="AH86" s="71">
        <f t="shared" si="58"/>
        <v>2.1740584648493551</v>
      </c>
      <c r="AI86" s="74">
        <f t="shared" si="69"/>
        <v>3.0532706682584463</v>
      </c>
      <c r="AJ86" s="73">
        <f t="shared" si="70"/>
        <v>1.0533333333333332</v>
      </c>
      <c r="AK86" s="71">
        <f t="shared" si="59"/>
        <v>3.3318409602587904</v>
      </c>
      <c r="AL86" s="71">
        <f t="shared" si="60"/>
        <v>9.7690244823232325E-2</v>
      </c>
      <c r="AM86" s="71">
        <f t="shared" si="71"/>
        <v>0.42468800000000007</v>
      </c>
      <c r="AN86" s="188">
        <f t="shared" si="61"/>
        <v>7.7154666666666677E-2</v>
      </c>
      <c r="AO86" s="74">
        <f t="shared" si="72"/>
        <v>0.59953291148989907</v>
      </c>
      <c r="AP86" s="73">
        <f t="shared" si="62"/>
        <v>0.22202328368916446</v>
      </c>
      <c r="AQ86" s="206">
        <f t="shared" si="63"/>
        <v>0.4773500599317036</v>
      </c>
      <c r="AR86" s="206">
        <f t="shared" si="64"/>
        <v>1.6586782538474829E-2</v>
      </c>
      <c r="AS86" s="71">
        <f t="shared" si="65"/>
        <v>3.9600000000000003E-2</v>
      </c>
      <c r="AT86" s="74">
        <f t="shared" si="66"/>
        <v>1.6499999999999998E-5</v>
      </c>
      <c r="AU86" s="73">
        <f t="shared" si="73"/>
        <v>4.885730265839392</v>
      </c>
      <c r="AV86" s="71">
        <f t="shared" si="74"/>
        <v>52.666666666666671</v>
      </c>
      <c r="AW86" s="74">
        <f t="shared" si="75"/>
        <v>91.510813578157169</v>
      </c>
    </row>
    <row r="87" spans="17:49" x14ac:dyDescent="0.35">
      <c r="Q87">
        <v>80</v>
      </c>
      <c r="R87" s="73">
        <f t="shared" si="49"/>
        <v>50</v>
      </c>
      <c r="S87" s="71">
        <f t="shared" si="50"/>
        <v>1.0666666666666667</v>
      </c>
      <c r="T87" s="71">
        <f t="shared" si="51"/>
        <v>5</v>
      </c>
      <c r="U87" s="74">
        <f t="shared" si="52"/>
        <v>10.666666666666668</v>
      </c>
      <c r="V87" s="73">
        <f>IF(Variable_Management!$B$20=3,2,IF((S87*R87/T87)&lt;((T87*(1-(T87/R87)))/(2*Lm*Fsw)),1,2))</f>
        <v>2</v>
      </c>
      <c r="W87" s="71">
        <f t="shared" si="53"/>
        <v>0.9</v>
      </c>
      <c r="X87" s="74">
        <f t="shared" si="54"/>
        <v>9.9999999999999978E-2</v>
      </c>
      <c r="Y87" s="73">
        <f t="shared" si="55"/>
        <v>0.85227272727272718</v>
      </c>
      <c r="Z87" s="71">
        <f t="shared" si="77"/>
        <v>11.092803030303031</v>
      </c>
      <c r="AA87" s="71">
        <f t="shared" si="78"/>
        <v>10.669503667521225</v>
      </c>
      <c r="AB87" s="71">
        <v>0</v>
      </c>
      <c r="AC87" s="71">
        <f t="shared" si="56"/>
        <v>0.48950472659837013</v>
      </c>
      <c r="AD87" s="74">
        <f t="shared" si="67"/>
        <v>0.48950472659837013</v>
      </c>
      <c r="AE87" s="73">
        <f t="shared" si="76"/>
        <v>9.6000000000000014</v>
      </c>
      <c r="AF87" s="71">
        <f t="shared" si="68"/>
        <v>10.121979927866089</v>
      </c>
      <c r="AG87" s="71">
        <f t="shared" si="57"/>
        <v>0.90159940340909128</v>
      </c>
      <c r="AH87" s="71">
        <f t="shared" si="58"/>
        <v>2.2015781922525113</v>
      </c>
      <c r="AI87" s="74">
        <f t="shared" si="69"/>
        <v>3.1031775956616023</v>
      </c>
      <c r="AJ87" s="73">
        <f t="shared" si="70"/>
        <v>1.0666666666666667</v>
      </c>
      <c r="AK87" s="71">
        <f t="shared" si="59"/>
        <v>3.373993309288696</v>
      </c>
      <c r="AL87" s="71">
        <f t="shared" si="60"/>
        <v>0.100177711489899</v>
      </c>
      <c r="AM87" s="71">
        <f t="shared" si="71"/>
        <v>0.42468800000000007</v>
      </c>
      <c r="AN87" s="188">
        <f t="shared" si="61"/>
        <v>7.8093333333333348E-2</v>
      </c>
      <c r="AO87" s="74">
        <f t="shared" si="72"/>
        <v>0.60295904482323237</v>
      </c>
      <c r="AP87" s="73">
        <f t="shared" si="62"/>
        <v>0.22767661702249775</v>
      </c>
      <c r="AQ87" s="206">
        <f t="shared" si="63"/>
        <v>0.48950472659837013</v>
      </c>
      <c r="AR87" s="206">
        <f t="shared" si="64"/>
        <v>1.6586782538474829E-2</v>
      </c>
      <c r="AS87" s="71">
        <f t="shared" si="65"/>
        <v>3.9600000000000003E-2</v>
      </c>
      <c r="AT87" s="74">
        <f t="shared" si="66"/>
        <v>1.6499999999999998E-5</v>
      </c>
      <c r="AU87" s="73">
        <f t="shared" si="73"/>
        <v>4.969025993242548</v>
      </c>
      <c r="AV87" s="71">
        <f t="shared" si="74"/>
        <v>53.333333333333336</v>
      </c>
      <c r="AW87" s="74">
        <f t="shared" si="75"/>
        <v>91.477144234577281</v>
      </c>
    </row>
    <row r="88" spans="17:49" x14ac:dyDescent="0.35">
      <c r="Q88">
        <v>81</v>
      </c>
      <c r="R88" s="73">
        <f t="shared" si="49"/>
        <v>50</v>
      </c>
      <c r="S88" s="71">
        <f t="shared" si="50"/>
        <v>1.08</v>
      </c>
      <c r="T88" s="71">
        <f t="shared" si="51"/>
        <v>5</v>
      </c>
      <c r="U88" s="74">
        <f t="shared" si="52"/>
        <v>10.8</v>
      </c>
      <c r="V88" s="73">
        <f>IF(Variable_Management!$B$20=3,2,IF((S88*R88/T88)&lt;((T88*(1-(T88/R88)))/(2*Lm*Fsw)),1,2))</f>
        <v>2</v>
      </c>
      <c r="W88" s="71">
        <f t="shared" si="53"/>
        <v>0.9</v>
      </c>
      <c r="X88" s="74">
        <f t="shared" si="54"/>
        <v>9.9999999999999978E-2</v>
      </c>
      <c r="Y88" s="73">
        <f t="shared" si="55"/>
        <v>0.85227272727272718</v>
      </c>
      <c r="Z88" s="71">
        <f t="shared" si="77"/>
        <v>11.226136363636364</v>
      </c>
      <c r="AA88" s="71">
        <f t="shared" si="78"/>
        <v>10.802801985293959</v>
      </c>
      <c r="AB88" s="71">
        <v>0</v>
      </c>
      <c r="AC88" s="71">
        <f t="shared" si="56"/>
        <v>0.5018122821539257</v>
      </c>
      <c r="AD88" s="74">
        <f t="shared" si="67"/>
        <v>0.5018122821539257</v>
      </c>
      <c r="AE88" s="73">
        <f t="shared" si="76"/>
        <v>9.7200000000000006</v>
      </c>
      <c r="AF88" s="71">
        <f t="shared" si="68"/>
        <v>10.248437815595311</v>
      </c>
      <c r="AG88" s="71">
        <f t="shared" si="57"/>
        <v>0.92426820340909122</v>
      </c>
      <c r="AH88" s="71">
        <f t="shared" si="58"/>
        <v>2.2290979196556675</v>
      </c>
      <c r="AI88" s="74">
        <f t="shared" si="69"/>
        <v>3.1533661230647585</v>
      </c>
      <c r="AJ88" s="73">
        <f t="shared" si="70"/>
        <v>1.0799999999999998</v>
      </c>
      <c r="AK88" s="71">
        <f t="shared" si="59"/>
        <v>3.4161459385317698</v>
      </c>
      <c r="AL88" s="71">
        <f t="shared" si="60"/>
        <v>0.10269646704545456</v>
      </c>
      <c r="AM88" s="71">
        <f t="shared" si="71"/>
        <v>0.42468800000000007</v>
      </c>
      <c r="AN88" s="188">
        <f t="shared" si="61"/>
        <v>7.9032000000000005E-2</v>
      </c>
      <c r="AO88" s="74">
        <f t="shared" si="72"/>
        <v>0.6064164670454546</v>
      </c>
      <c r="AP88" s="73">
        <f t="shared" si="62"/>
        <v>0.2334010614669422</v>
      </c>
      <c r="AQ88" s="206">
        <f t="shared" si="63"/>
        <v>0.5018122821539257</v>
      </c>
      <c r="AR88" s="206">
        <f t="shared" si="64"/>
        <v>1.6586782538474829E-2</v>
      </c>
      <c r="AS88" s="71">
        <f t="shared" si="65"/>
        <v>3.9600000000000003E-2</v>
      </c>
      <c r="AT88" s="74">
        <f t="shared" si="66"/>
        <v>1.6499999999999998E-5</v>
      </c>
      <c r="AU88" s="73">
        <f t="shared" si="73"/>
        <v>5.0530114984234817</v>
      </c>
      <c r="AV88" s="71">
        <f t="shared" si="74"/>
        <v>54</v>
      </c>
      <c r="AW88" s="74">
        <f t="shared" si="75"/>
        <v>91.443261960385584</v>
      </c>
    </row>
    <row r="89" spans="17:49" x14ac:dyDescent="0.35">
      <c r="Q89">
        <v>82</v>
      </c>
      <c r="R89" s="73">
        <f t="shared" si="49"/>
        <v>50</v>
      </c>
      <c r="S89" s="71">
        <f t="shared" si="50"/>
        <v>1.0933333333333335</v>
      </c>
      <c r="T89" s="71">
        <f t="shared" si="51"/>
        <v>5</v>
      </c>
      <c r="U89" s="74">
        <f t="shared" si="52"/>
        <v>10.933333333333334</v>
      </c>
      <c r="V89" s="73">
        <f>IF(Variable_Management!$B$20=3,2,IF((S89*R89/T89)&lt;((T89*(1-(T89/R89)))/(2*Lm*Fsw)),1,2))</f>
        <v>2</v>
      </c>
      <c r="W89" s="71">
        <f t="shared" si="53"/>
        <v>0.9</v>
      </c>
      <c r="X89" s="74">
        <f t="shared" si="54"/>
        <v>9.9999999999999978E-2</v>
      </c>
      <c r="Y89" s="73">
        <f t="shared" si="55"/>
        <v>0.85227272727272718</v>
      </c>
      <c r="Z89" s="71">
        <f t="shared" si="77"/>
        <v>11.359469696969697</v>
      </c>
      <c r="AA89" s="71">
        <f t="shared" si="78"/>
        <v>10.936101156776525</v>
      </c>
      <c r="AB89" s="71">
        <v>0</v>
      </c>
      <c r="AC89" s="71">
        <f t="shared" si="56"/>
        <v>0.51427272659837009</v>
      </c>
      <c r="AD89" s="74">
        <f t="shared" si="67"/>
        <v>0.51427272659837009</v>
      </c>
      <c r="AE89" s="73">
        <f t="shared" si="76"/>
        <v>9.84</v>
      </c>
      <c r="AF89" s="71">
        <f t="shared" si="68"/>
        <v>10.374896513224794</v>
      </c>
      <c r="AG89" s="71">
        <f t="shared" si="57"/>
        <v>0.94721860340909114</v>
      </c>
      <c r="AH89" s="71">
        <f t="shared" si="58"/>
        <v>2.2566176470588237</v>
      </c>
      <c r="AI89" s="74">
        <f t="shared" si="69"/>
        <v>3.2038362504679148</v>
      </c>
      <c r="AJ89" s="73">
        <f t="shared" si="70"/>
        <v>1.093333333333333</v>
      </c>
      <c r="AK89" s="71">
        <f t="shared" si="59"/>
        <v>3.4582988377415975</v>
      </c>
      <c r="AL89" s="71">
        <f t="shared" si="60"/>
        <v>0.10524651148989898</v>
      </c>
      <c r="AM89" s="71">
        <f t="shared" si="71"/>
        <v>0.42468800000000007</v>
      </c>
      <c r="AN89" s="188">
        <f t="shared" si="61"/>
        <v>7.9970666666666662E-2</v>
      </c>
      <c r="AO89" s="74">
        <f t="shared" si="72"/>
        <v>0.60990517815656564</v>
      </c>
      <c r="AP89" s="73">
        <f t="shared" si="62"/>
        <v>0.2391966170224977</v>
      </c>
      <c r="AQ89" s="206">
        <f t="shared" si="63"/>
        <v>0.51427272659837009</v>
      </c>
      <c r="AR89" s="206">
        <f t="shared" si="64"/>
        <v>1.6586782538474829E-2</v>
      </c>
      <c r="AS89" s="71">
        <f t="shared" si="65"/>
        <v>3.9600000000000003E-2</v>
      </c>
      <c r="AT89" s="74">
        <f t="shared" si="66"/>
        <v>1.6499999999999998E-5</v>
      </c>
      <c r="AU89" s="73">
        <f t="shared" si="73"/>
        <v>5.1376867813821931</v>
      </c>
      <c r="AV89" s="71">
        <f t="shared" si="74"/>
        <v>54.666666666666671</v>
      </c>
      <c r="AW89" s="74">
        <f t="shared" si="75"/>
        <v>91.409175945953123</v>
      </c>
    </row>
    <row r="90" spans="17:49" x14ac:dyDescent="0.35">
      <c r="Q90">
        <v>83</v>
      </c>
      <c r="R90" s="73">
        <f t="shared" si="49"/>
        <v>50</v>
      </c>
      <c r="S90" s="71">
        <f t="shared" si="50"/>
        <v>1.1066666666666667</v>
      </c>
      <c r="T90" s="71">
        <f t="shared" si="51"/>
        <v>5</v>
      </c>
      <c r="U90" s="74">
        <f t="shared" si="52"/>
        <v>11.066666666666666</v>
      </c>
      <c r="V90" s="73">
        <f>IF(Variable_Management!$B$20=3,2,IF((S90*R90/T90)&lt;((T90*(1-(T90/R90)))/(2*Lm*Fsw)),1,2))</f>
        <v>2</v>
      </c>
      <c r="W90" s="71">
        <f t="shared" si="53"/>
        <v>0.9</v>
      </c>
      <c r="X90" s="74">
        <f t="shared" si="54"/>
        <v>9.9999999999999978E-2</v>
      </c>
      <c r="Y90" s="73">
        <f t="shared" si="55"/>
        <v>0.85227272727272718</v>
      </c>
      <c r="Z90" s="71">
        <f t="shared" si="77"/>
        <v>11.49280303030303</v>
      </c>
      <c r="AA90" s="71">
        <f t="shared" si="78"/>
        <v>11.069401151127471</v>
      </c>
      <c r="AB90" s="71">
        <v>0</v>
      </c>
      <c r="AC90" s="71">
        <f t="shared" si="56"/>
        <v>0.52688605993170334</v>
      </c>
      <c r="AD90" s="74">
        <f t="shared" si="67"/>
        <v>0.52688605993170334</v>
      </c>
      <c r="AE90" s="73">
        <f t="shared" si="76"/>
        <v>9.9600000000000009</v>
      </c>
      <c r="AF90" s="71">
        <f t="shared" si="68"/>
        <v>10.501355991495762</v>
      </c>
      <c r="AG90" s="71">
        <f t="shared" si="57"/>
        <v>0.97045060340909073</v>
      </c>
      <c r="AH90" s="71">
        <f t="shared" si="58"/>
        <v>2.2841373744619804</v>
      </c>
      <c r="AI90" s="74">
        <f t="shared" si="69"/>
        <v>3.2545879778710711</v>
      </c>
      <c r="AJ90" s="73">
        <f t="shared" si="70"/>
        <v>1.1066666666666665</v>
      </c>
      <c r="AK90" s="71">
        <f t="shared" si="59"/>
        <v>3.5004519971652539</v>
      </c>
      <c r="AL90" s="71">
        <f t="shared" si="60"/>
        <v>0.10782784482323229</v>
      </c>
      <c r="AM90" s="71">
        <f t="shared" si="71"/>
        <v>0.42468800000000007</v>
      </c>
      <c r="AN90" s="188">
        <f t="shared" si="61"/>
        <v>8.0909333333333333E-2</v>
      </c>
      <c r="AO90" s="74">
        <f t="shared" si="72"/>
        <v>0.61342517815656561</v>
      </c>
      <c r="AP90" s="73">
        <f t="shared" si="62"/>
        <v>0.24506328368916433</v>
      </c>
      <c r="AQ90" s="206">
        <f t="shared" si="63"/>
        <v>0.52688605993170334</v>
      </c>
      <c r="AR90" s="206">
        <f t="shared" si="64"/>
        <v>1.6586782538474829E-2</v>
      </c>
      <c r="AS90" s="71">
        <f t="shared" si="65"/>
        <v>3.9600000000000003E-2</v>
      </c>
      <c r="AT90" s="74">
        <f t="shared" si="66"/>
        <v>1.6499999999999998E-5</v>
      </c>
      <c r="AU90" s="73">
        <f t="shared" si="73"/>
        <v>5.2230518421186831</v>
      </c>
      <c r="AV90" s="71">
        <f t="shared" si="74"/>
        <v>55.333333333333336</v>
      </c>
      <c r="AW90" s="74">
        <f t="shared" si="75"/>
        <v>91.374894939673553</v>
      </c>
    </row>
    <row r="91" spans="17:49" x14ac:dyDescent="0.35">
      <c r="Q91">
        <v>84</v>
      </c>
      <c r="R91" s="73">
        <f t="shared" si="49"/>
        <v>50</v>
      </c>
      <c r="S91" s="71">
        <f t="shared" si="50"/>
        <v>1.1200000000000001</v>
      </c>
      <c r="T91" s="71">
        <f t="shared" si="51"/>
        <v>5</v>
      </c>
      <c r="U91" s="74">
        <f t="shared" si="52"/>
        <v>11.200000000000001</v>
      </c>
      <c r="V91" s="73">
        <f>IF(Variable_Management!$B$20=3,2,IF((S91*R91/T91)&lt;((T91*(1-(T91/R91)))/(2*Lm*Fsw)),1,2))</f>
        <v>2</v>
      </c>
      <c r="W91" s="71">
        <f t="shared" si="53"/>
        <v>0.9</v>
      </c>
      <c r="X91" s="74">
        <f t="shared" si="54"/>
        <v>9.9999999999999978E-2</v>
      </c>
      <c r="Y91" s="73">
        <f t="shared" si="55"/>
        <v>0.85227272727272718</v>
      </c>
      <c r="Z91" s="71">
        <f t="shared" si="77"/>
        <v>11.626136363636364</v>
      </c>
      <c r="AA91" s="71">
        <f t="shared" si="78"/>
        <v>11.202701938973075</v>
      </c>
      <c r="AB91" s="71">
        <v>0</v>
      </c>
      <c r="AC91" s="71">
        <f t="shared" si="56"/>
        <v>0.53965228215392569</v>
      </c>
      <c r="AD91" s="74">
        <f t="shared" si="67"/>
        <v>0.53965228215392569</v>
      </c>
      <c r="AE91" s="73">
        <f t="shared" si="76"/>
        <v>10.080000000000002</v>
      </c>
      <c r="AF91" s="71">
        <f t="shared" si="68"/>
        <v>10.627816222541863</v>
      </c>
      <c r="AG91" s="71">
        <f t="shared" si="57"/>
        <v>0.9939642034090912</v>
      </c>
      <c r="AH91" s="71">
        <f t="shared" si="58"/>
        <v>2.3116571018651366</v>
      </c>
      <c r="AI91" s="74">
        <f t="shared" si="69"/>
        <v>3.3056213052742276</v>
      </c>
      <c r="AJ91" s="73">
        <f t="shared" si="70"/>
        <v>1.1199999999999999</v>
      </c>
      <c r="AK91" s="71">
        <f t="shared" si="59"/>
        <v>3.5426054075139541</v>
      </c>
      <c r="AL91" s="71">
        <f t="shared" si="60"/>
        <v>0.11044046704545457</v>
      </c>
      <c r="AM91" s="71">
        <f t="shared" si="71"/>
        <v>0.42468800000000007</v>
      </c>
      <c r="AN91" s="188">
        <f t="shared" si="61"/>
        <v>8.1848000000000004E-2</v>
      </c>
      <c r="AO91" s="74">
        <f t="shared" si="72"/>
        <v>0.61697646704545461</v>
      </c>
      <c r="AP91" s="73">
        <f t="shared" si="62"/>
        <v>0.25100106146694218</v>
      </c>
      <c r="AQ91" s="206">
        <f t="shared" si="63"/>
        <v>0.53965228215392569</v>
      </c>
      <c r="AR91" s="206">
        <f t="shared" si="64"/>
        <v>1.6586782538474829E-2</v>
      </c>
      <c r="AS91" s="71">
        <f t="shared" si="65"/>
        <v>3.9600000000000003E-2</v>
      </c>
      <c r="AT91" s="74">
        <f t="shared" si="66"/>
        <v>1.6499999999999998E-5</v>
      </c>
      <c r="AU91" s="73">
        <f t="shared" si="73"/>
        <v>5.3091066806329499</v>
      </c>
      <c r="AV91" s="71">
        <f t="shared" si="74"/>
        <v>56.000000000000007</v>
      </c>
      <c r="AW91" s="74">
        <f t="shared" si="75"/>
        <v>91.340427274060971</v>
      </c>
    </row>
    <row r="92" spans="17:49" x14ac:dyDescent="0.35">
      <c r="Q92">
        <v>85</v>
      </c>
      <c r="R92" s="73">
        <f t="shared" si="49"/>
        <v>50</v>
      </c>
      <c r="S92" s="71">
        <f t="shared" si="50"/>
        <v>1.1333333333333333</v>
      </c>
      <c r="T92" s="71">
        <f t="shared" si="51"/>
        <v>5</v>
      </c>
      <c r="U92" s="74">
        <f t="shared" si="52"/>
        <v>11.333333333333332</v>
      </c>
      <c r="V92" s="73">
        <f>IF(Variable_Management!$B$20=3,2,IF((S92*R92/T92)&lt;((T92*(1-(T92/R92)))/(2*Lm*Fsw)),1,2))</f>
        <v>2</v>
      </c>
      <c r="W92" s="71">
        <f t="shared" si="53"/>
        <v>0.9</v>
      </c>
      <c r="X92" s="74">
        <f t="shared" si="54"/>
        <v>9.9999999999999978E-2</v>
      </c>
      <c r="Y92" s="73">
        <f t="shared" si="55"/>
        <v>0.85227272727272718</v>
      </c>
      <c r="Z92" s="71">
        <f t="shared" si="77"/>
        <v>11.759469696969695</v>
      </c>
      <c r="AA92" s="71">
        <f t="shared" si="78"/>
        <v>11.336003492321071</v>
      </c>
      <c r="AB92" s="71">
        <v>0</v>
      </c>
      <c r="AC92" s="71">
        <f t="shared" si="56"/>
        <v>0.55257139326503679</v>
      </c>
      <c r="AD92" s="74">
        <f t="shared" si="67"/>
        <v>0.55257139326503679</v>
      </c>
      <c r="AE92" s="73">
        <f t="shared" si="76"/>
        <v>10.199999999999999</v>
      </c>
      <c r="AF92" s="71">
        <f t="shared" si="68"/>
        <v>10.754277179807294</v>
      </c>
      <c r="AG92" s="71">
        <f t="shared" si="57"/>
        <v>1.0177594034090907</v>
      </c>
      <c r="AH92" s="71">
        <f t="shared" si="58"/>
        <v>2.3391768292682928</v>
      </c>
      <c r="AI92" s="74">
        <f t="shared" si="69"/>
        <v>3.3569362326773833</v>
      </c>
      <c r="AJ92" s="73">
        <f t="shared" si="70"/>
        <v>1.1333333333333329</v>
      </c>
      <c r="AK92" s="71">
        <f t="shared" si="59"/>
        <v>3.5847590599357648</v>
      </c>
      <c r="AL92" s="71">
        <f t="shared" si="60"/>
        <v>0.11308437815656563</v>
      </c>
      <c r="AM92" s="71">
        <f t="shared" si="71"/>
        <v>0.42468800000000007</v>
      </c>
      <c r="AN92" s="188">
        <f t="shared" si="61"/>
        <v>8.2786666666666661E-2</v>
      </c>
      <c r="AO92" s="74">
        <f t="shared" si="72"/>
        <v>0.62055904482323243</v>
      </c>
      <c r="AP92" s="73">
        <f t="shared" si="62"/>
        <v>0.25700995035583107</v>
      </c>
      <c r="AQ92" s="206">
        <f t="shared" si="63"/>
        <v>0.55257139326503679</v>
      </c>
      <c r="AR92" s="206">
        <f t="shared" si="64"/>
        <v>1.6586782538474829E-2</v>
      </c>
      <c r="AS92" s="71">
        <f t="shared" si="65"/>
        <v>3.9600000000000003E-2</v>
      </c>
      <c r="AT92" s="74">
        <f t="shared" si="66"/>
        <v>1.6499999999999998E-5</v>
      </c>
      <c r="AU92" s="73">
        <f t="shared" si="73"/>
        <v>5.3958512969249961</v>
      </c>
      <c r="AV92" s="71">
        <f t="shared" si="74"/>
        <v>56.666666666666664</v>
      </c>
      <c r="AW92" s="74">
        <f t="shared" si="75"/>
        <v>91.305780890020586</v>
      </c>
    </row>
    <row r="93" spans="17:49" x14ac:dyDescent="0.35">
      <c r="Q93">
        <v>86</v>
      </c>
      <c r="R93" s="73">
        <f t="shared" si="49"/>
        <v>50</v>
      </c>
      <c r="S93" s="71">
        <f t="shared" si="50"/>
        <v>1.1466666666666667</v>
      </c>
      <c r="T93" s="71">
        <f t="shared" si="51"/>
        <v>5</v>
      </c>
      <c r="U93" s="74">
        <f t="shared" si="52"/>
        <v>11.466666666666667</v>
      </c>
      <c r="V93" s="73">
        <f>IF(Variable_Management!$B$20=3,2,IF((S93*R93/T93)&lt;((T93*(1-(T93/R93)))/(2*Lm*Fsw)),1,2))</f>
        <v>2</v>
      </c>
      <c r="W93" s="71">
        <f t="shared" si="53"/>
        <v>0.9</v>
      </c>
      <c r="X93" s="74">
        <f t="shared" si="54"/>
        <v>9.9999999999999978E-2</v>
      </c>
      <c r="Y93" s="73">
        <f t="shared" si="55"/>
        <v>0.85227272727272718</v>
      </c>
      <c r="Z93" s="71">
        <f t="shared" si="77"/>
        <v>11.89280303030303</v>
      </c>
      <c r="AA93" s="71">
        <f t="shared" si="78"/>
        <v>11.469305784480397</v>
      </c>
      <c r="AB93" s="71">
        <v>0</v>
      </c>
      <c r="AC93" s="71">
        <f t="shared" si="56"/>
        <v>0.56564339326503676</v>
      </c>
      <c r="AD93" s="74">
        <f t="shared" si="67"/>
        <v>0.56564339326503676</v>
      </c>
      <c r="AE93" s="73">
        <f t="shared" si="76"/>
        <v>10.32</v>
      </c>
      <c r="AF93" s="71">
        <f t="shared" si="68"/>
        <v>10.8807388379707</v>
      </c>
      <c r="AG93" s="71">
        <f t="shared" si="57"/>
        <v>1.0418362034090911</v>
      </c>
      <c r="AH93" s="71">
        <f t="shared" si="58"/>
        <v>2.3666965566714495</v>
      </c>
      <c r="AI93" s="74">
        <f t="shared" si="69"/>
        <v>3.4085327600805408</v>
      </c>
      <c r="AJ93" s="73">
        <f t="shared" si="70"/>
        <v>1.1466666666666665</v>
      </c>
      <c r="AK93" s="71">
        <f t="shared" si="59"/>
        <v>3.6269129459902327</v>
      </c>
      <c r="AL93" s="71">
        <f t="shared" si="60"/>
        <v>0.11575957815656564</v>
      </c>
      <c r="AM93" s="71">
        <f t="shared" si="71"/>
        <v>0.42468800000000007</v>
      </c>
      <c r="AN93" s="188">
        <f t="shared" si="61"/>
        <v>8.3725333333333332E-2</v>
      </c>
      <c r="AO93" s="74">
        <f t="shared" si="72"/>
        <v>0.62417291148989906</v>
      </c>
      <c r="AP93" s="73">
        <f t="shared" si="62"/>
        <v>0.26308995035583105</v>
      </c>
      <c r="AQ93" s="206">
        <f t="shared" si="63"/>
        <v>0.56564339326503676</v>
      </c>
      <c r="AR93" s="206">
        <f t="shared" si="64"/>
        <v>1.6586782538474829E-2</v>
      </c>
      <c r="AS93" s="71">
        <f t="shared" si="65"/>
        <v>3.9600000000000003E-2</v>
      </c>
      <c r="AT93" s="74">
        <f t="shared" si="66"/>
        <v>1.6499999999999998E-5</v>
      </c>
      <c r="AU93" s="73">
        <f t="shared" si="73"/>
        <v>5.48328569099482</v>
      </c>
      <c r="AV93" s="71">
        <f t="shared" si="74"/>
        <v>57.333333333333336</v>
      </c>
      <c r="AW93" s="74">
        <f t="shared" si="75"/>
        <v>91.270963359439634</v>
      </c>
    </row>
    <row r="94" spans="17:49" x14ac:dyDescent="0.35">
      <c r="Q94">
        <v>87</v>
      </c>
      <c r="R94" s="73">
        <f t="shared" si="49"/>
        <v>50</v>
      </c>
      <c r="S94" s="71">
        <f t="shared" si="50"/>
        <v>1.1600000000000001</v>
      </c>
      <c r="T94" s="71">
        <f t="shared" si="51"/>
        <v>5</v>
      </c>
      <c r="U94" s="74">
        <f t="shared" si="52"/>
        <v>11.600000000000001</v>
      </c>
      <c r="V94" s="73">
        <f>IF(Variable_Management!$B$20=3,2,IF((S94*R94/T94)&lt;((T94*(1-(T94/R94)))/(2*Lm*Fsw)),1,2))</f>
        <v>2</v>
      </c>
      <c r="W94" s="71">
        <f t="shared" si="53"/>
        <v>0.9</v>
      </c>
      <c r="X94" s="74">
        <f t="shared" si="54"/>
        <v>9.9999999999999978E-2</v>
      </c>
      <c r="Y94" s="73">
        <f t="shared" si="55"/>
        <v>0.85227272727272718</v>
      </c>
      <c r="Z94" s="71">
        <f t="shared" si="77"/>
        <v>12.026136363636365</v>
      </c>
      <c r="AA94" s="71">
        <f t="shared" si="78"/>
        <v>11.602608789986462</v>
      </c>
      <c r="AB94" s="71">
        <v>0</v>
      </c>
      <c r="AC94" s="71">
        <f t="shared" si="56"/>
        <v>0.57886828215392572</v>
      </c>
      <c r="AD94" s="74">
        <f t="shared" si="67"/>
        <v>0.57886828215392572</v>
      </c>
      <c r="AE94" s="73">
        <f t="shared" si="76"/>
        <v>10.440000000000001</v>
      </c>
      <c r="AF94" s="71">
        <f t="shared" si="68"/>
        <v>11.007201172874238</v>
      </c>
      <c r="AG94" s="71">
        <f t="shared" si="57"/>
        <v>1.0661946034090912</v>
      </c>
      <c r="AH94" s="71">
        <f t="shared" si="58"/>
        <v>2.3942162840746062</v>
      </c>
      <c r="AI94" s="74">
        <f t="shared" si="69"/>
        <v>3.4604108874836976</v>
      </c>
      <c r="AJ94" s="73">
        <f t="shared" si="70"/>
        <v>1.1599999999999999</v>
      </c>
      <c r="AK94" s="71">
        <f t="shared" si="59"/>
        <v>3.6690670576247455</v>
      </c>
      <c r="AL94" s="71">
        <f t="shared" si="60"/>
        <v>0.11846606704545455</v>
      </c>
      <c r="AM94" s="71">
        <f t="shared" si="71"/>
        <v>0.42468800000000007</v>
      </c>
      <c r="AN94" s="188">
        <f t="shared" si="61"/>
        <v>8.4664000000000017E-2</v>
      </c>
      <c r="AO94" s="74">
        <f t="shared" si="72"/>
        <v>0.62781806704545473</v>
      </c>
      <c r="AP94" s="73">
        <f t="shared" si="62"/>
        <v>0.26924106146694221</v>
      </c>
      <c r="AQ94" s="206">
        <f t="shared" si="63"/>
        <v>0.57886828215392572</v>
      </c>
      <c r="AR94" s="206">
        <f t="shared" si="64"/>
        <v>1.6586782538474829E-2</v>
      </c>
      <c r="AS94" s="71">
        <f t="shared" si="65"/>
        <v>3.9600000000000003E-2</v>
      </c>
      <c r="AT94" s="74">
        <f t="shared" si="66"/>
        <v>1.6499999999999998E-5</v>
      </c>
      <c r="AU94" s="73">
        <f t="shared" si="73"/>
        <v>5.5714098628424216</v>
      </c>
      <c r="AV94" s="71">
        <f t="shared" si="74"/>
        <v>58.000000000000007</v>
      </c>
      <c r="AW94" s="74">
        <f t="shared" si="75"/>
        <v>91.235981906232794</v>
      </c>
    </row>
    <row r="95" spans="17:49" x14ac:dyDescent="0.35">
      <c r="Q95">
        <v>88</v>
      </c>
      <c r="R95" s="73">
        <f t="shared" si="49"/>
        <v>50</v>
      </c>
      <c r="S95" s="71">
        <f t="shared" si="50"/>
        <v>1.1733333333333333</v>
      </c>
      <c r="T95" s="71">
        <f t="shared" si="51"/>
        <v>5</v>
      </c>
      <c r="U95" s="74">
        <f t="shared" si="52"/>
        <v>11.733333333333333</v>
      </c>
      <c r="V95" s="73">
        <f>IF(Variable_Management!$B$20=3,2,IF((S95*R95/T95)&lt;((T95*(1-(T95/R95)))/(2*Lm*Fsw)),1,2))</f>
        <v>2</v>
      </c>
      <c r="W95" s="71">
        <f t="shared" si="53"/>
        <v>0.9</v>
      </c>
      <c r="X95" s="74">
        <f t="shared" si="54"/>
        <v>9.9999999999999978E-2</v>
      </c>
      <c r="Y95" s="73">
        <f t="shared" si="55"/>
        <v>0.85227272727272718</v>
      </c>
      <c r="Z95" s="71">
        <f t="shared" si="77"/>
        <v>12.159469696969696</v>
      </c>
      <c r="AA95" s="71">
        <f t="shared" si="78"/>
        <v>11.735912484531493</v>
      </c>
      <c r="AB95" s="71">
        <v>0</v>
      </c>
      <c r="AC95" s="71">
        <f t="shared" si="56"/>
        <v>0.59224605993170332</v>
      </c>
      <c r="AD95" s="74">
        <f t="shared" si="67"/>
        <v>0.59224605993170332</v>
      </c>
      <c r="AE95" s="73">
        <f t="shared" si="76"/>
        <v>10.559999999999999</v>
      </c>
      <c r="AF95" s="71">
        <f t="shared" si="68"/>
        <v>11.133664161457537</v>
      </c>
      <c r="AG95" s="71">
        <f t="shared" si="57"/>
        <v>1.0908346034090908</v>
      </c>
      <c r="AH95" s="71">
        <f t="shared" si="58"/>
        <v>2.421736011477762</v>
      </c>
      <c r="AI95" s="74">
        <f t="shared" si="69"/>
        <v>3.5125706148868527</v>
      </c>
      <c r="AJ95" s="73">
        <f t="shared" si="70"/>
        <v>1.1733333333333329</v>
      </c>
      <c r="AK95" s="71">
        <f t="shared" si="59"/>
        <v>3.7112213871525115</v>
      </c>
      <c r="AL95" s="71">
        <f t="shared" si="60"/>
        <v>0.12120384482323227</v>
      </c>
      <c r="AM95" s="71">
        <f t="shared" si="71"/>
        <v>0.42468800000000007</v>
      </c>
      <c r="AN95" s="188">
        <f t="shared" si="61"/>
        <v>8.560266666666666E-2</v>
      </c>
      <c r="AO95" s="74">
        <f t="shared" si="72"/>
        <v>0.6314945114898991</v>
      </c>
      <c r="AP95" s="73">
        <f t="shared" si="62"/>
        <v>0.27546328368916434</v>
      </c>
      <c r="AQ95" s="206">
        <f t="shared" si="63"/>
        <v>0.59224605993170332</v>
      </c>
      <c r="AR95" s="206">
        <f t="shared" si="64"/>
        <v>1.6586782538474829E-2</v>
      </c>
      <c r="AS95" s="71">
        <f t="shared" si="65"/>
        <v>3.9600000000000003E-2</v>
      </c>
      <c r="AT95" s="74">
        <f t="shared" si="66"/>
        <v>1.6499999999999998E-5</v>
      </c>
      <c r="AU95" s="73">
        <f t="shared" si="73"/>
        <v>5.6602238124677982</v>
      </c>
      <c r="AV95" s="71">
        <f t="shared" si="74"/>
        <v>58.666666666666664</v>
      </c>
      <c r="AW95" s="74">
        <f t="shared" si="75"/>
        <v>91.200843425963839</v>
      </c>
    </row>
    <row r="96" spans="17:49" x14ac:dyDescent="0.35">
      <c r="Q96">
        <v>89</v>
      </c>
      <c r="R96" s="73">
        <f t="shared" si="49"/>
        <v>50</v>
      </c>
      <c r="S96" s="71">
        <f t="shared" si="50"/>
        <v>1.1866666666666668</v>
      </c>
      <c r="T96" s="71">
        <f t="shared" si="51"/>
        <v>5</v>
      </c>
      <c r="U96" s="74">
        <f t="shared" si="52"/>
        <v>11.866666666666667</v>
      </c>
      <c r="V96" s="73">
        <f>IF(Variable_Management!$B$20=3,2,IF((S96*R96/T96)&lt;((T96*(1-(T96/R96)))/(2*Lm*Fsw)),1,2))</f>
        <v>2</v>
      </c>
      <c r="W96" s="71">
        <f t="shared" si="53"/>
        <v>0.9</v>
      </c>
      <c r="X96" s="74">
        <f t="shared" si="54"/>
        <v>9.9999999999999978E-2</v>
      </c>
      <c r="Y96" s="73">
        <f t="shared" si="55"/>
        <v>0.85227272727272718</v>
      </c>
      <c r="Z96" s="71">
        <f t="shared" si="77"/>
        <v>12.29280303030303</v>
      </c>
      <c r="AA96" s="71">
        <f t="shared" si="78"/>
        <v>11.869216844899618</v>
      </c>
      <c r="AB96" s="71">
        <v>0</v>
      </c>
      <c r="AC96" s="71">
        <f t="shared" si="56"/>
        <v>0.60577672659837012</v>
      </c>
      <c r="AD96" s="74">
        <f t="shared" si="67"/>
        <v>0.60577672659837012</v>
      </c>
      <c r="AE96" s="73">
        <f t="shared" si="76"/>
        <v>10.680000000000001</v>
      </c>
      <c r="AF96" s="71">
        <f t="shared" si="68"/>
        <v>11.260127781696085</v>
      </c>
      <c r="AG96" s="71">
        <f t="shared" si="57"/>
        <v>1.1157562034090911</v>
      </c>
      <c r="AH96" s="71">
        <f t="shared" si="58"/>
        <v>2.4492557388809186</v>
      </c>
      <c r="AI96" s="74">
        <f t="shared" si="69"/>
        <v>3.5650119422900097</v>
      </c>
      <c r="AJ96" s="73">
        <f t="shared" si="70"/>
        <v>1.1866666666666665</v>
      </c>
      <c r="AK96" s="71">
        <f t="shared" si="59"/>
        <v>3.7533759272320277</v>
      </c>
      <c r="AL96" s="71">
        <f t="shared" si="60"/>
        <v>0.12397291148989899</v>
      </c>
      <c r="AM96" s="71">
        <f t="shared" si="71"/>
        <v>0.42468800000000007</v>
      </c>
      <c r="AN96" s="188">
        <f t="shared" si="61"/>
        <v>8.6541333333333331E-2</v>
      </c>
      <c r="AO96" s="74">
        <f t="shared" si="72"/>
        <v>0.6352022448232324</v>
      </c>
      <c r="AP96" s="73">
        <f t="shared" si="62"/>
        <v>0.28175661702249771</v>
      </c>
      <c r="AQ96" s="206">
        <f t="shared" si="63"/>
        <v>0.60577672659837012</v>
      </c>
      <c r="AR96" s="206">
        <f t="shared" si="64"/>
        <v>1.6586782538474829E-2</v>
      </c>
      <c r="AS96" s="71">
        <f t="shared" si="65"/>
        <v>3.9600000000000003E-2</v>
      </c>
      <c r="AT96" s="74">
        <f t="shared" si="66"/>
        <v>1.6499999999999998E-5</v>
      </c>
      <c r="AU96" s="73">
        <f t="shared" si="73"/>
        <v>5.749727539870956</v>
      </c>
      <c r="AV96" s="71">
        <f t="shared" si="74"/>
        <v>59.333333333333336</v>
      </c>
      <c r="AW96" s="74">
        <f t="shared" si="75"/>
        <v>91.165554504154855</v>
      </c>
    </row>
    <row r="97" spans="17:49" x14ac:dyDescent="0.35">
      <c r="Q97">
        <v>90</v>
      </c>
      <c r="R97" s="73">
        <f t="shared" si="49"/>
        <v>50</v>
      </c>
      <c r="S97" s="71">
        <f t="shared" si="50"/>
        <v>1.2000000000000002</v>
      </c>
      <c r="T97" s="71">
        <f t="shared" si="51"/>
        <v>5</v>
      </c>
      <c r="U97" s="74">
        <f t="shared" si="52"/>
        <v>12.000000000000002</v>
      </c>
      <c r="V97" s="73">
        <f>IF(Variable_Management!$B$20=3,2,IF((S97*R97/T97)&lt;((T97*(1-(T97/R97)))/(2*Lm*Fsw)),1,2))</f>
        <v>2</v>
      </c>
      <c r="W97" s="71">
        <f t="shared" si="53"/>
        <v>0.9</v>
      </c>
      <c r="X97" s="74">
        <f t="shared" si="54"/>
        <v>9.9999999999999978E-2</v>
      </c>
      <c r="Y97" s="73">
        <f t="shared" si="55"/>
        <v>0.85227272727272718</v>
      </c>
      <c r="Z97" s="71">
        <f t="shared" si="77"/>
        <v>12.426136363636365</v>
      </c>
      <c r="AA97" s="71">
        <f t="shared" si="78"/>
        <v>12.002521848906218</v>
      </c>
      <c r="AB97" s="71">
        <v>0</v>
      </c>
      <c r="AC97" s="71">
        <f t="shared" si="56"/>
        <v>0.61946028215392579</v>
      </c>
      <c r="AD97" s="74">
        <f t="shared" si="67"/>
        <v>0.61946028215392579</v>
      </c>
      <c r="AE97" s="73">
        <f t="shared" si="76"/>
        <v>10.800000000000002</v>
      </c>
      <c r="AF97" s="71">
        <f t="shared" si="68"/>
        <v>11.386592012543701</v>
      </c>
      <c r="AG97" s="71">
        <f t="shared" si="57"/>
        <v>1.1409594034090915</v>
      </c>
      <c r="AH97" s="71">
        <f t="shared" si="58"/>
        <v>2.4767754662840753</v>
      </c>
      <c r="AI97" s="74">
        <f t="shared" si="69"/>
        <v>3.6177348696931668</v>
      </c>
      <c r="AJ97" s="73">
        <f t="shared" si="70"/>
        <v>1.2</v>
      </c>
      <c r="AK97" s="71">
        <f t="shared" si="59"/>
        <v>3.7955306708479002</v>
      </c>
      <c r="AL97" s="71">
        <f t="shared" si="60"/>
        <v>0.12677326704545458</v>
      </c>
      <c r="AM97" s="71">
        <f t="shared" si="71"/>
        <v>0.42468800000000007</v>
      </c>
      <c r="AN97" s="188">
        <f t="shared" si="61"/>
        <v>8.7480000000000016E-2</v>
      </c>
      <c r="AO97" s="74">
        <f t="shared" si="72"/>
        <v>0.63894126704545462</v>
      </c>
      <c r="AP97" s="73">
        <f t="shared" si="62"/>
        <v>0.28812106146694227</v>
      </c>
      <c r="AQ97" s="206">
        <f t="shared" si="63"/>
        <v>0.61946028215392579</v>
      </c>
      <c r="AR97" s="206">
        <f t="shared" si="64"/>
        <v>1.6586782538474829E-2</v>
      </c>
      <c r="AS97" s="71">
        <f t="shared" si="65"/>
        <v>3.9600000000000003E-2</v>
      </c>
      <c r="AT97" s="74">
        <f t="shared" si="66"/>
        <v>1.6499999999999998E-5</v>
      </c>
      <c r="AU97" s="73">
        <f t="shared" si="73"/>
        <v>5.8399210450518915</v>
      </c>
      <c r="AV97" s="71">
        <f t="shared" si="74"/>
        <v>60.000000000000007</v>
      </c>
      <c r="AW97" s="74">
        <f t="shared" si="75"/>
        <v>91.130121433384105</v>
      </c>
    </row>
    <row r="98" spans="17:49" x14ac:dyDescent="0.35">
      <c r="Q98">
        <v>91</v>
      </c>
      <c r="R98" s="73">
        <f t="shared" si="49"/>
        <v>50</v>
      </c>
      <c r="S98" s="71">
        <f t="shared" si="50"/>
        <v>1.2133333333333334</v>
      </c>
      <c r="T98" s="71">
        <f t="shared" si="51"/>
        <v>5</v>
      </c>
      <c r="U98" s="74">
        <f t="shared" si="52"/>
        <v>12.133333333333335</v>
      </c>
      <c r="V98" s="73">
        <f>IF(Variable_Management!$B$20=3,2,IF((S98*R98/T98)&lt;((T98*(1-(T98/R98)))/(2*Lm*Fsw)),1,2))</f>
        <v>2</v>
      </c>
      <c r="W98" s="71">
        <f t="shared" si="53"/>
        <v>0.9</v>
      </c>
      <c r="X98" s="74">
        <f t="shared" si="54"/>
        <v>9.9999999999999978E-2</v>
      </c>
      <c r="Y98" s="73">
        <f t="shared" si="55"/>
        <v>0.85227272727272718</v>
      </c>
      <c r="Z98" s="71">
        <f t="shared" si="77"/>
        <v>12.559469696969698</v>
      </c>
      <c r="AA98" s="71">
        <f t="shared" si="78"/>
        <v>12.135827475341303</v>
      </c>
      <c r="AB98" s="71">
        <v>0</v>
      </c>
      <c r="AC98" s="71">
        <f t="shared" si="56"/>
        <v>0.63329672659837011</v>
      </c>
      <c r="AD98" s="74">
        <f t="shared" si="67"/>
        <v>0.63329672659837011</v>
      </c>
      <c r="AE98" s="73">
        <f t="shared" si="76"/>
        <v>10.920000000000002</v>
      </c>
      <c r="AF98" s="71">
        <f t="shared" si="68"/>
        <v>11.51305683387883</v>
      </c>
      <c r="AG98" s="71">
        <f t="shared" si="57"/>
        <v>1.1664442034090914</v>
      </c>
      <c r="AH98" s="71">
        <f t="shared" si="58"/>
        <v>2.5042951936872315</v>
      </c>
      <c r="AI98" s="74">
        <f t="shared" si="69"/>
        <v>3.6707393970963231</v>
      </c>
      <c r="AJ98" s="73">
        <f t="shared" si="70"/>
        <v>1.2133333333333332</v>
      </c>
      <c r="AK98" s="71">
        <f t="shared" si="59"/>
        <v>3.8376856112929425</v>
      </c>
      <c r="AL98" s="71">
        <f t="shared" si="60"/>
        <v>0.129604911489899</v>
      </c>
      <c r="AM98" s="71">
        <f t="shared" si="71"/>
        <v>0.42468800000000007</v>
      </c>
      <c r="AN98" s="188">
        <f t="shared" si="61"/>
        <v>8.8418666666666673E-2</v>
      </c>
      <c r="AO98" s="74">
        <f t="shared" si="72"/>
        <v>0.64271157815656577</v>
      </c>
      <c r="AP98" s="73">
        <f t="shared" si="62"/>
        <v>0.29455661702249775</v>
      </c>
      <c r="AQ98" s="206">
        <f t="shared" si="63"/>
        <v>0.63329672659837011</v>
      </c>
      <c r="AR98" s="206">
        <f t="shared" si="64"/>
        <v>1.6586782538474829E-2</v>
      </c>
      <c r="AS98" s="71">
        <f t="shared" si="65"/>
        <v>3.9600000000000003E-2</v>
      </c>
      <c r="AT98" s="74">
        <f t="shared" si="66"/>
        <v>1.6499999999999998E-5</v>
      </c>
      <c r="AU98" s="73">
        <f t="shared" si="73"/>
        <v>5.9308043280106029</v>
      </c>
      <c r="AV98" s="71">
        <f t="shared" si="74"/>
        <v>60.666666666666671</v>
      </c>
      <c r="AW98" s="74">
        <f t="shared" si="75"/>
        <v>91.09455022926528</v>
      </c>
    </row>
    <row r="99" spans="17:49" x14ac:dyDescent="0.35">
      <c r="Q99">
        <v>92</v>
      </c>
      <c r="R99" s="73">
        <f t="shared" si="49"/>
        <v>50</v>
      </c>
      <c r="S99" s="71">
        <f t="shared" si="50"/>
        <v>1.2266666666666668</v>
      </c>
      <c r="T99" s="71">
        <f t="shared" si="51"/>
        <v>5</v>
      </c>
      <c r="U99" s="74">
        <f t="shared" si="52"/>
        <v>12.266666666666669</v>
      </c>
      <c r="V99" s="73">
        <f>IF(Variable_Management!$B$20=3,2,IF((S99*R99/T99)&lt;((T99*(1-(T99/R99)))/(2*Lm*Fsw)),1,2))</f>
        <v>2</v>
      </c>
      <c r="W99" s="71">
        <f t="shared" si="53"/>
        <v>0.9</v>
      </c>
      <c r="X99" s="74">
        <f t="shared" si="54"/>
        <v>9.9999999999999978E-2</v>
      </c>
      <c r="Y99" s="73">
        <f t="shared" si="55"/>
        <v>0.85227272727272718</v>
      </c>
      <c r="Z99" s="71">
        <f t="shared" si="77"/>
        <v>12.692803030303033</v>
      </c>
      <c r="AA99" s="71">
        <f t="shared" si="78"/>
        <v>12.2691337039166</v>
      </c>
      <c r="AB99" s="71">
        <v>0</v>
      </c>
      <c r="AC99" s="71">
        <f t="shared" si="56"/>
        <v>0.64728605993170374</v>
      </c>
      <c r="AD99" s="74">
        <f t="shared" si="67"/>
        <v>0.64728605993170374</v>
      </c>
      <c r="AE99" s="73">
        <f t="shared" si="76"/>
        <v>11.040000000000003</v>
      </c>
      <c r="AF99" s="71">
        <f t="shared" si="68"/>
        <v>11.639522226454316</v>
      </c>
      <c r="AG99" s="71">
        <f t="shared" si="57"/>
        <v>1.1922106034090916</v>
      </c>
      <c r="AH99" s="71">
        <f t="shared" si="58"/>
        <v>2.5318149210903886</v>
      </c>
      <c r="AI99" s="74">
        <f t="shared" si="69"/>
        <v>3.7240255244994804</v>
      </c>
      <c r="AJ99" s="73">
        <f t="shared" si="70"/>
        <v>1.2266666666666666</v>
      </c>
      <c r="AK99" s="71">
        <f t="shared" si="59"/>
        <v>3.8798407421514383</v>
      </c>
      <c r="AL99" s="71">
        <f t="shared" si="60"/>
        <v>0.13246784482323237</v>
      </c>
      <c r="AM99" s="71">
        <f t="shared" si="71"/>
        <v>0.42468800000000007</v>
      </c>
      <c r="AN99" s="188">
        <f t="shared" si="61"/>
        <v>8.9357333333333358E-2</v>
      </c>
      <c r="AO99" s="74">
        <f t="shared" si="72"/>
        <v>0.64651317815656584</v>
      </c>
      <c r="AP99" s="73">
        <f t="shared" si="62"/>
        <v>0.30106328368916452</v>
      </c>
      <c r="AQ99" s="206">
        <f t="shared" si="63"/>
        <v>0.64728605993170374</v>
      </c>
      <c r="AR99" s="206">
        <f t="shared" si="64"/>
        <v>1.6586782538474829E-2</v>
      </c>
      <c r="AS99" s="71">
        <f t="shared" si="65"/>
        <v>3.9600000000000003E-2</v>
      </c>
      <c r="AT99" s="74">
        <f t="shared" si="66"/>
        <v>1.6499999999999998E-5</v>
      </c>
      <c r="AU99" s="73">
        <f t="shared" si="73"/>
        <v>6.0223773887470928</v>
      </c>
      <c r="AV99" s="71">
        <f t="shared" si="74"/>
        <v>61.333333333333343</v>
      </c>
      <c r="AW99" s="74">
        <f t="shared" si="75"/>
        <v>91.058846645392393</v>
      </c>
    </row>
    <row r="100" spans="17:49" x14ac:dyDescent="0.35">
      <c r="Q100">
        <v>93</v>
      </c>
      <c r="R100" s="73">
        <f t="shared" si="49"/>
        <v>50</v>
      </c>
      <c r="S100" s="71">
        <f t="shared" si="50"/>
        <v>1.24</v>
      </c>
      <c r="T100" s="71">
        <f t="shared" si="51"/>
        <v>5</v>
      </c>
      <c r="U100" s="74">
        <f t="shared" si="52"/>
        <v>12.4</v>
      </c>
      <c r="V100" s="73">
        <f>IF(Variable_Management!$B$20=3,2,IF((S100*R100/T100)&lt;((T100*(1-(T100/R100)))/(2*Lm*Fsw)),1,2))</f>
        <v>2</v>
      </c>
      <c r="W100" s="71">
        <f t="shared" si="53"/>
        <v>0.9</v>
      </c>
      <c r="X100" s="74">
        <f t="shared" si="54"/>
        <v>9.9999999999999978E-2</v>
      </c>
      <c r="Y100" s="73">
        <f t="shared" si="55"/>
        <v>0.85227272727272718</v>
      </c>
      <c r="Z100" s="71">
        <f t="shared" si="77"/>
        <v>12.826136363636364</v>
      </c>
      <c r="AA100" s="71">
        <f t="shared" si="78"/>
        <v>12.402440515215991</v>
      </c>
      <c r="AB100" s="71">
        <v>0</v>
      </c>
      <c r="AC100" s="71">
        <f t="shared" si="56"/>
        <v>0.66142828215392568</v>
      </c>
      <c r="AD100" s="74">
        <f t="shared" si="67"/>
        <v>0.66142828215392568</v>
      </c>
      <c r="AE100" s="73">
        <f t="shared" si="76"/>
        <v>11.16</v>
      </c>
      <c r="AF100" s="71">
        <f t="shared" si="68"/>
        <v>11.76598817185042</v>
      </c>
      <c r="AG100" s="71">
        <f t="shared" si="57"/>
        <v>1.2182586034090912</v>
      </c>
      <c r="AH100" s="71">
        <f t="shared" si="58"/>
        <v>2.559334648493544</v>
      </c>
      <c r="AI100" s="74">
        <f t="shared" si="69"/>
        <v>3.7775932519026352</v>
      </c>
      <c r="AJ100" s="73">
        <f t="shared" si="70"/>
        <v>1.2399999999999998</v>
      </c>
      <c r="AK100" s="71">
        <f t="shared" si="59"/>
        <v>3.9219960572834727</v>
      </c>
      <c r="AL100" s="71">
        <f t="shared" si="60"/>
        <v>0.13536206704545453</v>
      </c>
      <c r="AM100" s="71">
        <f t="shared" si="71"/>
        <v>0.42468800000000007</v>
      </c>
      <c r="AN100" s="188">
        <f t="shared" si="61"/>
        <v>9.0296000000000001E-2</v>
      </c>
      <c r="AO100" s="74">
        <f t="shared" si="72"/>
        <v>0.65034606704545461</v>
      </c>
      <c r="AP100" s="73">
        <f t="shared" si="62"/>
        <v>0.3076410614669422</v>
      </c>
      <c r="AQ100" s="206">
        <f t="shared" si="63"/>
        <v>0.66142828215392568</v>
      </c>
      <c r="AR100" s="206">
        <f t="shared" si="64"/>
        <v>1.6586782538474829E-2</v>
      </c>
      <c r="AS100" s="71">
        <f t="shared" si="65"/>
        <v>3.9600000000000003E-2</v>
      </c>
      <c r="AT100" s="74">
        <f t="shared" si="66"/>
        <v>1.6499999999999998E-5</v>
      </c>
      <c r="AU100" s="73">
        <f t="shared" si="73"/>
        <v>6.1146402272613587</v>
      </c>
      <c r="AV100" s="71">
        <f t="shared" si="74"/>
        <v>62</v>
      </c>
      <c r="AW100" s="74">
        <f t="shared" si="75"/>
        <v>91.023016187327499</v>
      </c>
    </row>
    <row r="101" spans="17:49" x14ac:dyDescent="0.35">
      <c r="Q101">
        <v>94</v>
      </c>
      <c r="R101" s="73">
        <f t="shared" si="49"/>
        <v>50</v>
      </c>
      <c r="S101" s="71">
        <f t="shared" si="50"/>
        <v>1.2533333333333334</v>
      </c>
      <c r="T101" s="71">
        <f t="shared" si="51"/>
        <v>5</v>
      </c>
      <c r="U101" s="74">
        <f t="shared" si="52"/>
        <v>12.533333333333335</v>
      </c>
      <c r="V101" s="73">
        <f>IF(Variable_Management!$B$20=3,2,IF((S101*R101/T101)&lt;((T101*(1-(T101/R101)))/(2*Lm*Fsw)),1,2))</f>
        <v>2</v>
      </c>
      <c r="W101" s="71">
        <f t="shared" si="53"/>
        <v>0.9</v>
      </c>
      <c r="X101" s="74">
        <f t="shared" si="54"/>
        <v>9.9999999999999978E-2</v>
      </c>
      <c r="Y101" s="73">
        <f t="shared" si="55"/>
        <v>0.85227272727272718</v>
      </c>
      <c r="Z101" s="71">
        <f t="shared" si="77"/>
        <v>12.959469696969698</v>
      </c>
      <c r="AA101" s="71">
        <f t="shared" si="78"/>
        <v>12.535747890649187</v>
      </c>
      <c r="AB101" s="71">
        <v>0</v>
      </c>
      <c r="AC101" s="71">
        <f t="shared" si="56"/>
        <v>0.67572339326503683</v>
      </c>
      <c r="AD101" s="74">
        <f t="shared" si="67"/>
        <v>0.67572339326503683</v>
      </c>
      <c r="AE101" s="73">
        <f t="shared" si="76"/>
        <v>11.280000000000001</v>
      </c>
      <c r="AF101" s="71">
        <f t="shared" si="68"/>
        <v>11.892454652430843</v>
      </c>
      <c r="AG101" s="71">
        <f t="shared" si="57"/>
        <v>1.2445882034090912</v>
      </c>
      <c r="AH101" s="71">
        <f t="shared" si="58"/>
        <v>2.5868543758967006</v>
      </c>
      <c r="AI101" s="74">
        <f t="shared" si="69"/>
        <v>3.8314425793057918</v>
      </c>
      <c r="AJ101" s="73">
        <f t="shared" si="70"/>
        <v>1.2533333333333332</v>
      </c>
      <c r="AK101" s="71">
        <f t="shared" si="59"/>
        <v>3.9641515508102807</v>
      </c>
      <c r="AL101" s="71">
        <f t="shared" si="60"/>
        <v>0.13828757815656567</v>
      </c>
      <c r="AM101" s="71">
        <f t="shared" si="71"/>
        <v>0.42468800000000007</v>
      </c>
      <c r="AN101" s="188">
        <f t="shared" si="61"/>
        <v>9.1234666666666686E-2</v>
      </c>
      <c r="AO101" s="74">
        <f t="shared" si="72"/>
        <v>0.65421024482323242</v>
      </c>
      <c r="AP101" s="73">
        <f t="shared" si="62"/>
        <v>0.31428995035583107</v>
      </c>
      <c r="AQ101" s="206">
        <f t="shared" si="63"/>
        <v>0.67572339326503683</v>
      </c>
      <c r="AR101" s="206">
        <f t="shared" si="64"/>
        <v>1.6586782538474829E-2</v>
      </c>
      <c r="AS101" s="71">
        <f t="shared" si="65"/>
        <v>3.9600000000000003E-2</v>
      </c>
      <c r="AT101" s="74">
        <f t="shared" si="66"/>
        <v>1.6499999999999998E-5</v>
      </c>
      <c r="AU101" s="73">
        <f t="shared" si="73"/>
        <v>6.2075928435534049</v>
      </c>
      <c r="AV101" s="71">
        <f t="shared" si="74"/>
        <v>62.666666666666671</v>
      </c>
      <c r="AW101" s="74">
        <f t="shared" si="75"/>
        <v>90.987064125702474</v>
      </c>
    </row>
    <row r="102" spans="17:49" x14ac:dyDescent="0.35">
      <c r="Q102">
        <v>95</v>
      </c>
      <c r="R102" s="73">
        <f t="shared" si="49"/>
        <v>50</v>
      </c>
      <c r="S102" s="71">
        <f t="shared" si="50"/>
        <v>1.2666666666666668</v>
      </c>
      <c r="T102" s="71">
        <f t="shared" si="51"/>
        <v>5</v>
      </c>
      <c r="U102" s="74">
        <f t="shared" si="52"/>
        <v>12.666666666666668</v>
      </c>
      <c r="V102" s="73">
        <f>IF(Variable_Management!$B$20=3,2,IF((S102*R102/T102)&lt;((T102*(1-(T102/R102)))/(2*Lm*Fsw)),1,2))</f>
        <v>2</v>
      </c>
      <c r="W102" s="71">
        <f t="shared" si="53"/>
        <v>0.9</v>
      </c>
      <c r="X102" s="74">
        <f t="shared" si="54"/>
        <v>9.9999999999999978E-2</v>
      </c>
      <c r="Y102" s="73">
        <f t="shared" si="55"/>
        <v>0.85227272727272718</v>
      </c>
      <c r="Z102" s="71">
        <f t="shared" si="77"/>
        <v>13.092803030303031</v>
      </c>
      <c r="AA102" s="71">
        <f t="shared" si="78"/>
        <v>12.669055812408262</v>
      </c>
      <c r="AB102" s="71">
        <v>0</v>
      </c>
      <c r="AC102" s="71">
        <f t="shared" si="56"/>
        <v>0.69017139326503685</v>
      </c>
      <c r="AD102" s="74">
        <f t="shared" si="67"/>
        <v>0.69017139326503685</v>
      </c>
      <c r="AE102" s="73">
        <f t="shared" si="76"/>
        <v>11.400000000000002</v>
      </c>
      <c r="AF102" s="71">
        <f t="shared" si="68"/>
        <v>12.0189216513015</v>
      </c>
      <c r="AG102" s="71">
        <f t="shared" si="57"/>
        <v>1.2711994034090912</v>
      </c>
      <c r="AH102" s="71">
        <f t="shared" si="58"/>
        <v>2.6143741032998569</v>
      </c>
      <c r="AI102" s="74">
        <f t="shared" si="69"/>
        <v>3.8855735067089481</v>
      </c>
      <c r="AJ102" s="73">
        <f t="shared" si="70"/>
        <v>1.2666666666666666</v>
      </c>
      <c r="AK102" s="71">
        <f t="shared" si="59"/>
        <v>4.0063072171004999</v>
      </c>
      <c r="AL102" s="71">
        <f t="shared" si="60"/>
        <v>0.14124437815656565</v>
      </c>
      <c r="AM102" s="71">
        <f t="shared" si="71"/>
        <v>0.42468800000000007</v>
      </c>
      <c r="AN102" s="188">
        <f t="shared" si="61"/>
        <v>9.2173333333333343E-2</v>
      </c>
      <c r="AO102" s="74">
        <f t="shared" si="72"/>
        <v>0.65810571148989905</v>
      </c>
      <c r="AP102" s="73">
        <f t="shared" si="62"/>
        <v>0.32100995035583113</v>
      </c>
      <c r="AQ102" s="206">
        <f t="shared" si="63"/>
        <v>0.69017139326503685</v>
      </c>
      <c r="AR102" s="206">
        <f t="shared" si="64"/>
        <v>1.6586782538474829E-2</v>
      </c>
      <c r="AS102" s="71">
        <f t="shared" si="65"/>
        <v>3.9600000000000003E-2</v>
      </c>
      <c r="AT102" s="74">
        <f t="shared" si="66"/>
        <v>1.6499999999999998E-5</v>
      </c>
      <c r="AU102" s="73">
        <f t="shared" si="73"/>
        <v>6.301235237623227</v>
      </c>
      <c r="AV102" s="71">
        <f t="shared" si="74"/>
        <v>63.333333333333343</v>
      </c>
      <c r="AW102" s="74">
        <f t="shared" si="75"/>
        <v>90.950995508498949</v>
      </c>
    </row>
    <row r="103" spans="17:49" x14ac:dyDescent="0.35">
      <c r="Q103">
        <v>96</v>
      </c>
      <c r="R103" s="73">
        <f t="shared" si="49"/>
        <v>50</v>
      </c>
      <c r="S103" s="71">
        <f t="shared" ref="S103:S134" si="79">Q103*$O$12</f>
        <v>1.28</v>
      </c>
      <c r="T103" s="71">
        <f t="shared" si="51"/>
        <v>5</v>
      </c>
      <c r="U103" s="74">
        <f t="shared" ref="U103:U134" si="80">(R103*S103)/(T103*EFF_est)</f>
        <v>12.8</v>
      </c>
      <c r="V103" s="73">
        <f>IF(Variable_Management!$B$20=3,2,IF((S103*R103/T103)&lt;((T103*(1-(T103/R103)))/(2*Lm*Fsw)),1,2))</f>
        <v>2</v>
      </c>
      <c r="W103" s="71">
        <f t="shared" ref="W103:W134" si="81">CHOOSE(V103,SQRT((2*S103*Lm*Fsw*(R103-T103))/((T103)^2)),1-(T103/R103))</f>
        <v>0.9</v>
      </c>
      <c r="X103" s="74">
        <f t="shared" ref="X103:X134" si="82">CHOOSE(V103,(Lm*Z103*Fsw)/(R103-T103),1-W103)</f>
        <v>9.9999999999999978E-2</v>
      </c>
      <c r="Y103" s="73">
        <f t="shared" ref="Y103:Y134" si="83">(T103*W103)/(Lm*Fsw)</f>
        <v>0.85227272727272718</v>
      </c>
      <c r="Z103" s="71">
        <f t="shared" si="77"/>
        <v>13.226136363636364</v>
      </c>
      <c r="AA103" s="71">
        <f t="shared" si="78"/>
        <v>12.802364263426936</v>
      </c>
      <c r="AB103" s="71">
        <v>0</v>
      </c>
      <c r="AC103" s="71">
        <f t="shared" ref="AC103:AC134" si="84">(AA103^2)*Rdcr</f>
        <v>0.70477228215392584</v>
      </c>
      <c r="AD103" s="74">
        <f t="shared" si="67"/>
        <v>0.70477228215392584</v>
      </c>
      <c r="AE103" s="73">
        <f t="shared" si="76"/>
        <v>11.520000000000001</v>
      </c>
      <c r="AF103" s="71">
        <f t="shared" si="68"/>
        <v>12.145389152271902</v>
      </c>
      <c r="AG103" s="71">
        <f t="shared" ref="AG103:AG134" si="85">(AF103^2)*RDS_on</f>
        <v>1.2980922034090909</v>
      </c>
      <c r="AH103" s="71">
        <f t="shared" ref="AH103:AH134" si="86">((R103*U103)/2)*Fsw*(tr_sw+tf_sw)</f>
        <v>2.6418938307030131</v>
      </c>
      <c r="AI103" s="74">
        <f t="shared" si="69"/>
        <v>3.939986034112104</v>
      </c>
      <c r="AJ103" s="73">
        <f t="shared" si="70"/>
        <v>1.2799999999999998</v>
      </c>
      <c r="AK103" s="71">
        <f t="shared" ref="AK103:AK134" si="87">CHOOSE(V103,Z103*SQRT(X103/3),SQRT(X103*((Z103^2)+((Y103^2)/3)-(Y103*Z103))))</f>
        <v>4.0484630507573005</v>
      </c>
      <c r="AL103" s="71">
        <f t="shared" ref="AL103:AL134" si="88">(AK103^2)*RDS_on_HS</f>
        <v>0.14423246704545456</v>
      </c>
      <c r="AM103" s="71">
        <f t="shared" si="71"/>
        <v>0.42468800000000007</v>
      </c>
      <c r="AN103" s="188">
        <f t="shared" ref="AN103:AN134" si="89">Vd_rect*t_dead*Fsw*Z103</f>
        <v>9.3112E-2</v>
      </c>
      <c r="AO103" s="74">
        <f t="shared" si="72"/>
        <v>0.6620324670454546</v>
      </c>
      <c r="AP103" s="73">
        <f t="shared" ref="AP103:AP134" si="90">(AA103^2)*R_cs</f>
        <v>0.32780106146694227</v>
      </c>
      <c r="AQ103" s="206">
        <f t="shared" ref="AQ103:AQ134" si="91">Rdcr*AA103^2</f>
        <v>0.70477228215392584</v>
      </c>
      <c r="AR103" s="206">
        <f t="shared" ref="AR103:AR134" si="92">ABS(7.759*10^-3*Fsw^0.9458*(0.00787*Y103)^2.304)</f>
        <v>1.6586782538474829E-2</v>
      </c>
      <c r="AS103" s="71">
        <f t="shared" ref="AS103:AS134" si="93">(Qg_tot+Qg_tot_HS)*Vcc*Fsw</f>
        <v>3.9600000000000003E-2</v>
      </c>
      <c r="AT103" s="74">
        <f t="shared" ref="AT103:AT134" si="94">IQ*T103</f>
        <v>1.6499999999999998E-5</v>
      </c>
      <c r="AU103" s="73">
        <f t="shared" si="73"/>
        <v>6.3955674094708286</v>
      </c>
      <c r="AV103" s="71">
        <f t="shared" si="74"/>
        <v>64</v>
      </c>
      <c r="AW103" s="74">
        <f t="shared" si="75"/>
        <v>90.914815172566705</v>
      </c>
    </row>
    <row r="104" spans="17:49" x14ac:dyDescent="0.35">
      <c r="Q104">
        <v>97</v>
      </c>
      <c r="R104" s="73">
        <f t="shared" si="49"/>
        <v>50</v>
      </c>
      <c r="S104" s="71">
        <f t="shared" si="79"/>
        <v>1.2933333333333334</v>
      </c>
      <c r="T104" s="71">
        <f t="shared" si="51"/>
        <v>5</v>
      </c>
      <c r="U104" s="74">
        <f t="shared" si="80"/>
        <v>12.933333333333334</v>
      </c>
      <c r="V104" s="73">
        <f>IF(Variable_Management!$B$20=3,2,IF((S104*R104/T104)&lt;((T104*(1-(T104/R104)))/(2*Lm*Fsw)),1,2))</f>
        <v>2</v>
      </c>
      <c r="W104" s="71">
        <f t="shared" si="81"/>
        <v>0.9</v>
      </c>
      <c r="X104" s="74">
        <f t="shared" si="82"/>
        <v>9.9999999999999978E-2</v>
      </c>
      <c r="Y104" s="73">
        <f t="shared" si="83"/>
        <v>0.85227272727272718</v>
      </c>
      <c r="Z104" s="71">
        <f t="shared" si="77"/>
        <v>13.359469696969697</v>
      </c>
      <c r="AA104" s="71">
        <f t="shared" si="78"/>
        <v>12.93567322734237</v>
      </c>
      <c r="AB104" s="71">
        <v>0</v>
      </c>
      <c r="AC104" s="71">
        <f t="shared" si="84"/>
        <v>0.71952605993170338</v>
      </c>
      <c r="AD104" s="74">
        <f t="shared" si="67"/>
        <v>0.71952605993170338</v>
      </c>
      <c r="AE104" s="73">
        <f t="shared" si="76"/>
        <v>11.64</v>
      </c>
      <c r="AF104" s="71">
        <f t="shared" si="68"/>
        <v>12.271857139818893</v>
      </c>
      <c r="AG104" s="71">
        <f t="shared" si="85"/>
        <v>1.3252666034090907</v>
      </c>
      <c r="AH104" s="71">
        <f t="shared" si="86"/>
        <v>2.6694135581061693</v>
      </c>
      <c r="AI104" s="74">
        <f t="shared" si="69"/>
        <v>3.9946801615152601</v>
      </c>
      <c r="AJ104" s="73">
        <f t="shared" si="70"/>
        <v>1.293333333333333</v>
      </c>
      <c r="AK104" s="71">
        <f t="shared" si="87"/>
        <v>4.0906190466062977</v>
      </c>
      <c r="AL104" s="71">
        <f t="shared" si="88"/>
        <v>0.14725184482323231</v>
      </c>
      <c r="AM104" s="71">
        <f t="shared" ref="AM104:AM135" si="95">CHOOSE(V104,(R104+Vd_rect)*Qrr*Fsw,(R104+Vd_rect)*Qrr*Fsw)</f>
        <v>0.42468800000000007</v>
      </c>
      <c r="AN104" s="188">
        <f t="shared" si="89"/>
        <v>9.4050666666666671E-2</v>
      </c>
      <c r="AO104" s="74">
        <f t="shared" si="72"/>
        <v>0.66599051148989896</v>
      </c>
      <c r="AP104" s="73">
        <f t="shared" si="90"/>
        <v>0.33466328368916437</v>
      </c>
      <c r="AQ104" s="206">
        <f t="shared" si="91"/>
        <v>0.71952605993170338</v>
      </c>
      <c r="AR104" s="206">
        <f t="shared" si="92"/>
        <v>1.6586782538474829E-2</v>
      </c>
      <c r="AS104" s="71">
        <f t="shared" si="93"/>
        <v>3.9600000000000003E-2</v>
      </c>
      <c r="AT104" s="74">
        <f t="shared" si="94"/>
        <v>1.6499999999999998E-5</v>
      </c>
      <c r="AU104" s="73">
        <f t="shared" si="73"/>
        <v>6.4905893590962052</v>
      </c>
      <c r="AV104" s="71">
        <f t="shared" si="74"/>
        <v>64.666666666666671</v>
      </c>
      <c r="AW104" s="74">
        <f t="shared" si="75"/>
        <v>90.878527754434131</v>
      </c>
    </row>
    <row r="105" spans="17:49" x14ac:dyDescent="0.35">
      <c r="Q105">
        <v>98</v>
      </c>
      <c r="R105" s="73">
        <f t="shared" si="49"/>
        <v>50</v>
      </c>
      <c r="S105" s="71">
        <f t="shared" si="79"/>
        <v>1.3066666666666666</v>
      </c>
      <c r="T105" s="71">
        <f t="shared" si="51"/>
        <v>5</v>
      </c>
      <c r="U105" s="74">
        <f t="shared" si="80"/>
        <v>13.066666666666666</v>
      </c>
      <c r="V105" s="73">
        <f>IF(Variable_Management!$B$20=3,2,IF((S105*R105/T105)&lt;((T105*(1-(T105/R105)))/(2*Lm*Fsw)),1,2))</f>
        <v>2</v>
      </c>
      <c r="W105" s="71">
        <f t="shared" si="81"/>
        <v>0.9</v>
      </c>
      <c r="X105" s="74">
        <f t="shared" si="82"/>
        <v>9.9999999999999978E-2</v>
      </c>
      <c r="Y105" s="73">
        <f t="shared" si="83"/>
        <v>0.85227272727272718</v>
      </c>
      <c r="Z105" s="71">
        <f t="shared" si="77"/>
        <v>13.49280303030303</v>
      </c>
      <c r="AA105" s="71">
        <f t="shared" si="78"/>
        <v>13.068982688459299</v>
      </c>
      <c r="AB105" s="71">
        <v>0</v>
      </c>
      <c r="AC105" s="71">
        <f t="shared" si="84"/>
        <v>0.73443272659837</v>
      </c>
      <c r="AD105" s="74">
        <f t="shared" si="67"/>
        <v>0.73443272659837</v>
      </c>
      <c r="AE105" s="73">
        <f t="shared" si="76"/>
        <v>11.76</v>
      </c>
      <c r="AF105" s="71">
        <f t="shared" si="68"/>
        <v>12.398325599052637</v>
      </c>
      <c r="AG105" s="71">
        <f t="shared" si="85"/>
        <v>1.3527226034090905</v>
      </c>
      <c r="AH105" s="71">
        <f t="shared" si="86"/>
        <v>2.6969332855093264</v>
      </c>
      <c r="AI105" s="74">
        <f t="shared" si="69"/>
        <v>4.0496558889184167</v>
      </c>
      <c r="AJ105" s="73">
        <f t="shared" si="70"/>
        <v>1.3066666666666664</v>
      </c>
      <c r="AK105" s="71">
        <f t="shared" si="87"/>
        <v>4.1327751996842119</v>
      </c>
      <c r="AL105" s="71">
        <f t="shared" si="88"/>
        <v>0.15030251148989893</v>
      </c>
      <c r="AM105" s="71">
        <f t="shared" si="95"/>
        <v>0.42468800000000007</v>
      </c>
      <c r="AN105" s="188">
        <f t="shared" si="89"/>
        <v>9.4989333333333328E-2</v>
      </c>
      <c r="AO105" s="74">
        <f t="shared" si="72"/>
        <v>0.66997984482323236</v>
      </c>
      <c r="AP105" s="73">
        <f t="shared" si="90"/>
        <v>0.34159661702249772</v>
      </c>
      <c r="AQ105" s="206">
        <f t="shared" si="91"/>
        <v>0.73443272659837</v>
      </c>
      <c r="AR105" s="206">
        <f t="shared" si="92"/>
        <v>1.6586782538474829E-2</v>
      </c>
      <c r="AS105" s="71">
        <f t="shared" si="93"/>
        <v>3.9600000000000003E-2</v>
      </c>
      <c r="AT105" s="74">
        <f t="shared" si="94"/>
        <v>1.6499999999999998E-5</v>
      </c>
      <c r="AU105" s="73">
        <f t="shared" si="73"/>
        <v>6.5863010864993621</v>
      </c>
      <c r="AV105" s="71">
        <f t="shared" si="74"/>
        <v>65.333333333333329</v>
      </c>
      <c r="AW105" s="74">
        <f t="shared" si="75"/>
        <v>90.842137700462061</v>
      </c>
    </row>
    <row r="106" spans="17:49" x14ac:dyDescent="0.35">
      <c r="Q106">
        <v>99</v>
      </c>
      <c r="R106" s="73">
        <f t="shared" si="49"/>
        <v>50</v>
      </c>
      <c r="S106" s="71">
        <f t="shared" si="79"/>
        <v>1.32</v>
      </c>
      <c r="T106" s="71">
        <f t="shared" si="51"/>
        <v>5</v>
      </c>
      <c r="U106" s="74">
        <f t="shared" si="80"/>
        <v>13.2</v>
      </c>
      <c r="V106" s="73">
        <f>IF(Variable_Management!$B$20=3,2,IF((S106*R106/T106)&lt;((T106*(1-(T106/R106)))/(2*Lm*Fsw)),1,2))</f>
        <v>2</v>
      </c>
      <c r="W106" s="71">
        <f t="shared" si="81"/>
        <v>0.9</v>
      </c>
      <c r="X106" s="74">
        <f t="shared" si="82"/>
        <v>9.9999999999999978E-2</v>
      </c>
      <c r="Y106" s="73">
        <f t="shared" si="83"/>
        <v>0.85227272727272718</v>
      </c>
      <c r="Z106" s="71">
        <f t="shared" si="77"/>
        <v>13.626136363636363</v>
      </c>
      <c r="AA106" s="71">
        <f t="shared" si="78"/>
        <v>13.20229263171632</v>
      </c>
      <c r="AB106" s="71">
        <v>0</v>
      </c>
      <c r="AC106" s="71">
        <f t="shared" si="84"/>
        <v>0.74949228215392549</v>
      </c>
      <c r="AD106" s="74">
        <f t="shared" si="67"/>
        <v>0.74949228215392549</v>
      </c>
      <c r="AE106" s="73">
        <f t="shared" si="76"/>
        <v>11.879999999999999</v>
      </c>
      <c r="AF106" s="71">
        <f t="shared" si="68"/>
        <v>12.524794515684636</v>
      </c>
      <c r="AG106" s="71">
        <f t="shared" si="85"/>
        <v>1.3804602034090909</v>
      </c>
      <c r="AH106" s="71">
        <f t="shared" si="86"/>
        <v>2.7244530129124822</v>
      </c>
      <c r="AI106" s="74">
        <f t="shared" si="69"/>
        <v>4.1049132163215729</v>
      </c>
      <c r="AJ106" s="73">
        <f t="shared" si="70"/>
        <v>1.3199999999999996</v>
      </c>
      <c r="AK106" s="71">
        <f t="shared" si="87"/>
        <v>4.1749315052282112</v>
      </c>
      <c r="AL106" s="71">
        <f t="shared" si="88"/>
        <v>0.15338446704545447</v>
      </c>
      <c r="AM106" s="71">
        <f t="shared" si="95"/>
        <v>0.42468800000000007</v>
      </c>
      <c r="AN106" s="188">
        <f t="shared" si="89"/>
        <v>9.5927999999999999E-2</v>
      </c>
      <c r="AO106" s="74">
        <f t="shared" si="72"/>
        <v>0.67400046704545458</v>
      </c>
      <c r="AP106" s="73">
        <f t="shared" si="90"/>
        <v>0.34860106146694209</v>
      </c>
      <c r="AQ106" s="206">
        <f t="shared" si="91"/>
        <v>0.74949228215392549</v>
      </c>
      <c r="AR106" s="206">
        <f t="shared" si="92"/>
        <v>1.6586782538474829E-2</v>
      </c>
      <c r="AS106" s="71">
        <f t="shared" si="93"/>
        <v>3.9600000000000003E-2</v>
      </c>
      <c r="AT106" s="74">
        <f t="shared" si="94"/>
        <v>1.6499999999999998E-5</v>
      </c>
      <c r="AU106" s="73">
        <f t="shared" si="73"/>
        <v>6.6827025916802949</v>
      </c>
      <c r="AV106" s="71">
        <f t="shared" si="74"/>
        <v>66</v>
      </c>
      <c r="AW106" s="74">
        <f t="shared" si="75"/>
        <v>90.805649276386106</v>
      </c>
    </row>
    <row r="107" spans="17:49" x14ac:dyDescent="0.35">
      <c r="Q107">
        <v>100</v>
      </c>
      <c r="R107" s="73">
        <f t="shared" si="49"/>
        <v>50</v>
      </c>
      <c r="S107" s="71">
        <f t="shared" si="79"/>
        <v>1.3333333333333335</v>
      </c>
      <c r="T107" s="71">
        <f t="shared" si="51"/>
        <v>5</v>
      </c>
      <c r="U107" s="74">
        <f t="shared" si="80"/>
        <v>13.333333333333334</v>
      </c>
      <c r="V107" s="73">
        <f>IF(Variable_Management!$B$20=3,2,IF((S107*R107/T107)&lt;((T107*(1-(T107/R107)))/(2*Lm*Fsw)),1,2))</f>
        <v>2</v>
      </c>
      <c r="W107" s="71">
        <f t="shared" si="81"/>
        <v>0.9</v>
      </c>
      <c r="X107" s="74">
        <f t="shared" si="82"/>
        <v>9.9999999999999978E-2</v>
      </c>
      <c r="Y107" s="73">
        <f t="shared" si="83"/>
        <v>0.85227272727272718</v>
      </c>
      <c r="Z107" s="71">
        <f t="shared" si="77"/>
        <v>13.759469696969697</v>
      </c>
      <c r="AA107" s="71">
        <f t="shared" si="78"/>
        <v>13.335603042654235</v>
      </c>
      <c r="AB107" s="71">
        <v>0</v>
      </c>
      <c r="AC107" s="71">
        <f t="shared" si="84"/>
        <v>0.76470472659837019</v>
      </c>
      <c r="AD107" s="74">
        <f t="shared" si="67"/>
        <v>0.76470472659837019</v>
      </c>
      <c r="AE107" s="73">
        <f t="shared" si="76"/>
        <v>12</v>
      </c>
      <c r="AF107" s="71">
        <f t="shared" si="68"/>
        <v>12.651263875997685</v>
      </c>
      <c r="AG107" s="71">
        <f t="shared" si="85"/>
        <v>1.4084794034090911</v>
      </c>
      <c r="AH107" s="71">
        <f t="shared" si="86"/>
        <v>2.7519727403156393</v>
      </c>
      <c r="AI107" s="74">
        <f t="shared" si="69"/>
        <v>4.1604521437247302</v>
      </c>
      <c r="AJ107" s="73">
        <f t="shared" si="70"/>
        <v>1.333333333333333</v>
      </c>
      <c r="AK107" s="71">
        <f t="shared" si="87"/>
        <v>4.2170879586658945</v>
      </c>
      <c r="AL107" s="71">
        <f t="shared" si="88"/>
        <v>0.15649771148989897</v>
      </c>
      <c r="AM107" s="71">
        <f t="shared" si="95"/>
        <v>0.42468800000000007</v>
      </c>
      <c r="AN107" s="188">
        <f t="shared" si="89"/>
        <v>9.686666666666667E-2</v>
      </c>
      <c r="AO107" s="74">
        <f t="shared" si="72"/>
        <v>0.67805237815656572</v>
      </c>
      <c r="AP107" s="73">
        <f t="shared" si="90"/>
        <v>0.35567661702249775</v>
      </c>
      <c r="AQ107" s="206">
        <f t="shared" si="91"/>
        <v>0.76470472659837019</v>
      </c>
      <c r="AR107" s="206">
        <f t="shared" si="92"/>
        <v>1.6586782538474829E-2</v>
      </c>
      <c r="AS107" s="71">
        <f t="shared" si="93"/>
        <v>3.9600000000000003E-2</v>
      </c>
      <c r="AT107" s="74">
        <f t="shared" si="94"/>
        <v>1.6499999999999998E-5</v>
      </c>
      <c r="AU107" s="73">
        <f t="shared" si="73"/>
        <v>6.779793874639009</v>
      </c>
      <c r="AV107" s="71">
        <f t="shared" si="74"/>
        <v>66.666666666666671</v>
      </c>
      <c r="AW107" s="74">
        <f t="shared" si="75"/>
        <v>90.769066576290484</v>
      </c>
    </row>
    <row r="108" spans="17:49" x14ac:dyDescent="0.35">
      <c r="Q108">
        <v>101</v>
      </c>
      <c r="R108" s="73">
        <f t="shared" si="49"/>
        <v>50</v>
      </c>
      <c r="S108" s="71">
        <f t="shared" si="79"/>
        <v>1.3466666666666667</v>
      </c>
      <c r="T108" s="71">
        <f t="shared" si="51"/>
        <v>5</v>
      </c>
      <c r="U108" s="74">
        <f t="shared" si="80"/>
        <v>13.466666666666665</v>
      </c>
      <c r="V108" s="73">
        <f>IF(Variable_Management!$B$20=3,2,IF((S108*R108/T108)&lt;((T108*(1-(T108/R108)))/(2*Lm*Fsw)),1,2))</f>
        <v>2</v>
      </c>
      <c r="W108" s="71">
        <f t="shared" si="81"/>
        <v>0.9</v>
      </c>
      <c r="X108" s="74">
        <f t="shared" si="82"/>
        <v>9.9999999999999978E-2</v>
      </c>
      <c r="Y108" s="73">
        <f t="shared" si="83"/>
        <v>0.85227272727272718</v>
      </c>
      <c r="Z108" s="71">
        <f t="shared" si="77"/>
        <v>13.892803030303028</v>
      </c>
      <c r="AA108" s="71">
        <f t="shared" si="78"/>
        <v>13.468913907386227</v>
      </c>
      <c r="AB108" s="71">
        <v>0</v>
      </c>
      <c r="AC108" s="71">
        <f t="shared" si="84"/>
        <v>0.7800700599317032</v>
      </c>
      <c r="AD108" s="74">
        <f t="shared" si="67"/>
        <v>0.7800700599317032</v>
      </c>
      <c r="AE108" s="73">
        <f t="shared" si="76"/>
        <v>12.12</v>
      </c>
      <c r="AF108" s="71">
        <f t="shared" si="68"/>
        <v>12.7777336668176</v>
      </c>
      <c r="AG108" s="71">
        <f t="shared" si="85"/>
        <v>1.4367802034090909</v>
      </c>
      <c r="AH108" s="71">
        <f t="shared" si="86"/>
        <v>2.7794924677187947</v>
      </c>
      <c r="AI108" s="74">
        <f t="shared" si="69"/>
        <v>4.2162726711278857</v>
      </c>
      <c r="AJ108" s="73">
        <f t="shared" si="70"/>
        <v>1.3466666666666662</v>
      </c>
      <c r="AK108" s="71">
        <f t="shared" si="87"/>
        <v>4.259244555605866</v>
      </c>
      <c r="AL108" s="71">
        <f t="shared" si="88"/>
        <v>0.15964224482323228</v>
      </c>
      <c r="AM108" s="71">
        <f t="shared" si="95"/>
        <v>0.42468800000000007</v>
      </c>
      <c r="AN108" s="188">
        <f t="shared" si="89"/>
        <v>9.7805333333333327E-2</v>
      </c>
      <c r="AO108" s="74">
        <f t="shared" si="72"/>
        <v>0.68213557815656567</v>
      </c>
      <c r="AP108" s="73">
        <f t="shared" si="90"/>
        <v>0.36282328368916428</v>
      </c>
      <c r="AQ108" s="206">
        <f t="shared" si="91"/>
        <v>0.7800700599317032</v>
      </c>
      <c r="AR108" s="206">
        <f t="shared" si="92"/>
        <v>1.6586782538474829E-2</v>
      </c>
      <c r="AS108" s="71">
        <f t="shared" si="93"/>
        <v>3.9600000000000003E-2</v>
      </c>
      <c r="AT108" s="74">
        <f t="shared" si="94"/>
        <v>1.6499999999999998E-5</v>
      </c>
      <c r="AU108" s="73">
        <f t="shared" si="73"/>
        <v>6.877574935375498</v>
      </c>
      <c r="AV108" s="71">
        <f t="shared" si="74"/>
        <v>67.333333333333329</v>
      </c>
      <c r="AW108" s="74">
        <f t="shared" si="75"/>
        <v>90.73239353105258</v>
      </c>
    </row>
    <row r="109" spans="17:49" x14ac:dyDescent="0.35">
      <c r="Q109">
        <v>102</v>
      </c>
      <c r="R109" s="73">
        <f t="shared" si="49"/>
        <v>50</v>
      </c>
      <c r="S109" s="71">
        <f t="shared" si="79"/>
        <v>1.36</v>
      </c>
      <c r="T109" s="71">
        <f t="shared" si="51"/>
        <v>5</v>
      </c>
      <c r="U109" s="74">
        <f t="shared" si="80"/>
        <v>13.6</v>
      </c>
      <c r="V109" s="73">
        <f>IF(Variable_Management!$B$20=3,2,IF((S109*R109/T109)&lt;((T109*(1-(T109/R109)))/(2*Lm*Fsw)),1,2))</f>
        <v>2</v>
      </c>
      <c r="W109" s="71">
        <f t="shared" si="81"/>
        <v>0.9</v>
      </c>
      <c r="X109" s="74">
        <f t="shared" si="82"/>
        <v>9.9999999999999978E-2</v>
      </c>
      <c r="Y109" s="73">
        <f t="shared" si="83"/>
        <v>0.85227272727272718</v>
      </c>
      <c r="Z109" s="71">
        <f t="shared" si="77"/>
        <v>14.026136363636363</v>
      </c>
      <c r="AA109" s="71">
        <f t="shared" si="78"/>
        <v>13.602225212569856</v>
      </c>
      <c r="AB109" s="71">
        <v>0</v>
      </c>
      <c r="AC109" s="71">
        <f t="shared" si="84"/>
        <v>0.79558828215392552</v>
      </c>
      <c r="AD109" s="74">
        <f t="shared" si="67"/>
        <v>0.79558828215392552</v>
      </c>
      <c r="AE109" s="73">
        <f t="shared" si="76"/>
        <v>12.24</v>
      </c>
      <c r="AF109" s="71">
        <f t="shared" si="68"/>
        <v>12.904203875486623</v>
      </c>
      <c r="AG109" s="71">
        <f t="shared" si="85"/>
        <v>1.4653626034090912</v>
      </c>
      <c r="AH109" s="71">
        <f t="shared" si="86"/>
        <v>2.8070121951219518</v>
      </c>
      <c r="AI109" s="74">
        <f t="shared" si="69"/>
        <v>4.2723747985310432</v>
      </c>
      <c r="AJ109" s="73">
        <f t="shared" si="70"/>
        <v>1.3599999999999997</v>
      </c>
      <c r="AK109" s="71">
        <f t="shared" si="87"/>
        <v>4.3014012918288733</v>
      </c>
      <c r="AL109" s="71">
        <f t="shared" si="88"/>
        <v>0.16281806704545448</v>
      </c>
      <c r="AM109" s="71">
        <f t="shared" si="95"/>
        <v>0.42468800000000007</v>
      </c>
      <c r="AN109" s="188">
        <f t="shared" si="89"/>
        <v>9.8743999999999998E-2</v>
      </c>
      <c r="AO109" s="74">
        <f t="shared" si="72"/>
        <v>0.68625006704545455</v>
      </c>
      <c r="AP109" s="73">
        <f t="shared" si="90"/>
        <v>0.3700410614669421</v>
      </c>
      <c r="AQ109" s="206">
        <f t="shared" si="91"/>
        <v>0.79558828215392552</v>
      </c>
      <c r="AR109" s="206">
        <f t="shared" si="92"/>
        <v>1.6586782538474829E-2</v>
      </c>
      <c r="AS109" s="71">
        <f t="shared" si="93"/>
        <v>3.9600000000000003E-2</v>
      </c>
      <c r="AT109" s="74">
        <f t="shared" si="94"/>
        <v>1.6499999999999998E-5</v>
      </c>
      <c r="AU109" s="73">
        <f t="shared" si="73"/>
        <v>6.9760457738897665</v>
      </c>
      <c r="AV109" s="71">
        <f t="shared" si="74"/>
        <v>68</v>
      </c>
      <c r="AW109" s="74">
        <f t="shared" si="75"/>
        <v>90.6956339162939</v>
      </c>
    </row>
    <row r="110" spans="17:49" x14ac:dyDescent="0.35">
      <c r="Q110">
        <v>103</v>
      </c>
      <c r="R110" s="73">
        <f t="shared" si="49"/>
        <v>50</v>
      </c>
      <c r="S110" s="71">
        <f t="shared" si="79"/>
        <v>1.3733333333333335</v>
      </c>
      <c r="T110" s="71">
        <f t="shared" si="51"/>
        <v>5</v>
      </c>
      <c r="U110" s="74">
        <f t="shared" si="80"/>
        <v>13.733333333333334</v>
      </c>
      <c r="V110" s="73">
        <f>IF(Variable_Management!$B$20=3,2,IF((S110*R110/T110)&lt;((T110*(1-(T110/R110)))/(2*Lm*Fsw)),1,2))</f>
        <v>2</v>
      </c>
      <c r="W110" s="71">
        <f t="shared" si="81"/>
        <v>0.9</v>
      </c>
      <c r="X110" s="74">
        <f t="shared" si="82"/>
        <v>9.9999999999999978E-2</v>
      </c>
      <c r="Y110" s="73">
        <f t="shared" si="83"/>
        <v>0.85227272727272718</v>
      </c>
      <c r="Z110" s="71">
        <f t="shared" si="77"/>
        <v>14.159469696969698</v>
      </c>
      <c r="AA110" s="71">
        <f t="shared" si="78"/>
        <v>13.735536945380604</v>
      </c>
      <c r="AB110" s="71">
        <v>0</v>
      </c>
      <c r="AC110" s="71">
        <f t="shared" si="84"/>
        <v>0.81125939326503671</v>
      </c>
      <c r="AD110" s="74">
        <f t="shared" si="67"/>
        <v>0.81125939326503671</v>
      </c>
      <c r="AE110" s="73">
        <f t="shared" si="76"/>
        <v>12.360000000000001</v>
      </c>
      <c r="AF110" s="71">
        <f t="shared" si="68"/>
        <v>13.030674489838351</v>
      </c>
      <c r="AG110" s="71">
        <f t="shared" si="85"/>
        <v>1.4942266034090907</v>
      </c>
      <c r="AH110" s="71">
        <f t="shared" si="86"/>
        <v>2.8345319225251084</v>
      </c>
      <c r="AI110" s="74">
        <f t="shared" si="69"/>
        <v>4.328758525934199</v>
      </c>
      <c r="AJ110" s="73">
        <f t="shared" si="70"/>
        <v>1.3733333333333331</v>
      </c>
      <c r="AK110" s="71">
        <f t="shared" si="87"/>
        <v>4.3435581632794502</v>
      </c>
      <c r="AL110" s="71">
        <f t="shared" si="88"/>
        <v>0.16602517815656564</v>
      </c>
      <c r="AM110" s="71">
        <f t="shared" si="95"/>
        <v>0.42468800000000007</v>
      </c>
      <c r="AN110" s="188">
        <f t="shared" si="89"/>
        <v>9.9682666666666669E-2</v>
      </c>
      <c r="AO110" s="74">
        <f t="shared" si="72"/>
        <v>0.69039584482323246</v>
      </c>
      <c r="AP110" s="73">
        <f t="shared" si="90"/>
        <v>0.37732995035583106</v>
      </c>
      <c r="AQ110" s="206">
        <f t="shared" si="91"/>
        <v>0.81125939326503671</v>
      </c>
      <c r="AR110" s="206">
        <f t="shared" si="92"/>
        <v>1.6586782538474829E-2</v>
      </c>
      <c r="AS110" s="71">
        <f t="shared" si="93"/>
        <v>3.9600000000000003E-2</v>
      </c>
      <c r="AT110" s="74">
        <f t="shared" si="94"/>
        <v>1.6499999999999998E-5</v>
      </c>
      <c r="AU110" s="73">
        <f t="shared" si="73"/>
        <v>7.0752063901818119</v>
      </c>
      <c r="AV110" s="71">
        <f t="shared" si="74"/>
        <v>68.666666666666671</v>
      </c>
      <c r="AW110" s="74">
        <f t="shared" si="75"/>
        <v>90.658791359871088</v>
      </c>
    </row>
    <row r="111" spans="17:49" x14ac:dyDescent="0.35">
      <c r="Q111">
        <v>104</v>
      </c>
      <c r="R111" s="73">
        <f t="shared" si="49"/>
        <v>50</v>
      </c>
      <c r="S111" s="71">
        <f t="shared" si="79"/>
        <v>1.3866666666666667</v>
      </c>
      <c r="T111" s="71">
        <f t="shared" si="51"/>
        <v>5</v>
      </c>
      <c r="U111" s="74">
        <f t="shared" si="80"/>
        <v>13.866666666666669</v>
      </c>
      <c r="V111" s="73">
        <f>IF(Variable_Management!$B$20=3,2,IF((S111*R111/T111)&lt;((T111*(1-(T111/R111)))/(2*Lm*Fsw)),1,2))</f>
        <v>2</v>
      </c>
      <c r="W111" s="71">
        <f t="shared" si="81"/>
        <v>0.9</v>
      </c>
      <c r="X111" s="74">
        <f t="shared" si="82"/>
        <v>9.9999999999999978E-2</v>
      </c>
      <c r="Y111" s="73">
        <f t="shared" si="83"/>
        <v>0.85227272727272718</v>
      </c>
      <c r="Z111" s="71">
        <f t="shared" si="77"/>
        <v>14.292803030303032</v>
      </c>
      <c r="AA111" s="71">
        <f t="shared" si="78"/>
        <v>13.868849093487015</v>
      </c>
      <c r="AB111" s="71">
        <v>0</v>
      </c>
      <c r="AC111" s="71">
        <f t="shared" si="84"/>
        <v>0.82708339326503699</v>
      </c>
      <c r="AD111" s="74">
        <f t="shared" si="67"/>
        <v>0.82708339326503699</v>
      </c>
      <c r="AE111" s="73">
        <f t="shared" si="76"/>
        <v>12.480000000000002</v>
      </c>
      <c r="AF111" s="71">
        <f t="shared" si="68"/>
        <v>13.15714549817414</v>
      </c>
      <c r="AG111" s="71">
        <f t="shared" si="85"/>
        <v>1.5233722034090917</v>
      </c>
      <c r="AH111" s="71">
        <f t="shared" si="86"/>
        <v>2.8620516499282651</v>
      </c>
      <c r="AI111" s="74">
        <f t="shared" si="69"/>
        <v>4.3854238533373566</v>
      </c>
      <c r="AJ111" s="73">
        <f t="shared" si="70"/>
        <v>1.3866666666666665</v>
      </c>
      <c r="AK111" s="71">
        <f t="shared" si="87"/>
        <v>4.3857151660580458</v>
      </c>
      <c r="AL111" s="71">
        <f t="shared" si="88"/>
        <v>0.16926357815656567</v>
      </c>
      <c r="AM111" s="71">
        <f t="shared" si="95"/>
        <v>0.42468800000000007</v>
      </c>
      <c r="AN111" s="188">
        <f t="shared" si="89"/>
        <v>0.10062133333333335</v>
      </c>
      <c r="AO111" s="74">
        <f t="shared" si="72"/>
        <v>0.69457291148989908</v>
      </c>
      <c r="AP111" s="73">
        <f t="shared" si="90"/>
        <v>0.3846899503558312</v>
      </c>
      <c r="AQ111" s="206">
        <f t="shared" si="91"/>
        <v>0.82708339326503699</v>
      </c>
      <c r="AR111" s="206">
        <f t="shared" si="92"/>
        <v>1.6586782538474829E-2</v>
      </c>
      <c r="AS111" s="71">
        <f t="shared" si="93"/>
        <v>3.9600000000000003E-2</v>
      </c>
      <c r="AT111" s="74">
        <f t="shared" si="94"/>
        <v>1.6499999999999998E-5</v>
      </c>
      <c r="AU111" s="73">
        <f t="shared" si="73"/>
        <v>7.1750567842516357</v>
      </c>
      <c r="AV111" s="71">
        <f t="shared" si="74"/>
        <v>69.333333333333343</v>
      </c>
      <c r="AW111" s="74">
        <f t="shared" si="75"/>
        <v>90.621869348937594</v>
      </c>
    </row>
    <row r="112" spans="17:49" x14ac:dyDescent="0.35">
      <c r="Q112">
        <v>105</v>
      </c>
      <c r="R112" s="73">
        <f t="shared" si="49"/>
        <v>50</v>
      </c>
      <c r="S112" s="71">
        <f t="shared" si="79"/>
        <v>1.4000000000000001</v>
      </c>
      <c r="T112" s="71">
        <f t="shared" si="51"/>
        <v>5</v>
      </c>
      <c r="U112" s="74">
        <f t="shared" si="80"/>
        <v>14</v>
      </c>
      <c r="V112" s="73">
        <f>IF(Variable_Management!$B$20=3,2,IF((S112*R112/T112)&lt;((T112*(1-(T112/R112)))/(2*Lm*Fsw)),1,2))</f>
        <v>2</v>
      </c>
      <c r="W112" s="71">
        <f t="shared" si="81"/>
        <v>0.9</v>
      </c>
      <c r="X112" s="74">
        <f t="shared" si="82"/>
        <v>9.9999999999999978E-2</v>
      </c>
      <c r="Y112" s="73">
        <f t="shared" si="83"/>
        <v>0.85227272727272718</v>
      </c>
      <c r="Z112" s="71">
        <f t="shared" si="77"/>
        <v>14.426136363636363</v>
      </c>
      <c r="AA112" s="71">
        <f t="shared" si="78"/>
        <v>14.00216164502721</v>
      </c>
      <c r="AB112" s="71">
        <v>0</v>
      </c>
      <c r="AC112" s="71">
        <f t="shared" si="84"/>
        <v>0.8430602821539257</v>
      </c>
      <c r="AD112" s="74">
        <f t="shared" si="67"/>
        <v>0.8430602821539257</v>
      </c>
      <c r="AE112" s="73">
        <f t="shared" si="76"/>
        <v>12.6</v>
      </c>
      <c r="AF112" s="71">
        <f t="shared" si="68"/>
        <v>13.28361688924082</v>
      </c>
      <c r="AG112" s="71">
        <f t="shared" si="85"/>
        <v>1.5527994034090908</v>
      </c>
      <c r="AH112" s="71">
        <f t="shared" si="86"/>
        <v>2.8895713773314209</v>
      </c>
      <c r="AI112" s="74">
        <f t="shared" si="69"/>
        <v>4.4423707807405117</v>
      </c>
      <c r="AJ112" s="73">
        <f t="shared" si="70"/>
        <v>1.3999999999999997</v>
      </c>
      <c r="AK112" s="71">
        <f t="shared" si="87"/>
        <v>4.4278722964136064</v>
      </c>
      <c r="AL112" s="71">
        <f t="shared" si="88"/>
        <v>0.17253326704545455</v>
      </c>
      <c r="AM112" s="71">
        <f t="shared" si="95"/>
        <v>0.42468800000000007</v>
      </c>
      <c r="AN112" s="188">
        <f t="shared" si="89"/>
        <v>0.10156</v>
      </c>
      <c r="AO112" s="74">
        <f t="shared" si="72"/>
        <v>0.69878126704545462</v>
      </c>
      <c r="AP112" s="73">
        <f t="shared" si="90"/>
        <v>0.3921210614669422</v>
      </c>
      <c r="AQ112" s="206">
        <f t="shared" si="91"/>
        <v>0.8430602821539257</v>
      </c>
      <c r="AR112" s="206">
        <f t="shared" si="92"/>
        <v>1.6586782538474829E-2</v>
      </c>
      <c r="AS112" s="71">
        <f t="shared" si="93"/>
        <v>3.9600000000000003E-2</v>
      </c>
      <c r="AT112" s="74">
        <f t="shared" si="94"/>
        <v>1.6499999999999998E-5</v>
      </c>
      <c r="AU112" s="73">
        <f t="shared" si="73"/>
        <v>7.2755969560992346</v>
      </c>
      <c r="AV112" s="71">
        <f t="shared" si="74"/>
        <v>70</v>
      </c>
      <c r="AW112" s="74">
        <f t="shared" si="75"/>
        <v>90.584871236604556</v>
      </c>
    </row>
    <row r="113" spans="17:49" x14ac:dyDescent="0.35">
      <c r="Q113">
        <v>106</v>
      </c>
      <c r="R113" s="73">
        <f t="shared" si="49"/>
        <v>50</v>
      </c>
      <c r="S113" s="71">
        <f t="shared" si="79"/>
        <v>1.4133333333333333</v>
      </c>
      <c r="T113" s="71">
        <f t="shared" si="51"/>
        <v>5</v>
      </c>
      <c r="U113" s="74">
        <f t="shared" si="80"/>
        <v>14.133333333333335</v>
      </c>
      <c r="V113" s="73">
        <f>IF(Variable_Management!$B$20=3,2,IF((S113*R113/T113)&lt;((T113*(1-(T113/R113)))/(2*Lm*Fsw)),1,2))</f>
        <v>2</v>
      </c>
      <c r="W113" s="71">
        <f t="shared" si="81"/>
        <v>0.9</v>
      </c>
      <c r="X113" s="74">
        <f t="shared" si="82"/>
        <v>9.9999999999999978E-2</v>
      </c>
      <c r="Y113" s="73">
        <f t="shared" si="83"/>
        <v>0.85227272727272718</v>
      </c>
      <c r="Z113" s="71">
        <f t="shared" si="77"/>
        <v>14.559469696969698</v>
      </c>
      <c r="AA113" s="71">
        <f t="shared" si="78"/>
        <v>14.135474588586767</v>
      </c>
      <c r="AB113" s="71">
        <v>0</v>
      </c>
      <c r="AC113" s="71">
        <f t="shared" si="84"/>
        <v>0.85919005993170361</v>
      </c>
      <c r="AD113" s="74">
        <f t="shared" si="67"/>
        <v>0.85919005993170361</v>
      </c>
      <c r="AE113" s="73">
        <f t="shared" si="76"/>
        <v>12.72</v>
      </c>
      <c r="AF113" s="71">
        <f t="shared" si="68"/>
        <v>13.410088652209723</v>
      </c>
      <c r="AG113" s="71">
        <f t="shared" si="85"/>
        <v>1.5825082034090912</v>
      </c>
      <c r="AH113" s="71">
        <f t="shared" si="86"/>
        <v>2.9170911047345776</v>
      </c>
      <c r="AI113" s="74">
        <f t="shared" si="69"/>
        <v>4.4995993081436687</v>
      </c>
      <c r="AJ113" s="73">
        <f t="shared" si="70"/>
        <v>1.4133333333333331</v>
      </c>
      <c r="AK113" s="71">
        <f t="shared" si="87"/>
        <v>4.4700295507365739</v>
      </c>
      <c r="AL113" s="71">
        <f t="shared" si="88"/>
        <v>0.17583424482323232</v>
      </c>
      <c r="AM113" s="71">
        <f t="shared" si="95"/>
        <v>0.42468800000000007</v>
      </c>
      <c r="AN113" s="188">
        <f t="shared" si="89"/>
        <v>0.10249866666666668</v>
      </c>
      <c r="AO113" s="74">
        <f t="shared" si="72"/>
        <v>0.70302091148989909</v>
      </c>
      <c r="AP113" s="73">
        <f t="shared" si="90"/>
        <v>0.39962328368916444</v>
      </c>
      <c r="AQ113" s="206">
        <f t="shared" si="91"/>
        <v>0.85919005993170361</v>
      </c>
      <c r="AR113" s="206">
        <f t="shared" si="92"/>
        <v>1.6586782538474829E-2</v>
      </c>
      <c r="AS113" s="71">
        <f t="shared" si="93"/>
        <v>3.9600000000000003E-2</v>
      </c>
      <c r="AT113" s="74">
        <f t="shared" si="94"/>
        <v>1.6499999999999998E-5</v>
      </c>
      <c r="AU113" s="73">
        <f t="shared" si="73"/>
        <v>7.3768269057246156</v>
      </c>
      <c r="AV113" s="71">
        <f t="shared" si="74"/>
        <v>70.666666666666671</v>
      </c>
      <c r="AW113" s="74">
        <f t="shared" si="75"/>
        <v>90.54780024822692</v>
      </c>
    </row>
    <row r="114" spans="17:49" x14ac:dyDescent="0.35">
      <c r="Q114">
        <v>107</v>
      </c>
      <c r="R114" s="73">
        <f t="shared" si="49"/>
        <v>50</v>
      </c>
      <c r="S114" s="71">
        <f t="shared" si="79"/>
        <v>1.4266666666666667</v>
      </c>
      <c r="T114" s="71">
        <f t="shared" si="51"/>
        <v>5</v>
      </c>
      <c r="U114" s="74">
        <f t="shared" si="80"/>
        <v>14.266666666666669</v>
      </c>
      <c r="V114" s="73">
        <f>IF(Variable_Management!$B$20=3,2,IF((S114*R114/T114)&lt;((T114*(1-(T114/R114)))/(2*Lm*Fsw)),1,2))</f>
        <v>2</v>
      </c>
      <c r="W114" s="71">
        <f t="shared" si="81"/>
        <v>0.9</v>
      </c>
      <c r="X114" s="74">
        <f t="shared" si="82"/>
        <v>9.9999999999999978E-2</v>
      </c>
      <c r="Y114" s="73">
        <f t="shared" si="83"/>
        <v>0.85227272727272718</v>
      </c>
      <c r="Z114" s="71">
        <f t="shared" si="77"/>
        <v>14.692803030303033</v>
      </c>
      <c r="AA114" s="71">
        <f t="shared" si="78"/>
        <v>14.268787913177801</v>
      </c>
      <c r="AB114" s="71">
        <v>0</v>
      </c>
      <c r="AC114" s="71">
        <f t="shared" si="84"/>
        <v>0.87547272659837039</v>
      </c>
      <c r="AD114" s="74">
        <f t="shared" si="67"/>
        <v>0.87547272659837039</v>
      </c>
      <c r="AE114" s="73">
        <f t="shared" si="76"/>
        <v>12.840000000000003</v>
      </c>
      <c r="AF114" s="71">
        <f t="shared" si="68"/>
        <v>13.536560776656826</v>
      </c>
      <c r="AG114" s="71">
        <f t="shared" si="85"/>
        <v>1.6124986034090916</v>
      </c>
      <c r="AH114" s="71">
        <f t="shared" si="86"/>
        <v>2.9446108321377342</v>
      </c>
      <c r="AI114" s="74">
        <f t="shared" si="69"/>
        <v>4.5571094355468258</v>
      </c>
      <c r="AJ114" s="73">
        <f t="shared" si="70"/>
        <v>1.4266666666666665</v>
      </c>
      <c r="AK114" s="71">
        <f t="shared" si="87"/>
        <v>4.5121869255522746</v>
      </c>
      <c r="AL114" s="71">
        <f t="shared" si="88"/>
        <v>0.17916651148989901</v>
      </c>
      <c r="AM114" s="71">
        <f t="shared" si="95"/>
        <v>0.42468800000000007</v>
      </c>
      <c r="AN114" s="188">
        <f t="shared" si="89"/>
        <v>0.10343733333333335</v>
      </c>
      <c r="AO114" s="74">
        <f t="shared" si="72"/>
        <v>0.70729184482323249</v>
      </c>
      <c r="AP114" s="73">
        <f t="shared" si="90"/>
        <v>0.40719661702249782</v>
      </c>
      <c r="AQ114" s="206">
        <f t="shared" si="91"/>
        <v>0.87547272659837039</v>
      </c>
      <c r="AR114" s="206">
        <f t="shared" si="92"/>
        <v>1.6586782538474829E-2</v>
      </c>
      <c r="AS114" s="71">
        <f t="shared" si="93"/>
        <v>3.9600000000000003E-2</v>
      </c>
      <c r="AT114" s="74">
        <f t="shared" si="94"/>
        <v>1.6499999999999998E-5</v>
      </c>
      <c r="AU114" s="73">
        <f t="shared" si="73"/>
        <v>7.4787466331277717</v>
      </c>
      <c r="AV114" s="71">
        <f t="shared" si="74"/>
        <v>71.333333333333343</v>
      </c>
      <c r="AW114" s="74">
        <f t="shared" si="75"/>
        <v>90.510659487339524</v>
      </c>
    </row>
    <row r="115" spans="17:49" x14ac:dyDescent="0.35">
      <c r="Q115">
        <v>108</v>
      </c>
      <c r="R115" s="73">
        <f t="shared" si="49"/>
        <v>50</v>
      </c>
      <c r="S115" s="71">
        <f t="shared" si="79"/>
        <v>1.4400000000000002</v>
      </c>
      <c r="T115" s="71">
        <f t="shared" si="51"/>
        <v>5</v>
      </c>
      <c r="U115" s="74">
        <f t="shared" si="80"/>
        <v>14.400000000000002</v>
      </c>
      <c r="V115" s="73">
        <f>IF(Variable_Management!$B$20=3,2,IF((S115*R115/T115)&lt;((T115*(1-(T115/R115)))/(2*Lm*Fsw)),1,2))</f>
        <v>2</v>
      </c>
      <c r="W115" s="71">
        <f t="shared" si="81"/>
        <v>0.9</v>
      </c>
      <c r="X115" s="74">
        <f t="shared" si="82"/>
        <v>9.9999999999999978E-2</v>
      </c>
      <c r="Y115" s="73">
        <f t="shared" si="83"/>
        <v>0.85227272727272718</v>
      </c>
      <c r="Z115" s="71">
        <f t="shared" si="77"/>
        <v>14.826136363636365</v>
      </c>
      <c r="AA115" s="71">
        <f t="shared" si="78"/>
        <v>14.402101608219237</v>
      </c>
      <c r="AB115" s="71">
        <v>0</v>
      </c>
      <c r="AC115" s="71">
        <f t="shared" si="84"/>
        <v>0.89190828215392592</v>
      </c>
      <c r="AD115" s="74">
        <f t="shared" si="67"/>
        <v>0.89190828215392592</v>
      </c>
      <c r="AE115" s="73">
        <f t="shared" si="76"/>
        <v>12.960000000000003</v>
      </c>
      <c r="AF115" s="71">
        <f t="shared" si="68"/>
        <v>13.663033252544034</v>
      </c>
      <c r="AG115" s="71">
        <f t="shared" si="85"/>
        <v>1.6427706034090914</v>
      </c>
      <c r="AH115" s="71">
        <f t="shared" si="86"/>
        <v>2.9721305595408904</v>
      </c>
      <c r="AI115" s="74">
        <f t="shared" si="69"/>
        <v>4.6149011629499821</v>
      </c>
      <c r="AJ115" s="73">
        <f t="shared" si="70"/>
        <v>1.44</v>
      </c>
      <c r="AK115" s="71">
        <f t="shared" si="87"/>
        <v>4.5543444175146774</v>
      </c>
      <c r="AL115" s="71">
        <f t="shared" si="88"/>
        <v>0.18253006704545457</v>
      </c>
      <c r="AM115" s="71">
        <f t="shared" si="95"/>
        <v>0.42468800000000007</v>
      </c>
      <c r="AN115" s="188">
        <f t="shared" si="89"/>
        <v>0.10437600000000001</v>
      </c>
      <c r="AO115" s="74">
        <f t="shared" si="72"/>
        <v>0.71159406704545469</v>
      </c>
      <c r="AP115" s="73">
        <f t="shared" si="90"/>
        <v>0.41484106146694227</v>
      </c>
      <c r="AQ115" s="206">
        <f t="shared" si="91"/>
        <v>0.89190828215392592</v>
      </c>
      <c r="AR115" s="206">
        <f t="shared" si="92"/>
        <v>1.6586782538474829E-2</v>
      </c>
      <c r="AS115" s="71">
        <f t="shared" si="93"/>
        <v>3.9600000000000003E-2</v>
      </c>
      <c r="AT115" s="74">
        <f t="shared" si="94"/>
        <v>1.6499999999999998E-5</v>
      </c>
      <c r="AU115" s="73">
        <f t="shared" si="73"/>
        <v>7.5813561383087062</v>
      </c>
      <c r="AV115" s="71">
        <f t="shared" si="74"/>
        <v>72.000000000000014</v>
      </c>
      <c r="AW115" s="74">
        <f t="shared" si="75"/>
        <v>90.473451941265409</v>
      </c>
    </row>
    <row r="116" spans="17:49" x14ac:dyDescent="0.35">
      <c r="Q116">
        <v>109</v>
      </c>
      <c r="R116" s="73">
        <f t="shared" si="49"/>
        <v>50</v>
      </c>
      <c r="S116" s="71">
        <f t="shared" si="79"/>
        <v>1.4533333333333334</v>
      </c>
      <c r="T116" s="71">
        <f t="shared" si="51"/>
        <v>5</v>
      </c>
      <c r="U116" s="74">
        <f t="shared" si="80"/>
        <v>14.533333333333335</v>
      </c>
      <c r="V116" s="73">
        <f>IF(Variable_Management!$B$20=3,2,IF((S116*R116/T116)&lt;((T116*(1-(T116/R116)))/(2*Lm*Fsw)),1,2))</f>
        <v>2</v>
      </c>
      <c r="W116" s="71">
        <f t="shared" si="81"/>
        <v>0.9</v>
      </c>
      <c r="X116" s="74">
        <f t="shared" si="82"/>
        <v>9.9999999999999978E-2</v>
      </c>
      <c r="Y116" s="73">
        <f t="shared" si="83"/>
        <v>0.85227272727272718</v>
      </c>
      <c r="Z116" s="71">
        <f t="shared" si="77"/>
        <v>14.959469696969698</v>
      </c>
      <c r="AA116" s="71">
        <f t="shared" si="78"/>
        <v>14.535415663518155</v>
      </c>
      <c r="AB116" s="71">
        <v>0</v>
      </c>
      <c r="AC116" s="71">
        <f t="shared" si="84"/>
        <v>0.90849672659837033</v>
      </c>
      <c r="AD116" s="74">
        <f t="shared" si="67"/>
        <v>0.90849672659837033</v>
      </c>
      <c r="AE116" s="73">
        <f t="shared" si="76"/>
        <v>13.080000000000002</v>
      </c>
      <c r="AF116" s="71">
        <f t="shared" si="68"/>
        <v>13.789506070201499</v>
      </c>
      <c r="AG116" s="71">
        <f t="shared" si="85"/>
        <v>1.6733242034090912</v>
      </c>
      <c r="AH116" s="71">
        <f t="shared" si="86"/>
        <v>2.9996502869440467</v>
      </c>
      <c r="AI116" s="74">
        <f t="shared" si="69"/>
        <v>4.6729744903531376</v>
      </c>
      <c r="AJ116" s="73">
        <f t="shared" si="70"/>
        <v>1.4533333333333331</v>
      </c>
      <c r="AK116" s="71">
        <f t="shared" si="87"/>
        <v>4.5965020234004994</v>
      </c>
      <c r="AL116" s="71">
        <f t="shared" si="88"/>
        <v>0.18592491148989898</v>
      </c>
      <c r="AM116" s="71">
        <f t="shared" si="95"/>
        <v>0.42468800000000007</v>
      </c>
      <c r="AN116" s="188">
        <f t="shared" si="89"/>
        <v>0.10531466666666668</v>
      </c>
      <c r="AO116" s="74">
        <f t="shared" si="72"/>
        <v>0.71592757815656571</v>
      </c>
      <c r="AP116" s="73">
        <f t="shared" si="90"/>
        <v>0.42255661702249786</v>
      </c>
      <c r="AQ116" s="206">
        <f t="shared" si="91"/>
        <v>0.90849672659837033</v>
      </c>
      <c r="AR116" s="206">
        <f t="shared" si="92"/>
        <v>1.6586782538474829E-2</v>
      </c>
      <c r="AS116" s="71">
        <f t="shared" si="93"/>
        <v>3.9600000000000003E-2</v>
      </c>
      <c r="AT116" s="74">
        <f t="shared" si="94"/>
        <v>1.6499999999999998E-5</v>
      </c>
      <c r="AU116" s="73">
        <f t="shared" si="73"/>
        <v>7.6846554212674176</v>
      </c>
      <c r="AV116" s="71">
        <f t="shared" si="74"/>
        <v>72.666666666666671</v>
      </c>
      <c r="AW116" s="74">
        <f t="shared" si="75"/>
        <v>90.436180486417427</v>
      </c>
    </row>
    <row r="117" spans="17:49" x14ac:dyDescent="0.35">
      <c r="Q117">
        <v>110</v>
      </c>
      <c r="R117" s="73">
        <f t="shared" si="49"/>
        <v>50</v>
      </c>
      <c r="S117" s="71">
        <f t="shared" si="79"/>
        <v>1.4666666666666668</v>
      </c>
      <c r="T117" s="71">
        <f t="shared" si="51"/>
        <v>5</v>
      </c>
      <c r="U117" s="74">
        <f t="shared" si="80"/>
        <v>14.666666666666668</v>
      </c>
      <c r="V117" s="73">
        <f>IF(Variable_Management!$B$20=3,2,IF((S117*R117/T117)&lt;((T117*(1-(T117/R117)))/(2*Lm*Fsw)),1,2))</f>
        <v>2</v>
      </c>
      <c r="W117" s="71">
        <f t="shared" si="81"/>
        <v>0.9</v>
      </c>
      <c r="X117" s="74">
        <f t="shared" si="82"/>
        <v>9.9999999999999978E-2</v>
      </c>
      <c r="Y117" s="73">
        <f t="shared" si="83"/>
        <v>0.85227272727272718</v>
      </c>
      <c r="Z117" s="71">
        <f t="shared" si="77"/>
        <v>15.092803030303031</v>
      </c>
      <c r="AA117" s="71">
        <f t="shared" si="78"/>
        <v>14.668730069252151</v>
      </c>
      <c r="AB117" s="71">
        <v>0</v>
      </c>
      <c r="AC117" s="71">
        <f t="shared" si="84"/>
        <v>0.92523805993170349</v>
      </c>
      <c r="AD117" s="74">
        <f t="shared" si="67"/>
        <v>0.92523805993170349</v>
      </c>
      <c r="AE117" s="73">
        <f t="shared" si="76"/>
        <v>13.200000000000001</v>
      </c>
      <c r="AF117" s="71">
        <f t="shared" si="68"/>
        <v>13.915979220310872</v>
      </c>
      <c r="AG117" s="71">
        <f t="shared" si="85"/>
        <v>1.704159403409091</v>
      </c>
      <c r="AH117" s="71">
        <f t="shared" si="86"/>
        <v>3.0271700143472029</v>
      </c>
      <c r="AI117" s="74">
        <f t="shared" si="69"/>
        <v>4.7313294177562941</v>
      </c>
      <c r="AJ117" s="73">
        <f t="shared" si="70"/>
        <v>1.4666666666666666</v>
      </c>
      <c r="AK117" s="71">
        <f t="shared" si="87"/>
        <v>4.6386597401036234</v>
      </c>
      <c r="AL117" s="71">
        <f t="shared" si="88"/>
        <v>0.18935104482323228</v>
      </c>
      <c r="AM117" s="71">
        <f t="shared" si="95"/>
        <v>0.42468800000000007</v>
      </c>
      <c r="AN117" s="188">
        <f t="shared" si="89"/>
        <v>0.10625333333333334</v>
      </c>
      <c r="AO117" s="74">
        <f t="shared" si="72"/>
        <v>0.72029237815656566</v>
      </c>
      <c r="AP117" s="73">
        <f t="shared" si="90"/>
        <v>0.43034328368916441</v>
      </c>
      <c r="AQ117" s="206">
        <f t="shared" si="91"/>
        <v>0.92523805993170349</v>
      </c>
      <c r="AR117" s="206">
        <f t="shared" si="92"/>
        <v>1.6586782538474829E-2</v>
      </c>
      <c r="AS117" s="71">
        <f t="shared" si="93"/>
        <v>3.9600000000000003E-2</v>
      </c>
      <c r="AT117" s="74">
        <f t="shared" si="94"/>
        <v>1.6499999999999998E-5</v>
      </c>
      <c r="AU117" s="73">
        <f t="shared" si="73"/>
        <v>7.7886444820039058</v>
      </c>
      <c r="AV117" s="71">
        <f t="shared" si="74"/>
        <v>73.333333333333343</v>
      </c>
      <c r="AW117" s="74">
        <f t="shared" si="75"/>
        <v>90.398847893312393</v>
      </c>
    </row>
    <row r="118" spans="17:49" x14ac:dyDescent="0.35">
      <c r="Q118">
        <v>111</v>
      </c>
      <c r="R118" s="73">
        <f t="shared" si="49"/>
        <v>50</v>
      </c>
      <c r="S118" s="71">
        <f t="shared" si="79"/>
        <v>1.4800000000000002</v>
      </c>
      <c r="T118" s="71">
        <f t="shared" si="51"/>
        <v>5</v>
      </c>
      <c r="U118" s="74">
        <f t="shared" si="80"/>
        <v>14.800000000000002</v>
      </c>
      <c r="V118" s="73">
        <f>IF(Variable_Management!$B$20=3,2,IF((S118*R118/T118)&lt;((T118*(1-(T118/R118)))/(2*Lm*Fsw)),1,2))</f>
        <v>2</v>
      </c>
      <c r="W118" s="71">
        <f t="shared" si="81"/>
        <v>0.9</v>
      </c>
      <c r="X118" s="74">
        <f t="shared" si="82"/>
        <v>9.9999999999999978E-2</v>
      </c>
      <c r="Y118" s="73">
        <f t="shared" si="83"/>
        <v>0.85227272727272718</v>
      </c>
      <c r="Z118" s="71">
        <f t="shared" si="77"/>
        <v>15.226136363636366</v>
      </c>
      <c r="AA118" s="71">
        <f t="shared" si="78"/>
        <v>14.802044815952664</v>
      </c>
      <c r="AB118" s="71">
        <v>0</v>
      </c>
      <c r="AC118" s="71">
        <f t="shared" si="84"/>
        <v>0.94213228215392597</v>
      </c>
      <c r="AD118" s="74">
        <f t="shared" si="67"/>
        <v>0.94213228215392597</v>
      </c>
      <c r="AE118" s="73">
        <f t="shared" si="76"/>
        <v>13.320000000000002</v>
      </c>
      <c r="AF118" s="71">
        <f t="shared" si="68"/>
        <v>14.042452693889484</v>
      </c>
      <c r="AG118" s="71">
        <f t="shared" si="85"/>
        <v>1.7352762034090914</v>
      </c>
      <c r="AH118" s="71">
        <f t="shared" si="86"/>
        <v>3.0546897417503596</v>
      </c>
      <c r="AI118" s="74">
        <f t="shared" si="69"/>
        <v>4.7899659451594507</v>
      </c>
      <c r="AJ118" s="73">
        <f t="shared" si="70"/>
        <v>1.48</v>
      </c>
      <c r="AK118" s="71">
        <f t="shared" si="87"/>
        <v>4.6808175646298276</v>
      </c>
      <c r="AL118" s="71">
        <f t="shared" si="88"/>
        <v>0.1928084670454546</v>
      </c>
      <c r="AM118" s="71">
        <f t="shared" si="95"/>
        <v>0.42468800000000007</v>
      </c>
      <c r="AN118" s="188">
        <f t="shared" si="89"/>
        <v>0.10719200000000002</v>
      </c>
      <c r="AO118" s="74">
        <f t="shared" si="72"/>
        <v>0.72468846704545475</v>
      </c>
      <c r="AP118" s="73">
        <f t="shared" si="90"/>
        <v>0.43820106146694232</v>
      </c>
      <c r="AQ118" s="206">
        <f t="shared" si="91"/>
        <v>0.94213228215392597</v>
      </c>
      <c r="AR118" s="206">
        <f t="shared" si="92"/>
        <v>1.6586782538474829E-2</v>
      </c>
      <c r="AS118" s="71">
        <f t="shared" si="93"/>
        <v>3.9600000000000003E-2</v>
      </c>
      <c r="AT118" s="74">
        <f t="shared" si="94"/>
        <v>1.6499999999999998E-5</v>
      </c>
      <c r="AU118" s="73">
        <f t="shared" si="73"/>
        <v>7.8933233205181752</v>
      </c>
      <c r="AV118" s="71">
        <f t="shared" si="74"/>
        <v>74.000000000000014</v>
      </c>
      <c r="AW118" s="74">
        <f t="shared" si="75"/>
        <v>90.361456831315905</v>
      </c>
    </row>
    <row r="119" spans="17:49" x14ac:dyDescent="0.35">
      <c r="Q119">
        <v>112</v>
      </c>
      <c r="R119" s="73">
        <f t="shared" si="49"/>
        <v>50</v>
      </c>
      <c r="S119" s="71">
        <f t="shared" si="79"/>
        <v>1.4933333333333334</v>
      </c>
      <c r="T119" s="71">
        <f t="shared" si="51"/>
        <v>5</v>
      </c>
      <c r="U119" s="74">
        <f t="shared" si="80"/>
        <v>14.933333333333334</v>
      </c>
      <c r="V119" s="73">
        <f>IF(Variable_Management!$B$20=3,2,IF((S119*R119/T119)&lt;((T119*(1-(T119/R119)))/(2*Lm*Fsw)),1,2))</f>
        <v>2</v>
      </c>
      <c r="W119" s="71">
        <f t="shared" si="81"/>
        <v>0.9</v>
      </c>
      <c r="X119" s="74">
        <f t="shared" si="82"/>
        <v>9.9999999999999978E-2</v>
      </c>
      <c r="Y119" s="73">
        <f t="shared" si="83"/>
        <v>0.85227272727272718</v>
      </c>
      <c r="Z119" s="71">
        <f t="shared" si="77"/>
        <v>15.359469696969697</v>
      </c>
      <c r="AA119" s="71">
        <f t="shared" si="78"/>
        <v>14.935359894489169</v>
      </c>
      <c r="AB119" s="71">
        <v>0</v>
      </c>
      <c r="AC119" s="71">
        <f t="shared" si="84"/>
        <v>0.95917939326503676</v>
      </c>
      <c r="AD119" s="74">
        <f t="shared" si="67"/>
        <v>0.95917939326503676</v>
      </c>
      <c r="AE119" s="73">
        <f t="shared" si="76"/>
        <v>13.440000000000001</v>
      </c>
      <c r="AF119" s="71">
        <f t="shared" si="68"/>
        <v>14.16892648227536</v>
      </c>
      <c r="AG119" s="71">
        <f t="shared" si="85"/>
        <v>1.7666746034090914</v>
      </c>
      <c r="AH119" s="71">
        <f t="shared" si="86"/>
        <v>3.0822094691535153</v>
      </c>
      <c r="AI119" s="74">
        <f t="shared" si="69"/>
        <v>4.8488840725626066</v>
      </c>
      <c r="AJ119" s="73">
        <f t="shared" si="70"/>
        <v>1.493333333333333</v>
      </c>
      <c r="AK119" s="71">
        <f t="shared" si="87"/>
        <v>4.7229754940917861</v>
      </c>
      <c r="AL119" s="71">
        <f t="shared" si="88"/>
        <v>0.19629717815656567</v>
      </c>
      <c r="AM119" s="71">
        <f t="shared" si="95"/>
        <v>0.42468800000000007</v>
      </c>
      <c r="AN119" s="188">
        <f t="shared" si="89"/>
        <v>0.10813066666666667</v>
      </c>
      <c r="AO119" s="74">
        <f t="shared" si="72"/>
        <v>0.72911584482323244</v>
      </c>
      <c r="AP119" s="73">
        <f t="shared" si="90"/>
        <v>0.44612995035583108</v>
      </c>
      <c r="AQ119" s="206">
        <f t="shared" si="91"/>
        <v>0.95917939326503676</v>
      </c>
      <c r="AR119" s="206">
        <f t="shared" si="92"/>
        <v>1.6586782538474829E-2</v>
      </c>
      <c r="AS119" s="71">
        <f t="shared" si="93"/>
        <v>3.9600000000000003E-2</v>
      </c>
      <c r="AT119" s="74">
        <f t="shared" si="94"/>
        <v>1.6499999999999998E-5</v>
      </c>
      <c r="AU119" s="73">
        <f t="shared" si="73"/>
        <v>7.9986919368102178</v>
      </c>
      <c r="AV119" s="71">
        <f t="shared" si="74"/>
        <v>74.666666666666671</v>
      </c>
      <c r="AW119" s="74">
        <f t="shared" si="75"/>
        <v>90.324009873134699</v>
      </c>
    </row>
    <row r="120" spans="17:49" x14ac:dyDescent="0.35">
      <c r="Q120">
        <v>113</v>
      </c>
      <c r="R120" s="73">
        <f t="shared" si="49"/>
        <v>50</v>
      </c>
      <c r="S120" s="71">
        <f t="shared" si="79"/>
        <v>1.5066666666666668</v>
      </c>
      <c r="T120" s="71">
        <f t="shared" si="51"/>
        <v>5</v>
      </c>
      <c r="U120" s="74">
        <f t="shared" si="80"/>
        <v>15.066666666666668</v>
      </c>
      <c r="V120" s="73">
        <f>IF(Variable_Management!$B$20=3,2,IF((S120*R120/T120)&lt;((T120*(1-(T120/R120)))/(2*Lm*Fsw)),1,2))</f>
        <v>2</v>
      </c>
      <c r="W120" s="71">
        <f t="shared" si="81"/>
        <v>0.9</v>
      </c>
      <c r="X120" s="74">
        <f t="shared" si="82"/>
        <v>9.9999999999999978E-2</v>
      </c>
      <c r="Y120" s="73">
        <f t="shared" si="83"/>
        <v>0.85227272727272718</v>
      </c>
      <c r="Z120" s="71">
        <f t="shared" si="77"/>
        <v>15.492803030303032</v>
      </c>
      <c r="AA120" s="71">
        <f t="shared" si="78"/>
        <v>15.068675296054247</v>
      </c>
      <c r="AB120" s="71">
        <v>0</v>
      </c>
      <c r="AC120" s="71">
        <f t="shared" si="84"/>
        <v>0.97637939326503675</v>
      </c>
      <c r="AD120" s="74">
        <f t="shared" si="67"/>
        <v>0.97637939326503675</v>
      </c>
      <c r="AE120" s="73">
        <f t="shared" si="76"/>
        <v>13.560000000000002</v>
      </c>
      <c r="AF120" s="71">
        <f t="shared" si="68"/>
        <v>14.295400577113046</v>
      </c>
      <c r="AG120" s="71">
        <f t="shared" si="85"/>
        <v>1.7983546034090914</v>
      </c>
      <c r="AH120" s="71">
        <f t="shared" si="86"/>
        <v>3.109729196556672</v>
      </c>
      <c r="AI120" s="74">
        <f t="shared" si="69"/>
        <v>4.9080837999657634</v>
      </c>
      <c r="AJ120" s="73">
        <f t="shared" si="70"/>
        <v>1.5066666666666664</v>
      </c>
      <c r="AK120" s="71">
        <f t="shared" si="87"/>
        <v>4.7651335257043481</v>
      </c>
      <c r="AL120" s="71">
        <f t="shared" si="88"/>
        <v>0.19981717815656566</v>
      </c>
      <c r="AM120" s="71">
        <f t="shared" si="95"/>
        <v>0.42468800000000007</v>
      </c>
      <c r="AN120" s="188">
        <f t="shared" si="89"/>
        <v>0.10906933333333335</v>
      </c>
      <c r="AO120" s="74">
        <f t="shared" si="72"/>
        <v>0.73357451148989905</v>
      </c>
      <c r="AP120" s="73">
        <f t="shared" si="90"/>
        <v>0.45412995035583109</v>
      </c>
      <c r="AQ120" s="206">
        <f t="shared" si="91"/>
        <v>0.97637939326503675</v>
      </c>
      <c r="AR120" s="206">
        <f t="shared" si="92"/>
        <v>1.6586782538474829E-2</v>
      </c>
      <c r="AS120" s="71">
        <f t="shared" si="93"/>
        <v>3.9600000000000003E-2</v>
      </c>
      <c r="AT120" s="74">
        <f t="shared" si="94"/>
        <v>1.6499999999999998E-5</v>
      </c>
      <c r="AU120" s="73">
        <f t="shared" si="73"/>
        <v>8.1047503308800426</v>
      </c>
      <c r="AV120" s="71">
        <f t="shared" si="74"/>
        <v>75.333333333333343</v>
      </c>
      <c r="AW120" s="74">
        <f t="shared" si="75"/>
        <v>90.286509499071627</v>
      </c>
    </row>
    <row r="121" spans="17:49" x14ac:dyDescent="0.35">
      <c r="Q121">
        <v>114</v>
      </c>
      <c r="R121" s="73">
        <f t="shared" si="49"/>
        <v>50</v>
      </c>
      <c r="S121" s="71">
        <f t="shared" si="79"/>
        <v>1.52</v>
      </c>
      <c r="T121" s="71">
        <f t="shared" si="51"/>
        <v>5</v>
      </c>
      <c r="U121" s="74">
        <f t="shared" si="80"/>
        <v>15.2</v>
      </c>
      <c r="V121" s="73">
        <f>IF(Variable_Management!$B$20=3,2,IF((S121*R121/T121)&lt;((T121*(1-(T121/R121)))/(2*Lm*Fsw)),1,2))</f>
        <v>2</v>
      </c>
      <c r="W121" s="71">
        <f t="shared" si="81"/>
        <v>0.9</v>
      </c>
      <c r="X121" s="74">
        <f t="shared" si="82"/>
        <v>9.9999999999999978E-2</v>
      </c>
      <c r="Y121" s="73">
        <f t="shared" si="83"/>
        <v>0.85227272727272718</v>
      </c>
      <c r="Z121" s="71">
        <f t="shared" si="77"/>
        <v>15.626136363636363</v>
      </c>
      <c r="AA121" s="71">
        <f t="shared" si="78"/>
        <v>15.201991012149398</v>
      </c>
      <c r="AB121" s="71">
        <v>0</v>
      </c>
      <c r="AC121" s="71">
        <f t="shared" si="84"/>
        <v>0.99373228215392562</v>
      </c>
      <c r="AD121" s="74">
        <f t="shared" si="67"/>
        <v>0.99373228215392562</v>
      </c>
      <c r="AE121" s="73">
        <f t="shared" si="76"/>
        <v>13.68</v>
      </c>
      <c r="AF121" s="71">
        <f t="shared" si="68"/>
        <v>14.421874970340157</v>
      </c>
      <c r="AG121" s="71">
        <f t="shared" si="85"/>
        <v>1.8303162034090907</v>
      </c>
      <c r="AH121" s="71">
        <f t="shared" si="86"/>
        <v>3.1372489239598282</v>
      </c>
      <c r="AI121" s="74">
        <f t="shared" si="69"/>
        <v>4.9675651273689194</v>
      </c>
      <c r="AJ121" s="73">
        <f t="shared" si="70"/>
        <v>1.5199999999999996</v>
      </c>
      <c r="AK121" s="71">
        <f t="shared" si="87"/>
        <v>4.8072916567800519</v>
      </c>
      <c r="AL121" s="71">
        <f t="shared" si="88"/>
        <v>0.20336846704545447</v>
      </c>
      <c r="AM121" s="71">
        <f t="shared" si="95"/>
        <v>0.42468800000000007</v>
      </c>
      <c r="AN121" s="188">
        <f t="shared" si="89"/>
        <v>0.11000799999999999</v>
      </c>
      <c r="AO121" s="74">
        <f t="shared" si="72"/>
        <v>0.73806446704545448</v>
      </c>
      <c r="AP121" s="73">
        <f t="shared" si="90"/>
        <v>0.46220106146694212</v>
      </c>
      <c r="AQ121" s="206">
        <f t="shared" si="91"/>
        <v>0.99373228215392562</v>
      </c>
      <c r="AR121" s="206">
        <f t="shared" si="92"/>
        <v>1.6586782538474829E-2</v>
      </c>
      <c r="AS121" s="71">
        <f t="shared" si="93"/>
        <v>3.9600000000000003E-2</v>
      </c>
      <c r="AT121" s="74">
        <f t="shared" si="94"/>
        <v>1.6499999999999998E-5</v>
      </c>
      <c r="AU121" s="73">
        <f t="shared" si="73"/>
        <v>8.2114985027276433</v>
      </c>
      <c r="AV121" s="71">
        <f t="shared" si="74"/>
        <v>76</v>
      </c>
      <c r="AW121" s="74">
        <f t="shared" si="75"/>
        <v>90.248958101058292</v>
      </c>
    </row>
    <row r="122" spans="17:49" x14ac:dyDescent="0.35">
      <c r="Q122">
        <v>115</v>
      </c>
      <c r="R122" s="73">
        <f t="shared" si="49"/>
        <v>50</v>
      </c>
      <c r="S122" s="71">
        <f t="shared" si="79"/>
        <v>1.5333333333333334</v>
      </c>
      <c r="T122" s="71">
        <f t="shared" si="51"/>
        <v>5</v>
      </c>
      <c r="U122" s="74">
        <f t="shared" si="80"/>
        <v>15.333333333333334</v>
      </c>
      <c r="V122" s="73">
        <f>IF(Variable_Management!$B$20=3,2,IF((S122*R122/T122)&lt;((T122*(1-(T122/R122)))/(2*Lm*Fsw)),1,2))</f>
        <v>2</v>
      </c>
      <c r="W122" s="71">
        <f t="shared" si="81"/>
        <v>0.9</v>
      </c>
      <c r="X122" s="74">
        <f t="shared" si="82"/>
        <v>9.9999999999999978E-2</v>
      </c>
      <c r="Y122" s="73">
        <f t="shared" si="83"/>
        <v>0.85227272727272718</v>
      </c>
      <c r="Z122" s="71">
        <f t="shared" si="77"/>
        <v>15.759469696969697</v>
      </c>
      <c r="AA122" s="71">
        <f t="shared" si="78"/>
        <v>15.335307034571633</v>
      </c>
      <c r="AB122" s="71">
        <v>0</v>
      </c>
      <c r="AC122" s="71">
        <f t="shared" si="84"/>
        <v>1.0112380599317035</v>
      </c>
      <c r="AD122" s="74">
        <f t="shared" si="67"/>
        <v>1.0112380599317035</v>
      </c>
      <c r="AE122" s="73">
        <f t="shared" si="76"/>
        <v>13.8</v>
      </c>
      <c r="AF122" s="71">
        <f t="shared" si="68"/>
        <v>14.548349654174661</v>
      </c>
      <c r="AG122" s="71">
        <f t="shared" si="85"/>
        <v>1.8625594034090911</v>
      </c>
      <c r="AH122" s="71">
        <f t="shared" si="86"/>
        <v>3.1647686513629849</v>
      </c>
      <c r="AI122" s="74">
        <f t="shared" si="69"/>
        <v>5.0273280547720756</v>
      </c>
      <c r="AJ122" s="73">
        <f t="shared" si="70"/>
        <v>1.533333333333333</v>
      </c>
      <c r="AK122" s="71">
        <f t="shared" si="87"/>
        <v>4.849449884724887</v>
      </c>
      <c r="AL122" s="71">
        <f t="shared" si="88"/>
        <v>0.20695104482323234</v>
      </c>
      <c r="AM122" s="71">
        <f t="shared" si="95"/>
        <v>0.42468800000000007</v>
      </c>
      <c r="AN122" s="188">
        <f t="shared" si="89"/>
        <v>0.11094666666666667</v>
      </c>
      <c r="AO122" s="74">
        <f t="shared" si="72"/>
        <v>0.74258571148989905</v>
      </c>
      <c r="AP122" s="73">
        <f t="shared" si="90"/>
        <v>0.47034328368916445</v>
      </c>
      <c r="AQ122" s="206">
        <f t="shared" si="91"/>
        <v>1.0112380599317035</v>
      </c>
      <c r="AR122" s="206">
        <f t="shared" si="92"/>
        <v>1.6586782538474829E-2</v>
      </c>
      <c r="AS122" s="71">
        <f t="shared" si="93"/>
        <v>3.9600000000000003E-2</v>
      </c>
      <c r="AT122" s="74">
        <f t="shared" si="94"/>
        <v>1.6499999999999998E-5</v>
      </c>
      <c r="AU122" s="73">
        <f t="shared" si="73"/>
        <v>8.3189364523530216</v>
      </c>
      <c r="AV122" s="71">
        <f t="shared" si="74"/>
        <v>76.666666666666671</v>
      </c>
      <c r="AW122" s="74">
        <f t="shared" si="75"/>
        <v>90.211357986478475</v>
      </c>
    </row>
    <row r="123" spans="17:49" x14ac:dyDescent="0.35">
      <c r="Q123">
        <v>116</v>
      </c>
      <c r="R123" s="73">
        <f t="shared" si="49"/>
        <v>50</v>
      </c>
      <c r="S123" s="71">
        <f t="shared" si="79"/>
        <v>1.5466666666666669</v>
      </c>
      <c r="T123" s="71">
        <f t="shared" si="51"/>
        <v>5</v>
      </c>
      <c r="U123" s="74">
        <f t="shared" si="80"/>
        <v>15.466666666666669</v>
      </c>
      <c r="V123" s="73">
        <f>IF(Variable_Management!$B$20=3,2,IF((S123*R123/T123)&lt;((T123*(1-(T123/R123)))/(2*Lm*Fsw)),1,2))</f>
        <v>2</v>
      </c>
      <c r="W123" s="71">
        <f t="shared" si="81"/>
        <v>0.9</v>
      </c>
      <c r="X123" s="74">
        <f t="shared" si="82"/>
        <v>9.9999999999999978E-2</v>
      </c>
      <c r="Y123" s="73">
        <f t="shared" si="83"/>
        <v>0.85227272727272718</v>
      </c>
      <c r="Z123" s="71">
        <f t="shared" si="77"/>
        <v>15.892803030303032</v>
      </c>
      <c r="AA123" s="71">
        <f t="shared" si="78"/>
        <v>15.468623355400728</v>
      </c>
      <c r="AB123" s="71">
        <v>0</v>
      </c>
      <c r="AC123" s="71">
        <f t="shared" si="84"/>
        <v>1.0288967265983702</v>
      </c>
      <c r="AD123" s="74">
        <f t="shared" si="67"/>
        <v>1.0288967265983702</v>
      </c>
      <c r="AE123" s="73">
        <f t="shared" si="76"/>
        <v>13.920000000000002</v>
      </c>
      <c r="AF123" s="71">
        <f t="shared" si="68"/>
        <v>14.674824621102768</v>
      </c>
      <c r="AG123" s="71">
        <f t="shared" si="85"/>
        <v>1.8950842034090913</v>
      </c>
      <c r="AH123" s="71">
        <f t="shared" si="86"/>
        <v>3.1922883787661416</v>
      </c>
      <c r="AI123" s="74">
        <f t="shared" si="69"/>
        <v>5.0873725821752327</v>
      </c>
      <c r="AJ123" s="73">
        <f t="shared" si="70"/>
        <v>1.5466666666666664</v>
      </c>
      <c r="AK123" s="71">
        <f t="shared" si="87"/>
        <v>4.8916082070342553</v>
      </c>
      <c r="AL123" s="71">
        <f t="shared" si="88"/>
        <v>0.21056491148989898</v>
      </c>
      <c r="AM123" s="71">
        <f t="shared" si="95"/>
        <v>0.42468800000000007</v>
      </c>
      <c r="AN123" s="188">
        <f t="shared" si="89"/>
        <v>0.11188533333333335</v>
      </c>
      <c r="AO123" s="74">
        <f t="shared" si="72"/>
        <v>0.74713824482323243</v>
      </c>
      <c r="AP123" s="73">
        <f t="shared" si="90"/>
        <v>0.4785566170224978</v>
      </c>
      <c r="AQ123" s="206">
        <f t="shared" si="91"/>
        <v>1.0288967265983702</v>
      </c>
      <c r="AR123" s="206">
        <f t="shared" si="92"/>
        <v>1.6586782538474829E-2</v>
      </c>
      <c r="AS123" s="71">
        <f t="shared" si="93"/>
        <v>3.9600000000000003E-2</v>
      </c>
      <c r="AT123" s="74">
        <f t="shared" si="94"/>
        <v>1.6499999999999998E-5</v>
      </c>
      <c r="AU123" s="73">
        <f t="shared" si="73"/>
        <v>8.4270641797561776</v>
      </c>
      <c r="AV123" s="71">
        <f t="shared" si="74"/>
        <v>77.333333333333343</v>
      </c>
      <c r="AW123" s="74">
        <f t="shared" si="75"/>
        <v>90.173711381794902</v>
      </c>
    </row>
    <row r="124" spans="17:49" x14ac:dyDescent="0.35">
      <c r="Q124">
        <v>117</v>
      </c>
      <c r="R124" s="73">
        <f t="shared" si="49"/>
        <v>50</v>
      </c>
      <c r="S124" s="71">
        <f t="shared" si="79"/>
        <v>1.56</v>
      </c>
      <c r="T124" s="71">
        <f t="shared" si="51"/>
        <v>5</v>
      </c>
      <c r="U124" s="74">
        <f t="shared" si="80"/>
        <v>15.6</v>
      </c>
      <c r="V124" s="73">
        <f>IF(Variable_Management!$B$20=3,2,IF((S124*R124/T124)&lt;((T124*(1-(T124/R124)))/(2*Lm*Fsw)),1,2))</f>
        <v>2</v>
      </c>
      <c r="W124" s="71">
        <f t="shared" si="81"/>
        <v>0.9</v>
      </c>
      <c r="X124" s="74">
        <f t="shared" si="82"/>
        <v>9.9999999999999978E-2</v>
      </c>
      <c r="Y124" s="73">
        <f t="shared" si="83"/>
        <v>0.85227272727272718</v>
      </c>
      <c r="Z124" s="71">
        <f t="shared" si="77"/>
        <v>16.026136363636365</v>
      </c>
      <c r="AA124" s="71">
        <f t="shared" si="78"/>
        <v>15.601939966987151</v>
      </c>
      <c r="AB124" s="71">
        <v>0</v>
      </c>
      <c r="AC124" s="71">
        <f t="shared" si="84"/>
        <v>1.0467082821539253</v>
      </c>
      <c r="AD124" s="74">
        <f t="shared" si="67"/>
        <v>1.0467082821539253</v>
      </c>
      <c r="AE124" s="73">
        <f t="shared" si="76"/>
        <v>14.04</v>
      </c>
      <c r="AF124" s="71">
        <f t="shared" si="68"/>
        <v>14.801299863867495</v>
      </c>
      <c r="AG124" s="71">
        <f t="shared" si="85"/>
        <v>1.9278906034090906</v>
      </c>
      <c r="AH124" s="71">
        <f t="shared" si="86"/>
        <v>3.2198081061692974</v>
      </c>
      <c r="AI124" s="74">
        <f t="shared" si="69"/>
        <v>5.1476987095783882</v>
      </c>
      <c r="AJ124" s="73">
        <f t="shared" si="70"/>
        <v>1.5599999999999996</v>
      </c>
      <c r="AK124" s="71">
        <f t="shared" si="87"/>
        <v>4.9337666212891644</v>
      </c>
      <c r="AL124" s="71">
        <f t="shared" si="88"/>
        <v>0.21421006704545448</v>
      </c>
      <c r="AM124" s="71">
        <f t="shared" si="95"/>
        <v>0.42468800000000007</v>
      </c>
      <c r="AN124" s="188">
        <f t="shared" si="89"/>
        <v>0.11282400000000001</v>
      </c>
      <c r="AO124" s="74">
        <f t="shared" si="72"/>
        <v>0.75172206704545452</v>
      </c>
      <c r="AP124" s="73">
        <f t="shared" si="90"/>
        <v>0.48684106146694206</v>
      </c>
      <c r="AQ124" s="206">
        <f t="shared" si="91"/>
        <v>1.0467082821539253</v>
      </c>
      <c r="AR124" s="206">
        <f t="shared" si="92"/>
        <v>1.6586782538474829E-2</v>
      </c>
      <c r="AS124" s="71">
        <f t="shared" si="93"/>
        <v>3.9600000000000003E-2</v>
      </c>
      <c r="AT124" s="74">
        <f t="shared" si="94"/>
        <v>1.6499999999999998E-5</v>
      </c>
      <c r="AU124" s="73">
        <f t="shared" si="73"/>
        <v>8.5358816849371095</v>
      </c>
      <c r="AV124" s="71">
        <f t="shared" si="74"/>
        <v>78</v>
      </c>
      <c r="AW124" s="74">
        <f t="shared" si="75"/>
        <v>90.136020435991099</v>
      </c>
    </row>
    <row r="125" spans="17:49" x14ac:dyDescent="0.35">
      <c r="Q125">
        <v>118</v>
      </c>
      <c r="R125" s="73">
        <f t="shared" si="49"/>
        <v>50</v>
      </c>
      <c r="S125" s="71">
        <f t="shared" si="79"/>
        <v>1.5733333333333335</v>
      </c>
      <c r="T125" s="71">
        <f t="shared" si="51"/>
        <v>5</v>
      </c>
      <c r="U125" s="74">
        <f t="shared" si="80"/>
        <v>15.733333333333334</v>
      </c>
      <c r="V125" s="73">
        <f>IF(Variable_Management!$B$20=3,2,IF((S125*R125/T125)&lt;((T125*(1-(T125/R125)))/(2*Lm*Fsw)),1,2))</f>
        <v>2</v>
      </c>
      <c r="W125" s="71">
        <f t="shared" si="81"/>
        <v>0.9</v>
      </c>
      <c r="X125" s="74">
        <f t="shared" si="82"/>
        <v>9.9999999999999978E-2</v>
      </c>
      <c r="Y125" s="73">
        <f t="shared" si="83"/>
        <v>0.85227272727272718</v>
      </c>
      <c r="Z125" s="71">
        <f t="shared" si="77"/>
        <v>16.159469696969698</v>
      </c>
      <c r="AA125" s="71">
        <f t="shared" si="78"/>
        <v>15.735256861940604</v>
      </c>
      <c r="AB125" s="71">
        <v>0</v>
      </c>
      <c r="AC125" s="71">
        <f t="shared" si="84"/>
        <v>1.0646727265983702</v>
      </c>
      <c r="AD125" s="74">
        <f t="shared" si="67"/>
        <v>1.0646727265983702</v>
      </c>
      <c r="AE125" s="73">
        <f t="shared" si="76"/>
        <v>14.160000000000002</v>
      </c>
      <c r="AF125" s="71">
        <f t="shared" si="68"/>
        <v>14.92777537545779</v>
      </c>
      <c r="AG125" s="71">
        <f t="shared" si="85"/>
        <v>1.9609786034090908</v>
      </c>
      <c r="AH125" s="71">
        <f t="shared" si="86"/>
        <v>3.247327833572454</v>
      </c>
      <c r="AI125" s="74">
        <f t="shared" si="69"/>
        <v>5.2083064369815446</v>
      </c>
      <c r="AJ125" s="73">
        <f t="shared" si="70"/>
        <v>1.573333333333333</v>
      </c>
      <c r="AK125" s="71">
        <f t="shared" si="87"/>
        <v>4.975925125152596</v>
      </c>
      <c r="AL125" s="71">
        <f t="shared" si="88"/>
        <v>0.21788651148989893</v>
      </c>
      <c r="AM125" s="71">
        <f t="shared" si="95"/>
        <v>0.42468800000000007</v>
      </c>
      <c r="AN125" s="188">
        <f t="shared" si="89"/>
        <v>0.11376266666666668</v>
      </c>
      <c r="AO125" s="74">
        <f t="shared" si="72"/>
        <v>0.75633717815656565</v>
      </c>
      <c r="AP125" s="73">
        <f t="shared" si="90"/>
        <v>0.49519661702249773</v>
      </c>
      <c r="AQ125" s="206">
        <f t="shared" si="91"/>
        <v>1.0646727265983702</v>
      </c>
      <c r="AR125" s="206">
        <f t="shared" si="92"/>
        <v>1.6586782538474829E-2</v>
      </c>
      <c r="AS125" s="71">
        <f t="shared" si="93"/>
        <v>3.9600000000000003E-2</v>
      </c>
      <c r="AT125" s="74">
        <f t="shared" si="94"/>
        <v>1.6499999999999998E-5</v>
      </c>
      <c r="AU125" s="73">
        <f t="shared" si="73"/>
        <v>8.6453889678958227</v>
      </c>
      <c r="AV125" s="71">
        <f t="shared" si="74"/>
        <v>78.666666666666671</v>
      </c>
      <c r="AW125" s="74">
        <f t="shared" si="75"/>
        <v>90.098287223839506</v>
      </c>
    </row>
    <row r="126" spans="17:49" x14ac:dyDescent="0.35">
      <c r="Q126">
        <v>119</v>
      </c>
      <c r="R126" s="73">
        <f t="shared" si="49"/>
        <v>50</v>
      </c>
      <c r="S126" s="71">
        <f t="shared" si="79"/>
        <v>1.5866666666666667</v>
      </c>
      <c r="T126" s="71">
        <f t="shared" si="51"/>
        <v>5</v>
      </c>
      <c r="U126" s="74">
        <f t="shared" si="80"/>
        <v>15.866666666666665</v>
      </c>
      <c r="V126" s="73">
        <f>IF(Variable_Management!$B$20=3,2,IF((S126*R126/T126)&lt;((T126*(1-(T126/R126)))/(2*Lm*Fsw)),1,2))</f>
        <v>2</v>
      </c>
      <c r="W126" s="71">
        <f t="shared" si="81"/>
        <v>0.9</v>
      </c>
      <c r="X126" s="74">
        <f t="shared" si="82"/>
        <v>9.9999999999999978E-2</v>
      </c>
      <c r="Y126" s="73">
        <f t="shared" si="83"/>
        <v>0.85227272727272718</v>
      </c>
      <c r="Z126" s="71">
        <f t="shared" si="77"/>
        <v>16.29280303030303</v>
      </c>
      <c r="AA126" s="71">
        <f t="shared" si="78"/>
        <v>15.868574033119112</v>
      </c>
      <c r="AB126" s="71">
        <v>0</v>
      </c>
      <c r="AC126" s="71">
        <f t="shared" si="84"/>
        <v>1.0827900599317033</v>
      </c>
      <c r="AD126" s="74">
        <f t="shared" si="67"/>
        <v>1.0827900599317033</v>
      </c>
      <c r="AE126" s="73">
        <f t="shared" si="76"/>
        <v>14.28</v>
      </c>
      <c r="AF126" s="71">
        <f t="shared" si="68"/>
        <v>15.054251149098182</v>
      </c>
      <c r="AG126" s="71">
        <f t="shared" si="85"/>
        <v>1.9943482034090905</v>
      </c>
      <c r="AH126" s="71">
        <f t="shared" si="86"/>
        <v>3.2748475609756098</v>
      </c>
      <c r="AI126" s="74">
        <f t="shared" si="69"/>
        <v>5.2691957643847003</v>
      </c>
      <c r="AJ126" s="73">
        <f t="shared" si="70"/>
        <v>1.5866666666666662</v>
      </c>
      <c r="AK126" s="71">
        <f t="shared" si="87"/>
        <v>5.0180837163660597</v>
      </c>
      <c r="AL126" s="71">
        <f t="shared" si="88"/>
        <v>0.2215942448232322</v>
      </c>
      <c r="AM126" s="71">
        <f t="shared" si="95"/>
        <v>0.42468800000000007</v>
      </c>
      <c r="AN126" s="188">
        <f t="shared" si="89"/>
        <v>0.11470133333333334</v>
      </c>
      <c r="AO126" s="74">
        <f t="shared" si="72"/>
        <v>0.76098357815656559</v>
      </c>
      <c r="AP126" s="73">
        <f t="shared" si="90"/>
        <v>0.50362328368916431</v>
      </c>
      <c r="AQ126" s="206">
        <f t="shared" si="91"/>
        <v>1.0827900599317033</v>
      </c>
      <c r="AR126" s="206">
        <f t="shared" si="92"/>
        <v>1.6586782538474829E-2</v>
      </c>
      <c r="AS126" s="71">
        <f t="shared" si="93"/>
        <v>3.9600000000000003E-2</v>
      </c>
      <c r="AT126" s="74">
        <f t="shared" si="94"/>
        <v>1.6499999999999998E-5</v>
      </c>
      <c r="AU126" s="73">
        <f t="shared" si="73"/>
        <v>8.7555860286323117</v>
      </c>
      <c r="AV126" s="71">
        <f t="shared" si="74"/>
        <v>79.333333333333329</v>
      </c>
      <c r="AW126" s="74">
        <f t="shared" si="75"/>
        <v>90.060513749005395</v>
      </c>
    </row>
    <row r="127" spans="17:49" x14ac:dyDescent="0.35">
      <c r="Q127">
        <v>120</v>
      </c>
      <c r="R127" s="73">
        <f t="shared" si="49"/>
        <v>50</v>
      </c>
      <c r="S127" s="71">
        <f t="shared" si="79"/>
        <v>1.6</v>
      </c>
      <c r="T127" s="71">
        <f t="shared" si="51"/>
        <v>5</v>
      </c>
      <c r="U127" s="74">
        <f t="shared" si="80"/>
        <v>16</v>
      </c>
      <c r="V127" s="73">
        <f>IF(Variable_Management!$B$20=3,2,IF((S127*R127/T127)&lt;((T127*(1-(T127/R127)))/(2*Lm*Fsw)),1,2))</f>
        <v>2</v>
      </c>
      <c r="W127" s="71">
        <f t="shared" si="81"/>
        <v>0.9</v>
      </c>
      <c r="X127" s="74">
        <f t="shared" si="82"/>
        <v>9.9999999999999978E-2</v>
      </c>
      <c r="Y127" s="73">
        <f t="shared" si="83"/>
        <v>0.85227272727272718</v>
      </c>
      <c r="Z127" s="71">
        <f t="shared" si="77"/>
        <v>16.426136363636363</v>
      </c>
      <c r="AA127" s="71">
        <f t="shared" si="78"/>
        <v>16.001891473618706</v>
      </c>
      <c r="AB127" s="71">
        <v>0</v>
      </c>
      <c r="AC127" s="71">
        <f t="shared" si="84"/>
        <v>1.1010602821539253</v>
      </c>
      <c r="AD127" s="74">
        <f t="shared" si="67"/>
        <v>1.1010602821539253</v>
      </c>
      <c r="AE127" s="73">
        <f t="shared" si="76"/>
        <v>14.4</v>
      </c>
      <c r="AF127" s="71">
        <f t="shared" si="68"/>
        <v>15.180727178238991</v>
      </c>
      <c r="AG127" s="71">
        <f t="shared" si="85"/>
        <v>2.0279994034090909</v>
      </c>
      <c r="AH127" s="71">
        <f t="shared" si="86"/>
        <v>3.3023672883787665</v>
      </c>
      <c r="AI127" s="74">
        <f t="shared" si="69"/>
        <v>5.3303666917878569</v>
      </c>
      <c r="AJ127" s="73">
        <f t="shared" si="70"/>
        <v>1.5999999999999996</v>
      </c>
      <c r="AK127" s="71">
        <f t="shared" si="87"/>
        <v>5.0602423927463294</v>
      </c>
      <c r="AL127" s="71">
        <f t="shared" si="88"/>
        <v>0.22533326704545448</v>
      </c>
      <c r="AM127" s="71">
        <f t="shared" si="95"/>
        <v>0.42468800000000007</v>
      </c>
      <c r="AN127" s="188">
        <f t="shared" si="89"/>
        <v>0.11564000000000001</v>
      </c>
      <c r="AO127" s="74">
        <f t="shared" si="72"/>
        <v>0.76566126704545456</v>
      </c>
      <c r="AP127" s="73">
        <f t="shared" si="90"/>
        <v>0.51212106146694203</v>
      </c>
      <c r="AQ127" s="206">
        <f t="shared" si="91"/>
        <v>1.1010602821539253</v>
      </c>
      <c r="AR127" s="206">
        <f t="shared" si="92"/>
        <v>1.6586782538474829E-2</v>
      </c>
      <c r="AS127" s="71">
        <f t="shared" si="93"/>
        <v>3.9600000000000003E-2</v>
      </c>
      <c r="AT127" s="74">
        <f t="shared" si="94"/>
        <v>1.6499999999999998E-5</v>
      </c>
      <c r="AU127" s="73">
        <f t="shared" si="73"/>
        <v>8.8664728671465785</v>
      </c>
      <c r="AV127" s="71">
        <f t="shared" si="74"/>
        <v>80</v>
      </c>
      <c r="AW127" s="74">
        <f t="shared" si="75"/>
        <v>90.022701946996634</v>
      </c>
    </row>
    <row r="128" spans="17:49" x14ac:dyDescent="0.35">
      <c r="Q128">
        <v>121</v>
      </c>
      <c r="R128" s="73">
        <f t="shared" si="49"/>
        <v>50</v>
      </c>
      <c r="S128" s="71">
        <f t="shared" si="79"/>
        <v>1.6133333333333335</v>
      </c>
      <c r="T128" s="71">
        <f t="shared" si="51"/>
        <v>5</v>
      </c>
      <c r="U128" s="74">
        <f t="shared" si="80"/>
        <v>16.133333333333333</v>
      </c>
      <c r="V128" s="73">
        <f>IF(Variable_Management!$B$20=3,2,IF((S128*R128/T128)&lt;((T128*(1-(T128/R128)))/(2*Lm*Fsw)),1,2))</f>
        <v>2</v>
      </c>
      <c r="W128" s="71">
        <f t="shared" si="81"/>
        <v>0.9</v>
      </c>
      <c r="X128" s="74">
        <f t="shared" si="82"/>
        <v>9.9999999999999978E-2</v>
      </c>
      <c r="Y128" s="73">
        <f t="shared" si="83"/>
        <v>0.85227272727272718</v>
      </c>
      <c r="Z128" s="71">
        <f t="shared" si="77"/>
        <v>16.559469696969696</v>
      </c>
      <c r="AA128" s="71">
        <f t="shared" si="78"/>
        <v>16.135209176763574</v>
      </c>
      <c r="AB128" s="71">
        <v>0</v>
      </c>
      <c r="AC128" s="71">
        <f t="shared" si="84"/>
        <v>1.1194833932650363</v>
      </c>
      <c r="AD128" s="74">
        <f t="shared" si="67"/>
        <v>1.1194833932650363</v>
      </c>
      <c r="AE128" s="73">
        <f t="shared" si="76"/>
        <v>14.52</v>
      </c>
      <c r="AF128" s="71">
        <f t="shared" si="68"/>
        <v>15.307203456546983</v>
      </c>
      <c r="AG128" s="71">
        <f t="shared" si="85"/>
        <v>2.0619322034090906</v>
      </c>
      <c r="AH128" s="71">
        <f t="shared" si="86"/>
        <v>3.3298870157819227</v>
      </c>
      <c r="AI128" s="74">
        <f t="shared" si="69"/>
        <v>5.3918192191910137</v>
      </c>
      <c r="AJ128" s="73">
        <f t="shared" si="70"/>
        <v>1.6133333333333328</v>
      </c>
      <c r="AK128" s="71">
        <f t="shared" si="87"/>
        <v>5.1024011521823267</v>
      </c>
      <c r="AL128" s="71">
        <f t="shared" si="88"/>
        <v>0.22910357815656554</v>
      </c>
      <c r="AM128" s="71">
        <f t="shared" si="95"/>
        <v>0.42468800000000007</v>
      </c>
      <c r="AN128" s="188">
        <f t="shared" si="89"/>
        <v>0.11657866666666666</v>
      </c>
      <c r="AO128" s="74">
        <f t="shared" si="72"/>
        <v>0.77037024482323235</v>
      </c>
      <c r="AP128" s="73">
        <f t="shared" si="90"/>
        <v>0.52068995035583088</v>
      </c>
      <c r="AQ128" s="206">
        <f t="shared" si="91"/>
        <v>1.1194833932650363</v>
      </c>
      <c r="AR128" s="206">
        <f t="shared" si="92"/>
        <v>1.6586782538474829E-2</v>
      </c>
      <c r="AS128" s="71">
        <f t="shared" si="93"/>
        <v>3.9600000000000003E-2</v>
      </c>
      <c r="AT128" s="74">
        <f t="shared" si="94"/>
        <v>1.6499999999999998E-5</v>
      </c>
      <c r="AU128" s="73">
        <f t="shared" si="73"/>
        <v>8.9780494834386246</v>
      </c>
      <c r="AV128" s="71">
        <f t="shared" si="74"/>
        <v>80.666666666666671</v>
      </c>
      <c r="AW128" s="74">
        <f t="shared" si="75"/>
        <v>89.984853687968226</v>
      </c>
    </row>
    <row r="129" spans="17:49" x14ac:dyDescent="0.35">
      <c r="Q129">
        <v>122</v>
      </c>
      <c r="R129" s="73">
        <f t="shared" si="49"/>
        <v>50</v>
      </c>
      <c r="S129" s="71">
        <f t="shared" si="79"/>
        <v>1.6266666666666667</v>
      </c>
      <c r="T129" s="71">
        <f t="shared" si="51"/>
        <v>5</v>
      </c>
      <c r="U129" s="74">
        <f t="shared" si="80"/>
        <v>16.266666666666666</v>
      </c>
      <c r="V129" s="73">
        <f>IF(Variable_Management!$B$20=3,2,IF((S129*R129/T129)&lt;((T129*(1-(T129/R129)))/(2*Lm*Fsw)),1,2))</f>
        <v>2</v>
      </c>
      <c r="W129" s="71">
        <f t="shared" si="81"/>
        <v>0.9</v>
      </c>
      <c r="X129" s="74">
        <f t="shared" si="82"/>
        <v>9.9999999999999978E-2</v>
      </c>
      <c r="Y129" s="73">
        <f t="shared" si="83"/>
        <v>0.85227272727272718</v>
      </c>
      <c r="Z129" s="71">
        <f t="shared" si="77"/>
        <v>16.692803030303029</v>
      </c>
      <c r="AA129" s="71">
        <f t="shared" si="78"/>
        <v>16.268527136096726</v>
      </c>
      <c r="AB129" s="71">
        <v>0</v>
      </c>
      <c r="AC129" s="71">
        <f t="shared" si="84"/>
        <v>1.1380593932650369</v>
      </c>
      <c r="AD129" s="74">
        <f t="shared" si="67"/>
        <v>1.1380593932650369</v>
      </c>
      <c r="AE129" s="73">
        <f t="shared" si="76"/>
        <v>14.639999999999999</v>
      </c>
      <c r="AF129" s="71">
        <f t="shared" si="68"/>
        <v>15.433679977896521</v>
      </c>
      <c r="AG129" s="71">
        <f t="shared" si="85"/>
        <v>2.0961466034090908</v>
      </c>
      <c r="AH129" s="71">
        <f t="shared" si="86"/>
        <v>3.3574067431850789</v>
      </c>
      <c r="AI129" s="74">
        <f t="shared" si="69"/>
        <v>5.4535533465941697</v>
      </c>
      <c r="AJ129" s="73">
        <f t="shared" si="70"/>
        <v>1.6266666666666663</v>
      </c>
      <c r="AK129" s="71">
        <f t="shared" si="87"/>
        <v>5.144559992632173</v>
      </c>
      <c r="AL129" s="71">
        <f t="shared" si="88"/>
        <v>0.23290517815656561</v>
      </c>
      <c r="AM129" s="71">
        <f t="shared" si="95"/>
        <v>0.42468800000000007</v>
      </c>
      <c r="AN129" s="188">
        <f t="shared" si="89"/>
        <v>0.11751733333333333</v>
      </c>
      <c r="AO129" s="74">
        <f t="shared" si="72"/>
        <v>0.77511051148989907</v>
      </c>
      <c r="AP129" s="73">
        <f t="shared" si="90"/>
        <v>0.52932995035583108</v>
      </c>
      <c r="AQ129" s="206">
        <f t="shared" si="91"/>
        <v>1.1380593932650369</v>
      </c>
      <c r="AR129" s="206">
        <f t="shared" si="92"/>
        <v>1.6586782538474829E-2</v>
      </c>
      <c r="AS129" s="71">
        <f t="shared" si="93"/>
        <v>3.9600000000000003E-2</v>
      </c>
      <c r="AT129" s="74">
        <f t="shared" si="94"/>
        <v>1.6499999999999998E-5</v>
      </c>
      <c r="AU129" s="73">
        <f t="shared" si="73"/>
        <v>9.0903158775084485</v>
      </c>
      <c r="AV129" s="71">
        <f t="shared" si="74"/>
        <v>81.333333333333329</v>
      </c>
      <c r="AW129" s="74">
        <f t="shared" si="75"/>
        <v>89.946970779389289</v>
      </c>
    </row>
    <row r="130" spans="17:49" x14ac:dyDescent="0.35">
      <c r="Q130">
        <v>123</v>
      </c>
      <c r="R130" s="73">
        <f t="shared" si="49"/>
        <v>50</v>
      </c>
      <c r="S130" s="71">
        <f t="shared" si="79"/>
        <v>1.6400000000000001</v>
      </c>
      <c r="T130" s="71">
        <f t="shared" si="51"/>
        <v>5</v>
      </c>
      <c r="U130" s="74">
        <f t="shared" si="80"/>
        <v>16.399999999999999</v>
      </c>
      <c r="V130" s="73">
        <f>IF(Variable_Management!$B$20=3,2,IF((S130*R130/T130)&lt;((T130*(1-(T130/R130)))/(2*Lm*Fsw)),1,2))</f>
        <v>2</v>
      </c>
      <c r="W130" s="71">
        <f t="shared" si="81"/>
        <v>0.9</v>
      </c>
      <c r="X130" s="74">
        <f t="shared" si="82"/>
        <v>9.9999999999999978E-2</v>
      </c>
      <c r="Y130" s="73">
        <f t="shared" si="83"/>
        <v>0.85227272727272718</v>
      </c>
      <c r="Z130" s="71">
        <f t="shared" si="77"/>
        <v>16.826136363636362</v>
      </c>
      <c r="AA130" s="71">
        <f t="shared" si="78"/>
        <v>16.401845345371083</v>
      </c>
      <c r="AB130" s="71">
        <v>0</v>
      </c>
      <c r="AC130" s="71">
        <f t="shared" si="84"/>
        <v>1.1567882821539255</v>
      </c>
      <c r="AD130" s="74">
        <f t="shared" si="67"/>
        <v>1.1567882821539255</v>
      </c>
      <c r="AE130" s="73">
        <f t="shared" si="76"/>
        <v>14.76</v>
      </c>
      <c r="AF130" s="71">
        <f t="shared" si="68"/>
        <v>15.560156736361105</v>
      </c>
      <c r="AG130" s="71">
        <f t="shared" si="85"/>
        <v>2.1306426034090902</v>
      </c>
      <c r="AH130" s="71">
        <f t="shared" si="86"/>
        <v>3.3849264705882351</v>
      </c>
      <c r="AI130" s="74">
        <f t="shared" si="69"/>
        <v>5.5155690739973249</v>
      </c>
      <c r="AJ130" s="73">
        <f t="shared" si="70"/>
        <v>1.6399999999999995</v>
      </c>
      <c r="AK130" s="71">
        <f t="shared" si="87"/>
        <v>5.1867189121203676</v>
      </c>
      <c r="AL130" s="71">
        <f t="shared" si="88"/>
        <v>0.23673806704545441</v>
      </c>
      <c r="AM130" s="71">
        <f t="shared" si="95"/>
        <v>0.42468800000000007</v>
      </c>
      <c r="AN130" s="188">
        <f t="shared" si="89"/>
        <v>0.11845599999999999</v>
      </c>
      <c r="AO130" s="74">
        <f t="shared" si="72"/>
        <v>0.77988206704545449</v>
      </c>
      <c r="AP130" s="73">
        <f t="shared" si="90"/>
        <v>0.53804106146694208</v>
      </c>
      <c r="AQ130" s="206">
        <f t="shared" si="91"/>
        <v>1.1567882821539255</v>
      </c>
      <c r="AR130" s="206">
        <f t="shared" si="92"/>
        <v>1.6586782538474829E-2</v>
      </c>
      <c r="AS130" s="71">
        <f t="shared" si="93"/>
        <v>3.9600000000000003E-2</v>
      </c>
      <c r="AT130" s="74">
        <f t="shared" si="94"/>
        <v>1.6499999999999998E-5</v>
      </c>
      <c r="AU130" s="73">
        <f t="shared" si="73"/>
        <v>9.2032720493560465</v>
      </c>
      <c r="AV130" s="71">
        <f t="shared" si="74"/>
        <v>82</v>
      </c>
      <c r="AW130" s="74">
        <f t="shared" si="75"/>
        <v>89.909054968581003</v>
      </c>
    </row>
    <row r="131" spans="17:49" x14ac:dyDescent="0.35">
      <c r="Q131">
        <v>124</v>
      </c>
      <c r="R131" s="73">
        <f t="shared" si="49"/>
        <v>50</v>
      </c>
      <c r="S131" s="71">
        <f t="shared" si="79"/>
        <v>1.6533333333333335</v>
      </c>
      <c r="T131" s="71">
        <f t="shared" si="51"/>
        <v>5</v>
      </c>
      <c r="U131" s="74">
        <f t="shared" si="80"/>
        <v>16.533333333333335</v>
      </c>
      <c r="V131" s="73">
        <f>IF(Variable_Management!$B$20=3,2,IF((S131*R131/T131)&lt;((T131*(1-(T131/R131)))/(2*Lm*Fsw)),1,2))</f>
        <v>2</v>
      </c>
      <c r="W131" s="71">
        <f t="shared" si="81"/>
        <v>0.9</v>
      </c>
      <c r="X131" s="74">
        <f t="shared" si="82"/>
        <v>9.9999999999999978E-2</v>
      </c>
      <c r="Y131" s="73">
        <f t="shared" si="83"/>
        <v>0.85227272727272718</v>
      </c>
      <c r="Z131" s="71">
        <f t="shared" si="77"/>
        <v>16.959469696969698</v>
      </c>
      <c r="AA131" s="71">
        <f t="shared" si="78"/>
        <v>16.535163798541042</v>
      </c>
      <c r="AB131" s="71">
        <v>0</v>
      </c>
      <c r="AC131" s="71">
        <f t="shared" si="84"/>
        <v>1.1756700599317036</v>
      </c>
      <c r="AD131" s="74">
        <f t="shared" si="67"/>
        <v>1.1756700599317036</v>
      </c>
      <c r="AE131" s="73">
        <f t="shared" si="76"/>
        <v>14.880000000000003</v>
      </c>
      <c r="AF131" s="71">
        <f t="shared" si="68"/>
        <v>15.686633726205377</v>
      </c>
      <c r="AG131" s="71">
        <f t="shared" si="85"/>
        <v>2.1654202034090915</v>
      </c>
      <c r="AH131" s="71">
        <f t="shared" si="86"/>
        <v>3.4124461979913927</v>
      </c>
      <c r="AI131" s="74">
        <f t="shared" si="69"/>
        <v>5.5778664014004846</v>
      </c>
      <c r="AJ131" s="73">
        <f t="shared" si="70"/>
        <v>1.6533333333333331</v>
      </c>
      <c r="AK131" s="71">
        <f t="shared" si="87"/>
        <v>5.2288779087351251</v>
      </c>
      <c r="AL131" s="71">
        <f t="shared" si="88"/>
        <v>0.24060224482323231</v>
      </c>
      <c r="AM131" s="71">
        <f t="shared" si="95"/>
        <v>0.42468800000000007</v>
      </c>
      <c r="AN131" s="188">
        <f t="shared" si="89"/>
        <v>0.11939466666666668</v>
      </c>
      <c r="AO131" s="74">
        <f t="shared" si="72"/>
        <v>0.78468491148989905</v>
      </c>
      <c r="AP131" s="73">
        <f t="shared" si="90"/>
        <v>0.54682328368916444</v>
      </c>
      <c r="AQ131" s="206">
        <f t="shared" si="91"/>
        <v>1.1756700599317036</v>
      </c>
      <c r="AR131" s="206">
        <f t="shared" si="92"/>
        <v>1.6586782538474829E-2</v>
      </c>
      <c r="AS131" s="71">
        <f t="shared" si="93"/>
        <v>3.9600000000000003E-2</v>
      </c>
      <c r="AT131" s="74">
        <f t="shared" si="94"/>
        <v>1.6499999999999998E-5</v>
      </c>
      <c r="AU131" s="73">
        <f t="shared" si="73"/>
        <v>9.316917998981431</v>
      </c>
      <c r="AV131" s="71">
        <f t="shared" si="74"/>
        <v>82.666666666666671</v>
      </c>
      <c r="AW131" s="74">
        <f t="shared" si="75"/>
        <v>89.871107945132195</v>
      </c>
    </row>
    <row r="132" spans="17:49" x14ac:dyDescent="0.35">
      <c r="Q132">
        <v>125</v>
      </c>
      <c r="R132" s="73">
        <f t="shared" si="49"/>
        <v>50</v>
      </c>
      <c r="S132" s="71">
        <f t="shared" si="79"/>
        <v>1.6666666666666667</v>
      </c>
      <c r="T132" s="71">
        <f t="shared" si="51"/>
        <v>5</v>
      </c>
      <c r="U132" s="74">
        <f t="shared" si="80"/>
        <v>16.666666666666668</v>
      </c>
      <c r="V132" s="73">
        <f>IF(Variable_Management!$B$20=3,2,IF((S132*R132/T132)&lt;((T132*(1-(T132/R132)))/(2*Lm*Fsw)),1,2))</f>
        <v>2</v>
      </c>
      <c r="W132" s="71">
        <f t="shared" si="81"/>
        <v>0.9</v>
      </c>
      <c r="X132" s="74">
        <f t="shared" si="82"/>
        <v>9.9999999999999978E-2</v>
      </c>
      <c r="Y132" s="73">
        <f t="shared" si="83"/>
        <v>0.85227272727272718</v>
      </c>
      <c r="Z132" s="71">
        <f t="shared" si="77"/>
        <v>17.092803030303031</v>
      </c>
      <c r="AA132" s="71">
        <f t="shared" si="78"/>
        <v>16.668482489754396</v>
      </c>
      <c r="AB132" s="71">
        <v>0</v>
      </c>
      <c r="AC132" s="71">
        <f t="shared" si="84"/>
        <v>1.1947047265983703</v>
      </c>
      <c r="AD132" s="74">
        <f t="shared" si="67"/>
        <v>1.1947047265983703</v>
      </c>
      <c r="AE132" s="73">
        <f t="shared" si="76"/>
        <v>15.000000000000002</v>
      </c>
      <c r="AF132" s="71">
        <f t="shared" si="68"/>
        <v>15.813110941877438</v>
      </c>
      <c r="AG132" s="71">
        <f t="shared" si="85"/>
        <v>2.2004794034090911</v>
      </c>
      <c r="AH132" s="71">
        <f t="shared" si="86"/>
        <v>3.4399659253945485</v>
      </c>
      <c r="AI132" s="74">
        <f t="shared" si="69"/>
        <v>5.64044532880364</v>
      </c>
      <c r="AJ132" s="73">
        <f t="shared" si="70"/>
        <v>1.6666666666666665</v>
      </c>
      <c r="AK132" s="71">
        <f t="shared" si="87"/>
        <v>5.2710369806258122</v>
      </c>
      <c r="AL132" s="71">
        <f t="shared" si="88"/>
        <v>0.24449771148989896</v>
      </c>
      <c r="AM132" s="71">
        <f t="shared" si="95"/>
        <v>0.42468800000000007</v>
      </c>
      <c r="AN132" s="188">
        <f t="shared" si="89"/>
        <v>0.12033333333333335</v>
      </c>
      <c r="AO132" s="74">
        <f t="shared" si="72"/>
        <v>0.78951904482323232</v>
      </c>
      <c r="AP132" s="73">
        <f t="shared" si="90"/>
        <v>0.55567661702249782</v>
      </c>
      <c r="AQ132" s="206">
        <f t="shared" si="91"/>
        <v>1.1947047265983703</v>
      </c>
      <c r="AR132" s="206">
        <f t="shared" si="92"/>
        <v>1.6586782538474829E-2</v>
      </c>
      <c r="AS132" s="71">
        <f t="shared" si="93"/>
        <v>3.9600000000000003E-2</v>
      </c>
      <c r="AT132" s="74">
        <f t="shared" si="94"/>
        <v>1.6499999999999998E-5</v>
      </c>
      <c r="AU132" s="73">
        <f t="shared" si="73"/>
        <v>9.4312537263845861</v>
      </c>
      <c r="AV132" s="71">
        <f t="shared" si="74"/>
        <v>83.333333333333343</v>
      </c>
      <c r="AW132" s="74">
        <f t="shared" si="75"/>
        <v>89.83313134319981</v>
      </c>
    </row>
    <row r="133" spans="17:49" x14ac:dyDescent="0.35">
      <c r="Q133">
        <v>126</v>
      </c>
      <c r="R133" s="73">
        <f t="shared" si="49"/>
        <v>50</v>
      </c>
      <c r="S133" s="71">
        <f t="shared" si="79"/>
        <v>1.6800000000000002</v>
      </c>
      <c r="T133" s="71">
        <f t="shared" si="51"/>
        <v>5</v>
      </c>
      <c r="U133" s="74">
        <f t="shared" si="80"/>
        <v>16.800000000000004</v>
      </c>
      <c r="V133" s="73">
        <f>IF(Variable_Management!$B$20=3,2,IF((S133*R133/T133)&lt;((T133*(1-(T133/R133)))/(2*Lm*Fsw)),1,2))</f>
        <v>2</v>
      </c>
      <c r="W133" s="71">
        <f t="shared" si="81"/>
        <v>0.9</v>
      </c>
      <c r="X133" s="74">
        <f t="shared" si="82"/>
        <v>9.9999999999999978E-2</v>
      </c>
      <c r="Y133" s="73">
        <f t="shared" si="83"/>
        <v>0.85227272727272718</v>
      </c>
      <c r="Z133" s="71">
        <f t="shared" si="77"/>
        <v>17.226136363636368</v>
      </c>
      <c r="AA133" s="71">
        <f t="shared" si="78"/>
        <v>16.801801413344677</v>
      </c>
      <c r="AB133" s="71">
        <v>0</v>
      </c>
      <c r="AC133" s="71">
        <f t="shared" si="84"/>
        <v>1.2138922821539262</v>
      </c>
      <c r="AD133" s="74">
        <f t="shared" si="67"/>
        <v>1.2138922821539262</v>
      </c>
      <c r="AE133" s="73">
        <f t="shared" si="76"/>
        <v>15.120000000000005</v>
      </c>
      <c r="AF133" s="71">
        <f t="shared" si="68"/>
        <v>15.939588378001613</v>
      </c>
      <c r="AG133" s="71">
        <f t="shared" si="85"/>
        <v>2.2358202034090922</v>
      </c>
      <c r="AH133" s="71">
        <f t="shared" si="86"/>
        <v>3.467485652797706</v>
      </c>
      <c r="AI133" s="74">
        <f t="shared" si="69"/>
        <v>5.7033058562067982</v>
      </c>
      <c r="AJ133" s="73">
        <f t="shared" si="70"/>
        <v>1.6800000000000002</v>
      </c>
      <c r="AK133" s="71">
        <f t="shared" si="87"/>
        <v>5.3131961260005367</v>
      </c>
      <c r="AL133" s="71">
        <f t="shared" si="88"/>
        <v>0.24842446704545459</v>
      </c>
      <c r="AM133" s="71">
        <f t="shared" si="95"/>
        <v>0.42468800000000007</v>
      </c>
      <c r="AN133" s="188">
        <f t="shared" si="89"/>
        <v>0.12127200000000003</v>
      </c>
      <c r="AO133" s="74">
        <f t="shared" si="72"/>
        <v>0.79438446704545473</v>
      </c>
      <c r="AP133" s="73">
        <f t="shared" si="90"/>
        <v>0.56460106146694244</v>
      </c>
      <c r="AQ133" s="206">
        <f t="shared" si="91"/>
        <v>1.2138922821539262</v>
      </c>
      <c r="AR133" s="206">
        <f t="shared" si="92"/>
        <v>1.6586782538474829E-2</v>
      </c>
      <c r="AS133" s="71">
        <f t="shared" si="93"/>
        <v>3.9600000000000003E-2</v>
      </c>
      <c r="AT133" s="74">
        <f t="shared" si="94"/>
        <v>1.6499999999999998E-5</v>
      </c>
      <c r="AU133" s="73">
        <f t="shared" si="73"/>
        <v>9.5462792315655225</v>
      </c>
      <c r="AV133" s="71">
        <f t="shared" si="74"/>
        <v>84.000000000000014</v>
      </c>
      <c r="AW133" s="74">
        <f t="shared" si="75"/>
        <v>89.795126743700251</v>
      </c>
    </row>
    <row r="134" spans="17:49" x14ac:dyDescent="0.35">
      <c r="Q134">
        <v>127</v>
      </c>
      <c r="R134" s="73">
        <f t="shared" si="49"/>
        <v>50</v>
      </c>
      <c r="S134" s="71">
        <f t="shared" si="79"/>
        <v>1.6933333333333334</v>
      </c>
      <c r="T134" s="71">
        <f t="shared" si="51"/>
        <v>5</v>
      </c>
      <c r="U134" s="74">
        <f t="shared" si="80"/>
        <v>16.933333333333334</v>
      </c>
      <c r="V134" s="73">
        <f>IF(Variable_Management!$B$20=3,2,IF((S134*R134/T134)&lt;((T134*(1-(T134/R134)))/(2*Lm*Fsw)),1,2))</f>
        <v>2</v>
      </c>
      <c r="W134" s="71">
        <f t="shared" si="81"/>
        <v>0.9</v>
      </c>
      <c r="X134" s="74">
        <f t="shared" si="82"/>
        <v>9.9999999999999978E-2</v>
      </c>
      <c r="Y134" s="73">
        <f t="shared" si="83"/>
        <v>0.85227272727272718</v>
      </c>
      <c r="Z134" s="71">
        <f t="shared" si="77"/>
        <v>17.359469696969697</v>
      </c>
      <c r="AA134" s="71">
        <f t="shared" si="78"/>
        <v>16.935120563823833</v>
      </c>
      <c r="AB134" s="71">
        <v>0</v>
      </c>
      <c r="AC134" s="71">
        <f t="shared" si="84"/>
        <v>1.2332327265983702</v>
      </c>
      <c r="AD134" s="74">
        <f t="shared" si="67"/>
        <v>1.2332327265983702</v>
      </c>
      <c r="AE134" s="73">
        <f t="shared" si="76"/>
        <v>15.24</v>
      </c>
      <c r="AF134" s="71">
        <f t="shared" si="68"/>
        <v>16.06606602937147</v>
      </c>
      <c r="AG134" s="71">
        <f t="shared" si="85"/>
        <v>2.2714426034090911</v>
      </c>
      <c r="AH134" s="71">
        <f t="shared" si="86"/>
        <v>3.4950053802008609</v>
      </c>
      <c r="AI134" s="74">
        <f t="shared" si="69"/>
        <v>5.766447983609952</v>
      </c>
      <c r="AJ134" s="73">
        <f t="shared" si="70"/>
        <v>1.6933333333333329</v>
      </c>
      <c r="AK134" s="71">
        <f t="shared" si="87"/>
        <v>5.355355343123823</v>
      </c>
      <c r="AL134" s="71">
        <f t="shared" si="88"/>
        <v>0.25238251148989893</v>
      </c>
      <c r="AM134" s="71">
        <f t="shared" si="95"/>
        <v>0.42468800000000007</v>
      </c>
      <c r="AN134" s="188">
        <f t="shared" si="89"/>
        <v>0.12221066666666668</v>
      </c>
      <c r="AO134" s="74">
        <f t="shared" si="72"/>
        <v>0.79928117815656563</v>
      </c>
      <c r="AP134" s="73">
        <f t="shared" si="90"/>
        <v>0.57359661702249776</v>
      </c>
      <c r="AQ134" s="206">
        <f t="shared" si="91"/>
        <v>1.2332327265983702</v>
      </c>
      <c r="AR134" s="206">
        <f t="shared" si="92"/>
        <v>1.6586782538474829E-2</v>
      </c>
      <c r="AS134" s="71">
        <f t="shared" si="93"/>
        <v>3.9600000000000003E-2</v>
      </c>
      <c r="AT134" s="74">
        <f t="shared" si="94"/>
        <v>1.6499999999999998E-5</v>
      </c>
      <c r="AU134" s="73">
        <f t="shared" si="73"/>
        <v>9.6619945145242294</v>
      </c>
      <c r="AV134" s="71">
        <f t="shared" si="74"/>
        <v>84.666666666666671</v>
      </c>
      <c r="AW134" s="74">
        <f t="shared" si="75"/>
        <v>89.757095676397853</v>
      </c>
    </row>
    <row r="135" spans="17:49" x14ac:dyDescent="0.35">
      <c r="Q135">
        <v>128</v>
      </c>
      <c r="R135" s="73">
        <f t="shared" ref="R135:R157" si="96">VOUT</f>
        <v>50</v>
      </c>
      <c r="S135" s="71">
        <f t="shared" ref="S135:S157" si="97">Q135*$O$12</f>
        <v>1.7066666666666668</v>
      </c>
      <c r="T135" s="71">
        <f t="shared" ref="T135:T157" si="98">VIN_var</f>
        <v>5</v>
      </c>
      <c r="U135" s="74">
        <f t="shared" ref="U135:U157" si="99">(R135*S135)/(T135*EFF_est)</f>
        <v>17.06666666666667</v>
      </c>
      <c r="V135" s="73">
        <f>IF(Variable_Management!$B$20=3,2,IF((S135*R135/T135)&lt;((T135*(1-(T135/R135)))/(2*Lm*Fsw)),1,2))</f>
        <v>2</v>
      </c>
      <c r="W135" s="71">
        <f t="shared" ref="W135:W157" si="100">CHOOSE(V135,SQRT((2*S135*Lm*Fsw*(R135-T135))/((T135)^2)),1-(T135/R135))</f>
        <v>0.9</v>
      </c>
      <c r="X135" s="74">
        <f t="shared" ref="X135:X157" si="101">CHOOSE(V135,(Lm*Z135*Fsw)/(R135-T135),1-W135)</f>
        <v>9.9999999999999978E-2</v>
      </c>
      <c r="Y135" s="73">
        <f t="shared" ref="Y135:Y157" si="102">(T135*W135)/(Lm*Fsw)</f>
        <v>0.85227272727272718</v>
      </c>
      <c r="Z135" s="71">
        <f t="shared" si="77"/>
        <v>17.492803030303033</v>
      </c>
      <c r="AA135" s="71">
        <f t="shared" si="78"/>
        <v>17.068439935875286</v>
      </c>
      <c r="AB135" s="71">
        <v>0</v>
      </c>
      <c r="AC135" s="71">
        <f t="shared" ref="AC135:AC157" si="103">(AA135^2)*Rdcr</f>
        <v>1.2527260599317041</v>
      </c>
      <c r="AD135" s="74">
        <f t="shared" si="67"/>
        <v>1.2527260599317041</v>
      </c>
      <c r="AE135" s="73">
        <f t="shared" si="76"/>
        <v>15.360000000000003</v>
      </c>
      <c r="AF135" s="71">
        <f t="shared" si="68"/>
        <v>16.192543890943266</v>
      </c>
      <c r="AG135" s="71">
        <f t="shared" ref="AG135:AG157" si="104">(AF135^2)*RDS_on</f>
        <v>2.3073466034090919</v>
      </c>
      <c r="AH135" s="71">
        <f t="shared" ref="AH135:AH157" si="105">((R135*U135)/2)*Fsw*(tr_sw+tf_sw)</f>
        <v>3.5225251076040185</v>
      </c>
      <c r="AI135" s="74">
        <f t="shared" si="69"/>
        <v>5.8298717110131104</v>
      </c>
      <c r="AJ135" s="73">
        <f t="shared" si="70"/>
        <v>1.7066666666666666</v>
      </c>
      <c r="AK135" s="71">
        <f t="shared" ref="AK135:AK157" si="106">CHOOSE(V135,Z135*SQRT(X135/3),SQRT(X135*((Z135^2)+((Y135^2)/3)-(Y135*Z135))))</f>
        <v>5.3975146303144212</v>
      </c>
      <c r="AL135" s="71">
        <f t="shared" ref="AL135:AL157" si="107">(AK135^2)*RDS_on_HS</f>
        <v>0.25637184482323239</v>
      </c>
      <c r="AM135" s="71">
        <f t="shared" si="95"/>
        <v>0.42468800000000007</v>
      </c>
      <c r="AN135" s="188">
        <f t="shared" ref="AN135:AN157" si="108">Vd_rect*t_dead*Fsw*Z135</f>
        <v>0.12314933333333336</v>
      </c>
      <c r="AO135" s="74">
        <f t="shared" si="72"/>
        <v>0.80420917815656578</v>
      </c>
      <c r="AP135" s="73">
        <f t="shared" ref="AP135:AP157" si="109">(AA135^2)*R_cs</f>
        <v>0.58266328368916476</v>
      </c>
      <c r="AQ135" s="206">
        <f t="shared" ref="AQ135:AQ157" si="110">Rdcr*AA135^2</f>
        <v>1.2527260599317041</v>
      </c>
      <c r="AR135" s="206">
        <f t="shared" ref="AR135:AR157" si="111">ABS(7.759*10^-3*Fsw^0.9458*(0.00787*Y135)^2.304)</f>
        <v>1.6586782538474829E-2</v>
      </c>
      <c r="AS135" s="71">
        <f t="shared" ref="AS135:AS157" si="112">(Qg_tot+Qg_tot_HS)*Vcc*Fsw</f>
        <v>3.9600000000000003E-2</v>
      </c>
      <c r="AT135" s="74">
        <f t="shared" ref="AT135:AT157" si="113">IQ*T135</f>
        <v>1.6499999999999998E-5</v>
      </c>
      <c r="AU135" s="73">
        <f t="shared" si="73"/>
        <v>9.7783995752607247</v>
      </c>
      <c r="AV135" s="71">
        <f t="shared" si="74"/>
        <v>85.333333333333343</v>
      </c>
      <c r="AW135" s="74">
        <f t="shared" si="75"/>
        <v>89.719039621895931</v>
      </c>
    </row>
    <row r="136" spans="17:49" x14ac:dyDescent="0.35">
      <c r="Q136">
        <v>129</v>
      </c>
      <c r="R136" s="73">
        <f t="shared" si="96"/>
        <v>50</v>
      </c>
      <c r="S136" s="71">
        <f t="shared" si="97"/>
        <v>1.7200000000000002</v>
      </c>
      <c r="T136" s="71">
        <f t="shared" si="98"/>
        <v>5</v>
      </c>
      <c r="U136" s="74">
        <f t="shared" si="99"/>
        <v>17.200000000000003</v>
      </c>
      <c r="V136" s="73">
        <f>IF(Variable_Management!$B$20=3,2,IF((S136*R136/T136)&lt;((T136*(1-(T136/R136)))/(2*Lm*Fsw)),1,2))</f>
        <v>2</v>
      </c>
      <c r="W136" s="71">
        <f t="shared" si="100"/>
        <v>0.9</v>
      </c>
      <c r="X136" s="74">
        <f t="shared" si="101"/>
        <v>9.9999999999999978E-2</v>
      </c>
      <c r="Y136" s="73">
        <f t="shared" si="102"/>
        <v>0.85227272727272718</v>
      </c>
      <c r="Z136" s="71">
        <f t="shared" si="77"/>
        <v>17.626136363636366</v>
      </c>
      <c r="AA136" s="71">
        <f t="shared" si="78"/>
        <v>17.201759524347246</v>
      </c>
      <c r="AB136" s="71">
        <v>0</v>
      </c>
      <c r="AC136" s="71">
        <f t="shared" si="103"/>
        <v>1.2723722821539261</v>
      </c>
      <c r="AD136" s="74">
        <f t="shared" ref="AD136:AD157" si="114">AB136+AC136</f>
        <v>1.2723722821539261</v>
      </c>
      <c r="AE136" s="73">
        <f t="shared" si="76"/>
        <v>15.480000000000002</v>
      </c>
      <c r="AF136" s="71">
        <f t="shared" ref="AF136:AF157" si="115">CHOOSE(V136,Z136*SQRT(W136/3),SQRT(W136*((Z136^2)+((Y136^2)/3)-(Z136*Y136))))</f>
        <v>16.31902195782958</v>
      </c>
      <c r="AG136" s="71">
        <f t="shared" si="104"/>
        <v>2.3435322034090911</v>
      </c>
      <c r="AH136" s="71">
        <f t="shared" si="105"/>
        <v>3.5500448350071747</v>
      </c>
      <c r="AI136" s="74">
        <f t="shared" ref="AI136:AI157" si="116">AG136+AH136</f>
        <v>5.8935770384162662</v>
      </c>
      <c r="AJ136" s="73">
        <f t="shared" ref="AJ136:AJ156" si="117">X136*U136</f>
        <v>1.72</v>
      </c>
      <c r="AK136" s="71">
        <f t="shared" si="106"/>
        <v>5.4396739859431937</v>
      </c>
      <c r="AL136" s="71">
        <f t="shared" si="107"/>
        <v>0.2603924670454546</v>
      </c>
      <c r="AM136" s="71">
        <f t="shared" ref="AM136:AM157" si="118">CHOOSE(V136,(R136+Vd_rect)*Qrr*Fsw,(R136+Vd_rect)*Qrr*Fsw)</f>
        <v>0.42468800000000007</v>
      </c>
      <c r="AN136" s="188">
        <f t="shared" si="108"/>
        <v>0.12408800000000002</v>
      </c>
      <c r="AO136" s="74">
        <f t="shared" ref="AO136:AO157" si="119">AL136+AM136+AN136</f>
        <v>0.80916846704545464</v>
      </c>
      <c r="AP136" s="73">
        <f t="shared" si="109"/>
        <v>0.59180106146694234</v>
      </c>
      <c r="AQ136" s="206">
        <f t="shared" si="110"/>
        <v>1.2723722821539261</v>
      </c>
      <c r="AR136" s="206">
        <f t="shared" si="111"/>
        <v>1.6586782538474829E-2</v>
      </c>
      <c r="AS136" s="71">
        <f t="shared" si="112"/>
        <v>3.9600000000000003E-2</v>
      </c>
      <c r="AT136" s="74">
        <f t="shared" si="113"/>
        <v>1.6499999999999998E-5</v>
      </c>
      <c r="AU136" s="73">
        <f t="shared" ref="AU136:AU157" si="120">AP136+AO136+AI136+AD136+AS136+AT136+AQ136+AR136</f>
        <v>9.8954944137749887</v>
      </c>
      <c r="AV136" s="71">
        <f t="shared" ref="AV136:AV157" si="121">R136*S136</f>
        <v>86.000000000000014</v>
      </c>
      <c r="AW136" s="74">
        <f t="shared" ref="AW136:AW156" si="122">(AV136/(AV136+AU136))*100</f>
        <v>89.68096001353581</v>
      </c>
    </row>
    <row r="137" spans="17:49" x14ac:dyDescent="0.35">
      <c r="Q137">
        <v>130</v>
      </c>
      <c r="R137" s="73">
        <f t="shared" si="96"/>
        <v>50</v>
      </c>
      <c r="S137" s="71">
        <f t="shared" si="97"/>
        <v>1.7333333333333334</v>
      </c>
      <c r="T137" s="71">
        <f t="shared" si="98"/>
        <v>5</v>
      </c>
      <c r="U137" s="74">
        <f t="shared" si="99"/>
        <v>17.333333333333336</v>
      </c>
      <c r="V137" s="73">
        <f>IF(Variable_Management!$B$20=3,2,IF((S137*R137/T137)&lt;((T137*(1-(T137/R137)))/(2*Lm*Fsw)),1,2))</f>
        <v>2</v>
      </c>
      <c r="W137" s="71">
        <f t="shared" si="100"/>
        <v>0.9</v>
      </c>
      <c r="X137" s="74">
        <f t="shared" si="101"/>
        <v>9.9999999999999978E-2</v>
      </c>
      <c r="Y137" s="73">
        <f t="shared" si="102"/>
        <v>0.85227272727272718</v>
      </c>
      <c r="Z137" s="71">
        <f t="shared" si="77"/>
        <v>17.759469696969699</v>
      </c>
      <c r="AA137" s="71">
        <f t="shared" si="78"/>
        <v>17.335079324246415</v>
      </c>
      <c r="AB137" s="71">
        <v>0</v>
      </c>
      <c r="AC137" s="71">
        <f t="shared" si="103"/>
        <v>1.2921713932650367</v>
      </c>
      <c r="AD137" s="74">
        <f t="shared" si="114"/>
        <v>1.2921713932650367</v>
      </c>
      <c r="AE137" s="73">
        <f t="shared" ref="AE137:AE157" si="123">U137*W137</f>
        <v>15.600000000000003</v>
      </c>
      <c r="AF137" s="71">
        <f t="shared" si="115"/>
        <v>16.445500225293362</v>
      </c>
      <c r="AG137" s="71">
        <f t="shared" si="104"/>
        <v>2.3799994034090912</v>
      </c>
      <c r="AH137" s="71">
        <f t="shared" si="105"/>
        <v>3.5775645624103309</v>
      </c>
      <c r="AI137" s="74">
        <f t="shared" si="116"/>
        <v>5.9575639658194222</v>
      </c>
      <c r="AJ137" s="73">
        <f t="shared" si="117"/>
        <v>1.7333333333333332</v>
      </c>
      <c r="AK137" s="71">
        <f t="shared" si="106"/>
        <v>5.48183340843112</v>
      </c>
      <c r="AL137" s="71">
        <f t="shared" si="107"/>
        <v>0.26444437815656568</v>
      </c>
      <c r="AM137" s="71">
        <f t="shared" si="118"/>
        <v>0.42468800000000007</v>
      </c>
      <c r="AN137" s="188">
        <f t="shared" si="108"/>
        <v>0.12502666666666667</v>
      </c>
      <c r="AO137" s="74">
        <f t="shared" si="119"/>
        <v>0.81415904482323231</v>
      </c>
      <c r="AP137" s="73">
        <f t="shared" si="109"/>
        <v>0.60100995035583105</v>
      </c>
      <c r="AQ137" s="206">
        <f t="shared" si="110"/>
        <v>1.2921713932650367</v>
      </c>
      <c r="AR137" s="206">
        <f t="shared" si="111"/>
        <v>1.6586782538474829E-2</v>
      </c>
      <c r="AS137" s="71">
        <f t="shared" si="112"/>
        <v>3.9600000000000003E-2</v>
      </c>
      <c r="AT137" s="74">
        <f t="shared" si="113"/>
        <v>1.6499999999999998E-5</v>
      </c>
      <c r="AU137" s="73">
        <f t="shared" si="120"/>
        <v>10.013279030067032</v>
      </c>
      <c r="AV137" s="71">
        <f t="shared" si="121"/>
        <v>86.666666666666671</v>
      </c>
      <c r="AW137" s="74">
        <f t="shared" si="122"/>
        <v>89.642858239208408</v>
      </c>
    </row>
    <row r="138" spans="17:49" x14ac:dyDescent="0.35">
      <c r="Q138">
        <v>131</v>
      </c>
      <c r="R138" s="73">
        <f t="shared" si="96"/>
        <v>50</v>
      </c>
      <c r="S138" s="71">
        <f t="shared" si="97"/>
        <v>1.7466666666666668</v>
      </c>
      <c r="T138" s="71">
        <f t="shared" si="98"/>
        <v>5</v>
      </c>
      <c r="U138" s="74">
        <f t="shared" si="99"/>
        <v>17.466666666666669</v>
      </c>
      <c r="V138" s="73">
        <f>IF(Variable_Management!$B$20=3,2,IF((S138*R138/T138)&lt;((T138*(1-(T138/R138)))/(2*Lm*Fsw)),1,2))</f>
        <v>2</v>
      </c>
      <c r="W138" s="71">
        <f t="shared" si="100"/>
        <v>0.9</v>
      </c>
      <c r="X138" s="74">
        <f t="shared" si="101"/>
        <v>9.9999999999999978E-2</v>
      </c>
      <c r="Y138" s="73">
        <f t="shared" si="102"/>
        <v>0.85227272727272718</v>
      </c>
      <c r="Z138" s="71">
        <f t="shared" si="77"/>
        <v>17.892803030303032</v>
      </c>
      <c r="AA138" s="71">
        <f t="shared" si="78"/>
        <v>17.468399330731923</v>
      </c>
      <c r="AB138" s="71">
        <v>0</v>
      </c>
      <c r="AC138" s="71">
        <f t="shared" si="103"/>
        <v>1.3121233932650367</v>
      </c>
      <c r="AD138" s="74">
        <f t="shared" si="114"/>
        <v>1.3121233932650367</v>
      </c>
      <c r="AE138" s="73">
        <f t="shared" si="123"/>
        <v>15.720000000000002</v>
      </c>
      <c r="AF138" s="71">
        <f t="shared" si="115"/>
        <v>16.571978688742149</v>
      </c>
      <c r="AG138" s="71">
        <f t="shared" si="104"/>
        <v>2.416748203409091</v>
      </c>
      <c r="AH138" s="71">
        <f t="shared" si="105"/>
        <v>3.6050842898134876</v>
      </c>
      <c r="AI138" s="74">
        <f t="shared" si="116"/>
        <v>6.0218324932225791</v>
      </c>
      <c r="AJ138" s="73">
        <f t="shared" si="117"/>
        <v>1.7466666666666664</v>
      </c>
      <c r="AK138" s="71">
        <f t="shared" si="106"/>
        <v>5.5239928962473828</v>
      </c>
      <c r="AL138" s="71">
        <f t="shared" si="107"/>
        <v>0.26852757815656564</v>
      </c>
      <c r="AM138" s="71">
        <f t="shared" si="118"/>
        <v>0.42468800000000007</v>
      </c>
      <c r="AN138" s="188">
        <f t="shared" si="108"/>
        <v>0.12596533333333335</v>
      </c>
      <c r="AO138" s="74">
        <f t="shared" si="119"/>
        <v>0.81918091148989902</v>
      </c>
      <c r="AP138" s="73">
        <f t="shared" si="109"/>
        <v>0.610289950355831</v>
      </c>
      <c r="AQ138" s="206">
        <f t="shared" si="110"/>
        <v>1.3121233932650367</v>
      </c>
      <c r="AR138" s="206">
        <f t="shared" si="111"/>
        <v>1.6586782538474829E-2</v>
      </c>
      <c r="AS138" s="71">
        <f t="shared" si="112"/>
        <v>3.9600000000000003E-2</v>
      </c>
      <c r="AT138" s="74">
        <f t="shared" si="113"/>
        <v>1.6499999999999998E-5</v>
      </c>
      <c r="AU138" s="73">
        <f t="shared" si="120"/>
        <v>10.131753424136857</v>
      </c>
      <c r="AV138" s="71">
        <f t="shared" si="121"/>
        <v>87.333333333333343</v>
      </c>
      <c r="AW138" s="74">
        <f t="shared" si="122"/>
        <v>89.604735643083686</v>
      </c>
    </row>
    <row r="139" spans="17:49" x14ac:dyDescent="0.35">
      <c r="Q139">
        <v>132</v>
      </c>
      <c r="R139" s="73">
        <f t="shared" si="96"/>
        <v>50</v>
      </c>
      <c r="S139" s="71">
        <f t="shared" si="97"/>
        <v>1.76</v>
      </c>
      <c r="T139" s="71">
        <f t="shared" si="98"/>
        <v>5</v>
      </c>
      <c r="U139" s="74">
        <f t="shared" si="99"/>
        <v>17.600000000000001</v>
      </c>
      <c r="V139" s="73">
        <f>IF(Variable_Management!$B$20=3,2,IF((S139*R139/T139)&lt;((T139*(1-(T139/R139)))/(2*Lm*Fsw)),1,2))</f>
        <v>2</v>
      </c>
      <c r="W139" s="71">
        <f t="shared" si="100"/>
        <v>0.9</v>
      </c>
      <c r="X139" s="74">
        <f t="shared" si="101"/>
        <v>9.9999999999999978E-2</v>
      </c>
      <c r="Y139" s="73">
        <f t="shared" si="102"/>
        <v>0.85227272727272718</v>
      </c>
      <c r="Z139" s="71">
        <f t="shared" si="77"/>
        <v>18.026136363636365</v>
      </c>
      <c r="AA139" s="71">
        <f t="shared" si="78"/>
        <v>17.601719539109556</v>
      </c>
      <c r="AB139" s="71">
        <v>0</v>
      </c>
      <c r="AC139" s="71">
        <f t="shared" si="103"/>
        <v>1.3322282821539257</v>
      </c>
      <c r="AD139" s="74">
        <f t="shared" si="114"/>
        <v>1.3322282821539257</v>
      </c>
      <c r="AE139" s="73">
        <f t="shared" si="123"/>
        <v>15.840000000000002</v>
      </c>
      <c r="AF139" s="71">
        <f t="shared" si="115"/>
        <v>16.69845734372262</v>
      </c>
      <c r="AG139" s="71">
        <f t="shared" si="104"/>
        <v>2.4537786034090905</v>
      </c>
      <c r="AH139" s="71">
        <f t="shared" si="105"/>
        <v>3.6326040172166438</v>
      </c>
      <c r="AI139" s="74">
        <f t="shared" si="116"/>
        <v>6.0863826206257343</v>
      </c>
      <c r="AJ139" s="73">
        <f t="shared" si="117"/>
        <v>1.7599999999999998</v>
      </c>
      <c r="AK139" s="71">
        <f t="shared" si="106"/>
        <v>5.5661524479075402</v>
      </c>
      <c r="AL139" s="71">
        <f t="shared" si="107"/>
        <v>0.27264206704545452</v>
      </c>
      <c r="AM139" s="71">
        <f t="shared" si="118"/>
        <v>0.42468800000000007</v>
      </c>
      <c r="AN139" s="188">
        <f t="shared" si="108"/>
        <v>0.12690400000000002</v>
      </c>
      <c r="AO139" s="74">
        <f t="shared" si="119"/>
        <v>0.82423406704545454</v>
      </c>
      <c r="AP139" s="73">
        <f t="shared" si="109"/>
        <v>0.6196410614669422</v>
      </c>
      <c r="AQ139" s="206">
        <f t="shared" si="110"/>
        <v>1.3322282821539257</v>
      </c>
      <c r="AR139" s="206">
        <f t="shared" si="111"/>
        <v>1.6586782538474829E-2</v>
      </c>
      <c r="AS139" s="71">
        <f t="shared" si="112"/>
        <v>3.9600000000000003E-2</v>
      </c>
      <c r="AT139" s="74">
        <f t="shared" si="113"/>
        <v>1.6499999999999998E-5</v>
      </c>
      <c r="AU139" s="73">
        <f t="shared" si="120"/>
        <v>10.250917595984458</v>
      </c>
      <c r="AV139" s="71">
        <f t="shared" si="121"/>
        <v>88</v>
      </c>
      <c r="AW139" s="74">
        <f t="shared" si="122"/>
        <v>89.566593527261446</v>
      </c>
    </row>
    <row r="140" spans="17:49" x14ac:dyDescent="0.35">
      <c r="Q140">
        <v>133</v>
      </c>
      <c r="R140" s="73">
        <f t="shared" si="96"/>
        <v>50</v>
      </c>
      <c r="S140" s="71">
        <f t="shared" si="97"/>
        <v>1.7733333333333334</v>
      </c>
      <c r="T140" s="71">
        <f t="shared" si="98"/>
        <v>5</v>
      </c>
      <c r="U140" s="74">
        <f t="shared" si="99"/>
        <v>17.733333333333334</v>
      </c>
      <c r="V140" s="73">
        <f>IF(Variable_Management!$B$20=3,2,IF((S140*R140/T140)&lt;((T140*(1-(T140/R140)))/(2*Lm*Fsw)),1,2))</f>
        <v>2</v>
      </c>
      <c r="W140" s="71">
        <f t="shared" si="100"/>
        <v>0.9</v>
      </c>
      <c r="X140" s="74">
        <f t="shared" si="101"/>
        <v>9.9999999999999978E-2</v>
      </c>
      <c r="Y140" s="73">
        <f t="shared" si="102"/>
        <v>0.85227272727272718</v>
      </c>
      <c r="Z140" s="71">
        <f t="shared" si="77"/>
        <v>18.159469696969698</v>
      </c>
      <c r="AA140" s="71">
        <f t="shared" si="78"/>
        <v>17.735039944826237</v>
      </c>
      <c r="AB140" s="71">
        <v>0</v>
      </c>
      <c r="AC140" s="71">
        <f t="shared" si="103"/>
        <v>1.3524860599317037</v>
      </c>
      <c r="AD140" s="74">
        <f t="shared" si="114"/>
        <v>1.3524860599317037</v>
      </c>
      <c r="AE140" s="73">
        <f t="shared" si="123"/>
        <v>15.96</v>
      </c>
      <c r="AF140" s="71">
        <f t="shared" si="115"/>
        <v>16.824936185915359</v>
      </c>
      <c r="AG140" s="71">
        <f t="shared" si="104"/>
        <v>2.4910906034090918</v>
      </c>
      <c r="AH140" s="71">
        <f t="shared" si="105"/>
        <v>3.6601237446198001</v>
      </c>
      <c r="AI140" s="74">
        <f t="shared" si="116"/>
        <v>6.1512143480288923</v>
      </c>
      <c r="AJ140" s="73">
        <f t="shared" si="117"/>
        <v>1.773333333333333</v>
      </c>
      <c r="AK140" s="71">
        <f t="shared" si="106"/>
        <v>5.6083120619717848</v>
      </c>
      <c r="AL140" s="71">
        <f t="shared" si="107"/>
        <v>0.27678784482323232</v>
      </c>
      <c r="AM140" s="71">
        <f t="shared" si="118"/>
        <v>0.42468800000000007</v>
      </c>
      <c r="AN140" s="188">
        <f t="shared" si="108"/>
        <v>0.12784266666666669</v>
      </c>
      <c r="AO140" s="74">
        <f t="shared" si="119"/>
        <v>0.82931851148989899</v>
      </c>
      <c r="AP140" s="73">
        <f t="shared" si="109"/>
        <v>0.62906328368916442</v>
      </c>
      <c r="AQ140" s="206">
        <f t="shared" si="110"/>
        <v>1.3524860599317037</v>
      </c>
      <c r="AR140" s="206">
        <f t="shared" si="111"/>
        <v>1.6586782538474829E-2</v>
      </c>
      <c r="AS140" s="71">
        <f t="shared" si="112"/>
        <v>3.9600000000000003E-2</v>
      </c>
      <c r="AT140" s="74">
        <f t="shared" si="113"/>
        <v>1.6499999999999998E-5</v>
      </c>
      <c r="AU140" s="73">
        <f t="shared" si="120"/>
        <v>10.370771545609836</v>
      </c>
      <c r="AV140" s="71">
        <f t="shared" si="121"/>
        <v>88.666666666666671</v>
      </c>
      <c r="AW140" s="74">
        <f t="shared" si="122"/>
        <v>89.528433153348359</v>
      </c>
    </row>
    <row r="141" spans="17:49" x14ac:dyDescent="0.35">
      <c r="Q141">
        <v>134</v>
      </c>
      <c r="R141" s="73">
        <f t="shared" si="96"/>
        <v>50</v>
      </c>
      <c r="S141" s="71">
        <f t="shared" si="97"/>
        <v>1.7866666666666668</v>
      </c>
      <c r="T141" s="71">
        <f t="shared" si="98"/>
        <v>5</v>
      </c>
      <c r="U141" s="74">
        <f t="shared" si="99"/>
        <v>17.866666666666667</v>
      </c>
      <c r="V141" s="73">
        <f>IF(Variable_Management!$B$20=3,2,IF((S141*R141/T141)&lt;((T141*(1-(T141/R141)))/(2*Lm*Fsw)),1,2))</f>
        <v>2</v>
      </c>
      <c r="W141" s="71">
        <f t="shared" si="100"/>
        <v>0.9</v>
      </c>
      <c r="X141" s="74">
        <f t="shared" si="101"/>
        <v>9.9999999999999978E-2</v>
      </c>
      <c r="Y141" s="73">
        <f t="shared" si="102"/>
        <v>0.85227272727272718</v>
      </c>
      <c r="Z141" s="71">
        <f t="shared" si="77"/>
        <v>18.29280303030303</v>
      </c>
      <c r="AA141" s="71">
        <f t="shared" si="78"/>
        <v>17.868360543464778</v>
      </c>
      <c r="AB141" s="71">
        <v>0</v>
      </c>
      <c r="AC141" s="71">
        <f t="shared" si="103"/>
        <v>1.3728967265983703</v>
      </c>
      <c r="AD141" s="74">
        <f t="shared" si="114"/>
        <v>1.3728967265983703</v>
      </c>
      <c r="AE141" s="73">
        <f t="shared" si="123"/>
        <v>16.080000000000002</v>
      </c>
      <c r="AF141" s="71">
        <f t="shared" si="115"/>
        <v>16.951415211129834</v>
      </c>
      <c r="AG141" s="71">
        <f t="shared" si="104"/>
        <v>2.5286842034090911</v>
      </c>
      <c r="AH141" s="71">
        <f t="shared" si="105"/>
        <v>3.6876434720229563</v>
      </c>
      <c r="AI141" s="74">
        <f t="shared" si="116"/>
        <v>6.2163276754320478</v>
      </c>
      <c r="AJ141" s="73">
        <f t="shared" si="117"/>
        <v>1.7866666666666664</v>
      </c>
      <c r="AK141" s="71">
        <f t="shared" si="106"/>
        <v>5.6504717370432775</v>
      </c>
      <c r="AL141" s="71">
        <f t="shared" si="107"/>
        <v>0.28096491148989888</v>
      </c>
      <c r="AM141" s="71">
        <f t="shared" si="118"/>
        <v>0.42468800000000007</v>
      </c>
      <c r="AN141" s="188">
        <f t="shared" si="108"/>
        <v>0.12878133333333333</v>
      </c>
      <c r="AO141" s="74">
        <f t="shared" si="119"/>
        <v>0.83443424482323225</v>
      </c>
      <c r="AP141" s="73">
        <f t="shared" si="109"/>
        <v>0.63855661702249777</v>
      </c>
      <c r="AQ141" s="206">
        <f t="shared" si="110"/>
        <v>1.3728967265983703</v>
      </c>
      <c r="AR141" s="206">
        <f t="shared" si="111"/>
        <v>1.6586782538474829E-2</v>
      </c>
      <c r="AS141" s="71">
        <f t="shared" si="112"/>
        <v>3.9600000000000003E-2</v>
      </c>
      <c r="AT141" s="74">
        <f t="shared" si="113"/>
        <v>1.6499999999999998E-5</v>
      </c>
      <c r="AU141" s="73">
        <f t="shared" si="120"/>
        <v>10.491315273012992</v>
      </c>
      <c r="AV141" s="71">
        <f t="shared" si="121"/>
        <v>89.333333333333343</v>
      </c>
      <c r="AW141" s="74">
        <f t="shared" si="122"/>
        <v>89.490255743964624</v>
      </c>
    </row>
    <row r="142" spans="17:49" x14ac:dyDescent="0.35">
      <c r="Q142">
        <v>135</v>
      </c>
      <c r="R142" s="73">
        <f t="shared" si="96"/>
        <v>50</v>
      </c>
      <c r="S142" s="71">
        <f t="shared" si="97"/>
        <v>1.8</v>
      </c>
      <c r="T142" s="71">
        <f t="shared" si="98"/>
        <v>5</v>
      </c>
      <c r="U142" s="74">
        <f t="shared" si="99"/>
        <v>18</v>
      </c>
      <c r="V142" s="73">
        <f>IF(Variable_Management!$B$20=3,2,IF((S142*R142/T142)&lt;((T142*(1-(T142/R142)))/(2*Lm*Fsw)),1,2))</f>
        <v>2</v>
      </c>
      <c r="W142" s="71">
        <f t="shared" si="100"/>
        <v>0.9</v>
      </c>
      <c r="X142" s="74">
        <f t="shared" si="101"/>
        <v>9.9999999999999978E-2</v>
      </c>
      <c r="Y142" s="73">
        <f t="shared" si="102"/>
        <v>0.85227272727272718</v>
      </c>
      <c r="Z142" s="71">
        <f t="shared" si="77"/>
        <v>18.426136363636363</v>
      </c>
      <c r="AA142" s="71">
        <f t="shared" si="78"/>
        <v>18.001681330738833</v>
      </c>
      <c r="AB142" s="71">
        <v>0</v>
      </c>
      <c r="AC142" s="71">
        <f t="shared" si="103"/>
        <v>1.3934602821539257</v>
      </c>
      <c r="AD142" s="74">
        <f t="shared" si="114"/>
        <v>1.3934602821539257</v>
      </c>
      <c r="AE142" s="73">
        <f t="shared" si="123"/>
        <v>16.2</v>
      </c>
      <c r="AF142" s="71">
        <f t="shared" si="115"/>
        <v>17.077894415299678</v>
      </c>
      <c r="AG142" s="71">
        <f t="shared" si="104"/>
        <v>2.5665594034090908</v>
      </c>
      <c r="AH142" s="71">
        <f t="shared" si="105"/>
        <v>3.7151631994261125</v>
      </c>
      <c r="AI142" s="74">
        <f t="shared" si="116"/>
        <v>6.2817226028352033</v>
      </c>
      <c r="AJ142" s="73">
        <f t="shared" si="117"/>
        <v>1.7999999999999996</v>
      </c>
      <c r="AK142" s="71">
        <f t="shared" si="106"/>
        <v>5.6926314717665596</v>
      </c>
      <c r="AL142" s="71">
        <f t="shared" si="107"/>
        <v>0.28517326704545459</v>
      </c>
      <c r="AM142" s="71">
        <f t="shared" si="118"/>
        <v>0.42468800000000007</v>
      </c>
      <c r="AN142" s="188">
        <f t="shared" si="108"/>
        <v>0.12972</v>
      </c>
      <c r="AO142" s="74">
        <f t="shared" si="119"/>
        <v>0.83958126704545477</v>
      </c>
      <c r="AP142" s="73">
        <f t="shared" si="109"/>
        <v>0.64812106146694215</v>
      </c>
      <c r="AQ142" s="206">
        <f t="shared" si="110"/>
        <v>1.3934602821539257</v>
      </c>
      <c r="AR142" s="206">
        <f t="shared" si="111"/>
        <v>1.6586782538474829E-2</v>
      </c>
      <c r="AS142" s="71">
        <f t="shared" si="112"/>
        <v>3.9600000000000003E-2</v>
      </c>
      <c r="AT142" s="74">
        <f t="shared" si="113"/>
        <v>1.6499999999999998E-5</v>
      </c>
      <c r="AU142" s="73">
        <f t="shared" si="120"/>
        <v>10.612548778193927</v>
      </c>
      <c r="AV142" s="71">
        <f t="shared" si="121"/>
        <v>90</v>
      </c>
      <c r="AW142" s="74">
        <f t="shared" si="122"/>
        <v>89.45206248418387</v>
      </c>
    </row>
    <row r="143" spans="17:49" x14ac:dyDescent="0.35">
      <c r="Q143">
        <v>136</v>
      </c>
      <c r="R143" s="73">
        <f t="shared" si="96"/>
        <v>50</v>
      </c>
      <c r="S143" s="71">
        <f t="shared" si="97"/>
        <v>1.8133333333333335</v>
      </c>
      <c r="T143" s="71">
        <f t="shared" si="98"/>
        <v>5</v>
      </c>
      <c r="U143" s="74">
        <f t="shared" si="99"/>
        <v>18.133333333333333</v>
      </c>
      <c r="V143" s="73">
        <f>IF(Variable_Management!$B$20=3,2,IF((S143*R143/T143)&lt;((T143*(1-(T143/R143)))/(2*Lm*Fsw)),1,2))</f>
        <v>2</v>
      </c>
      <c r="W143" s="71">
        <f t="shared" si="100"/>
        <v>0.9</v>
      </c>
      <c r="X143" s="74">
        <f t="shared" si="101"/>
        <v>9.9999999999999978E-2</v>
      </c>
      <c r="Y143" s="73">
        <f t="shared" si="102"/>
        <v>0.85227272727272718</v>
      </c>
      <c r="Z143" s="71">
        <f t="shared" si="77"/>
        <v>18.559469696969696</v>
      </c>
      <c r="AA143" s="71">
        <f t="shared" si="78"/>
        <v>18.135002302488104</v>
      </c>
      <c r="AB143" s="71">
        <v>0</v>
      </c>
      <c r="AC143" s="71">
        <f t="shared" si="103"/>
        <v>1.41417672659837</v>
      </c>
      <c r="AD143" s="74">
        <f t="shared" si="114"/>
        <v>1.41417672659837</v>
      </c>
      <c r="AE143" s="73">
        <f t="shared" si="123"/>
        <v>16.32</v>
      </c>
      <c r="AF143" s="71">
        <f t="shared" si="115"/>
        <v>17.204373794478077</v>
      </c>
      <c r="AG143" s="71">
        <f t="shared" si="104"/>
        <v>2.6047162034090912</v>
      </c>
      <c r="AH143" s="71">
        <f t="shared" si="105"/>
        <v>3.7426829268292687</v>
      </c>
      <c r="AI143" s="74">
        <f t="shared" si="116"/>
        <v>6.3473991302383599</v>
      </c>
      <c r="AJ143" s="73">
        <f t="shared" si="117"/>
        <v>1.8133333333333328</v>
      </c>
      <c r="AK143" s="71">
        <f t="shared" si="106"/>
        <v>5.7347912648260246</v>
      </c>
      <c r="AL143" s="71">
        <f t="shared" si="107"/>
        <v>0.28941291148989889</v>
      </c>
      <c r="AM143" s="71">
        <f t="shared" si="118"/>
        <v>0.42468800000000007</v>
      </c>
      <c r="AN143" s="188">
        <f t="shared" si="108"/>
        <v>0.13065866666666667</v>
      </c>
      <c r="AO143" s="74">
        <f t="shared" si="119"/>
        <v>0.84475957815656566</v>
      </c>
      <c r="AP143" s="73">
        <f t="shared" si="109"/>
        <v>0.65775661702249777</v>
      </c>
      <c r="AQ143" s="206">
        <f t="shared" si="110"/>
        <v>1.41417672659837</v>
      </c>
      <c r="AR143" s="206">
        <f t="shared" si="111"/>
        <v>1.6586782538474829E-2</v>
      </c>
      <c r="AS143" s="71">
        <f t="shared" si="112"/>
        <v>3.9600000000000003E-2</v>
      </c>
      <c r="AT143" s="74">
        <f t="shared" si="113"/>
        <v>1.6499999999999998E-5</v>
      </c>
      <c r="AU143" s="73">
        <f t="shared" si="120"/>
        <v>10.734472061152639</v>
      </c>
      <c r="AV143" s="71">
        <f t="shared" si="121"/>
        <v>90.666666666666671</v>
      </c>
      <c r="AW143" s="74">
        <f t="shared" si="122"/>
        <v>89.413854522910157</v>
      </c>
    </row>
    <row r="144" spans="17:49" x14ac:dyDescent="0.35">
      <c r="Q144">
        <v>137</v>
      </c>
      <c r="R144" s="73">
        <f t="shared" si="96"/>
        <v>50</v>
      </c>
      <c r="S144" s="71">
        <f t="shared" si="97"/>
        <v>1.8266666666666669</v>
      </c>
      <c r="T144" s="71">
        <f t="shared" si="98"/>
        <v>5</v>
      </c>
      <c r="U144" s="74">
        <f t="shared" si="99"/>
        <v>18.266666666666669</v>
      </c>
      <c r="V144" s="73">
        <f>IF(Variable_Management!$B$20=3,2,IF((S144*R144/T144)&lt;((T144*(1-(T144/R144)))/(2*Lm*Fsw)),1,2))</f>
        <v>2</v>
      </c>
      <c r="W144" s="71">
        <f t="shared" si="100"/>
        <v>0.9</v>
      </c>
      <c r="X144" s="74">
        <f t="shared" si="101"/>
        <v>9.9999999999999978E-2</v>
      </c>
      <c r="Y144" s="73">
        <f t="shared" si="102"/>
        <v>0.85227272727272718</v>
      </c>
      <c r="Z144" s="71">
        <f t="shared" ref="Z144:Z157" si="124">CHOOSE(V144,Y144,U144+(0.5*Y144))</f>
        <v>18.692803030303033</v>
      </c>
      <c r="AA144" s="71">
        <f t="shared" ref="AA144:AA157" si="125">CHOOSE(V144,Z144*SQRT((W144+X144)/3),SQRT((U144^2)+((Y144^2)/12)))</f>
        <v>18.268323454673727</v>
      </c>
      <c r="AB144" s="71">
        <v>0</v>
      </c>
      <c r="AC144" s="71">
        <f t="shared" si="103"/>
        <v>1.4350460599317034</v>
      </c>
      <c r="AD144" s="74">
        <f t="shared" si="114"/>
        <v>1.4350460599317034</v>
      </c>
      <c r="AE144" s="73">
        <f t="shared" si="123"/>
        <v>16.440000000000001</v>
      </c>
      <c r="AF144" s="71">
        <f t="shared" si="115"/>
        <v>17.330853344833425</v>
      </c>
      <c r="AG144" s="71">
        <f t="shared" si="104"/>
        <v>2.6431546034090907</v>
      </c>
      <c r="AH144" s="71">
        <f t="shared" si="105"/>
        <v>3.7702026542324258</v>
      </c>
      <c r="AI144" s="74">
        <f t="shared" si="116"/>
        <v>6.4133572576415165</v>
      </c>
      <c r="AJ144" s="73">
        <f t="shared" si="117"/>
        <v>1.8266666666666664</v>
      </c>
      <c r="AK144" s="71">
        <f t="shared" si="106"/>
        <v>5.7769511149444748</v>
      </c>
      <c r="AL144" s="71">
        <f t="shared" si="107"/>
        <v>0.29368384482323229</v>
      </c>
      <c r="AM144" s="71">
        <f t="shared" si="118"/>
        <v>0.42468800000000007</v>
      </c>
      <c r="AN144" s="188">
        <f t="shared" si="108"/>
        <v>0.13159733333333334</v>
      </c>
      <c r="AO144" s="74">
        <f t="shared" si="119"/>
        <v>0.8499691781565657</v>
      </c>
      <c r="AP144" s="73">
        <f t="shared" si="109"/>
        <v>0.66746328368916441</v>
      </c>
      <c r="AQ144" s="206">
        <f t="shared" si="110"/>
        <v>1.4350460599317034</v>
      </c>
      <c r="AR144" s="206">
        <f t="shared" si="111"/>
        <v>1.6586782538474829E-2</v>
      </c>
      <c r="AS144" s="71">
        <f t="shared" si="112"/>
        <v>3.9600000000000003E-2</v>
      </c>
      <c r="AT144" s="74">
        <f t="shared" si="113"/>
        <v>1.6499999999999998E-5</v>
      </c>
      <c r="AU144" s="73">
        <f t="shared" si="120"/>
        <v>10.857085121889128</v>
      </c>
      <c r="AV144" s="71">
        <f t="shared" si="121"/>
        <v>91.333333333333343</v>
      </c>
      <c r="AW144" s="74">
        <f t="shared" si="122"/>
        <v>89.375632974194687</v>
      </c>
    </row>
    <row r="145" spans="17:49" x14ac:dyDescent="0.35">
      <c r="Q145">
        <v>138</v>
      </c>
      <c r="R145" s="73">
        <f t="shared" si="96"/>
        <v>50</v>
      </c>
      <c r="S145" s="71">
        <f t="shared" si="97"/>
        <v>1.84</v>
      </c>
      <c r="T145" s="71">
        <f t="shared" si="98"/>
        <v>5</v>
      </c>
      <c r="U145" s="74">
        <f t="shared" si="99"/>
        <v>18.399999999999999</v>
      </c>
      <c r="V145" s="73">
        <f>IF(Variable_Management!$B$20=3,2,IF((S145*R145/T145)&lt;((T145*(1-(T145/R145)))/(2*Lm*Fsw)),1,2))</f>
        <v>2</v>
      </c>
      <c r="W145" s="71">
        <f t="shared" si="100"/>
        <v>0.9</v>
      </c>
      <c r="X145" s="74">
        <f t="shared" si="101"/>
        <v>9.9999999999999978E-2</v>
      </c>
      <c r="Y145" s="73">
        <f t="shared" si="102"/>
        <v>0.85227272727272718</v>
      </c>
      <c r="Z145" s="71">
        <f t="shared" si="124"/>
        <v>18.826136363636362</v>
      </c>
      <c r="AA145" s="71">
        <f t="shared" si="125"/>
        <v>18.401644783373875</v>
      </c>
      <c r="AB145" s="71">
        <v>0</v>
      </c>
      <c r="AC145" s="71">
        <f t="shared" si="103"/>
        <v>1.456068282153925</v>
      </c>
      <c r="AD145" s="74">
        <f t="shared" si="114"/>
        <v>1.456068282153925</v>
      </c>
      <c r="AE145" s="73">
        <f t="shared" si="123"/>
        <v>16.559999999999999</v>
      </c>
      <c r="AF145" s="71">
        <f t="shared" si="115"/>
        <v>17.457333062645162</v>
      </c>
      <c r="AG145" s="71">
        <f t="shared" si="104"/>
        <v>2.6818746034090903</v>
      </c>
      <c r="AH145" s="71">
        <f t="shared" si="105"/>
        <v>3.7977223816355812</v>
      </c>
      <c r="AI145" s="74">
        <f t="shared" si="116"/>
        <v>6.4795969850446715</v>
      </c>
      <c r="AJ145" s="73">
        <f t="shared" si="117"/>
        <v>1.8399999999999994</v>
      </c>
      <c r="AK145" s="71">
        <f t="shared" si="106"/>
        <v>5.8191110208817198</v>
      </c>
      <c r="AL145" s="71">
        <f t="shared" si="107"/>
        <v>0.29798606704545444</v>
      </c>
      <c r="AM145" s="71">
        <f t="shared" si="118"/>
        <v>0.42468800000000007</v>
      </c>
      <c r="AN145" s="188">
        <f t="shared" si="108"/>
        <v>0.13253599999999999</v>
      </c>
      <c r="AO145" s="74">
        <f t="shared" si="119"/>
        <v>0.85521006704545455</v>
      </c>
      <c r="AP145" s="73">
        <f t="shared" si="109"/>
        <v>0.67724106146694196</v>
      </c>
      <c r="AQ145" s="206">
        <f t="shared" si="110"/>
        <v>1.456068282153925</v>
      </c>
      <c r="AR145" s="206">
        <f t="shared" si="111"/>
        <v>1.6586782538474829E-2</v>
      </c>
      <c r="AS145" s="71">
        <f t="shared" si="112"/>
        <v>3.9600000000000003E-2</v>
      </c>
      <c r="AT145" s="74">
        <f t="shared" si="113"/>
        <v>1.6499999999999998E-5</v>
      </c>
      <c r="AU145" s="73">
        <f t="shared" si="120"/>
        <v>10.980387960403393</v>
      </c>
      <c r="AV145" s="71">
        <f t="shared" si="121"/>
        <v>92</v>
      </c>
      <c r="AW145" s="74">
        <f t="shared" si="122"/>
        <v>89.337398918495609</v>
      </c>
    </row>
    <row r="146" spans="17:49" x14ac:dyDescent="0.35">
      <c r="Q146">
        <v>139</v>
      </c>
      <c r="R146" s="73">
        <f t="shared" si="96"/>
        <v>50</v>
      </c>
      <c r="S146" s="71">
        <f t="shared" si="97"/>
        <v>1.8533333333333335</v>
      </c>
      <c r="T146" s="71">
        <f t="shared" si="98"/>
        <v>5</v>
      </c>
      <c r="U146" s="74">
        <f t="shared" si="99"/>
        <v>18.533333333333335</v>
      </c>
      <c r="V146" s="73">
        <f>IF(Variable_Management!$B$20=3,2,IF((S146*R146/T146)&lt;((T146*(1-(T146/R146)))/(2*Lm*Fsw)),1,2))</f>
        <v>2</v>
      </c>
      <c r="W146" s="71">
        <f t="shared" si="100"/>
        <v>0.9</v>
      </c>
      <c r="X146" s="74">
        <f t="shared" si="101"/>
        <v>9.9999999999999978E-2</v>
      </c>
      <c r="Y146" s="73">
        <f t="shared" si="102"/>
        <v>0.85227272727272718</v>
      </c>
      <c r="Z146" s="71">
        <f t="shared" si="124"/>
        <v>18.959469696969698</v>
      </c>
      <c r="AA146" s="71">
        <f t="shared" si="125"/>
        <v>18.534966284779575</v>
      </c>
      <c r="AB146" s="71">
        <v>0</v>
      </c>
      <c r="AC146" s="71">
        <f t="shared" si="103"/>
        <v>1.4772433932650368</v>
      </c>
      <c r="AD146" s="74">
        <f t="shared" si="114"/>
        <v>1.4772433932650368</v>
      </c>
      <c r="AE146" s="73">
        <f t="shared" si="123"/>
        <v>16.680000000000003</v>
      </c>
      <c r="AF146" s="71">
        <f t="shared" si="115"/>
        <v>17.583812944299765</v>
      </c>
      <c r="AG146" s="71">
        <f t="shared" si="104"/>
        <v>2.720876203409091</v>
      </c>
      <c r="AH146" s="71">
        <f t="shared" si="105"/>
        <v>3.8252421090387383</v>
      </c>
      <c r="AI146" s="74">
        <f t="shared" si="116"/>
        <v>6.5461183124478293</v>
      </c>
      <c r="AJ146" s="73">
        <f t="shared" si="117"/>
        <v>1.8533333333333331</v>
      </c>
      <c r="AK146" s="71">
        <f t="shared" si="106"/>
        <v>5.8612709814332549</v>
      </c>
      <c r="AL146" s="71">
        <f t="shared" si="107"/>
        <v>0.30231957815656568</v>
      </c>
      <c r="AM146" s="71">
        <f t="shared" si="118"/>
        <v>0.42468800000000007</v>
      </c>
      <c r="AN146" s="188">
        <f t="shared" si="108"/>
        <v>0.13347466666666669</v>
      </c>
      <c r="AO146" s="74">
        <f t="shared" si="119"/>
        <v>0.86048224482323232</v>
      </c>
      <c r="AP146" s="73">
        <f t="shared" si="109"/>
        <v>0.68708995035583109</v>
      </c>
      <c r="AQ146" s="206">
        <f t="shared" si="110"/>
        <v>1.4772433932650368</v>
      </c>
      <c r="AR146" s="206">
        <f t="shared" si="111"/>
        <v>1.6586782538474829E-2</v>
      </c>
      <c r="AS146" s="71">
        <f t="shared" si="112"/>
        <v>3.9600000000000003E-2</v>
      </c>
      <c r="AT146" s="74">
        <f t="shared" si="113"/>
        <v>1.6499999999999998E-5</v>
      </c>
      <c r="AU146" s="73">
        <f t="shared" si="120"/>
        <v>11.104380576695439</v>
      </c>
      <c r="AV146" s="71">
        <f t="shared" si="121"/>
        <v>92.666666666666671</v>
      </c>
      <c r="AW146" s="74">
        <f t="shared" si="122"/>
        <v>89.299153403883807</v>
      </c>
    </row>
    <row r="147" spans="17:49" x14ac:dyDescent="0.35">
      <c r="Q147">
        <v>140</v>
      </c>
      <c r="R147" s="73">
        <f t="shared" si="96"/>
        <v>50</v>
      </c>
      <c r="S147" s="71">
        <f t="shared" si="97"/>
        <v>1.8666666666666667</v>
      </c>
      <c r="T147" s="71">
        <f t="shared" si="98"/>
        <v>5</v>
      </c>
      <c r="U147" s="74">
        <f t="shared" si="99"/>
        <v>18.666666666666664</v>
      </c>
      <c r="V147" s="73">
        <f>IF(Variable_Management!$B$20=3,2,IF((S147*R147/T147)&lt;((T147*(1-(T147/R147)))/(2*Lm*Fsw)),1,2))</f>
        <v>2</v>
      </c>
      <c r="W147" s="71">
        <f t="shared" si="100"/>
        <v>0.9</v>
      </c>
      <c r="X147" s="74">
        <f t="shared" si="101"/>
        <v>9.9999999999999978E-2</v>
      </c>
      <c r="Y147" s="73">
        <f t="shared" si="102"/>
        <v>0.85227272727272718</v>
      </c>
      <c r="Z147" s="71">
        <f t="shared" si="124"/>
        <v>19.092803030303028</v>
      </c>
      <c r="AA147" s="71">
        <f t="shared" si="125"/>
        <v>18.668287955190625</v>
      </c>
      <c r="AB147" s="71">
        <v>0</v>
      </c>
      <c r="AC147" s="71">
        <f t="shared" si="103"/>
        <v>1.498571393265036</v>
      </c>
      <c r="AD147" s="74">
        <f t="shared" si="114"/>
        <v>1.498571393265036</v>
      </c>
      <c r="AE147" s="73">
        <f t="shared" si="123"/>
        <v>16.799999999999997</v>
      </c>
      <c r="AF147" s="71">
        <f t="shared" si="115"/>
        <v>17.710292986286927</v>
      </c>
      <c r="AG147" s="71">
        <f t="shared" si="104"/>
        <v>2.7601594034090908</v>
      </c>
      <c r="AH147" s="71">
        <f t="shared" si="105"/>
        <v>3.8527618364418941</v>
      </c>
      <c r="AI147" s="74">
        <f t="shared" si="116"/>
        <v>6.6129212398509853</v>
      </c>
      <c r="AJ147" s="73">
        <f t="shared" si="117"/>
        <v>1.866666666666666</v>
      </c>
      <c r="AK147" s="71">
        <f t="shared" si="106"/>
        <v>5.9034309954289741</v>
      </c>
      <c r="AL147" s="71">
        <f t="shared" si="107"/>
        <v>0.30668437815656552</v>
      </c>
      <c r="AM147" s="71">
        <f t="shared" si="118"/>
        <v>0.42468800000000007</v>
      </c>
      <c r="AN147" s="188">
        <f t="shared" si="108"/>
        <v>0.13441333333333333</v>
      </c>
      <c r="AO147" s="74">
        <f t="shared" si="119"/>
        <v>0.8657857114898988</v>
      </c>
      <c r="AP147" s="73">
        <f t="shared" si="109"/>
        <v>0.69700995035583069</v>
      </c>
      <c r="AQ147" s="206">
        <f t="shared" si="110"/>
        <v>1.498571393265036</v>
      </c>
      <c r="AR147" s="206">
        <f t="shared" si="111"/>
        <v>1.6586782538474829E-2</v>
      </c>
      <c r="AS147" s="71">
        <f t="shared" si="112"/>
        <v>3.9600000000000003E-2</v>
      </c>
      <c r="AT147" s="74">
        <f t="shared" si="113"/>
        <v>1.6499999999999998E-5</v>
      </c>
      <c r="AU147" s="73">
        <f t="shared" si="120"/>
        <v>11.229062970765263</v>
      </c>
      <c r="AV147" s="71">
        <f t="shared" si="121"/>
        <v>93.333333333333329</v>
      </c>
      <c r="AW147" s="74">
        <f t="shared" si="122"/>
        <v>89.260897447197166</v>
      </c>
    </row>
    <row r="148" spans="17:49" x14ac:dyDescent="0.35">
      <c r="Q148">
        <v>141</v>
      </c>
      <c r="R148" s="73">
        <f t="shared" si="96"/>
        <v>50</v>
      </c>
      <c r="S148" s="71">
        <f t="shared" si="97"/>
        <v>1.8800000000000001</v>
      </c>
      <c r="T148" s="71">
        <f t="shared" si="98"/>
        <v>5</v>
      </c>
      <c r="U148" s="74">
        <f t="shared" si="99"/>
        <v>18.8</v>
      </c>
      <c r="V148" s="73">
        <f>IF(Variable_Management!$B$20=3,2,IF((S148*R148/T148)&lt;((T148*(1-(T148/R148)))/(2*Lm*Fsw)),1,2))</f>
        <v>2</v>
      </c>
      <c r="W148" s="71">
        <f t="shared" si="100"/>
        <v>0.9</v>
      </c>
      <c r="X148" s="74">
        <f t="shared" si="101"/>
        <v>9.9999999999999978E-2</v>
      </c>
      <c r="Y148" s="73">
        <f t="shared" si="102"/>
        <v>0.85227272727272718</v>
      </c>
      <c r="Z148" s="71">
        <f t="shared" si="124"/>
        <v>19.226136363636364</v>
      </c>
      <c r="AA148" s="71">
        <f t="shared" si="125"/>
        <v>18.80160979101181</v>
      </c>
      <c r="AB148" s="71">
        <v>0</v>
      </c>
      <c r="AC148" s="71">
        <f t="shared" si="103"/>
        <v>1.5200522821539262</v>
      </c>
      <c r="AD148" s="74">
        <f t="shared" si="114"/>
        <v>1.5200522821539262</v>
      </c>
      <c r="AE148" s="73">
        <f t="shared" si="123"/>
        <v>16.920000000000002</v>
      </c>
      <c r="AF148" s="71">
        <f t="shared" si="115"/>
        <v>17.836773185195913</v>
      </c>
      <c r="AG148" s="71">
        <f t="shared" si="104"/>
        <v>2.7997242034090908</v>
      </c>
      <c r="AH148" s="71">
        <f t="shared" si="105"/>
        <v>3.8802815638450507</v>
      </c>
      <c r="AI148" s="74">
        <f t="shared" si="116"/>
        <v>6.6800057672541415</v>
      </c>
      <c r="AJ148" s="73">
        <f t="shared" si="117"/>
        <v>1.8799999999999997</v>
      </c>
      <c r="AK148" s="71">
        <f t="shared" si="106"/>
        <v>5.9455910617319701</v>
      </c>
      <c r="AL148" s="71">
        <f t="shared" si="107"/>
        <v>0.3110804670454545</v>
      </c>
      <c r="AM148" s="71">
        <f t="shared" si="118"/>
        <v>0.42468800000000007</v>
      </c>
      <c r="AN148" s="188">
        <f t="shared" si="108"/>
        <v>0.135352</v>
      </c>
      <c r="AO148" s="74">
        <f t="shared" si="119"/>
        <v>0.87112046704545454</v>
      </c>
      <c r="AP148" s="73">
        <f t="shared" si="109"/>
        <v>0.70700106146694242</v>
      </c>
      <c r="AQ148" s="206">
        <f t="shared" si="110"/>
        <v>1.5200522821539262</v>
      </c>
      <c r="AR148" s="206">
        <f t="shared" si="111"/>
        <v>1.6586782538474829E-2</v>
      </c>
      <c r="AS148" s="71">
        <f t="shared" si="112"/>
        <v>3.9600000000000003E-2</v>
      </c>
      <c r="AT148" s="74">
        <f t="shared" si="113"/>
        <v>1.6499999999999998E-5</v>
      </c>
      <c r="AU148" s="73">
        <f t="shared" si="120"/>
        <v>11.354435142612866</v>
      </c>
      <c r="AV148" s="71">
        <f t="shared" si="121"/>
        <v>94</v>
      </c>
      <c r="AW148" s="74">
        <f t="shared" si="122"/>
        <v>89.222632035145978</v>
      </c>
    </row>
    <row r="149" spans="17:49" x14ac:dyDescent="0.35">
      <c r="Q149">
        <v>142</v>
      </c>
      <c r="R149" s="73">
        <f t="shared" si="96"/>
        <v>50</v>
      </c>
      <c r="S149" s="71">
        <f t="shared" si="97"/>
        <v>1.8933333333333335</v>
      </c>
      <c r="T149" s="71">
        <f t="shared" si="98"/>
        <v>5</v>
      </c>
      <c r="U149" s="74">
        <f t="shared" si="99"/>
        <v>18.933333333333334</v>
      </c>
      <c r="V149" s="73">
        <f>IF(Variable_Management!$B$20=3,2,IF((S149*R149/T149)&lt;((T149*(1-(T149/R149)))/(2*Lm*Fsw)),1,2))</f>
        <v>2</v>
      </c>
      <c r="W149" s="71">
        <f t="shared" si="100"/>
        <v>0.9</v>
      </c>
      <c r="X149" s="74">
        <f t="shared" si="101"/>
        <v>9.9999999999999978E-2</v>
      </c>
      <c r="Y149" s="73">
        <f t="shared" si="102"/>
        <v>0.85227272727272718</v>
      </c>
      <c r="Z149" s="71">
        <f t="shared" si="124"/>
        <v>19.359469696969697</v>
      </c>
      <c r="AA149" s="71">
        <f t="shared" si="125"/>
        <v>18.934931788749125</v>
      </c>
      <c r="AB149" s="71">
        <v>0</v>
      </c>
      <c r="AC149" s="71">
        <f t="shared" si="103"/>
        <v>1.5416860599317033</v>
      </c>
      <c r="AD149" s="74">
        <f t="shared" si="114"/>
        <v>1.5416860599317033</v>
      </c>
      <c r="AE149" s="73">
        <f t="shared" si="123"/>
        <v>17.04</v>
      </c>
      <c r="AF149" s="71">
        <f t="shared" si="115"/>
        <v>17.963253537712035</v>
      </c>
      <c r="AG149" s="71">
        <f t="shared" si="104"/>
        <v>2.8395706034090908</v>
      </c>
      <c r="AH149" s="71">
        <f t="shared" si="105"/>
        <v>3.907801291248207</v>
      </c>
      <c r="AI149" s="74">
        <f t="shared" si="116"/>
        <v>6.7473718946572978</v>
      </c>
      <c r="AJ149" s="73">
        <f t="shared" si="117"/>
        <v>1.8933333333333329</v>
      </c>
      <c r="AK149" s="71">
        <f t="shared" si="106"/>
        <v>5.9877511792373443</v>
      </c>
      <c r="AL149" s="71">
        <f t="shared" si="107"/>
        <v>0.31550784482323224</v>
      </c>
      <c r="AM149" s="71">
        <f t="shared" si="118"/>
        <v>0.42468800000000007</v>
      </c>
      <c r="AN149" s="188">
        <f t="shared" si="108"/>
        <v>0.13629066666666667</v>
      </c>
      <c r="AO149" s="74">
        <f t="shared" si="119"/>
        <v>0.87648651148989898</v>
      </c>
      <c r="AP149" s="73">
        <f t="shared" si="109"/>
        <v>0.71706328368916439</v>
      </c>
      <c r="AQ149" s="206">
        <f t="shared" si="110"/>
        <v>1.5416860599317033</v>
      </c>
      <c r="AR149" s="206">
        <f t="shared" si="111"/>
        <v>1.6586782538474829E-2</v>
      </c>
      <c r="AS149" s="71">
        <f t="shared" si="112"/>
        <v>3.9600000000000003E-2</v>
      </c>
      <c r="AT149" s="74">
        <f t="shared" si="113"/>
        <v>1.6499999999999998E-5</v>
      </c>
      <c r="AU149" s="73">
        <f t="shared" si="120"/>
        <v>11.48049709223824</v>
      </c>
      <c r="AV149" s="71">
        <f t="shared" si="121"/>
        <v>94.666666666666671</v>
      </c>
      <c r="AW149" s="74">
        <f t="shared" si="122"/>
        <v>89.184358125371844</v>
      </c>
    </row>
    <row r="150" spans="17:49" x14ac:dyDescent="0.35">
      <c r="Q150">
        <v>143</v>
      </c>
      <c r="R150" s="73">
        <f t="shared" si="96"/>
        <v>50</v>
      </c>
      <c r="S150" s="71">
        <f t="shared" si="97"/>
        <v>1.9066666666666667</v>
      </c>
      <c r="T150" s="71">
        <f t="shared" si="98"/>
        <v>5</v>
      </c>
      <c r="U150" s="74">
        <f t="shared" si="99"/>
        <v>19.06666666666667</v>
      </c>
      <c r="V150" s="73">
        <f>IF(Variable_Management!$B$20=3,2,IF((S150*R150/T150)&lt;((T150*(1-(T150/R150)))/(2*Lm*Fsw)),1,2))</f>
        <v>2</v>
      </c>
      <c r="W150" s="71">
        <f t="shared" si="100"/>
        <v>0.9</v>
      </c>
      <c r="X150" s="74">
        <f t="shared" si="101"/>
        <v>9.9999999999999978E-2</v>
      </c>
      <c r="Y150" s="73">
        <f t="shared" si="102"/>
        <v>0.85227272727272718</v>
      </c>
      <c r="Z150" s="71">
        <f t="shared" si="124"/>
        <v>19.492803030303033</v>
      </c>
      <c r="AA150" s="71">
        <f t="shared" si="125"/>
        <v>19.068253945006315</v>
      </c>
      <c r="AB150" s="71">
        <v>0</v>
      </c>
      <c r="AC150" s="71">
        <f t="shared" si="103"/>
        <v>1.5634727265983701</v>
      </c>
      <c r="AD150" s="74">
        <f t="shared" si="114"/>
        <v>1.5634727265983701</v>
      </c>
      <c r="AE150" s="73">
        <f t="shared" si="123"/>
        <v>17.160000000000004</v>
      </c>
      <c r="AF150" s="71">
        <f t="shared" si="115"/>
        <v>18.089734040613312</v>
      </c>
      <c r="AG150" s="71">
        <f t="shared" si="104"/>
        <v>2.8796986034090915</v>
      </c>
      <c r="AH150" s="71">
        <f t="shared" si="105"/>
        <v>3.9353210186513641</v>
      </c>
      <c r="AI150" s="74">
        <f t="shared" si="116"/>
        <v>6.815019622060456</v>
      </c>
      <c r="AJ150" s="73">
        <f t="shared" si="117"/>
        <v>1.9066666666666665</v>
      </c>
      <c r="AK150" s="71">
        <f t="shared" si="106"/>
        <v>6.0299113468711036</v>
      </c>
      <c r="AL150" s="71">
        <f t="shared" si="107"/>
        <v>0.31996651148989907</v>
      </c>
      <c r="AM150" s="71">
        <f t="shared" si="118"/>
        <v>0.42468800000000007</v>
      </c>
      <c r="AN150" s="188">
        <f t="shared" si="108"/>
        <v>0.13722933333333337</v>
      </c>
      <c r="AO150" s="74">
        <f t="shared" si="119"/>
        <v>0.88188384482323245</v>
      </c>
      <c r="AP150" s="73">
        <f t="shared" si="109"/>
        <v>0.72719661702249783</v>
      </c>
      <c r="AQ150" s="206">
        <f t="shared" si="110"/>
        <v>1.5634727265983701</v>
      </c>
      <c r="AR150" s="206">
        <f t="shared" si="111"/>
        <v>1.6586782538474829E-2</v>
      </c>
      <c r="AS150" s="71">
        <f t="shared" si="112"/>
        <v>3.9600000000000003E-2</v>
      </c>
      <c r="AT150" s="74">
        <f t="shared" si="113"/>
        <v>1.6499999999999998E-5</v>
      </c>
      <c r="AU150" s="73">
        <f t="shared" si="120"/>
        <v>11.6072488196414</v>
      </c>
      <c r="AV150" s="71">
        <f t="shared" si="121"/>
        <v>95.333333333333343</v>
      </c>
      <c r="AW150" s="74">
        <f t="shared" si="122"/>
        <v>89.14607664746238</v>
      </c>
    </row>
    <row r="151" spans="17:49" x14ac:dyDescent="0.35">
      <c r="Q151">
        <v>144</v>
      </c>
      <c r="R151" s="73">
        <f t="shared" si="96"/>
        <v>50</v>
      </c>
      <c r="S151" s="71">
        <f t="shared" si="97"/>
        <v>1.9200000000000002</v>
      </c>
      <c r="T151" s="71">
        <f t="shared" si="98"/>
        <v>5</v>
      </c>
      <c r="U151" s="74">
        <f t="shared" si="99"/>
        <v>19.200000000000003</v>
      </c>
      <c r="V151" s="73">
        <f>IF(Variable_Management!$B$20=3,2,IF((S151*R151/T151)&lt;((T151*(1-(T151/R151)))/(2*Lm*Fsw)),1,2))</f>
        <v>2</v>
      </c>
      <c r="W151" s="71">
        <f t="shared" si="100"/>
        <v>0.9</v>
      </c>
      <c r="X151" s="74">
        <f t="shared" si="101"/>
        <v>9.9999999999999978E-2</v>
      </c>
      <c r="Y151" s="73">
        <f t="shared" si="102"/>
        <v>0.85227272727272718</v>
      </c>
      <c r="Z151" s="71">
        <f t="shared" si="124"/>
        <v>19.626136363636366</v>
      </c>
      <c r="AA151" s="71">
        <f t="shared" si="125"/>
        <v>19.201576256481424</v>
      </c>
      <c r="AB151" s="71">
        <v>0</v>
      </c>
      <c r="AC151" s="71">
        <f t="shared" si="103"/>
        <v>1.585412282153926</v>
      </c>
      <c r="AD151" s="74">
        <f t="shared" si="114"/>
        <v>1.585412282153926</v>
      </c>
      <c r="AE151" s="73">
        <f t="shared" si="123"/>
        <v>17.280000000000005</v>
      </c>
      <c r="AF151" s="71">
        <f t="shared" si="115"/>
        <v>18.216214690767234</v>
      </c>
      <c r="AG151" s="71">
        <f t="shared" si="104"/>
        <v>2.9201082034090917</v>
      </c>
      <c r="AH151" s="71">
        <f t="shared" si="105"/>
        <v>3.9628407460545203</v>
      </c>
      <c r="AI151" s="74">
        <f t="shared" si="116"/>
        <v>6.8829489494636125</v>
      </c>
      <c r="AJ151" s="73">
        <f t="shared" si="117"/>
        <v>1.92</v>
      </c>
      <c r="AK151" s="71">
        <f t="shared" si="106"/>
        <v>6.0720715635890778</v>
      </c>
      <c r="AL151" s="71">
        <f t="shared" si="107"/>
        <v>0.32445646704545456</v>
      </c>
      <c r="AM151" s="71">
        <f t="shared" si="118"/>
        <v>0.42468800000000007</v>
      </c>
      <c r="AN151" s="188">
        <f t="shared" si="108"/>
        <v>0.13816800000000001</v>
      </c>
      <c r="AO151" s="74">
        <f t="shared" si="119"/>
        <v>0.88731246704545463</v>
      </c>
      <c r="AP151" s="73">
        <f t="shared" si="109"/>
        <v>0.7374010614669424</v>
      </c>
      <c r="AQ151" s="206">
        <f t="shared" si="110"/>
        <v>1.585412282153926</v>
      </c>
      <c r="AR151" s="206">
        <f t="shared" si="111"/>
        <v>1.6586782538474829E-2</v>
      </c>
      <c r="AS151" s="71">
        <f t="shared" si="112"/>
        <v>3.9600000000000003E-2</v>
      </c>
      <c r="AT151" s="74">
        <f t="shared" si="113"/>
        <v>1.6499999999999998E-5</v>
      </c>
      <c r="AU151" s="73">
        <f t="shared" si="120"/>
        <v>11.734690324822337</v>
      </c>
      <c r="AV151" s="71">
        <f t="shared" si="121"/>
        <v>96.000000000000014</v>
      </c>
      <c r="AW151" s="74">
        <f t="shared" si="122"/>
        <v>89.107788503923842</v>
      </c>
    </row>
    <row r="152" spans="17:49" x14ac:dyDescent="0.35">
      <c r="Q152">
        <v>145</v>
      </c>
      <c r="R152" s="73">
        <f t="shared" si="96"/>
        <v>50</v>
      </c>
      <c r="S152" s="71">
        <f t="shared" si="97"/>
        <v>1.9333333333333333</v>
      </c>
      <c r="T152" s="71">
        <f t="shared" si="98"/>
        <v>5</v>
      </c>
      <c r="U152" s="74">
        <f t="shared" si="99"/>
        <v>19.333333333333336</v>
      </c>
      <c r="V152" s="73">
        <f>IF(Variable_Management!$B$20=3,2,IF((S152*R152/T152)&lt;((T152*(1-(T152/R152)))/(2*Lm*Fsw)),1,2))</f>
        <v>2</v>
      </c>
      <c r="W152" s="71">
        <f t="shared" si="100"/>
        <v>0.9</v>
      </c>
      <c r="X152" s="74">
        <f t="shared" si="101"/>
        <v>9.9999999999999978E-2</v>
      </c>
      <c r="Y152" s="73">
        <f t="shared" si="102"/>
        <v>0.85227272727272718</v>
      </c>
      <c r="Z152" s="71">
        <f t="shared" si="124"/>
        <v>19.759469696969699</v>
      </c>
      <c r="AA152" s="71">
        <f t="shared" si="125"/>
        <v>19.334898719963572</v>
      </c>
      <c r="AB152" s="71">
        <v>0</v>
      </c>
      <c r="AC152" s="71">
        <f t="shared" si="103"/>
        <v>1.6075047265983708</v>
      </c>
      <c r="AD152" s="74">
        <f t="shared" si="114"/>
        <v>1.6075047265983708</v>
      </c>
      <c r="AE152" s="73">
        <f t="shared" si="123"/>
        <v>17.400000000000002</v>
      </c>
      <c r="AF152" s="71">
        <f t="shared" si="115"/>
        <v>18.342695485127699</v>
      </c>
      <c r="AG152" s="71">
        <f t="shared" si="104"/>
        <v>2.9607994034090916</v>
      </c>
      <c r="AH152" s="71">
        <f t="shared" si="105"/>
        <v>3.9903604734576765</v>
      </c>
      <c r="AI152" s="74">
        <f t="shared" si="116"/>
        <v>6.9511598768667682</v>
      </c>
      <c r="AJ152" s="73">
        <f t="shared" si="117"/>
        <v>1.9333333333333331</v>
      </c>
      <c r="AK152" s="71">
        <f t="shared" si="106"/>
        <v>6.1142318283758987</v>
      </c>
      <c r="AL152" s="71">
        <f t="shared" si="107"/>
        <v>0.32897771148989902</v>
      </c>
      <c r="AM152" s="71">
        <f t="shared" si="118"/>
        <v>0.42468800000000007</v>
      </c>
      <c r="AN152" s="188">
        <f t="shared" si="108"/>
        <v>0.13910666666666668</v>
      </c>
      <c r="AO152" s="74">
        <f t="shared" si="119"/>
        <v>0.89277237815656574</v>
      </c>
      <c r="AP152" s="73">
        <f t="shared" si="109"/>
        <v>0.74767661702249799</v>
      </c>
      <c r="AQ152" s="206">
        <f t="shared" si="110"/>
        <v>1.6075047265983708</v>
      </c>
      <c r="AR152" s="206">
        <f t="shared" si="111"/>
        <v>1.6586782538474829E-2</v>
      </c>
      <c r="AS152" s="71">
        <f t="shared" si="112"/>
        <v>3.9600000000000003E-2</v>
      </c>
      <c r="AT152" s="74">
        <f t="shared" si="113"/>
        <v>1.6499999999999998E-5</v>
      </c>
      <c r="AU152" s="73">
        <f t="shared" si="120"/>
        <v>11.862821607781049</v>
      </c>
      <c r="AV152" s="71">
        <f t="shared" si="121"/>
        <v>96.666666666666671</v>
      </c>
      <c r="AW152" s="74">
        <f t="shared" si="122"/>
        <v>89.06949457111368</v>
      </c>
    </row>
    <row r="153" spans="17:49" x14ac:dyDescent="0.35">
      <c r="Q153">
        <v>146</v>
      </c>
      <c r="R153" s="73">
        <f t="shared" si="96"/>
        <v>50</v>
      </c>
      <c r="S153" s="71">
        <f t="shared" si="97"/>
        <v>1.9466666666666668</v>
      </c>
      <c r="T153" s="71">
        <f t="shared" si="98"/>
        <v>5</v>
      </c>
      <c r="U153" s="74">
        <f t="shared" si="99"/>
        <v>19.466666666666669</v>
      </c>
      <c r="V153" s="73">
        <f>IF(Variable_Management!$B$20=3,2,IF((S153*R153/T153)&lt;((T153*(1-(T153/R153)))/(2*Lm*Fsw)),1,2))</f>
        <v>2</v>
      </c>
      <c r="W153" s="71">
        <f t="shared" si="100"/>
        <v>0.9</v>
      </c>
      <c r="X153" s="74">
        <f t="shared" si="101"/>
        <v>9.9999999999999978E-2</v>
      </c>
      <c r="Y153" s="73">
        <f t="shared" si="102"/>
        <v>0.85227272727272718</v>
      </c>
      <c r="Z153" s="71">
        <f t="shared" si="124"/>
        <v>19.892803030303032</v>
      </c>
      <c r="AA153" s="71">
        <f t="shared" si="125"/>
        <v>19.468221332329829</v>
      </c>
      <c r="AB153" s="71">
        <v>0</v>
      </c>
      <c r="AC153" s="71">
        <f t="shared" si="103"/>
        <v>1.6297500599317036</v>
      </c>
      <c r="AD153" s="74">
        <f t="shared" si="114"/>
        <v>1.6297500599317036</v>
      </c>
      <c r="AE153" s="73">
        <f t="shared" si="123"/>
        <v>17.520000000000003</v>
      </c>
      <c r="AF153" s="71">
        <f t="shared" si="115"/>
        <v>18.46917642073203</v>
      </c>
      <c r="AG153" s="71">
        <f t="shared" si="104"/>
        <v>3.0017722034090912</v>
      </c>
      <c r="AH153" s="71">
        <f t="shared" si="105"/>
        <v>4.0178802008608336</v>
      </c>
      <c r="AI153" s="74">
        <f t="shared" si="116"/>
        <v>7.0196524042699249</v>
      </c>
      <c r="AJ153" s="73">
        <f t="shared" si="117"/>
        <v>1.9466666666666663</v>
      </c>
      <c r="AK153" s="71">
        <f t="shared" si="106"/>
        <v>6.1563921402440096</v>
      </c>
      <c r="AL153" s="71">
        <f t="shared" si="107"/>
        <v>0.33353024482323235</v>
      </c>
      <c r="AM153" s="71">
        <f t="shared" si="118"/>
        <v>0.42468800000000007</v>
      </c>
      <c r="AN153" s="188">
        <f t="shared" si="108"/>
        <v>0.14004533333333335</v>
      </c>
      <c r="AO153" s="74">
        <f t="shared" si="119"/>
        <v>0.89826357815656577</v>
      </c>
      <c r="AP153" s="73">
        <f t="shared" si="109"/>
        <v>0.7580232836891645</v>
      </c>
      <c r="AQ153" s="206">
        <f t="shared" si="110"/>
        <v>1.6297500599317036</v>
      </c>
      <c r="AR153" s="206">
        <f t="shared" si="111"/>
        <v>1.6586782538474829E-2</v>
      </c>
      <c r="AS153" s="71">
        <f t="shared" si="112"/>
        <v>3.9600000000000003E-2</v>
      </c>
      <c r="AT153" s="74">
        <f t="shared" si="113"/>
        <v>1.6499999999999998E-5</v>
      </c>
      <c r="AU153" s="73">
        <f t="shared" si="120"/>
        <v>11.991642668517537</v>
      </c>
      <c r="AV153" s="71">
        <f t="shared" si="121"/>
        <v>97.333333333333343</v>
      </c>
      <c r="AW153" s="74">
        <f t="shared" si="122"/>
        <v>89.031195700134873</v>
      </c>
    </row>
    <row r="154" spans="17:49" x14ac:dyDescent="0.35">
      <c r="Q154">
        <v>147</v>
      </c>
      <c r="R154" s="73">
        <f t="shared" si="96"/>
        <v>50</v>
      </c>
      <c r="S154" s="71">
        <f t="shared" si="97"/>
        <v>1.9600000000000002</v>
      </c>
      <c r="T154" s="71">
        <f t="shared" si="98"/>
        <v>5</v>
      </c>
      <c r="U154" s="74">
        <f t="shared" si="99"/>
        <v>19.600000000000001</v>
      </c>
      <c r="V154" s="73">
        <f>IF(Variable_Management!$B$20=3,2,IF((S154*R154/T154)&lt;((T154*(1-(T154/R154)))/(2*Lm*Fsw)),1,2))</f>
        <v>2</v>
      </c>
      <c r="W154" s="71">
        <f t="shared" si="100"/>
        <v>0.9</v>
      </c>
      <c r="X154" s="74">
        <f t="shared" si="101"/>
        <v>9.9999999999999978E-2</v>
      </c>
      <c r="Y154" s="73">
        <f t="shared" si="102"/>
        <v>0.85227272727272718</v>
      </c>
      <c r="Z154" s="71">
        <f t="shared" si="124"/>
        <v>20.026136363636365</v>
      </c>
      <c r="AA154" s="71">
        <f t="shared" si="125"/>
        <v>19.601544090542234</v>
      </c>
      <c r="AB154" s="71">
        <v>0</v>
      </c>
      <c r="AC154" s="71">
        <f t="shared" si="103"/>
        <v>1.652148282153926</v>
      </c>
      <c r="AD154" s="74">
        <f t="shared" si="114"/>
        <v>1.652148282153926</v>
      </c>
      <c r="AE154" s="73">
        <f t="shared" si="123"/>
        <v>17.64</v>
      </c>
      <c r="AF154" s="71">
        <f t="shared" si="115"/>
        <v>18.595657494698163</v>
      </c>
      <c r="AG154" s="71">
        <f t="shared" si="104"/>
        <v>3.0430266034090905</v>
      </c>
      <c r="AH154" s="71">
        <f t="shared" si="105"/>
        <v>4.0453999282639899</v>
      </c>
      <c r="AI154" s="74">
        <f t="shared" si="116"/>
        <v>7.0884265316730808</v>
      </c>
      <c r="AJ154" s="73">
        <f t="shared" si="117"/>
        <v>1.9599999999999997</v>
      </c>
      <c r="AK154" s="71">
        <f t="shared" si="106"/>
        <v>6.1985524982327203</v>
      </c>
      <c r="AL154" s="71">
        <f t="shared" si="107"/>
        <v>0.33811406704545449</v>
      </c>
      <c r="AM154" s="71">
        <f t="shared" si="118"/>
        <v>0.42468800000000007</v>
      </c>
      <c r="AN154" s="188">
        <f t="shared" si="108"/>
        <v>0.14098400000000003</v>
      </c>
      <c r="AO154" s="74">
        <f t="shared" si="119"/>
        <v>0.9037860670454545</v>
      </c>
      <c r="AP154" s="73">
        <f t="shared" si="109"/>
        <v>0.76844106146694235</v>
      </c>
      <c r="AQ154" s="206">
        <f t="shared" si="110"/>
        <v>1.652148282153926</v>
      </c>
      <c r="AR154" s="206">
        <f t="shared" si="111"/>
        <v>1.6586782538474829E-2</v>
      </c>
      <c r="AS154" s="71">
        <f t="shared" si="112"/>
        <v>3.9600000000000003E-2</v>
      </c>
      <c r="AT154" s="74">
        <f t="shared" si="113"/>
        <v>1.6499999999999998E-5</v>
      </c>
      <c r="AU154" s="73">
        <f t="shared" si="120"/>
        <v>12.121153507031803</v>
      </c>
      <c r="AV154" s="71">
        <f t="shared" si="121"/>
        <v>98.000000000000014</v>
      </c>
      <c r="AW154" s="74">
        <f t="shared" si="122"/>
        <v>88.992892717694062</v>
      </c>
    </row>
    <row r="155" spans="17:49" x14ac:dyDescent="0.35">
      <c r="Q155">
        <v>148</v>
      </c>
      <c r="R155" s="73">
        <f t="shared" si="96"/>
        <v>50</v>
      </c>
      <c r="S155" s="71">
        <f t="shared" si="97"/>
        <v>1.9733333333333334</v>
      </c>
      <c r="T155" s="71">
        <f t="shared" si="98"/>
        <v>5</v>
      </c>
      <c r="U155" s="74">
        <f t="shared" si="99"/>
        <v>19.733333333333334</v>
      </c>
      <c r="V155" s="73">
        <f>IF(Variable_Management!$B$20=3,2,IF((S155*R155/T155)&lt;((T155*(1-(T155/R155)))/(2*Lm*Fsw)),1,2))</f>
        <v>2</v>
      </c>
      <c r="W155" s="71">
        <f t="shared" si="100"/>
        <v>0.9</v>
      </c>
      <c r="X155" s="74">
        <f t="shared" si="101"/>
        <v>9.9999999999999978E-2</v>
      </c>
      <c r="Y155" s="73">
        <f t="shared" si="102"/>
        <v>0.85227272727272718</v>
      </c>
      <c r="Z155" s="71">
        <f t="shared" si="124"/>
        <v>20.159469696969698</v>
      </c>
      <c r="AA155" s="71">
        <f t="shared" si="125"/>
        <v>19.734866991644903</v>
      </c>
      <c r="AB155" s="71">
        <v>0</v>
      </c>
      <c r="AC155" s="71">
        <f t="shared" si="103"/>
        <v>1.6746993932650369</v>
      </c>
      <c r="AD155" s="74">
        <f t="shared" si="114"/>
        <v>1.6746993932650369</v>
      </c>
      <c r="AE155" s="73">
        <f t="shared" si="123"/>
        <v>17.760000000000002</v>
      </c>
      <c r="AF155" s="71">
        <f t="shared" si="115"/>
        <v>18.722138704221909</v>
      </c>
      <c r="AG155" s="71">
        <f t="shared" si="104"/>
        <v>3.0845626034090916</v>
      </c>
      <c r="AH155" s="71">
        <f t="shared" si="105"/>
        <v>4.0729196556671461</v>
      </c>
      <c r="AI155" s="74">
        <f t="shared" si="116"/>
        <v>7.1574822590762377</v>
      </c>
      <c r="AJ155" s="73">
        <f t="shared" si="117"/>
        <v>1.9733333333333329</v>
      </c>
      <c r="AK155" s="71">
        <f t="shared" si="106"/>
        <v>6.2407129014073019</v>
      </c>
      <c r="AL155" s="71">
        <f t="shared" si="107"/>
        <v>0.34272917815656562</v>
      </c>
      <c r="AM155" s="71">
        <f t="shared" si="118"/>
        <v>0.42468800000000007</v>
      </c>
      <c r="AN155" s="188">
        <f t="shared" si="108"/>
        <v>0.14192266666666667</v>
      </c>
      <c r="AO155" s="74">
        <f t="shared" si="119"/>
        <v>0.90933984482323238</v>
      </c>
      <c r="AP155" s="73">
        <f t="shared" si="109"/>
        <v>0.77892995035583112</v>
      </c>
      <c r="AQ155" s="206">
        <f t="shared" si="110"/>
        <v>1.6746993932650369</v>
      </c>
      <c r="AR155" s="206">
        <f t="shared" si="111"/>
        <v>1.6586782538474829E-2</v>
      </c>
      <c r="AS155" s="71">
        <f t="shared" si="112"/>
        <v>3.9600000000000003E-2</v>
      </c>
      <c r="AT155" s="74">
        <f t="shared" si="113"/>
        <v>1.6499999999999998E-5</v>
      </c>
      <c r="AU155" s="73">
        <f t="shared" si="120"/>
        <v>12.25135412332385</v>
      </c>
      <c r="AV155" s="71">
        <f t="shared" si="121"/>
        <v>98.666666666666671</v>
      </c>
      <c r="AW155" s="74">
        <f t="shared" si="122"/>
        <v>88.954586426924919</v>
      </c>
    </row>
    <row r="156" spans="17:49" x14ac:dyDescent="0.35">
      <c r="Q156">
        <v>149</v>
      </c>
      <c r="R156" s="73">
        <f t="shared" si="96"/>
        <v>50</v>
      </c>
      <c r="S156" s="71">
        <f t="shared" si="97"/>
        <v>1.9866666666666668</v>
      </c>
      <c r="T156" s="71">
        <f t="shared" si="98"/>
        <v>5</v>
      </c>
      <c r="U156" s="74">
        <f t="shared" si="99"/>
        <v>19.866666666666667</v>
      </c>
      <c r="V156" s="73">
        <f>IF(Variable_Management!$B$20=3,2,IF((S156*R156/T156)&lt;((T156*(1-(T156/R156)))/(2*Lm*Fsw)),1,2))</f>
        <v>2</v>
      </c>
      <c r="W156" s="71">
        <f t="shared" si="100"/>
        <v>0.9</v>
      </c>
      <c r="X156" s="74">
        <f t="shared" si="101"/>
        <v>9.9999999999999978E-2</v>
      </c>
      <c r="Y156" s="73">
        <f t="shared" si="102"/>
        <v>0.85227272727272718</v>
      </c>
      <c r="Z156" s="71">
        <f t="shared" si="124"/>
        <v>20.29280303030303</v>
      </c>
      <c r="AA156" s="71">
        <f t="shared" si="125"/>
        <v>19.868190032761301</v>
      </c>
      <c r="AB156" s="71">
        <v>0</v>
      </c>
      <c r="AC156" s="71">
        <f t="shared" si="103"/>
        <v>1.6974033932650368</v>
      </c>
      <c r="AD156" s="74">
        <f t="shared" si="114"/>
        <v>1.6974033932650368</v>
      </c>
      <c r="AE156" s="73">
        <f t="shared" si="123"/>
        <v>17.880000000000003</v>
      </c>
      <c r="AF156" s="71">
        <f t="shared" si="115"/>
        <v>18.848620046574339</v>
      </c>
      <c r="AG156" s="71">
        <f t="shared" si="104"/>
        <v>3.126380203409092</v>
      </c>
      <c r="AH156" s="71">
        <f t="shared" si="105"/>
        <v>4.1004393830703023</v>
      </c>
      <c r="AI156" s="74">
        <f t="shared" si="116"/>
        <v>7.2268195864793938</v>
      </c>
      <c r="AJ156" s="73">
        <f t="shared" si="117"/>
        <v>1.9866666666666664</v>
      </c>
      <c r="AK156" s="71">
        <f t="shared" si="106"/>
        <v>6.2828733488581117</v>
      </c>
      <c r="AL156" s="71">
        <f t="shared" si="107"/>
        <v>0.34737557815656556</v>
      </c>
      <c r="AM156" s="71">
        <f t="shared" si="118"/>
        <v>0.42468800000000007</v>
      </c>
      <c r="AN156" s="188">
        <f t="shared" si="108"/>
        <v>0.14286133333333334</v>
      </c>
      <c r="AO156" s="74">
        <f t="shared" si="119"/>
        <v>0.91492491148989896</v>
      </c>
      <c r="AP156" s="73">
        <f t="shared" si="109"/>
        <v>0.78948995035583114</v>
      </c>
      <c r="AQ156" s="206">
        <f t="shared" si="110"/>
        <v>1.6974033932650368</v>
      </c>
      <c r="AR156" s="206">
        <f t="shared" si="111"/>
        <v>1.6586782538474829E-2</v>
      </c>
      <c r="AS156" s="71">
        <f t="shared" si="112"/>
        <v>3.9600000000000003E-2</v>
      </c>
      <c r="AT156" s="74">
        <f t="shared" si="113"/>
        <v>1.6499999999999998E-5</v>
      </c>
      <c r="AU156" s="73">
        <f t="shared" si="120"/>
        <v>12.382244517393671</v>
      </c>
      <c r="AV156" s="71">
        <f t="shared" si="121"/>
        <v>99.333333333333343</v>
      </c>
      <c r="AW156" s="74">
        <f t="shared" si="122"/>
        <v>88.916277608178618</v>
      </c>
    </row>
    <row r="157" spans="17:49" ht="15" thickBot="1" x14ac:dyDescent="0.4">
      <c r="Q157">
        <v>150</v>
      </c>
      <c r="R157" s="75">
        <f t="shared" si="96"/>
        <v>50</v>
      </c>
      <c r="S157" s="76">
        <f t="shared" si="97"/>
        <v>2</v>
      </c>
      <c r="T157" s="76">
        <f t="shared" si="98"/>
        <v>5</v>
      </c>
      <c r="U157" s="77">
        <f t="shared" si="99"/>
        <v>20</v>
      </c>
      <c r="V157" s="73">
        <f>IF(Variable_Management!$B$20=3,2,IF((S157*R157/T157)&lt;((T157*(1-(T157/R157)))/(2*Lm*Fsw)),1,2))</f>
        <v>2</v>
      </c>
      <c r="W157" s="76">
        <f t="shared" si="100"/>
        <v>0.9</v>
      </c>
      <c r="X157" s="74">
        <f t="shared" si="101"/>
        <v>9.9999999999999978E-2</v>
      </c>
      <c r="Y157" s="75">
        <f t="shared" si="102"/>
        <v>0.85227272727272718</v>
      </c>
      <c r="Z157" s="76">
        <f t="shared" si="124"/>
        <v>20.426136363636363</v>
      </c>
      <c r="AA157" s="76">
        <f t="shared" si="125"/>
        <v>20.001513211091581</v>
      </c>
      <c r="AB157" s="76">
        <v>0</v>
      </c>
      <c r="AC157" s="76">
        <f t="shared" si="103"/>
        <v>1.7202602821539255</v>
      </c>
      <c r="AD157" s="77">
        <f t="shared" si="114"/>
        <v>1.7202602821539255</v>
      </c>
      <c r="AE157" s="75">
        <f t="shared" si="123"/>
        <v>18</v>
      </c>
      <c r="AF157" s="71">
        <f t="shared" si="115"/>
        <v>18.975101519099283</v>
      </c>
      <c r="AG157" s="76">
        <f t="shared" si="104"/>
        <v>3.1684794034090906</v>
      </c>
      <c r="AH157" s="76">
        <f t="shared" si="105"/>
        <v>4.1279591104734585</v>
      </c>
      <c r="AI157" s="77">
        <f t="shared" si="116"/>
        <v>7.2964385138825492</v>
      </c>
      <c r="AJ157" s="75">
        <f>X157*U157</f>
        <v>1.9999999999999996</v>
      </c>
      <c r="AK157" s="76">
        <f t="shared" si="106"/>
        <v>6.3250338396997607</v>
      </c>
      <c r="AL157" s="71">
        <f t="shared" si="107"/>
        <v>0.35205326704545448</v>
      </c>
      <c r="AM157" s="71">
        <f t="shared" si="118"/>
        <v>0.42468800000000007</v>
      </c>
      <c r="AN157" s="188">
        <f t="shared" si="108"/>
        <v>0.14380000000000001</v>
      </c>
      <c r="AO157" s="74">
        <f t="shared" si="119"/>
        <v>0.92054126704545458</v>
      </c>
      <c r="AP157" s="73">
        <f t="shared" si="109"/>
        <v>0.80012106146694206</v>
      </c>
      <c r="AQ157" s="206">
        <f t="shared" si="110"/>
        <v>1.7202602821539255</v>
      </c>
      <c r="AR157" s="206">
        <f t="shared" si="111"/>
        <v>1.6586782538474829E-2</v>
      </c>
      <c r="AS157" s="71">
        <f t="shared" si="112"/>
        <v>3.9600000000000003E-2</v>
      </c>
      <c r="AT157" s="77">
        <f t="shared" si="113"/>
        <v>1.6499999999999998E-5</v>
      </c>
      <c r="AU157" s="73">
        <f t="shared" si="120"/>
        <v>12.51382468924127</v>
      </c>
      <c r="AV157" s="76">
        <f t="shared" si="121"/>
        <v>100</v>
      </c>
      <c r="AW157" s="77">
        <f>(AV157/(AV157+AU157))*100</f>
        <v>88.877967019782716</v>
      </c>
    </row>
  </sheetData>
  <mergeCells count="7">
    <mergeCell ref="AP5:AT5"/>
    <mergeCell ref="A1:M1"/>
    <mergeCell ref="R5:U5"/>
    <mergeCell ref="V5:X5"/>
    <mergeCell ref="Y5:AD5"/>
    <mergeCell ref="AE5:AI5"/>
    <mergeCell ref="AJ5:AO5"/>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M708"/>
  <sheetViews>
    <sheetView zoomScale="85" zoomScaleNormal="85" workbookViewId="0">
      <selection activeCell="M37" sqref="M37"/>
    </sheetView>
  </sheetViews>
  <sheetFormatPr defaultRowHeight="14.5" x14ac:dyDescent="0.35"/>
  <cols>
    <col min="1" max="1" width="18.6328125" customWidth="1"/>
    <col min="2" max="2" width="25" customWidth="1"/>
    <col min="8" max="9" width="8.90625"/>
    <col min="10" max="10" width="12.6328125" bestFit="1" customWidth="1"/>
    <col min="14" max="14" width="17.90625" customWidth="1"/>
    <col min="15" max="15" width="16.54296875" style="34" bestFit="1" customWidth="1"/>
    <col min="16" max="16" width="16.54296875" customWidth="1"/>
    <col min="29" max="29" width="8.90625"/>
    <col min="32" max="37" width="8.6328125"/>
    <col min="38" max="38" width="11.453125" bestFit="1" customWidth="1"/>
    <col min="39" max="40" width="8.6328125"/>
    <col min="41" max="41" width="13.08984375" bestFit="1" customWidth="1"/>
    <col min="42" max="44" width="8.6328125"/>
    <col min="46" max="46" width="10.08984375" customWidth="1"/>
    <col min="47" max="47" width="12" bestFit="1" customWidth="1"/>
    <col min="55" max="55" width="8.90625"/>
    <col min="58" max="58" width="8.90625"/>
  </cols>
  <sheetData>
    <row r="1" spans="1:65" ht="28" x14ac:dyDescent="0.6">
      <c r="A1" s="213" t="s">
        <v>15</v>
      </c>
      <c r="B1" s="213"/>
      <c r="C1" s="213"/>
      <c r="D1" s="213"/>
      <c r="E1" s="213"/>
      <c r="F1" s="213"/>
      <c r="G1" s="213"/>
      <c r="H1" s="213"/>
      <c r="I1" s="213"/>
      <c r="J1" s="213"/>
      <c r="K1" s="213"/>
      <c r="L1" s="213"/>
      <c r="M1" s="213"/>
      <c r="N1" s="213" t="s">
        <v>194</v>
      </c>
      <c r="O1" s="213"/>
      <c r="P1" s="213"/>
      <c r="Q1" s="213"/>
      <c r="R1" s="213"/>
      <c r="S1" s="213"/>
      <c r="T1" s="213"/>
      <c r="U1" s="213"/>
      <c r="V1" s="213"/>
      <c r="W1" s="213"/>
      <c r="X1" s="213"/>
    </row>
    <row r="2" spans="1:65" x14ac:dyDescent="0.35">
      <c r="A2" s="5"/>
      <c r="B2" s="5" t="s">
        <v>16</v>
      </c>
      <c r="C2" s="6"/>
      <c r="D2" s="4"/>
      <c r="E2" s="5"/>
      <c r="F2" s="5"/>
      <c r="G2" s="5"/>
      <c r="H2" s="5"/>
      <c r="I2" s="5"/>
      <c r="J2" s="5"/>
      <c r="K2" s="5"/>
      <c r="L2" s="5"/>
      <c r="M2" s="5"/>
      <c r="O2"/>
    </row>
    <row r="3" spans="1:65" ht="15" thickBot="1" x14ac:dyDescent="0.4">
      <c r="A3" s="5"/>
      <c r="B3" s="5" t="s">
        <v>17</v>
      </c>
      <c r="C3" s="7"/>
      <c r="D3" s="4"/>
      <c r="E3" s="5"/>
      <c r="F3" s="14"/>
      <c r="G3" s="15"/>
      <c r="H3" s="15"/>
      <c r="I3" s="15"/>
      <c r="J3" s="15"/>
      <c r="K3" s="24"/>
      <c r="L3" s="5"/>
      <c r="M3" s="5"/>
      <c r="O3" t="s">
        <v>481</v>
      </c>
    </row>
    <row r="4" spans="1:65" ht="15" thickBot="1" x14ac:dyDescent="0.4">
      <c r="A4" s="5"/>
      <c r="B4" s="5" t="s">
        <v>18</v>
      </c>
      <c r="C4" s="8"/>
      <c r="D4" s="4"/>
      <c r="E4" s="5"/>
      <c r="F4" s="14"/>
      <c r="G4" s="15"/>
      <c r="H4" s="15"/>
      <c r="I4" s="15"/>
      <c r="J4" s="15"/>
      <c r="K4" s="24"/>
      <c r="L4" s="5"/>
      <c r="M4" s="5"/>
      <c r="N4" s="177"/>
      <c r="O4" s="67"/>
      <c r="P4" s="225" t="s">
        <v>454</v>
      </c>
      <c r="Q4" s="225"/>
      <c r="R4" s="225"/>
      <c r="S4" s="225"/>
      <c r="T4" s="225"/>
      <c r="U4" s="225"/>
      <c r="V4" s="225"/>
      <c r="W4" s="225"/>
      <c r="X4" s="225"/>
      <c r="Y4" s="225"/>
      <c r="Z4" s="225"/>
      <c r="AA4" s="225"/>
      <c r="AB4" s="225"/>
      <c r="AC4" s="225"/>
      <c r="AD4" s="225"/>
      <c r="AE4" s="226"/>
      <c r="AF4" s="224" t="s">
        <v>571</v>
      </c>
      <c r="AG4" s="225"/>
      <c r="AH4" s="225"/>
      <c r="AI4" s="225"/>
      <c r="AJ4" s="225"/>
      <c r="AK4" s="225"/>
      <c r="AL4" s="225"/>
      <c r="AM4" s="225"/>
      <c r="AN4" s="225"/>
      <c r="AO4" s="225"/>
      <c r="AP4" s="225"/>
      <c r="AQ4" s="225"/>
      <c r="AR4" s="226"/>
      <c r="AS4" s="224" t="s">
        <v>225</v>
      </c>
      <c r="AT4" s="225"/>
      <c r="AU4" s="225"/>
      <c r="AV4" s="225"/>
      <c r="AW4" s="225"/>
      <c r="AX4" s="225"/>
      <c r="AY4" s="225"/>
      <c r="AZ4" s="225"/>
      <c r="BA4" s="225"/>
      <c r="BB4" s="225"/>
      <c r="BC4" s="225"/>
      <c r="BD4" s="225"/>
      <c r="BE4" s="226"/>
      <c r="BF4" s="224" t="s">
        <v>484</v>
      </c>
      <c r="BG4" s="225"/>
      <c r="BH4" s="226"/>
      <c r="BI4" s="224" t="s">
        <v>485</v>
      </c>
      <c r="BJ4" s="225"/>
      <c r="BK4" s="226"/>
      <c r="BL4" s="233" t="s">
        <v>486</v>
      </c>
      <c r="BM4" s="234"/>
    </row>
    <row r="5" spans="1:65" ht="15" thickBot="1" x14ac:dyDescent="0.4">
      <c r="A5" s="5"/>
      <c r="D5" s="4"/>
      <c r="E5" s="5"/>
      <c r="F5" s="5"/>
      <c r="G5" s="5"/>
      <c r="H5" s="5"/>
      <c r="I5" s="5"/>
      <c r="J5" s="5"/>
      <c r="K5" s="5"/>
      <c r="L5" s="5"/>
      <c r="M5" s="5"/>
      <c r="N5" s="178"/>
      <c r="O5" s="43"/>
      <c r="Q5" s="227" t="s">
        <v>217</v>
      </c>
      <c r="R5" s="227"/>
      <c r="S5" s="227"/>
      <c r="T5" s="223" t="s">
        <v>219</v>
      </c>
      <c r="U5" s="223"/>
      <c r="V5" s="223"/>
      <c r="W5" s="223" t="s">
        <v>219</v>
      </c>
      <c r="X5" s="223"/>
      <c r="Y5" s="223"/>
      <c r="Z5" s="223" t="s">
        <v>222</v>
      </c>
      <c r="AA5" s="223"/>
      <c r="AB5" s="223"/>
      <c r="AC5" s="231" t="s">
        <v>224</v>
      </c>
      <c r="AD5" s="223"/>
      <c r="AE5" s="232"/>
      <c r="AF5" s="153"/>
      <c r="AG5" s="227" t="s">
        <v>217</v>
      </c>
      <c r="AH5" s="227"/>
      <c r="AI5" s="227"/>
      <c r="AJ5" s="228" t="s">
        <v>219</v>
      </c>
      <c r="AK5" s="228"/>
      <c r="AL5" s="228"/>
      <c r="AM5" s="223" t="s">
        <v>258</v>
      </c>
      <c r="AN5" s="223"/>
      <c r="AO5" s="223"/>
      <c r="AP5" s="229" t="s">
        <v>224</v>
      </c>
      <c r="AQ5" s="228"/>
      <c r="AR5" s="230"/>
      <c r="AT5" s="223" t="s">
        <v>231</v>
      </c>
      <c r="AU5" s="223"/>
      <c r="AV5" s="223"/>
      <c r="AW5" s="223" t="s">
        <v>232</v>
      </c>
      <c r="AX5" s="223"/>
      <c r="AY5" s="223"/>
      <c r="AZ5" s="223" t="s">
        <v>226</v>
      </c>
      <c r="BA5" s="223"/>
      <c r="BB5" s="223"/>
      <c r="BC5" s="231" t="s">
        <v>224</v>
      </c>
      <c r="BD5" s="223"/>
      <c r="BE5" s="232"/>
      <c r="BF5" s="231" t="s">
        <v>224</v>
      </c>
      <c r="BG5" s="223"/>
      <c r="BH5" s="232"/>
      <c r="BI5" s="231" t="s">
        <v>224</v>
      </c>
      <c r="BJ5" s="223"/>
      <c r="BK5" s="232"/>
      <c r="BL5" s="231" t="s">
        <v>224</v>
      </c>
      <c r="BM5" s="232"/>
    </row>
    <row r="6" spans="1:65" ht="15" thickBot="1" x14ac:dyDescent="0.4">
      <c r="A6" s="9" t="s">
        <v>19</v>
      </c>
      <c r="B6" s="9" t="s">
        <v>20</v>
      </c>
      <c r="C6" s="9" t="s">
        <v>21</v>
      </c>
      <c r="D6" s="4"/>
      <c r="E6" s="214" t="s">
        <v>22</v>
      </c>
      <c r="F6" s="214"/>
      <c r="G6" s="214"/>
      <c r="H6" s="214"/>
      <c r="I6" s="214"/>
      <c r="J6" s="214"/>
      <c r="K6" s="214"/>
      <c r="L6" s="5"/>
      <c r="M6" s="9"/>
      <c r="N6" s="178"/>
      <c r="O6" s="43"/>
      <c r="P6" s="65" t="s">
        <v>200</v>
      </c>
      <c r="Q6" s="62" t="s">
        <v>223</v>
      </c>
      <c r="R6" s="64" t="s">
        <v>220</v>
      </c>
      <c r="S6" s="64" t="s">
        <v>221</v>
      </c>
      <c r="T6" s="64" t="s">
        <v>223</v>
      </c>
      <c r="U6" s="64" t="s">
        <v>220</v>
      </c>
      <c r="V6" s="64" t="s">
        <v>221</v>
      </c>
      <c r="W6" s="64" t="s">
        <v>223</v>
      </c>
      <c r="X6" s="64" t="s">
        <v>220</v>
      </c>
      <c r="Y6" s="64" t="s">
        <v>221</v>
      </c>
      <c r="Z6" s="64" t="s">
        <v>223</v>
      </c>
      <c r="AA6" s="64" t="s">
        <v>220</v>
      </c>
      <c r="AB6" s="64" t="s">
        <v>221</v>
      </c>
      <c r="AC6" s="65" t="s">
        <v>235</v>
      </c>
      <c r="AD6" s="64" t="s">
        <v>220</v>
      </c>
      <c r="AE6" s="181" t="s">
        <v>221</v>
      </c>
      <c r="AF6" s="182" t="s">
        <v>200</v>
      </c>
      <c r="AG6" s="183" t="s">
        <v>223</v>
      </c>
      <c r="AH6" s="183" t="s">
        <v>234</v>
      </c>
      <c r="AI6" s="183" t="s">
        <v>221</v>
      </c>
      <c r="AJ6" s="183" t="s">
        <v>223</v>
      </c>
      <c r="AK6" s="183" t="s">
        <v>234</v>
      </c>
      <c r="AL6" s="183" t="s">
        <v>221</v>
      </c>
      <c r="AM6" s="183" t="s">
        <v>223</v>
      </c>
      <c r="AN6" s="183" t="s">
        <v>234</v>
      </c>
      <c r="AO6" s="183" t="s">
        <v>221</v>
      </c>
      <c r="AP6" s="65" t="s">
        <v>235</v>
      </c>
      <c r="AQ6" s="64" t="s">
        <v>220</v>
      </c>
      <c r="AR6" s="181" t="s">
        <v>221</v>
      </c>
      <c r="AS6" s="65" t="s">
        <v>233</v>
      </c>
      <c r="AT6" s="64" t="s">
        <v>223</v>
      </c>
      <c r="AU6" s="64" t="s">
        <v>234</v>
      </c>
      <c r="AV6" s="64" t="s">
        <v>221</v>
      </c>
      <c r="AW6" s="64" t="s">
        <v>223</v>
      </c>
      <c r="AX6" s="64" t="s">
        <v>234</v>
      </c>
      <c r="AY6" s="64" t="s">
        <v>221</v>
      </c>
      <c r="AZ6" s="64" t="s">
        <v>223</v>
      </c>
      <c r="BA6" s="64" t="s">
        <v>234</v>
      </c>
      <c r="BB6" s="64" t="s">
        <v>221</v>
      </c>
      <c r="BC6" s="65" t="s">
        <v>235</v>
      </c>
      <c r="BD6" s="64" t="s">
        <v>220</v>
      </c>
      <c r="BE6" s="181" t="s">
        <v>221</v>
      </c>
      <c r="BF6" s="65" t="s">
        <v>235</v>
      </c>
      <c r="BG6" s="64" t="s">
        <v>220</v>
      </c>
      <c r="BH6" s="181" t="s">
        <v>221</v>
      </c>
      <c r="BI6" s="65" t="s">
        <v>235</v>
      </c>
      <c r="BJ6" s="64" t="s">
        <v>220</v>
      </c>
      <c r="BK6" s="181" t="s">
        <v>221</v>
      </c>
      <c r="BL6" s="65" t="s">
        <v>220</v>
      </c>
      <c r="BM6" s="181" t="s">
        <v>221</v>
      </c>
    </row>
    <row r="7" spans="1:65" ht="15" thickBot="1" x14ac:dyDescent="0.4">
      <c r="A7" s="9"/>
      <c r="B7" s="9"/>
      <c r="C7" s="9"/>
      <c r="D7" s="4"/>
      <c r="E7" s="5"/>
      <c r="F7" s="5"/>
      <c r="G7" s="5"/>
      <c r="H7" s="5"/>
      <c r="I7" s="5"/>
      <c r="J7" s="5"/>
      <c r="K7" s="5"/>
      <c r="L7" s="5"/>
      <c r="M7" s="9"/>
      <c r="N7" s="178" t="s">
        <v>397</v>
      </c>
      <c r="O7" s="67">
        <f>fcross</f>
        <v>400</v>
      </c>
      <c r="P7" s="63" t="str">
        <f>COMPLEX(ADC_VINmin,0)</f>
        <v>36,7464882049341</v>
      </c>
      <c r="Q7" s="64" t="str">
        <f>IMSUM(COMPLEX(1,0),IMDIV(COMPLEX(0,2*PI()*O7),COMPLEX(wp_lf_VINmin,0)))</f>
        <v>1+20,0100328809064i</v>
      </c>
      <c r="R7" s="64">
        <f t="shared" ref="R7:R13" si="0">IMABS(Q7)</f>
        <v>20.035004764036252</v>
      </c>
      <c r="S7" s="64">
        <f t="shared" ref="S7:S13" si="1">IMARGUMENT(Q7)</f>
        <v>1.5208629382126826</v>
      </c>
      <c r="T7" s="64" t="str">
        <f>IMSUM(COMPLEX(1,0),IMDIV(COMPLEX(0,2*PI()*O7),COMPLEX(wz_esr_VINmin,0)))</f>
        <v>1+0,00326725635973338i</v>
      </c>
      <c r="U7" s="64">
        <f t="shared" ref="U7:U13" si="2">IMABS(T7)</f>
        <v>1.0000053374678157</v>
      </c>
      <c r="V7" s="64">
        <f t="shared" ref="V7:V13" si="3">IMARGUMENT(T7)</f>
        <v>3.267244733859706E-3</v>
      </c>
      <c r="W7" s="62" t="str">
        <f>IMSUB(COMPLEX(1,0),IMDIV(COMPLEX(0,2*PI()*O7),COMPLEX(wz_RHP_VINmin,0)))</f>
        <v>1-0,335103216382911i</v>
      </c>
      <c r="X7" s="64">
        <f t="shared" ref="X7:X13" si="4">IMABS(W7)</f>
        <v>1.0546535761235403</v>
      </c>
      <c r="Y7" s="64">
        <f t="shared" ref="Y7:Y13" si="5">IMARGUMENT(W7)</f>
        <v>-0.32334260247379737</v>
      </c>
      <c r="Z7" s="62" t="str">
        <f>IMSUM(COMPLEX(1,0),IMDIV(COMPLEX(0,2*PI()*O7),COMPLEX(Q_VINmin*(wsl_VINmin/2),0)),IMDIV(IMPOWER(COMPLEX(0,2*PI()*O7),2),IMPOWER(COMPLEX(wsl_VINmin/2,0),2)))</f>
        <v>0,999996694214876+0,0110584061406361i</v>
      </c>
      <c r="AA7" s="64">
        <f t="shared" ref="AA7:AA13" si="6">IMABS(Z7)</f>
        <v>1.0000578367209827</v>
      </c>
      <c r="AB7" s="64">
        <f t="shared" ref="AB7:AB13" si="7">IMARGUMENT(Z7)</f>
        <v>1.1057991954672939E-2</v>
      </c>
      <c r="AC7" s="65" t="str">
        <f t="shared" ref="AC7:AC13" si="8">(IMDIV(IMPRODUCT(P7,T7,W7),IMPRODUCT(Q7,Z7)))</f>
        <v>-0,53677216900855-1,85828220355178i</v>
      </c>
      <c r="AD7" s="66">
        <f t="shared" ref="AD7:AD13" si="9">20*LOG(IMABS(AC7))</f>
        <v>5.7302684163364725</v>
      </c>
      <c r="AE7" s="67">
        <f t="shared" ref="AE7:AE13" si="10">(180/PI())*IMARGUMENT(AC7)</f>
        <v>-106.11157097098321</v>
      </c>
      <c r="AF7" s="52" t="str">
        <f t="shared" ref="AF7:AF13" si="11">COMPLEX($B$72,0)</f>
        <v>405,634542683733</v>
      </c>
      <c r="AG7" s="55" t="str">
        <f t="shared" ref="AG7:AG13" si="12">IMSUM(COMPLEX(1,0),IMDIV(COMPLEX(0,2*PI()*O7),COMPLEX(wp_lf_DCM,0)))</f>
        <v>1+19,3455968668424i</v>
      </c>
      <c r="AH7" s="55">
        <f>IMABS(AG7)</f>
        <v>19.37142529950707</v>
      </c>
      <c r="AI7" s="55">
        <f>IMARGUMENT(AG7)</f>
        <v>1.5191509437715167</v>
      </c>
      <c r="AJ7" s="55" t="str">
        <f t="shared" ref="AJ7:AJ13" si="13">IMSUM(COMPLEX(1,0),IMDIV(COMPLEX(0,2*PI()*O7),COMPLEX(wz1_dcm,0)))</f>
        <v>1+0,00326725635973338i</v>
      </c>
      <c r="AK7" s="55">
        <f>IMABS(AJ7)</f>
        <v>1.0000053374678157</v>
      </c>
      <c r="AL7" s="55">
        <f>IMARGUMENT(AJ7)</f>
        <v>3.267244733859706E-3</v>
      </c>
      <c r="AM7" s="55" t="str">
        <f t="shared" ref="AM7:AM13" si="14">IMSUB(COMPLEX(1,0),IMDIV(COMPLEX(0,2*PI()*O7),COMPLEX(wz2_dcm,0)))</f>
        <v>1-0,0176092312593977i</v>
      </c>
      <c r="AN7" s="55">
        <f>IMABS(AM7)</f>
        <v>1.0001550304955462</v>
      </c>
      <c r="AO7" s="55">
        <f>IMARGUMENT(AM7)</f>
        <v>-1.7607411478316178E-2</v>
      </c>
      <c r="AP7" s="52" t="str">
        <f>(IMDIV(IMPRODUCT(AF7,AJ7,AM7),IMPRODUCT(AG7)))</f>
        <v>0,781109322509973-20,9286264918172i</v>
      </c>
      <c r="AQ7" s="55">
        <f>20*LOG(IMABS(AP7))</f>
        <v>26.420859934342058</v>
      </c>
      <c r="AR7" s="58">
        <f>(180/PI())*IMARGUMENT(AP7)</f>
        <v>-87.862568553394951</v>
      </c>
      <c r="AS7" s="39" t="str">
        <f t="shared" ref="AS7:AS13" si="15">COMPLEX(Adc_ea,0)</f>
        <v>-0,0000166666666666667</v>
      </c>
      <c r="AT7" s="39" t="str">
        <f t="shared" ref="AT7:AT13" si="16">COMPLEX(0,2*PI()*O7*wp0_ea)</f>
        <v>0,000556690218216111i</v>
      </c>
      <c r="AU7" s="39">
        <f t="shared" ref="AU7:AU13" si="17">IMABS(AT7)</f>
        <v>5.5669021821611096E-4</v>
      </c>
      <c r="AV7" s="39">
        <f t="shared" ref="AV7:AV13" si="18">IMARGUMENT(AT7)</f>
        <v>1.5707963267948966</v>
      </c>
      <c r="AW7" s="39" t="str">
        <f t="shared" ref="AW7:AW13" si="19">IMSUM(COMPLEX(1,0),IMDIV(COMPLEX(0,2*PI()*O7),COMPLEX(wp1_ea,0)))</f>
        <v>1+0,0198452209521573i</v>
      </c>
      <c r="AX7" s="39">
        <f t="shared" ref="AX7:AX13" si="20">IMABS(AW7)</f>
        <v>1.0001968970131032</v>
      </c>
      <c r="AY7" s="39">
        <f t="shared" ref="AY7:AY13" si="21">IMARGUMENT(AW7)</f>
        <v>1.9842616334657268E-2</v>
      </c>
      <c r="AZ7" s="39" t="str">
        <f t="shared" ref="AZ7:AZ13" si="22">IMSUM(COMPLEX(1,0),IMDIV(COMPLEX(0,2*PI()*O7),COMPLEX(wz_ea,0)))</f>
        <v>1+2,93047762726855i</v>
      </c>
      <c r="BA7" s="39">
        <f t="shared" ref="BA7:BA13" si="23">IMABS(AZ7)</f>
        <v>3.0964009953366038</v>
      </c>
      <c r="BB7" s="39">
        <f t="shared" ref="BB7:BB13" si="24">IMARGUMENT(AZ7)</f>
        <v>1.2419455649729607</v>
      </c>
      <c r="BC7" s="44" t="str">
        <f t="shared" ref="BC7:BC13" si="25">IMPRODUCT(AS7,IMDIV(AZ7,IMPRODUCT(AT7,AW7)))</f>
        <v>-0,0871066905761569+0,0316675046232081i</v>
      </c>
      <c r="BD7" s="39">
        <f t="shared" ref="BD7:BD13" si="26">20*LOG(IMABS(BC7))</f>
        <v>-20.659862902186617</v>
      </c>
      <c r="BE7" s="45">
        <f t="shared" ref="BE7:BE13" si="27">(180/PI())*IMARGUMENT(BC7)</f>
        <v>160.02134108746799</v>
      </c>
      <c r="BF7" s="44" t="str">
        <f t="shared" ref="BF7:BF13" si="28">IMPRODUCT(AC7,BC7)</f>
        <v>0,105603607507922+0,144870577764276i</v>
      </c>
      <c r="BG7" s="46">
        <f t="shared" ref="BG7:BG13" si="29">20*LOG(IMABS(BF7))</f>
        <v>-14.929594485850146</v>
      </c>
      <c r="BH7" s="45">
        <f t="shared" ref="BH7:BH13" si="30">(180/PI())*IMARGUMENT(BF7)</f>
        <v>53.909770116484644</v>
      </c>
      <c r="BI7" s="44" t="str">
        <f>IMPRODUCT(AP7,BC7)</f>
        <v>0,594717528124989+1,8477591750885i</v>
      </c>
      <c r="BJ7" s="46">
        <f t="shared" ref="BJ7:BJ13" si="31">20*LOG(IMABS(BI7))</f>
        <v>5.760997032155454</v>
      </c>
      <c r="BK7" s="45">
        <f t="shared" ref="BK7:BK13" si="32">(180/PI())*IMARGUMENT(BI7)</f>
        <v>72.158772534073066</v>
      </c>
      <c r="BL7" s="41">
        <f>IF($B$31=0,BJ7,BG7)</f>
        <v>-14.929594485850146</v>
      </c>
      <c r="BM7" s="43">
        <f>IF($B$31=0,BK7,BH7)</f>
        <v>53.909770116484644</v>
      </c>
    </row>
    <row r="8" spans="1:65" ht="15" thickBot="1" x14ac:dyDescent="0.4">
      <c r="A8" s="9"/>
      <c r="B8" s="9"/>
      <c r="C8" s="9"/>
      <c r="D8" s="4"/>
      <c r="E8" s="5"/>
      <c r="F8" s="5"/>
      <c r="G8" s="5"/>
      <c r="H8" s="5"/>
      <c r="I8" s="5"/>
      <c r="J8" s="5"/>
      <c r="K8" s="5"/>
      <c r="L8" s="5"/>
      <c r="M8" s="9"/>
      <c r="N8" s="177" t="s">
        <v>572</v>
      </c>
      <c r="O8" s="67">
        <f>fcross</f>
        <v>400</v>
      </c>
      <c r="P8" s="63" t="str">
        <f t="shared" ref="P8:P13" si="33">COMPLEX(Adc,0)</f>
        <v>59,1053597814893</v>
      </c>
      <c r="Q8" s="64" t="str">
        <f t="shared" ref="Q8:Q13" si="34">IMSUM(COMPLEX(1,0),IMDIV(COMPLEX(0,2*PI()*O8),COMPLEX(wp_lf,0)))</f>
        <v>1+19,31123626404i</v>
      </c>
      <c r="R8" s="64">
        <f t="shared" si="0"/>
        <v>19.33711059195695</v>
      </c>
      <c r="S8" s="64">
        <f t="shared" si="1"/>
        <v>1.5190592145690356</v>
      </c>
      <c r="T8" s="64" t="str">
        <f t="shared" ref="T8:T13" si="35">IMSUM(COMPLEX(1,0),IMDIV(COMPLEX(0,2*PI()*O8),COMPLEX(wz_esr,0)))</f>
        <v>1+0,00326725635973338i</v>
      </c>
      <c r="U8" s="64">
        <f t="shared" si="2"/>
        <v>1.0000053374678157</v>
      </c>
      <c r="V8" s="64">
        <f t="shared" si="3"/>
        <v>3.267244733859706E-3</v>
      </c>
      <c r="W8" s="62" t="str">
        <f t="shared" ref="W8:W13" si="36">IMSUB(COMPLEX(1,0),IMDIV(COMPLEX(0,2*PI()*O8),COMPLEX(wz_rhp,0)))</f>
        <v>1-0,120637157897848i</v>
      </c>
      <c r="X8" s="64">
        <f t="shared" si="4"/>
        <v>1.0072503779426794</v>
      </c>
      <c r="Y8" s="64">
        <f t="shared" si="5"/>
        <v>-0.1200569916658447</v>
      </c>
      <c r="Z8" s="62" t="str">
        <f t="shared" ref="Z8:Z13" si="37">IMSUM(COMPLEX(1,0),IMDIV(COMPLEX(0,2*PI()*O8),COMPLEX(Q*(wsl/2),0)),IMDIV(IMPOWER(COMPLEX(0,2*PI()*O8),2),IMPOWER(COMPLEX(wsl/2,0),2)))</f>
        <v>0,999996694214876+0,0112868856063517i</v>
      </c>
      <c r="AA8" s="64">
        <f t="shared" si="6"/>
        <v>1.0000603892902522</v>
      </c>
      <c r="AB8" s="64">
        <f t="shared" si="7"/>
        <v>1.1286443657340427E-2</v>
      </c>
      <c r="AC8" s="65" t="str">
        <f t="shared" si="8"/>
        <v>-0,234786880762363-3,06960239573137i</v>
      </c>
      <c r="AD8" s="66">
        <f t="shared" si="9"/>
        <v>9.7669763069396467</v>
      </c>
      <c r="AE8" s="67">
        <f t="shared" si="10"/>
        <v>-94.373907002144946</v>
      </c>
      <c r="AF8" s="41" t="str">
        <f t="shared" si="11"/>
        <v>405,634542683733</v>
      </c>
      <c r="AG8" t="str">
        <f t="shared" si="12"/>
        <v>1+19,3455968668424i</v>
      </c>
      <c r="AH8">
        <f t="shared" ref="AH8:AH13" si="38">IMABS(AG8)</f>
        <v>19.37142529950707</v>
      </c>
      <c r="AI8">
        <f t="shared" ref="AI8:AI13" si="39">IMARGUMENT(AG8)</f>
        <v>1.5191509437715167</v>
      </c>
      <c r="AJ8" t="str">
        <f t="shared" si="13"/>
        <v>1+0,00326725635973338i</v>
      </c>
      <c r="AK8">
        <f t="shared" ref="AK8:AK13" si="40">IMABS(AJ8)</f>
        <v>1.0000053374678157</v>
      </c>
      <c r="AL8">
        <f t="shared" ref="AL8:AL13" si="41">IMARGUMENT(AJ8)</f>
        <v>3.267244733859706E-3</v>
      </c>
      <c r="AM8" t="str">
        <f t="shared" si="14"/>
        <v>1-0,0176092312593977i</v>
      </c>
      <c r="AN8">
        <f t="shared" ref="AN8:AN13" si="42">IMABS(AM8)</f>
        <v>1.0001550304955462</v>
      </c>
      <c r="AO8">
        <f t="shared" ref="AO8:AO13" si="43">IMARGUMENT(AM8)</f>
        <v>-1.7607411478316178E-2</v>
      </c>
      <c r="AP8" s="41" t="str">
        <f t="shared" ref="AP8:AP13" si="44">(IMDIV(IMPRODUCT(AF8,AJ8,AM8),IMPRODUCT(AG8)))</f>
        <v>0,781109322509973-20,9286264918172i</v>
      </c>
      <c r="AQ8">
        <f t="shared" ref="AQ8:AQ13" si="45">20*LOG(IMABS(AP8))</f>
        <v>26.420859934342058</v>
      </c>
      <c r="AR8" s="43">
        <f t="shared" ref="AR8:AR13" si="46">(180/PI())*IMARGUMENT(AP8)</f>
        <v>-87.862568553394951</v>
      </c>
      <c r="AS8" s="62" t="str">
        <f t="shared" si="15"/>
        <v>-0,0000166666666666667</v>
      </c>
      <c r="AT8" s="62" t="str">
        <f t="shared" si="16"/>
        <v>0,000556690218216111i</v>
      </c>
      <c r="AU8" s="62">
        <f t="shared" si="17"/>
        <v>5.5669021821611096E-4</v>
      </c>
      <c r="AV8" s="62">
        <f t="shared" si="18"/>
        <v>1.5707963267948966</v>
      </c>
      <c r="AW8" s="62" t="str">
        <f t="shared" si="19"/>
        <v>1+0,0198452209521573i</v>
      </c>
      <c r="AX8" s="62">
        <f t="shared" si="20"/>
        <v>1.0001968970131032</v>
      </c>
      <c r="AY8" s="62">
        <f t="shared" si="21"/>
        <v>1.9842616334657268E-2</v>
      </c>
      <c r="AZ8" s="62" t="str">
        <f t="shared" si="22"/>
        <v>1+2,93047762726855i</v>
      </c>
      <c r="BA8" s="62">
        <f t="shared" si="23"/>
        <v>3.0964009953366038</v>
      </c>
      <c r="BB8" s="62">
        <f t="shared" si="24"/>
        <v>1.2419455649729607</v>
      </c>
      <c r="BC8" s="61" t="str">
        <f t="shared" si="25"/>
        <v>-0,0871066905761569+0,0316675046232081i</v>
      </c>
      <c r="BD8" s="62">
        <f t="shared" si="26"/>
        <v>-20.659862902186617</v>
      </c>
      <c r="BE8" s="67">
        <f t="shared" si="27"/>
        <v>160.02134108746799</v>
      </c>
      <c r="BF8" s="61" t="str">
        <f t="shared" si="28"/>
        <v>0,117658156232142+0,259947791444792i</v>
      </c>
      <c r="BG8" s="66">
        <f t="shared" si="29"/>
        <v>-10.89288659524696</v>
      </c>
      <c r="BH8" s="67">
        <f t="shared" si="30"/>
        <v>65.647434085323056</v>
      </c>
      <c r="BI8" s="61" t="str">
        <f t="shared" ref="BI8:BI13" si="47">IMPRODUCT(AP8,BC8)</f>
        <v>0,594717528124989+1,8477591750885i</v>
      </c>
      <c r="BJ8" s="66">
        <f t="shared" si="31"/>
        <v>5.760997032155454</v>
      </c>
      <c r="BK8" s="67">
        <f t="shared" si="32"/>
        <v>72.158772534073066</v>
      </c>
      <c r="BL8" s="41">
        <f t="shared" ref="BL8:BL13" si="48">IF($B$31=0,BJ8,BG8)</f>
        <v>-10.89288659524696</v>
      </c>
      <c r="BM8" s="43">
        <f t="shared" ref="BM8:BM13" si="49">IF($B$31=0,BK8,BH8)</f>
        <v>65.647434085323056</v>
      </c>
    </row>
    <row r="9" spans="1:65" ht="15" thickBot="1" x14ac:dyDescent="0.4">
      <c r="A9" s="50" t="s">
        <v>172</v>
      </c>
      <c r="B9" s="9"/>
      <c r="C9" s="9"/>
      <c r="D9" s="4"/>
      <c r="E9" s="5"/>
      <c r="F9" s="5"/>
      <c r="G9" s="5"/>
      <c r="H9" s="5"/>
      <c r="I9" s="5"/>
      <c r="J9" s="5"/>
      <c r="K9" s="5"/>
      <c r="L9" s="5"/>
      <c r="M9" s="9"/>
      <c r="N9" s="179" t="s">
        <v>258</v>
      </c>
      <c r="O9" s="68">
        <f>IF($B$31=0,B78,wz_rhp/(2*PI()))</f>
        <v>3315.7279810811533</v>
      </c>
      <c r="P9" s="53" t="str">
        <f t="shared" si="33"/>
        <v>59,1053597814893</v>
      </c>
      <c r="Q9" s="54" t="str">
        <f t="shared" si="34"/>
        <v>1+160,077016074866i</v>
      </c>
      <c r="R9" s="54">
        <f t="shared" si="0"/>
        <v>160.08013954089654</v>
      </c>
      <c r="S9" s="54">
        <f t="shared" si="1"/>
        <v>1.5645494150488051</v>
      </c>
      <c r="T9" s="54" t="str">
        <f t="shared" si="35"/>
        <v>1+0,0270833333333333i</v>
      </c>
      <c r="U9" s="54">
        <f t="shared" si="2"/>
        <v>1.000366686242822</v>
      </c>
      <c r="V9" s="54">
        <f t="shared" si="3"/>
        <v>2.7076714308456717E-2</v>
      </c>
      <c r="W9" s="55" t="str">
        <f t="shared" si="36"/>
        <v>1-i</v>
      </c>
      <c r="X9" s="54">
        <f t="shared" si="4"/>
        <v>1.4142135623730951</v>
      </c>
      <c r="Y9" s="54">
        <f t="shared" si="5"/>
        <v>-0.78539816339744828</v>
      </c>
      <c r="Z9" s="55" t="str">
        <f t="shared" si="37"/>
        <v>0,999772850164369+0,0935606060606059i</v>
      </c>
      <c r="AA9" s="54">
        <f t="shared" si="6"/>
        <v>1.0041410951316621</v>
      </c>
      <c r="AB9" s="54">
        <f t="shared" si="7"/>
        <v>9.331010661133908E-2</v>
      </c>
      <c r="AC9" s="56" t="str">
        <f t="shared" si="8"/>
        <v>-0,389226042851811-0,345122164866883i</v>
      </c>
      <c r="AD9" s="57">
        <f t="shared" si="9"/>
        <v>-5.6766222338694199</v>
      </c>
      <c r="AE9" s="58">
        <f t="shared" si="10"/>
        <v>-138.43697216374764</v>
      </c>
      <c r="AF9" s="41" t="str">
        <f t="shared" si="11"/>
        <v>405,634542683733</v>
      </c>
      <c r="AG9" t="str">
        <f t="shared" si="12"/>
        <v>1+160,361842105263i</v>
      </c>
      <c r="AH9">
        <f t="shared" si="38"/>
        <v>160.36496002367008</v>
      </c>
      <c r="AI9">
        <f t="shared" si="39"/>
        <v>1.5645605101876823</v>
      </c>
      <c r="AJ9" t="str">
        <f t="shared" si="13"/>
        <v>1+0,0270833333333333i</v>
      </c>
      <c r="AK9">
        <f t="shared" si="40"/>
        <v>1.000366686242822</v>
      </c>
      <c r="AL9">
        <f t="shared" si="41"/>
        <v>2.7076714308456717E-2</v>
      </c>
      <c r="AM9" t="str">
        <f t="shared" si="14"/>
        <v>1-0,145968552030285i</v>
      </c>
      <c r="AN9">
        <f t="shared" si="42"/>
        <v>1.0105972581507523</v>
      </c>
      <c r="AO9">
        <f t="shared" si="43"/>
        <v>-0.14494489851966594</v>
      </c>
      <c r="AP9" s="41" t="str">
        <f t="shared" si="44"/>
        <v>-0,284872504493012-2,54127173235442i</v>
      </c>
      <c r="AQ9">
        <f t="shared" si="45"/>
        <v>8.1552557416990386</v>
      </c>
      <c r="AR9" s="43">
        <f t="shared" si="46"/>
        <v>-96.396063520761842</v>
      </c>
      <c r="AS9" s="55" t="str">
        <f t="shared" si="15"/>
        <v>-0,0000166666666666667</v>
      </c>
      <c r="AT9" s="55" t="str">
        <f t="shared" si="16"/>
        <v>0,00461458333333333i</v>
      </c>
      <c r="AU9" s="55">
        <f t="shared" si="17"/>
        <v>4.6145833333333299E-3</v>
      </c>
      <c r="AV9" s="55">
        <f t="shared" si="18"/>
        <v>1.5707963267948966</v>
      </c>
      <c r="AW9" s="55" t="str">
        <f t="shared" si="19"/>
        <v>1+0,164503386004515i</v>
      </c>
      <c r="AX9" s="55">
        <f t="shared" si="20"/>
        <v>1.0134403603601696</v>
      </c>
      <c r="AY9" s="55">
        <f t="shared" si="21"/>
        <v>0.1630431282764323</v>
      </c>
      <c r="AZ9" s="55" t="str">
        <f t="shared" si="22"/>
        <v>1+24,2916666666666i</v>
      </c>
      <c r="BA9" s="55">
        <f t="shared" si="23"/>
        <v>24.312241144008944</v>
      </c>
      <c r="BB9" s="55">
        <f t="shared" si="24"/>
        <v>1.5296531768785282</v>
      </c>
      <c r="BC9" s="52" t="str">
        <f t="shared" si="25"/>
        <v>-0,0848449752871325+0,0175690238691869i</v>
      </c>
      <c r="BD9" s="55">
        <f t="shared" si="26"/>
        <v>-21.24513889976809</v>
      </c>
      <c r="BE9" s="58">
        <f t="shared" si="27"/>
        <v>168.30098802506839</v>
      </c>
      <c r="BF9" s="52" t="str">
        <f t="shared" si="28"/>
        <v>0,039087333539202+0,0224435599117997i</v>
      </c>
      <c r="BG9" s="57">
        <f t="shared" si="29"/>
        <v>-26.921761133637517</v>
      </c>
      <c r="BH9" s="58">
        <f t="shared" si="30"/>
        <v>29.864015861320755</v>
      </c>
      <c r="BI9" s="61" t="str">
        <f t="shared" si="47"/>
        <v>0,0688176643275179+0,210609205498386i</v>
      </c>
      <c r="BJ9" s="57">
        <f t="shared" si="31"/>
        <v>-13.089883158069068</v>
      </c>
      <c r="BK9" s="58">
        <f t="shared" si="32"/>
        <v>71.904924504306535</v>
      </c>
      <c r="BL9" s="41">
        <f t="shared" si="48"/>
        <v>-26.921761133637517</v>
      </c>
      <c r="BM9" s="43">
        <f t="shared" si="49"/>
        <v>29.864015861320755</v>
      </c>
    </row>
    <row r="10" spans="1:65" ht="15" thickBot="1" x14ac:dyDescent="0.4">
      <c r="A10" t="s">
        <v>25</v>
      </c>
      <c r="B10" s="3">
        <f>VIN_min</f>
        <v>3</v>
      </c>
      <c r="C10" t="s">
        <v>10</v>
      </c>
      <c r="E10" t="s">
        <v>28</v>
      </c>
      <c r="N10" s="178" t="s">
        <v>219</v>
      </c>
      <c r="O10" s="69">
        <f>IF(B31=0,B76,wz_esr/(2*PI()))</f>
        <v>122426.87930145796</v>
      </c>
      <c r="P10" s="33" t="str">
        <f t="shared" si="33"/>
        <v>59,1053597814893</v>
      </c>
      <c r="Q10" s="4" t="str">
        <f t="shared" si="34"/>
        <v>1+5910,53597814891i</v>
      </c>
      <c r="R10" s="4">
        <f t="shared" si="0"/>
        <v>5910.5360627436057</v>
      </c>
      <c r="S10" s="4">
        <f t="shared" si="1"/>
        <v>1.5706271374025715</v>
      </c>
      <c r="T10" s="4" t="str">
        <f t="shared" si="35"/>
        <v>1+i</v>
      </c>
      <c r="U10" s="4">
        <f t="shared" si="2"/>
        <v>1.4142135623730951</v>
      </c>
      <c r="V10" s="4">
        <f t="shared" si="3"/>
        <v>0.78539816339744828</v>
      </c>
      <c r="W10" t="str">
        <f t="shared" si="36"/>
        <v>1-36,923076923077i</v>
      </c>
      <c r="X10" s="4">
        <f t="shared" si="4"/>
        <v>36.936616107427348</v>
      </c>
      <c r="Y10" s="4">
        <f t="shared" si="5"/>
        <v>-1.5437196124864399</v>
      </c>
      <c r="Z10" t="str">
        <f t="shared" si="37"/>
        <v>0,69032353769641+3,45454545454545i</v>
      </c>
      <c r="AA10" s="4">
        <f t="shared" si="6"/>
        <v>3.5228441470235832</v>
      </c>
      <c r="AB10" s="4">
        <f t="shared" si="7"/>
        <v>1.3735637551850635</v>
      </c>
      <c r="AC10" s="47" t="str">
        <f t="shared" si="8"/>
        <v>-0,125557365698171+0,0788790872311304i</v>
      </c>
      <c r="AD10" s="20">
        <f t="shared" si="9"/>
        <v>-16.57842665643939</v>
      </c>
      <c r="AE10" s="43">
        <f t="shared" si="10"/>
        <v>147.86166922682978</v>
      </c>
      <c r="AF10" s="41" t="str">
        <f t="shared" si="11"/>
        <v>405,634542683733</v>
      </c>
      <c r="AG10" t="str">
        <f t="shared" si="12"/>
        <v>1+5921,05263157894i</v>
      </c>
      <c r="AH10">
        <f t="shared" si="38"/>
        <v>5921.0527160233842</v>
      </c>
      <c r="AI10">
        <f t="shared" si="39"/>
        <v>1.5706274379076135</v>
      </c>
      <c r="AJ10" t="str">
        <f t="shared" si="13"/>
        <v>1+i</v>
      </c>
      <c r="AK10">
        <f t="shared" si="40"/>
        <v>1.4142135623730951</v>
      </c>
      <c r="AL10">
        <f t="shared" si="41"/>
        <v>0.78539816339744828</v>
      </c>
      <c r="AM10" t="str">
        <f t="shared" si="14"/>
        <v>1-5,38960807496437i</v>
      </c>
      <c r="AN10">
        <f t="shared" si="42"/>
        <v>5.4815942208194448</v>
      </c>
      <c r="AO10">
        <f t="shared" si="43"/>
        <v>-1.3873403074063591</v>
      </c>
      <c r="AP10" s="41" t="str">
        <f t="shared" si="44"/>
        <v>-0,300645677397025-0,437784724504741i</v>
      </c>
      <c r="AQ10">
        <f t="shared" si="45"/>
        <v>-5.4968423051916986</v>
      </c>
      <c r="AR10" s="43">
        <f t="shared" si="46"/>
        <v>-124.47906774231858</v>
      </c>
      <c r="AS10" t="str">
        <f t="shared" si="15"/>
        <v>-0,0000166666666666667</v>
      </c>
      <c r="AT10" t="str">
        <f t="shared" si="16"/>
        <v>0,170384615384615i</v>
      </c>
      <c r="AU10">
        <f t="shared" si="17"/>
        <v>0.170384615384615</v>
      </c>
      <c r="AV10">
        <f t="shared" si="18"/>
        <v>1.5707963267948966</v>
      </c>
      <c r="AW10" t="str">
        <f t="shared" si="19"/>
        <v>1+6,07397117555132i</v>
      </c>
      <c r="AX10">
        <f t="shared" si="20"/>
        <v>6.1557392603511305</v>
      </c>
      <c r="AY10">
        <f t="shared" si="21"/>
        <v>1.4076231707183333</v>
      </c>
      <c r="AZ10" t="str">
        <f t="shared" si="22"/>
        <v>1+896,923076923077i</v>
      </c>
      <c r="BA10">
        <f t="shared" si="23"/>
        <v>896.92363438431039</v>
      </c>
      <c r="BB10">
        <f t="shared" si="24"/>
        <v>1.5696814044438296</v>
      </c>
      <c r="BC10" s="41" t="str">
        <f t="shared" si="25"/>
        <v>-0,00229965182635495+0,0140658368152856i</v>
      </c>
      <c r="BD10">
        <f t="shared" si="26"/>
        <v>-36.922127533228533</v>
      </c>
      <c r="BE10" s="43">
        <f t="shared" si="27"/>
        <v>99.285252827815569</v>
      </c>
      <c r="BF10" s="41" t="str">
        <f t="shared" si="28"/>
        <v>-0,000820762143791643-0,00194746385387989i</v>
      </c>
      <c r="BG10" s="20">
        <f t="shared" si="29"/>
        <v>-53.50055418966793</v>
      </c>
      <c r="BH10" s="43">
        <f t="shared" si="30"/>
        <v>-112.85307794535467</v>
      </c>
      <c r="BI10" s="61" t="str">
        <f t="shared" si="47"/>
        <v>0,00684918887622024-0,00322208059622993i</v>
      </c>
      <c r="BJ10" s="20">
        <f t="shared" si="31"/>
        <v>-42.418969838420225</v>
      </c>
      <c r="BK10" s="43">
        <f t="shared" si="32"/>
        <v>-25.193814914503037</v>
      </c>
      <c r="BL10" s="41">
        <f t="shared" si="48"/>
        <v>-53.50055418966793</v>
      </c>
      <c r="BM10" s="43">
        <f t="shared" si="49"/>
        <v>-112.85307794535467</v>
      </c>
    </row>
    <row r="11" spans="1:65" ht="15" thickBot="1" x14ac:dyDescent="0.4">
      <c r="A11" t="s">
        <v>26</v>
      </c>
      <c r="B11" s="3">
        <f>VIN_nom</f>
        <v>5</v>
      </c>
      <c r="C11" t="s">
        <v>10</v>
      </c>
      <c r="E11" t="s">
        <v>29</v>
      </c>
      <c r="N11" s="180" t="s">
        <v>217</v>
      </c>
      <c r="O11" s="70">
        <f>IF(B31=0,B74,wp_lf/(2*PI()))</f>
        <v>20.713329510905005</v>
      </c>
      <c r="P11" s="59" t="str">
        <f t="shared" si="33"/>
        <v>59,1053597814893</v>
      </c>
      <c r="Q11" s="38" t="str">
        <f t="shared" si="34"/>
        <v>1+i</v>
      </c>
      <c r="R11" s="38">
        <f t="shared" si="0"/>
        <v>1.4142135623730951</v>
      </c>
      <c r="S11" s="38">
        <f t="shared" si="1"/>
        <v>0.78539816339744828</v>
      </c>
      <c r="T11" s="38" t="str">
        <f t="shared" si="35"/>
        <v>1+0,000169189393939394i</v>
      </c>
      <c r="U11" s="38">
        <f t="shared" si="2"/>
        <v>1.0000000143125254</v>
      </c>
      <c r="V11" s="38">
        <f t="shared" si="3"/>
        <v>1.6918939232504236E-4</v>
      </c>
      <c r="W11" s="39" t="str">
        <f t="shared" si="36"/>
        <v>1-0,00624699300699303i</v>
      </c>
      <c r="X11" s="38">
        <f t="shared" si="4"/>
        <v>1.0000195122704503</v>
      </c>
      <c r="Y11" s="38">
        <f t="shared" si="5"/>
        <v>-6.2469117460915687E-3</v>
      </c>
      <c r="Z11" s="39" t="str">
        <f t="shared" si="37"/>
        <v>0,999999991135495+0,000584472451790635i</v>
      </c>
      <c r="AA11" s="38">
        <f t="shared" si="6"/>
        <v>1.0000001619395054</v>
      </c>
      <c r="AB11" s="38">
        <f t="shared" si="7"/>
        <v>5.8447239041820834E-4</v>
      </c>
      <c r="AC11" s="42" t="str">
        <f t="shared" si="8"/>
        <v>29,3557082472448-29,7494843768129i</v>
      </c>
      <c r="AD11" s="46">
        <f t="shared" si="9"/>
        <v>32.422405546467942</v>
      </c>
      <c r="AE11" s="45">
        <f t="shared" si="10"/>
        <v>-45.381715641136182</v>
      </c>
      <c r="AF11" s="41" t="str">
        <f t="shared" si="11"/>
        <v>405,634542683733</v>
      </c>
      <c r="AG11" t="str">
        <f t="shared" si="12"/>
        <v>1+1,0017793062201i</v>
      </c>
      <c r="AH11">
        <f t="shared" si="38"/>
        <v>1.415472281032315</v>
      </c>
      <c r="AI11">
        <f t="shared" si="39"/>
        <v>0.78628702549427165</v>
      </c>
      <c r="AJ11" t="str">
        <f t="shared" si="13"/>
        <v>1+0,000169189393939394i</v>
      </c>
      <c r="AK11">
        <f t="shared" si="40"/>
        <v>1.0000000143125254</v>
      </c>
      <c r="AL11">
        <f t="shared" si="41"/>
        <v>1.6918939232504236E-4</v>
      </c>
      <c r="AM11" t="str">
        <f t="shared" si="14"/>
        <v>1-0,000911864523774088i</v>
      </c>
      <c r="AN11">
        <f t="shared" si="42"/>
        <v>1.0000004157483684</v>
      </c>
      <c r="AO11">
        <f t="shared" si="43"/>
        <v>-9.1186427103670292E-4</v>
      </c>
      <c r="AP11" s="41" t="str">
        <f t="shared" si="44"/>
        <v>202,306122490888-202,967341719653i</v>
      </c>
      <c r="AQ11">
        <f t="shared" si="45"/>
        <v>49.144674977816649</v>
      </c>
      <c r="AR11" s="43">
        <f t="shared" si="46"/>
        <v>-45.093480182817643</v>
      </c>
      <c r="AS11" s="39" t="str">
        <f t="shared" si="15"/>
        <v>-0,0000166666666666667</v>
      </c>
      <c r="AT11" s="39" t="str">
        <f t="shared" si="16"/>
        <v>0,0000288272698135198i</v>
      </c>
      <c r="AU11" s="39">
        <f t="shared" si="17"/>
        <v>2.88272698135198E-5</v>
      </c>
      <c r="AV11" s="39">
        <f t="shared" si="18"/>
        <v>1.5707963267948966</v>
      </c>
      <c r="AW11" s="39" t="str">
        <f t="shared" si="19"/>
        <v>1+0,00102765150199688i</v>
      </c>
      <c r="AX11" s="39">
        <f t="shared" si="20"/>
        <v>1.0000005280336655</v>
      </c>
      <c r="AY11" s="39">
        <f t="shared" si="21"/>
        <v>1.0276511402406209E-3</v>
      </c>
      <c r="AZ11" s="39" t="str">
        <f t="shared" si="22"/>
        <v>1+0,151749871794872i</v>
      </c>
      <c r="BA11" s="39">
        <f t="shared" si="23"/>
        <v>1.0114484779709543</v>
      </c>
      <c r="BB11" s="39">
        <f t="shared" si="24"/>
        <v>0.15060087279528372</v>
      </c>
      <c r="BC11" s="44" t="str">
        <f t="shared" si="25"/>
        <v>-0,0871409040208524+0,578245816214058i</v>
      </c>
      <c r="BD11" s="39">
        <f t="shared" si="26"/>
        <v>-4.660224549436041</v>
      </c>
      <c r="BE11" s="45">
        <f t="shared" si="27"/>
        <v>98.569914329008711</v>
      </c>
      <c r="BF11" s="44" t="str">
        <f t="shared" si="28"/>
        <v>14,6444319205802+19,5672124387195i</v>
      </c>
      <c r="BG11" s="46">
        <f t="shared" si="29"/>
        <v>27.762180997031891</v>
      </c>
      <c r="BH11" s="45">
        <f t="shared" si="30"/>
        <v>53.188198687872593</v>
      </c>
      <c r="BI11" s="61" t="str">
        <f t="shared" si="47"/>
        <v>99,7358777746691+134,669426569005i</v>
      </c>
      <c r="BJ11" s="46">
        <f t="shared" si="31"/>
        <v>44.484450428380626</v>
      </c>
      <c r="BK11" s="45">
        <f t="shared" si="32"/>
        <v>53.476434146191174</v>
      </c>
      <c r="BL11" s="41">
        <f t="shared" si="48"/>
        <v>27.762180997031891</v>
      </c>
      <c r="BM11" s="43">
        <f t="shared" si="49"/>
        <v>53.188198687872593</v>
      </c>
    </row>
    <row r="12" spans="1:65" ht="15" thickBot="1" x14ac:dyDescent="0.4">
      <c r="A12" t="s">
        <v>27</v>
      </c>
      <c r="B12" s="3">
        <f>VIN_max</f>
        <v>48</v>
      </c>
      <c r="C12" t="s">
        <v>10</v>
      </c>
      <c r="E12" t="s">
        <v>30</v>
      </c>
      <c r="N12" s="179" t="s">
        <v>226</v>
      </c>
      <c r="O12" s="58">
        <f>wz_ea/(2*PI())</f>
        <v>136.49652066200284</v>
      </c>
      <c r="P12" s="53" t="str">
        <f t="shared" si="33"/>
        <v>59,1053597814893</v>
      </c>
      <c r="Q12" s="54" t="str">
        <f t="shared" si="34"/>
        <v>1+6,58979139930839i</v>
      </c>
      <c r="R12" s="54">
        <f t="shared" si="0"/>
        <v>6.6652344809765562</v>
      </c>
      <c r="S12" s="54">
        <f t="shared" si="1"/>
        <v>1.4201954539996127</v>
      </c>
      <c r="T12" s="54" t="str">
        <f t="shared" si="35"/>
        <v>1+0,00111492281303602i</v>
      </c>
      <c r="U12" s="54">
        <f t="shared" si="2"/>
        <v>1.0000006215262465</v>
      </c>
      <c r="V12" s="54">
        <f t="shared" si="3"/>
        <v>1.114922351067027E-3</v>
      </c>
      <c r="W12" s="55" t="str">
        <f t="shared" si="36"/>
        <v>1-0,0411663807890224i</v>
      </c>
      <c r="X12" s="54">
        <f t="shared" si="4"/>
        <v>1.00084697676881</v>
      </c>
      <c r="Y12" s="54">
        <f t="shared" si="5"/>
        <v>-4.114314991636836E-2</v>
      </c>
      <c r="Z12" s="55" t="str">
        <f t="shared" si="37"/>
        <v>0,999999615055782+0,00385155153594261i</v>
      </c>
      <c r="AA12" s="54">
        <f t="shared" si="6"/>
        <v>1.0000070322557468</v>
      </c>
      <c r="AB12" s="54">
        <f t="shared" si="7"/>
        <v>3.8515339735079503E-3</v>
      </c>
      <c r="AC12" s="56" t="str">
        <f t="shared" si="8"/>
        <v>0,945370321306214-8,82466942654837i</v>
      </c>
      <c r="AD12" s="57">
        <f t="shared" si="9"/>
        <v>18.963526608530771</v>
      </c>
      <c r="AE12" s="58">
        <f t="shared" si="10"/>
        <v>-83.88533074005791</v>
      </c>
      <c r="AF12" s="41" t="str">
        <f t="shared" si="11"/>
        <v>405,634542683733</v>
      </c>
      <c r="AG12" t="str">
        <f t="shared" si="12"/>
        <v>1+6,60151665613433i</v>
      </c>
      <c r="AH12">
        <f t="shared" si="38"/>
        <v>6.6768272526117523</v>
      </c>
      <c r="AI12">
        <f t="shared" si="39"/>
        <v>1.4204589274123038</v>
      </c>
      <c r="AJ12" t="str">
        <f t="shared" si="13"/>
        <v>1+0,00111492281303602i</v>
      </c>
      <c r="AK12">
        <f t="shared" si="40"/>
        <v>1.0000006215262465</v>
      </c>
      <c r="AL12">
        <f t="shared" si="41"/>
        <v>1.114922351067027E-3</v>
      </c>
      <c r="AM12" t="str">
        <f t="shared" si="14"/>
        <v>1-0,00600899699610093i</v>
      </c>
      <c r="AN12">
        <f t="shared" si="42"/>
        <v>1.0000180538594787</v>
      </c>
      <c r="AO12">
        <f t="shared" si="43"/>
        <v>-6.0089246732900068E-3</v>
      </c>
      <c r="AP12" s="41" t="str">
        <f t="shared" si="44"/>
        <v>8,80510761931973-60,1122701511023i</v>
      </c>
      <c r="AQ12">
        <f t="shared" si="45"/>
        <v>35.67145803420766</v>
      </c>
      <c r="AR12" s="43">
        <f t="shared" si="46"/>
        <v>-81.666707190395371</v>
      </c>
      <c r="AS12" s="55" t="str">
        <f t="shared" si="15"/>
        <v>-0,0000166666666666667</v>
      </c>
      <c r="AT12" s="55" t="str">
        <f t="shared" si="16"/>
        <v>0,000189965694682676i</v>
      </c>
      <c r="AU12" s="55">
        <f t="shared" si="17"/>
        <v>1.89965694682676E-4</v>
      </c>
      <c r="AV12" s="55">
        <f t="shared" si="18"/>
        <v>1.5707963267948966</v>
      </c>
      <c r="AW12" s="55" t="str">
        <f t="shared" si="19"/>
        <v>1+0,00677200902934538i</v>
      </c>
      <c r="AX12" s="55">
        <f t="shared" si="20"/>
        <v>1.0000229297902592</v>
      </c>
      <c r="AY12" s="55">
        <f t="shared" si="21"/>
        <v>6.7719055105091609E-3</v>
      </c>
      <c r="AZ12" s="55" t="str">
        <f t="shared" si="22"/>
        <v>1+i</v>
      </c>
      <c r="BA12" s="55">
        <f t="shared" si="23"/>
        <v>1.4142135623730951</v>
      </c>
      <c r="BB12" s="55">
        <f t="shared" si="24"/>
        <v>0.78539816339744828</v>
      </c>
      <c r="BC12" s="52" t="str">
        <f t="shared" si="25"/>
        <v>-0,0871369999354592+0,088325231752761i</v>
      </c>
      <c r="BD12" s="55">
        <f t="shared" si="26"/>
        <v>-18.126427817099145</v>
      </c>
      <c r="BE12" s="58">
        <f t="shared" si="27"/>
        <v>134.61199839498641</v>
      </c>
      <c r="BF12" s="52" t="str">
        <f t="shared" si="28"/>
        <v>0,697064238614745+0,852455271973148i</v>
      </c>
      <c r="BG12" s="57">
        <f t="shared" si="29"/>
        <v>0.83709879143162869</v>
      </c>
      <c r="BH12" s="58">
        <f t="shared" si="30"/>
        <v>50.726667654928512</v>
      </c>
      <c r="BI12" s="61" t="str">
        <f t="shared" si="47"/>
        <v>4,54217953022431+6,01571605136132i</v>
      </c>
      <c r="BJ12" s="57">
        <f t="shared" si="31"/>
        <v>17.545030217108508</v>
      </c>
      <c r="BK12" s="58">
        <f t="shared" si="32"/>
        <v>52.945291204591058</v>
      </c>
      <c r="BL12" s="41">
        <f t="shared" si="48"/>
        <v>0.83709879143162869</v>
      </c>
      <c r="BM12" s="43">
        <f t="shared" si="49"/>
        <v>50.726667654928512</v>
      </c>
    </row>
    <row r="13" spans="1:65" ht="15" thickBot="1" x14ac:dyDescent="0.4">
      <c r="A13" t="s">
        <v>64</v>
      </c>
      <c r="B13" s="3">
        <f>Fsw</f>
        <v>440000</v>
      </c>
      <c r="C13" t="s">
        <v>65</v>
      </c>
      <c r="E13" t="s">
        <v>66</v>
      </c>
      <c r="N13" s="180" t="s">
        <v>232</v>
      </c>
      <c r="O13" s="45">
        <f>wp1_ea/(2*PI())</f>
        <v>20155.986217755755</v>
      </c>
      <c r="P13" s="59" t="str">
        <f t="shared" si="33"/>
        <v>59,1053597814893</v>
      </c>
      <c r="Q13" s="38" t="str">
        <f t="shared" si="34"/>
        <v>1+973,092529964537i</v>
      </c>
      <c r="R13" s="38">
        <f t="shared" si="0"/>
        <v>973.09304379015236</v>
      </c>
      <c r="S13" s="38">
        <f t="shared" si="1"/>
        <v>1.5697686756546561</v>
      </c>
      <c r="T13" s="38" t="str">
        <f t="shared" si="35"/>
        <v>1+0,164636935391652i</v>
      </c>
      <c r="U13" s="38">
        <f t="shared" si="2"/>
        <v>1.0134620468942854</v>
      </c>
      <c r="V13" s="38">
        <f t="shared" si="3"/>
        <v>0.1631731560765631</v>
      </c>
      <c r="W13" s="39" t="str">
        <f t="shared" si="36"/>
        <v>1-6,07890222984563i</v>
      </c>
      <c r="X13" s="38">
        <f t="shared" si="4"/>
        <v>6.1606048664089936</v>
      </c>
      <c r="Y13" s="38">
        <f t="shared" si="5"/>
        <v>-1.4077531985184648</v>
      </c>
      <c r="Z13" s="39" t="str">
        <f t="shared" si="37"/>
        <v>0,991606120239455+0,568745776807525i</v>
      </c>
      <c r="AA13" s="38">
        <f t="shared" si="6"/>
        <v>1.1431336126335976</v>
      </c>
      <c r="AB13" s="38">
        <f t="shared" si="7"/>
        <v>0.52075153755811054</v>
      </c>
      <c r="AC13" s="42" t="str">
        <f t="shared" si="8"/>
        <v>-0,325554699182164+0,0637955833745521i</v>
      </c>
      <c r="AD13" s="46">
        <f t="shared" si="9"/>
        <v>-9.5838730717679983</v>
      </c>
      <c r="AE13" s="45">
        <f t="shared" si="10"/>
        <v>168.91283109798567</v>
      </c>
      <c r="AF13" s="44" t="str">
        <f t="shared" si="11"/>
        <v>405,634542683733</v>
      </c>
      <c r="AG13" s="39" t="str">
        <f t="shared" si="12"/>
        <v>1+974,823959555834i</v>
      </c>
      <c r="AH13" s="39">
        <f t="shared" si="38"/>
        <v>974.82447246882066</v>
      </c>
      <c r="AI13" s="39">
        <f t="shared" si="39"/>
        <v>1.5697705009117466</v>
      </c>
      <c r="AJ13" s="39" t="str">
        <f t="shared" si="13"/>
        <v>1+0,164636935391652i</v>
      </c>
      <c r="AK13" s="39">
        <f t="shared" si="40"/>
        <v>1.0134620468942854</v>
      </c>
      <c r="AL13" s="39">
        <f t="shared" si="41"/>
        <v>0.1631731560765631</v>
      </c>
      <c r="AM13" s="39" t="str">
        <f t="shared" si="14"/>
        <v>1-0,887328556424236i</v>
      </c>
      <c r="AN13" s="39">
        <f t="shared" si="42"/>
        <v>1.3369188333799171</v>
      </c>
      <c r="AO13" s="39">
        <f t="shared" si="43"/>
        <v>-0.72577003105221949</v>
      </c>
      <c r="AP13" s="44" t="str">
        <f t="shared" si="44"/>
        <v>-0,300230083002518-0,477206908627158i</v>
      </c>
      <c r="AQ13" s="39">
        <f t="shared" si="45"/>
        <v>-4.9775792289710221</v>
      </c>
      <c r="AR13" s="45">
        <f t="shared" si="46"/>
        <v>-122.17565100973465</v>
      </c>
      <c r="AS13" s="39" t="str">
        <f t="shared" si="15"/>
        <v>-0,0000166666666666667</v>
      </c>
      <c r="AT13" s="39" t="str">
        <f t="shared" si="16"/>
        <v>0,0280516009148085i</v>
      </c>
      <c r="AU13" s="39">
        <f t="shared" si="17"/>
        <v>2.8051600914808499E-2</v>
      </c>
      <c r="AV13" s="39">
        <f t="shared" si="18"/>
        <v>1.5707963267948966</v>
      </c>
      <c r="AW13" s="39" t="str">
        <f t="shared" si="19"/>
        <v>1+i</v>
      </c>
      <c r="AX13" s="39">
        <f t="shared" si="20"/>
        <v>1.4142135623730951</v>
      </c>
      <c r="AY13" s="39">
        <f t="shared" si="21"/>
        <v>0.78539816339744828</v>
      </c>
      <c r="AZ13" s="39" t="str">
        <f t="shared" si="22"/>
        <v>1+147,666666666666i</v>
      </c>
      <c r="BA13" s="39">
        <f t="shared" si="23"/>
        <v>147.67005263236095</v>
      </c>
      <c r="BB13" s="39">
        <f t="shared" si="24"/>
        <v>1.5640244212843875</v>
      </c>
      <c r="BC13" s="44" t="str">
        <f t="shared" si="25"/>
        <v>-0,0435704980237689+0,0441646411786386i</v>
      </c>
      <c r="BD13" s="39">
        <f t="shared" si="26"/>
        <v>-24.146629403690341</v>
      </c>
      <c r="BE13" s="45">
        <f t="shared" si="27"/>
        <v>134.61199839498636</v>
      </c>
      <c r="BF13" s="44" t="str">
        <f t="shared" si="28"/>
        <v>0,0113670713288261-0,017157611812746i</v>
      </c>
      <c r="BG13" s="46">
        <f t="shared" si="29"/>
        <v>-33.730502475458351</v>
      </c>
      <c r="BH13" s="45">
        <f t="shared" si="30"/>
        <v>-56.475170507028047</v>
      </c>
      <c r="BI13" s="61" t="str">
        <f t="shared" si="47"/>
        <v>0,034156846125623+0,00753258878242936i</v>
      </c>
      <c r="BJ13" s="46">
        <f t="shared" si="31"/>
        <v>-29.124208632661357</v>
      </c>
      <c r="BK13" s="45">
        <f t="shared" si="32"/>
        <v>12.436347385251699</v>
      </c>
      <c r="BL13" s="44">
        <f t="shared" si="48"/>
        <v>-33.730502475458351</v>
      </c>
      <c r="BM13" s="45">
        <f t="shared" si="49"/>
        <v>-56.475170507028047</v>
      </c>
    </row>
    <row r="15" spans="1:65" ht="15" thickBot="1" x14ac:dyDescent="0.4">
      <c r="A15" s="49" t="s">
        <v>456</v>
      </c>
      <c r="O15" s="34" t="s">
        <v>196</v>
      </c>
      <c r="P15">
        <f>B16</f>
        <v>5</v>
      </c>
      <c r="Q15" t="s">
        <v>10</v>
      </c>
    </row>
    <row r="16" spans="1:65" ht="15" thickBot="1" x14ac:dyDescent="0.4">
      <c r="A16" t="s">
        <v>198</v>
      </c>
      <c r="B16">
        <f>VIN_var</f>
        <v>5</v>
      </c>
      <c r="C16" t="s">
        <v>10</v>
      </c>
      <c r="E16" t="s">
        <v>199</v>
      </c>
      <c r="O16" s="48"/>
      <c r="P16" s="225" t="s">
        <v>454</v>
      </c>
      <c r="Q16" s="225"/>
      <c r="R16" s="225"/>
      <c r="S16" s="225"/>
      <c r="T16" s="225"/>
      <c r="U16" s="225"/>
      <c r="V16" s="225"/>
      <c r="W16" s="225"/>
      <c r="X16" s="225"/>
      <c r="Y16" s="225"/>
      <c r="Z16" s="225"/>
      <c r="AA16" s="225"/>
      <c r="AB16" s="225"/>
      <c r="AC16" s="225"/>
      <c r="AD16" s="225"/>
      <c r="AE16" s="226"/>
      <c r="AF16" s="224" t="s">
        <v>455</v>
      </c>
      <c r="AG16" s="225"/>
      <c r="AH16" s="225"/>
      <c r="AI16" s="225"/>
      <c r="AJ16" s="225"/>
      <c r="AK16" s="225"/>
      <c r="AL16" s="225"/>
      <c r="AM16" s="225"/>
      <c r="AN16" s="225"/>
      <c r="AO16" s="225"/>
      <c r="AP16" s="225"/>
      <c r="AQ16" s="225"/>
      <c r="AR16" s="226"/>
      <c r="AS16" s="224" t="s">
        <v>225</v>
      </c>
      <c r="AT16" s="225"/>
      <c r="AU16" s="225"/>
      <c r="AV16" s="225"/>
      <c r="AW16" s="225"/>
      <c r="AX16" s="225"/>
      <c r="AY16" s="225"/>
      <c r="AZ16" s="225"/>
      <c r="BA16" s="225"/>
      <c r="BB16" s="225"/>
      <c r="BC16" s="225"/>
      <c r="BD16" s="225"/>
      <c r="BE16" s="226"/>
      <c r="BF16" s="224" t="s">
        <v>484</v>
      </c>
      <c r="BG16" s="225"/>
      <c r="BH16" s="226"/>
      <c r="BI16" s="224" t="s">
        <v>485</v>
      </c>
      <c r="BJ16" s="225"/>
      <c r="BK16" s="226"/>
      <c r="BL16" s="224" t="s">
        <v>486</v>
      </c>
      <c r="BM16" s="226"/>
    </row>
    <row r="17" spans="1:65" x14ac:dyDescent="0.35">
      <c r="A17" t="s">
        <v>382</v>
      </c>
      <c r="B17">
        <f>IOUT</f>
        <v>2</v>
      </c>
      <c r="C17" t="s">
        <v>11</v>
      </c>
      <c r="E17" t="s">
        <v>477</v>
      </c>
      <c r="O17" s="36"/>
      <c r="Q17" s="227" t="s">
        <v>217</v>
      </c>
      <c r="R17" s="227"/>
      <c r="S17" s="227"/>
      <c r="T17" s="223" t="s">
        <v>219</v>
      </c>
      <c r="U17" s="223"/>
      <c r="V17" s="223"/>
      <c r="W17" s="223" t="s">
        <v>258</v>
      </c>
      <c r="X17" s="223"/>
      <c r="Y17" s="223"/>
      <c r="Z17" s="223" t="s">
        <v>222</v>
      </c>
      <c r="AA17" s="223"/>
      <c r="AB17" s="223"/>
      <c r="AC17" s="231" t="s">
        <v>224</v>
      </c>
      <c r="AD17" s="223"/>
      <c r="AE17" s="232"/>
      <c r="AF17" s="153"/>
      <c r="AG17" s="227" t="s">
        <v>217</v>
      </c>
      <c r="AH17" s="227"/>
      <c r="AI17" s="227"/>
      <c r="AJ17" s="228" t="s">
        <v>219</v>
      </c>
      <c r="AK17" s="228"/>
      <c r="AL17" s="228"/>
      <c r="AM17" s="223" t="s">
        <v>258</v>
      </c>
      <c r="AN17" s="223"/>
      <c r="AO17" s="223"/>
      <c r="AP17" s="229" t="s">
        <v>224</v>
      </c>
      <c r="AQ17" s="228"/>
      <c r="AR17" s="230"/>
      <c r="AT17" s="223" t="s">
        <v>231</v>
      </c>
      <c r="AU17" s="223"/>
      <c r="AV17" s="223"/>
      <c r="AW17" s="223" t="s">
        <v>232</v>
      </c>
      <c r="AX17" s="223"/>
      <c r="AY17" s="223"/>
      <c r="AZ17" s="223" t="s">
        <v>226</v>
      </c>
      <c r="BA17" s="223"/>
      <c r="BB17" s="223"/>
      <c r="BC17" s="231" t="s">
        <v>224</v>
      </c>
      <c r="BD17" s="223"/>
      <c r="BE17" s="232"/>
      <c r="BF17" s="231" t="s">
        <v>224</v>
      </c>
      <c r="BG17" s="223"/>
      <c r="BH17" s="232"/>
      <c r="BI17" s="231" t="s">
        <v>224</v>
      </c>
      <c r="BJ17" s="223"/>
      <c r="BK17" s="232"/>
      <c r="BM17" s="43"/>
    </row>
    <row r="18" spans="1:65" ht="15" thickBot="1" x14ac:dyDescent="0.4">
      <c r="N18" s="9"/>
      <c r="O18" s="37" t="s">
        <v>195</v>
      </c>
      <c r="P18" s="38" t="s">
        <v>200</v>
      </c>
      <c r="Q18" s="39" t="s">
        <v>223</v>
      </c>
      <c r="R18" s="38" t="s">
        <v>220</v>
      </c>
      <c r="S18" s="38" t="s">
        <v>221</v>
      </c>
      <c r="T18" s="38" t="s">
        <v>223</v>
      </c>
      <c r="U18" s="38" t="s">
        <v>220</v>
      </c>
      <c r="V18" s="38" t="s">
        <v>221</v>
      </c>
      <c r="W18" s="38" t="s">
        <v>223</v>
      </c>
      <c r="X18" s="38" t="s">
        <v>220</v>
      </c>
      <c r="Y18" s="38" t="s">
        <v>221</v>
      </c>
      <c r="Z18" s="38" t="s">
        <v>223</v>
      </c>
      <c r="AA18" s="38" t="s">
        <v>220</v>
      </c>
      <c r="AB18" s="38" t="s">
        <v>221</v>
      </c>
      <c r="AC18" s="42" t="s">
        <v>235</v>
      </c>
      <c r="AD18" s="38" t="s">
        <v>220</v>
      </c>
      <c r="AE18" s="40" t="s">
        <v>221</v>
      </c>
      <c r="AF18" s="156" t="s">
        <v>200</v>
      </c>
      <c r="AG18" s="156" t="s">
        <v>223</v>
      </c>
      <c r="AH18" s="156" t="s">
        <v>234</v>
      </c>
      <c r="AI18" s="156" t="s">
        <v>221</v>
      </c>
      <c r="AJ18" s="156" t="s">
        <v>223</v>
      </c>
      <c r="AK18" s="156" t="s">
        <v>234</v>
      </c>
      <c r="AL18" s="156" t="s">
        <v>221</v>
      </c>
      <c r="AM18" s="156" t="s">
        <v>223</v>
      </c>
      <c r="AN18" s="156" t="s">
        <v>234</v>
      </c>
      <c r="AO18" s="156" t="s">
        <v>221</v>
      </c>
      <c r="AP18" s="42" t="s">
        <v>235</v>
      </c>
      <c r="AQ18" s="38" t="s">
        <v>220</v>
      </c>
      <c r="AR18" s="40" t="s">
        <v>221</v>
      </c>
      <c r="AS18" s="38" t="s">
        <v>233</v>
      </c>
      <c r="AT18" s="38" t="s">
        <v>223</v>
      </c>
      <c r="AU18" s="38" t="s">
        <v>234</v>
      </c>
      <c r="AV18" s="38" t="s">
        <v>221</v>
      </c>
      <c r="AW18" s="38" t="s">
        <v>223</v>
      </c>
      <c r="AX18" s="38" t="s">
        <v>234</v>
      </c>
      <c r="AY18" s="38" t="s">
        <v>221</v>
      </c>
      <c r="AZ18" s="38" t="s">
        <v>223</v>
      </c>
      <c r="BA18" s="38" t="s">
        <v>234</v>
      </c>
      <c r="BB18" s="38" t="s">
        <v>221</v>
      </c>
      <c r="BC18" s="42" t="s">
        <v>235</v>
      </c>
      <c r="BD18" s="38" t="s">
        <v>220</v>
      </c>
      <c r="BE18" s="40" t="s">
        <v>221</v>
      </c>
      <c r="BF18" s="42" t="s">
        <v>235</v>
      </c>
      <c r="BG18" s="38" t="s">
        <v>220</v>
      </c>
      <c r="BH18" s="40" t="s">
        <v>221</v>
      </c>
      <c r="BI18" s="42" t="s">
        <v>235</v>
      </c>
      <c r="BJ18" s="38" t="s">
        <v>220</v>
      </c>
      <c r="BK18" s="40" t="s">
        <v>221</v>
      </c>
      <c r="BL18" s="4" t="s">
        <v>487</v>
      </c>
      <c r="BM18" s="60" t="s">
        <v>488</v>
      </c>
    </row>
    <row r="19" spans="1:65" x14ac:dyDescent="0.35">
      <c r="A19" t="s">
        <v>31</v>
      </c>
      <c r="B19" s="29">
        <f>VOUT</f>
        <v>50</v>
      </c>
      <c r="C19" t="s">
        <v>10</v>
      </c>
      <c r="E19" t="s">
        <v>173</v>
      </c>
      <c r="N19" s="9">
        <v>1</v>
      </c>
      <c r="O19" s="34">
        <f>10^(1+(N19/100))</f>
        <v>10.232929922807543</v>
      </c>
      <c r="P19" s="33" t="str">
        <f t="shared" ref="P19:P82" si="50">COMPLEX(Adc,0)</f>
        <v>59,1053597814893</v>
      </c>
      <c r="Q19" s="4" t="str">
        <f>IMSUM(COMPLEX(1,0),IMDIV(COMPLEX(0,2*PI()*O19),COMPLEX(wp_lf,0)))</f>
        <v>1+0,494026318531753i</v>
      </c>
      <c r="R19" s="4">
        <f>IMABS(Q19)</f>
        <v>1.1153752746954888</v>
      </c>
      <c r="S19" s="4">
        <f>IMARGUMENT(Q19)</f>
        <v>0.45885725395915938</v>
      </c>
      <c r="T19" s="4" t="str">
        <f t="shared" ref="T19:T82" si="51">IMSUM(COMPLEX(1,0),IMDIV(COMPLEX(0,2*PI()*O19),COMPLEX(wz_esr,0)))</f>
        <v>1+0,0000835840134224975i</v>
      </c>
      <c r="U19" s="4">
        <f>IMABS(T19)</f>
        <v>1.0000000034931436</v>
      </c>
      <c r="V19" s="4">
        <f>IMARGUMENT(T19)</f>
        <v>8.3584013227850189E-5</v>
      </c>
      <c r="W19" t="str">
        <f t="shared" ref="W19:W82" si="52">IMSUB(COMPLEX(1,0),IMDIV(COMPLEX(0,2*PI()*O19),COMPLEX(wz_rhp,0)))</f>
        <v>1-0,00308617895713837i</v>
      </c>
      <c r="X19" s="4">
        <f>IMABS(W19)</f>
        <v>1.0000047622389383</v>
      </c>
      <c r="Y19" s="4">
        <f>IMARGUMENT(W19)</f>
        <v>-3.0861691590899657E-3</v>
      </c>
      <c r="Z19" t="str">
        <f t="shared" ref="Z19:Z82" si="53">IMSUM(COMPLEX(1,0),IMDIV(COMPLEX(0,2*PI()*O19),COMPLEX(Q*(wsl/2),0)),IMDIV(IMPOWER(COMPLEX(0,2*PI()*O19),2),IMPOWER(COMPLEX(wsl/2,0),2)))</f>
        <v>0,999999997836511+0,000288744773641355i</v>
      </c>
      <c r="AA19" s="4">
        <f>IMABS(Z19)</f>
        <v>1.0000000395232824</v>
      </c>
      <c r="AB19" s="4">
        <f>IMARGUMENT(Z19)</f>
        <v>2.8874476624149307E-4</v>
      </c>
      <c r="AC19" s="47" t="str">
        <f>(IMDIV(IMPRODUCT(P19,T19,W19),IMPRODUCT(Q19,Z19)))</f>
        <v>47,4326946847333-23,627535339938i</v>
      </c>
      <c r="AD19" s="20">
        <f>20*LOG(IMABS(AC19))</f>
        <v>34.484158097785624</v>
      </c>
      <c r="AE19" s="43">
        <f>(180/PI())*IMARGUMENT(AC19)</f>
        <v>-26.479163363771157</v>
      </c>
      <c r="AF19" t="str">
        <f t="shared" ref="AF19:AF82" si="54">COMPLEX($B$72,0)</f>
        <v>405,634542683733</v>
      </c>
      <c r="AG19" t="str">
        <f t="shared" ref="AG19:AG82" si="55">IMSUM(COMPLEX(1,0),IMDIV(COMPLEX(0,2*PI()*O19),COMPLEX(wp_lf_DCM,0)))</f>
        <v>1+0,494905342633209i</v>
      </c>
      <c r="AH19">
        <f>IMABS(AG19)</f>
        <v>1.1157648937687967</v>
      </c>
      <c r="AI19">
        <f>IMARGUMENT(AG19)</f>
        <v>0.45956358308234696</v>
      </c>
      <c r="AJ19" t="str">
        <f t="shared" ref="AJ19:AJ82" si="56">IMSUM(COMPLEX(1,0),IMDIV(COMPLEX(0,2*PI()*O19),COMPLEX(wz1_dcm,0)))</f>
        <v>1+0,0000835840134224975i</v>
      </c>
      <c r="AK19">
        <f>IMABS(AJ19)</f>
        <v>1.0000000034931436</v>
      </c>
      <c r="AL19">
        <f>IMARGUMENT(AJ19)</f>
        <v>8.3584013227850189E-5</v>
      </c>
      <c r="AM19" t="str">
        <f t="shared" ref="AM19:AM82" si="57">IMSUB(COMPLEX(1,0),IMDIV(COMPLEX(0,2*PI()*O19),COMPLEX(wz2_dcm,0)))</f>
        <v>1-0,000450485073679823i</v>
      </c>
      <c r="AN19">
        <f>IMABS(AM19)</f>
        <v>1.0000001014683957</v>
      </c>
      <c r="AO19">
        <f>IMARGUMENT(AM19)</f>
        <v>-4.5048504320649338E-4</v>
      </c>
      <c r="AP19" s="41" t="str">
        <f>(IMDIV(IMPRODUCT(AF19,AJ19,AM19),IMPRODUCT(AG19)))</f>
        <v>325,769705451916-161,373995439988i</v>
      </c>
      <c r="AQ19">
        <f>20*LOG(IMABS(AP19))</f>
        <v>51.211245680862163</v>
      </c>
      <c r="AR19" s="43">
        <f>(180/PI())*IMARGUMENT(AP19)</f>
        <v>-26.352075609045055</v>
      </c>
      <c r="AS19" t="str">
        <f t="shared" ref="AS19:AS82" si="58">COMPLEX(Adc_ea,0)</f>
        <v>-0,0000166666666666667</v>
      </c>
      <c r="AT19" t="str">
        <f t="shared" ref="AT19:AT82" si="59">COMPLEX(0,2*PI()*O19*wp0_ea)</f>
        <v>0,0000142414299792948i</v>
      </c>
      <c r="AU19">
        <f>IMABS(AT19)</f>
        <v>1.4241429979294801E-5</v>
      </c>
      <c r="AV19">
        <f>IMARGUMENT(AT19)</f>
        <v>1.5707963267948966</v>
      </c>
      <c r="AW19" t="str">
        <f t="shared" ref="AW19:AW82" si="60">IMSUM(COMPLEX(1,0),IMDIV(COMPLEX(0,2*PI()*O19),COMPLEX(wp1_ea,0)))</f>
        <v>1+0,000507686888265145i</v>
      </c>
      <c r="AX19">
        <f>IMABS(AW19)</f>
        <v>1.0000001288729801</v>
      </c>
      <c r="AY19">
        <f>IMARGUMENT(AW19)</f>
        <v>5.0768684464706749E-4</v>
      </c>
      <c r="AZ19" t="str">
        <f t="shared" ref="AZ19:AZ82" si="61">IMSUM(COMPLEX(1,0),IMDIV(COMPLEX(0,2*PI()*O19),COMPLEX(wz_ea,0)))</f>
        <v>1+0,0749684305004863i</v>
      </c>
      <c r="BA19">
        <f>IMABS(AZ19)</f>
        <v>1.0028061954194869</v>
      </c>
      <c r="BB19">
        <f>IMARGUMENT(AZ19)</f>
        <v>7.4828454722492999E-2</v>
      </c>
      <c r="BC19" s="41" t="str">
        <f>IMPRODUCT(AS19,IMDIV(AZ19,IMPRODUCT(AT19,AW19)))</f>
        <v>-0,087140973587303+1,17033870450206i</v>
      </c>
      <c r="BD19">
        <f>20*LOG(IMABS(BC19))</f>
        <v>1.3902420626394487</v>
      </c>
      <c r="BE19" s="43">
        <f>(180/PI())*IMARGUMENT(BC19)</f>
        <v>94.258266329572024</v>
      </c>
      <c r="BF19" s="41" t="str">
        <f>IMPRODUCT(AC19,BC19)</f>
        <v>23,5188879056227+57,5712448813631i</v>
      </c>
      <c r="BG19" s="20">
        <f>20*LOG(IMABS(BF19))</f>
        <v>35.874400160425068</v>
      </c>
      <c r="BH19" s="43">
        <f>(180/PI())*IMARGUMENT(BF19)</f>
        <v>67.779102965800888</v>
      </c>
      <c r="BI19" s="41" t="str">
        <f>IMPRODUCT(AP19,BC19)</f>
        <v>160,474343465228+395,323182118927i</v>
      </c>
      <c r="BJ19" s="20">
        <f>20*LOG(IMABS(BI19))</f>
        <v>52.601487743501629</v>
      </c>
      <c r="BK19" s="43">
        <f>(180/PI())*IMARGUMENT(BI19)</f>
        <v>67.906190720527007</v>
      </c>
      <c r="BL19">
        <f>IF($B$31=0,BJ19,BG19)</f>
        <v>35.874400160425068</v>
      </c>
      <c r="BM19" s="43">
        <f>IF($B$31=0,BK19,BH19)</f>
        <v>67.779102965800888</v>
      </c>
    </row>
    <row r="20" spans="1:65" x14ac:dyDescent="0.35">
      <c r="A20" t="s">
        <v>33</v>
      </c>
      <c r="B20" s="29">
        <f>IOUT</f>
        <v>2</v>
      </c>
      <c r="C20" t="s">
        <v>11</v>
      </c>
      <c r="E20" t="s">
        <v>34</v>
      </c>
      <c r="N20" s="9">
        <v>2</v>
      </c>
      <c r="O20" s="34">
        <f t="shared" ref="O20:O83" si="62">10^(1+(N20/100))</f>
        <v>10.471285480509</v>
      </c>
      <c r="P20" s="33" t="str">
        <f t="shared" si="50"/>
        <v>59,1053597814893</v>
      </c>
      <c r="Q20" s="4" t="str">
        <f t="shared" ref="Q20:Q82" si="63">IMSUM(COMPLEX(1,0),IMDIV(COMPLEX(0,2*PI()*O20),COMPLEX(wp_lf,0)))</f>
        <v>1+0,505533669755803i</v>
      </c>
      <c r="R20" s="4">
        <f t="shared" ref="R20:R83" si="64">IMABS(Q20)</f>
        <v>1.1205196523295651</v>
      </c>
      <c r="S20" s="4">
        <f t="shared" ref="S20:S83" si="65">IMARGUMENT(Q20)</f>
        <v>0.46806473883892608</v>
      </c>
      <c r="T20" s="4" t="str">
        <f t="shared" si="51"/>
        <v>1+0,0000855309352019423i</v>
      </c>
      <c r="U20" s="4">
        <f t="shared" ref="U20:U83" si="66">IMABS(T20)</f>
        <v>1.0000000036577703</v>
      </c>
      <c r="V20" s="4">
        <f t="shared" ref="V20:V83" si="67">IMARGUMENT(T20)</f>
        <v>8.5530934993373946E-5</v>
      </c>
      <c r="W20" t="str">
        <f t="shared" si="52"/>
        <v>1-0,00315806529976403i</v>
      </c>
      <c r="X20" s="4">
        <f t="shared" ref="X20:X83" si="68">IMABS(W20)</f>
        <v>1.0000049866757854</v>
      </c>
      <c r="Y20" s="4">
        <f t="shared" ref="Y20:Y83" si="69">IMARGUMENT(W20)</f>
        <v>-3.1580548009688385E-3</v>
      </c>
      <c r="Z20" t="str">
        <f t="shared" si="53"/>
        <v>0,999999997734549+0,000295470503424891i</v>
      </c>
      <c r="AA20" s="4">
        <f t="shared" ref="AA20:AA83" si="70">IMABS(Z20)</f>
        <v>1.0000000413859573</v>
      </c>
      <c r="AB20" s="4">
        <f t="shared" ref="AB20:AB83" si="71">IMARGUMENT(Z20)</f>
        <v>2.9547049549579613E-4</v>
      </c>
      <c r="AC20" s="47" t="str">
        <f t="shared" ref="AC20:AC83" si="72">(IMDIV(IMPRODUCT(P20,T20,W20),IMPRODUCT(Q20,Z20)))</f>
        <v>46,9945524394909-23,9563956805642i</v>
      </c>
      <c r="AD20" s="20">
        <f t="shared" ref="AD20:AD83" si="73">20*LOG(IMABS(AC20))</f>
        <v>34.444190734535397</v>
      </c>
      <c r="AE20" s="43">
        <f t="shared" ref="AE20:AE83" si="74">(180/PI())*IMARGUMENT(AC20)</f>
        <v>-27.01110593669976</v>
      </c>
      <c r="AF20" t="str">
        <f t="shared" si="54"/>
        <v>405,634542683733</v>
      </c>
      <c r="AG20" t="str">
        <f t="shared" si="55"/>
        <v>1+0,506433168958868i</v>
      </c>
      <c r="AH20">
        <f t="shared" ref="AH20:AH83" si="75">IMABS(AG20)</f>
        <v>1.1209257578545162</v>
      </c>
      <c r="AI20">
        <f t="shared" ref="AI20:AI83" si="76">IMARGUMENT(AG20)</f>
        <v>0.46878088965839543</v>
      </c>
      <c r="AJ20" t="str">
        <f t="shared" si="56"/>
        <v>1+0,0000855309352019423i</v>
      </c>
      <c r="AK20">
        <f t="shared" ref="AK20:AK83" si="77">IMABS(AJ20)</f>
        <v>1.0000000036577703</v>
      </c>
      <c r="AL20">
        <f t="shared" ref="AL20:AL83" si="78">IMARGUMENT(AJ20)</f>
        <v>8.5530934993373946E-5</v>
      </c>
      <c r="AM20" t="str">
        <f t="shared" si="57"/>
        <v>1-0,000460978219023642i</v>
      </c>
      <c r="AN20">
        <f t="shared" ref="AN20:AN83" si="79">IMABS(AM20)</f>
        <v>1.0000001062504535</v>
      </c>
      <c r="AO20">
        <f t="shared" ref="AO20:AO83" si="80">IMARGUMENT(AM20)</f>
        <v>-4.609781863708812E-4</v>
      </c>
      <c r="AP20" s="41" t="str">
        <f t="shared" ref="AP20:AP83" si="81">(IMDIV(IMPRODUCT(AF20,AJ20,AM20),IMPRODUCT(AG20)))</f>
        <v>322,774090614184-163,615799954833i</v>
      </c>
      <c r="AQ20">
        <f t="shared" ref="AQ20:AQ83" si="82">20*LOG(IMABS(AP20))</f>
        <v>51.171162598873472</v>
      </c>
      <c r="AR20" s="43">
        <f t="shared" ref="AR20:AR83" si="83">(180/PI())*IMARGUMENT(AP20)</f>
        <v>-26.880678036747732</v>
      </c>
      <c r="AS20" t="str">
        <f t="shared" si="58"/>
        <v>-0,0000166666666666667</v>
      </c>
      <c r="AT20" t="str">
        <f t="shared" si="59"/>
        <v>0,0000145731554978694i</v>
      </c>
      <c r="AU20">
        <f t="shared" ref="AU20:AU83" si="84">IMABS(AT20)</f>
        <v>1.45731554978694E-5</v>
      </c>
      <c r="AV20">
        <f t="shared" ref="AV20:AV83" si="85">IMARGUMENT(AT20)</f>
        <v>1.5707963267948966</v>
      </c>
      <c r="AW20" t="str">
        <f t="shared" si="60"/>
        <v>1+0,000519512435034545i</v>
      </c>
      <c r="AX20">
        <f t="shared" ref="AX20:AX83" si="86">IMABS(AW20)</f>
        <v>1.0000001349465759</v>
      </c>
      <c r="AY20">
        <f t="shared" ref="AY20:AY83" si="87">IMARGUMENT(AW20)</f>
        <v>5.195123882969332E-4</v>
      </c>
      <c r="AZ20" t="str">
        <f t="shared" si="61"/>
        <v>1+0,0767146695734344i</v>
      </c>
      <c r="BA20">
        <f t="shared" ref="BA20:BA83" si="88">IMABS(AZ20)</f>
        <v>1.002938253596781</v>
      </c>
      <c r="BB20">
        <f t="shared" ref="BB20:BB83" si="89">IMARGUMENT(AZ20)</f>
        <v>7.6564706546776412E-2</v>
      </c>
      <c r="BC20" s="41" t="str">
        <f t="shared" ref="BC20:BC83" si="90">IMPRODUCT(AS20,IMDIV(AZ20,IMPRODUCT(AT20,AW20)))</f>
        <v>-0,087140972528785+1,14370058068658i</v>
      </c>
      <c r="BD20">
        <f t="shared" ref="BD20:BD83" si="91">20*LOG(IMABS(BC20))</f>
        <v>1.1913857675116553</v>
      </c>
      <c r="BE20" s="43">
        <f t="shared" ref="BE20:BE83" si="92">(180/PI())*IMARGUMENT(BC20)</f>
        <v>94.357068677533761</v>
      </c>
      <c r="BF20" s="41" t="str">
        <f t="shared" ref="BF20:BF83" si="93">IMPRODUCT(AC20,BC20)</f>
        <v>23,3037926478865+55,8352805320404i</v>
      </c>
      <c r="BG20" s="20">
        <f t="shared" ref="BG20:BG83" si="94">20*LOG(IMABS(BF20))</f>
        <v>35.635576502047051</v>
      </c>
      <c r="BH20" s="43">
        <f t="shared" ref="BH20:BH83" si="95">(180/PI())*IMARGUMENT(BF20)</f>
        <v>67.345962740834011</v>
      </c>
      <c r="BI20" s="41" t="str">
        <f t="shared" ref="BI20:BI49" si="96">IMPRODUCT(AP20,BC20)</f>
        <v>159,000637254628+383,414554795164i</v>
      </c>
      <c r="BJ20" s="20">
        <f t="shared" ref="BJ20:BJ83" si="97">20*LOG(IMABS(BI20))</f>
        <v>52.36254836638512</v>
      </c>
      <c r="BK20" s="43">
        <f t="shared" ref="BK20:BK49" si="98">(180/PI())*IMARGUMENT(BI20)</f>
        <v>67.476390640785965</v>
      </c>
      <c r="BL20">
        <f t="shared" ref="BL20:BL83" si="99">IF($B$31=0,BJ20,BG20)</f>
        <v>35.635576502047051</v>
      </c>
      <c r="BM20" s="43">
        <f t="shared" ref="BM20:BM83" si="100">IF($B$31=0,BK20,BH20)</f>
        <v>67.345962740834011</v>
      </c>
    </row>
    <row r="21" spans="1:65" x14ac:dyDescent="0.35">
      <c r="N21" s="9">
        <v>3</v>
      </c>
      <c r="O21" s="34">
        <f t="shared" si="62"/>
        <v>10.715193052376069</v>
      </c>
      <c r="P21" s="33" t="str">
        <f t="shared" si="50"/>
        <v>59,1053597814893</v>
      </c>
      <c r="Q21" s="4" t="str">
        <f t="shared" si="63"/>
        <v>1+0,517309061623086i</v>
      </c>
      <c r="R21" s="4">
        <f t="shared" si="64"/>
        <v>1.125881283811645</v>
      </c>
      <c r="S21" s="4">
        <f t="shared" si="65"/>
        <v>0.47739877754525817</v>
      </c>
      <c r="T21" s="4" t="str">
        <f t="shared" si="51"/>
        <v>1+0,0000875232066153668i</v>
      </c>
      <c r="U21" s="4">
        <f t="shared" si="66"/>
        <v>1.0000000038301557</v>
      </c>
      <c r="V21" s="4">
        <f t="shared" si="67"/>
        <v>8.7523206391881798E-5</v>
      </c>
      <c r="W21" t="str">
        <f t="shared" si="52"/>
        <v>1-0,00323162609041355i</v>
      </c>
      <c r="X21" s="4">
        <f t="shared" si="68"/>
        <v>1.0000052216899611</v>
      </c>
      <c r="Y21" s="4">
        <f t="shared" si="69"/>
        <v>-3.2316148407549932E-3</v>
      </c>
      <c r="Z21" t="str">
        <f t="shared" si="53"/>
        <v>0,999999997627782+0,000302352895580358i</v>
      </c>
      <c r="AA21" s="4">
        <f t="shared" si="70"/>
        <v>1.000000043336418</v>
      </c>
      <c r="AB21" s="4">
        <f t="shared" si="71"/>
        <v>3.0235288708417964E-4</v>
      </c>
      <c r="AC21" s="47" t="str">
        <f t="shared" si="72"/>
        <v>46,5442835346615-24,2814836350039i</v>
      </c>
      <c r="AD21" s="20">
        <f t="shared" si="73"/>
        <v>34.402730324171614</v>
      </c>
      <c r="AE21" s="43">
        <f t="shared" si="74"/>
        <v>-27.550401823453061</v>
      </c>
      <c r="AF21" t="str">
        <f t="shared" si="54"/>
        <v>405,634542683733</v>
      </c>
      <c r="AG21" t="str">
        <f t="shared" si="55"/>
        <v>1+0,518229512854145i</v>
      </c>
      <c r="AH21">
        <f t="shared" si="75"/>
        <v>1.1263045005650312</v>
      </c>
      <c r="AI21">
        <f t="shared" si="76"/>
        <v>0.47812463677226807</v>
      </c>
      <c r="AJ21" t="str">
        <f t="shared" si="56"/>
        <v>1+0,0000875232066153668i</v>
      </c>
      <c r="AK21">
        <f t="shared" si="77"/>
        <v>1.0000000038301557</v>
      </c>
      <c r="AL21">
        <f t="shared" si="78"/>
        <v>8.7523206391881798E-5</v>
      </c>
      <c r="AM21" t="str">
        <f t="shared" si="57"/>
        <v>1-0,000471715781120956i</v>
      </c>
      <c r="AN21">
        <f t="shared" si="79"/>
        <v>1.0000001112578829</v>
      </c>
      <c r="AO21">
        <f t="shared" si="80"/>
        <v>-4.717157461328926E-4</v>
      </c>
      <c r="AP21" s="41" t="str">
        <f t="shared" si="81"/>
        <v>319,695728400608-165,83160336986i</v>
      </c>
      <c r="AQ21">
        <f t="shared" si="82"/>
        <v>51.129583233285167</v>
      </c>
      <c r="AR21" s="43">
        <f t="shared" si="83"/>
        <v>-27.41653637932399</v>
      </c>
      <c r="AS21" t="str">
        <f t="shared" si="58"/>
        <v>-0,0000166666666666667</v>
      </c>
      <c r="AT21" t="str">
        <f t="shared" si="59"/>
        <v>0,0000149126078963875i</v>
      </c>
      <c r="AU21">
        <f t="shared" si="84"/>
        <v>1.49126078963875E-5</v>
      </c>
      <c r="AV21">
        <f t="shared" si="85"/>
        <v>1.5707963267948966</v>
      </c>
      <c r="AW21" t="str">
        <f t="shared" si="60"/>
        <v>1+0,00053161343417356i</v>
      </c>
      <c r="AX21">
        <f t="shared" si="86"/>
        <v>1.0000001413064117</v>
      </c>
      <c r="AY21">
        <f t="shared" si="87"/>
        <v>5.3161338409330708E-4</v>
      </c>
      <c r="AZ21" t="str">
        <f t="shared" si="61"/>
        <v>1+0,078501583779629i</v>
      </c>
      <c r="BA21">
        <f t="shared" si="88"/>
        <v>1.0030765168499909</v>
      </c>
      <c r="BB21">
        <f t="shared" si="89"/>
        <v>7.8340922107457023E-2</v>
      </c>
      <c r="BC21" s="41" t="str">
        <f t="shared" si="90"/>
        <v>-0,0871409714203807+1,11766886205759i</v>
      </c>
      <c r="BD21">
        <f t="shared" si="91"/>
        <v>0.99258305077298759</v>
      </c>
      <c r="BE21" s="43">
        <f t="shared" si="92"/>
        <v>94.458144996679195</v>
      </c>
      <c r="BF21" s="41" t="str">
        <f t="shared" si="93"/>
        <v>23,0827441021288+54,1370084849533i</v>
      </c>
      <c r="BG21" s="20">
        <f t="shared" si="94"/>
        <v>35.395313374944614</v>
      </c>
      <c r="BH21" s="43">
        <f t="shared" si="95"/>
        <v>66.907743173226123</v>
      </c>
      <c r="BI21" s="41" t="str">
        <f t="shared" si="96"/>
        <v>157,486223099802+371,764687976029i</v>
      </c>
      <c r="BJ21" s="20">
        <f t="shared" si="97"/>
        <v>52.12216628405816</v>
      </c>
      <c r="BK21" s="43">
        <f t="shared" si="98"/>
        <v>67.041608617355209</v>
      </c>
      <c r="BL21">
        <f t="shared" si="99"/>
        <v>35.395313374944614</v>
      </c>
      <c r="BM21" s="43">
        <f t="shared" si="100"/>
        <v>66.907743173226123</v>
      </c>
    </row>
    <row r="22" spans="1:65" x14ac:dyDescent="0.35">
      <c r="A22" t="s">
        <v>174</v>
      </c>
      <c r="N22" s="9">
        <v>4</v>
      </c>
      <c r="O22" s="34">
        <f t="shared" si="62"/>
        <v>10.964781961431854</v>
      </c>
      <c r="P22" s="33" t="str">
        <f t="shared" si="50"/>
        <v>59,1053597814893</v>
      </c>
      <c r="Q22" s="4" t="str">
        <f t="shared" si="63"/>
        <v>1+0,529358737602237i</v>
      </c>
      <c r="R22" s="4">
        <f t="shared" si="64"/>
        <v>1.1314683703382229</v>
      </c>
      <c r="S22" s="4">
        <f t="shared" si="65"/>
        <v>0.48685781243563053</v>
      </c>
      <c r="T22" s="4" t="str">
        <f t="shared" si="51"/>
        <v>1+0,0000895618839914453i</v>
      </c>
      <c r="U22" s="4">
        <f t="shared" si="66"/>
        <v>1.0000000040106656</v>
      </c>
      <c r="V22" s="4">
        <f t="shared" si="67"/>
        <v>8.9561883751976796E-5</v>
      </c>
      <c r="W22" t="str">
        <f t="shared" si="52"/>
        <v>1-0,00330690033199183i</v>
      </c>
      <c r="X22" s="4">
        <f t="shared" si="68"/>
        <v>1.0000054677799546</v>
      </c>
      <c r="Y22" s="4">
        <f t="shared" si="69"/>
        <v>-3.306888277769069E-3</v>
      </c>
      <c r="Z22" t="str">
        <f t="shared" si="53"/>
        <v>0,999999997515983+0,000309395599243175i</v>
      </c>
      <c r="AA22" s="4">
        <f t="shared" si="70"/>
        <v>1.0000000453788003</v>
      </c>
      <c r="AB22" s="4">
        <f t="shared" si="71"/>
        <v>3.0939559013935585E-4</v>
      </c>
      <c r="AC22" s="47" t="str">
        <f t="shared" si="72"/>
        <v>46,0818747503117-24,6022919149107i</v>
      </c>
      <c r="AD22" s="20">
        <f t="shared" si="73"/>
        <v>34.359736079406908</v>
      </c>
      <c r="AE22" s="43">
        <f t="shared" si="74"/>
        <v>-28.096964160741592</v>
      </c>
      <c r="AF22" t="str">
        <f t="shared" si="54"/>
        <v>405,634542683733</v>
      </c>
      <c r="AG22" t="str">
        <f t="shared" si="55"/>
        <v>1+0,530300628896715i</v>
      </c>
      <c r="AH22">
        <f t="shared" si="75"/>
        <v>1.1319093413380117</v>
      </c>
      <c r="AI22">
        <f t="shared" si="76"/>
        <v>0.48759325161082834</v>
      </c>
      <c r="AJ22" t="str">
        <f t="shared" si="56"/>
        <v>1+0,0000895618839914453i</v>
      </c>
      <c r="AK22">
        <f t="shared" si="77"/>
        <v>1.0000000040106656</v>
      </c>
      <c r="AL22">
        <f t="shared" si="78"/>
        <v>8.9561883751976796E-5</v>
      </c>
      <c r="AM22" t="str">
        <f t="shared" si="57"/>
        <v>1-0,000482703453169316i</v>
      </c>
      <c r="AN22">
        <f t="shared" si="79"/>
        <v>1.000000116501305</v>
      </c>
      <c r="AO22">
        <f t="shared" si="80"/>
        <v>-4.8270341567893091E-4</v>
      </c>
      <c r="AP22" s="41" t="str">
        <f t="shared" si="81"/>
        <v>316,534541822418-168,017938396585i</v>
      </c>
      <c r="AQ22">
        <f t="shared" si="82"/>
        <v>51.086466789428478</v>
      </c>
      <c r="AR22" s="43">
        <f t="shared" si="83"/>
        <v>-27.959560786891583</v>
      </c>
      <c r="AS22" t="str">
        <f t="shared" si="58"/>
        <v>-0,0000166666666666667</v>
      </c>
      <c r="AT22" t="str">
        <f t="shared" si="59"/>
        <v>0,0000152599671570039i</v>
      </c>
      <c r="AU22">
        <f t="shared" si="84"/>
        <v>1.5259967157003899E-5</v>
      </c>
      <c r="AV22">
        <f t="shared" si="85"/>
        <v>1.5707963267948966</v>
      </c>
      <c r="AW22" t="str">
        <f t="shared" si="60"/>
        <v>1+0,00054399630179211i</v>
      </c>
      <c r="AX22">
        <f t="shared" si="86"/>
        <v>1.0000001479659772</v>
      </c>
      <c r="AY22">
        <f t="shared" si="87"/>
        <v>5.4399624813015264E-4</v>
      </c>
      <c r="AZ22" t="str">
        <f t="shared" si="61"/>
        <v>1+0,0803301205646348i</v>
      </c>
      <c r="BA22">
        <f t="shared" si="88"/>
        <v>1.0032212758259909</v>
      </c>
      <c r="BB22">
        <f t="shared" si="89"/>
        <v>8.0157998321635865E-2</v>
      </c>
      <c r="BC22" s="41" t="str">
        <f t="shared" si="90"/>
        <v>-0,0871409702597392+1,09222974625331i</v>
      </c>
      <c r="BD22">
        <f t="shared" si="91"/>
        <v>0.79383640655105736</v>
      </c>
      <c r="BE22" s="43">
        <f t="shared" si="92"/>
        <v>94.561546308957645</v>
      </c>
      <c r="BF22" s="41" t="str">
        <f t="shared" si="93"/>
        <v>22,8557357783428+52,4758619534884i</v>
      </c>
      <c r="BG22" s="20">
        <f t="shared" si="94"/>
        <v>35.153572485957966</v>
      </c>
      <c r="BH22" s="43">
        <f t="shared" si="95"/>
        <v>66.464582148216095</v>
      </c>
      <c r="BI22" s="41" t="str">
        <f t="shared" si="96"/>
        <v>155,931063125779+360,369688468027i</v>
      </c>
      <c r="BJ22" s="20">
        <f t="shared" si="97"/>
        <v>51.880303195979536</v>
      </c>
      <c r="BK22" s="43">
        <f t="shared" si="98"/>
        <v>66.601985522066059</v>
      </c>
      <c r="BL22">
        <f t="shared" si="99"/>
        <v>35.153572485957966</v>
      </c>
      <c r="BM22" s="43">
        <f t="shared" si="100"/>
        <v>66.464582148216095</v>
      </c>
    </row>
    <row r="23" spans="1:65" x14ac:dyDescent="0.35">
      <c r="A23" t="s">
        <v>175</v>
      </c>
      <c r="B23" s="29">
        <f>Lm</f>
        <v>1.2E-5</v>
      </c>
      <c r="C23" t="s">
        <v>87</v>
      </c>
      <c r="E23" t="s">
        <v>176</v>
      </c>
      <c r="N23" s="9">
        <v>5</v>
      </c>
      <c r="O23" s="34">
        <f t="shared" si="62"/>
        <v>11.220184543019636</v>
      </c>
      <c r="P23" s="33" t="str">
        <f t="shared" si="50"/>
        <v>59,1053597814893</v>
      </c>
      <c r="Q23" s="4" t="str">
        <f t="shared" si="63"/>
        <v>1+0,541689086590955i</v>
      </c>
      <c r="R23" s="4">
        <f t="shared" si="64"/>
        <v>1.1372893503993358</v>
      </c>
      <c r="S23" s="4">
        <f t="shared" si="65"/>
        <v>0.49644008730439587</v>
      </c>
      <c r="T23" s="4" t="str">
        <f t="shared" si="51"/>
        <v>1+0,0000916480482639079i</v>
      </c>
      <c r="U23" s="4">
        <f t="shared" si="66"/>
        <v>1.0000000041996824</v>
      </c>
      <c r="V23" s="4">
        <f t="shared" si="67"/>
        <v>9.1648048007312766E-5</v>
      </c>
      <c r="W23" t="str">
        <f t="shared" si="52"/>
        <v>1-0,00338392793589814i</v>
      </c>
      <c r="X23" s="4">
        <f t="shared" si="68"/>
        <v>1.0000057254677472</v>
      </c>
      <c r="Y23" s="4">
        <f t="shared" si="69"/>
        <v>-3.3839150195697359E-3</v>
      </c>
      <c r="Z23" t="str">
        <f t="shared" si="53"/>
        <v>0,999999997398914+0,000316602348548045i</v>
      </c>
      <c r="AA23" s="4">
        <f t="shared" si="70"/>
        <v>1.0000000475174362</v>
      </c>
      <c r="AB23" s="4">
        <f t="shared" si="71"/>
        <v>3.1660233879312732E-4</v>
      </c>
      <c r="AC23" s="47" t="str">
        <f t="shared" si="72"/>
        <v>45,607338569959-24,91830183981i</v>
      </c>
      <c r="AD23" s="20">
        <f t="shared" si="73"/>
        <v>34.315167211535346</v>
      </c>
      <c r="AE23" s="43">
        <f t="shared" si="74"/>
        <v>-28.650694763945616</v>
      </c>
      <c r="AF23" t="str">
        <f t="shared" si="54"/>
        <v>405,634542683733</v>
      </c>
      <c r="AG23" t="str">
        <f t="shared" si="55"/>
        <v>1+0,542652917352086i</v>
      </c>
      <c r="AH23">
        <f t="shared" si="75"/>
        <v>1.1377487370727906</v>
      </c>
      <c r="AI23">
        <f t="shared" si="76"/>
        <v>0.49718496245894811</v>
      </c>
      <c r="AJ23" t="str">
        <f t="shared" si="56"/>
        <v>1+0,0000916480482639079i</v>
      </c>
      <c r="AK23">
        <f t="shared" si="77"/>
        <v>1.0000000041996824</v>
      </c>
      <c r="AL23">
        <f t="shared" si="78"/>
        <v>9.1648048007312766E-5</v>
      </c>
      <c r="AM23" t="str">
        <f t="shared" si="57"/>
        <v>1-0,000493947060977882i</v>
      </c>
      <c r="AN23">
        <f t="shared" si="79"/>
        <v>1.000000121991842</v>
      </c>
      <c r="AO23">
        <f t="shared" si="80"/>
        <v>-4.9394702080621093E-4</v>
      </c>
      <c r="AP23" s="41" t="str">
        <f t="shared" si="81"/>
        <v>313,290629972824-170,17126070987i</v>
      </c>
      <c r="AQ23">
        <f t="shared" si="82"/>
        <v>51.041772477702274</v>
      </c>
      <c r="AR23" s="43">
        <f t="shared" si="83"/>
        <v>-28.50965001951181</v>
      </c>
      <c r="AS23" t="str">
        <f t="shared" si="58"/>
        <v>-0,0000166666666666667</v>
      </c>
      <c r="AT23" t="str">
        <f t="shared" si="59"/>
        <v>0,0000156154174541966i</v>
      </c>
      <c r="AU23">
        <f t="shared" si="84"/>
        <v>1.5615417454196599E-5</v>
      </c>
      <c r="AV23">
        <f t="shared" si="85"/>
        <v>1.5707963267948966</v>
      </c>
      <c r="AW23" t="str">
        <f t="shared" si="60"/>
        <v>1+0,000556667603450513i</v>
      </c>
      <c r="AX23">
        <f t="shared" si="86"/>
        <v>1.0000001549393984</v>
      </c>
      <c r="AY23">
        <f t="shared" si="87"/>
        <v>5.566675459506902E-4</v>
      </c>
      <c r="AZ23" t="str">
        <f t="shared" si="61"/>
        <v>1+0,0822012494428589i</v>
      </c>
      <c r="BA23">
        <f t="shared" si="88"/>
        <v>1.0033728346980333</v>
      </c>
      <c r="BB23">
        <f t="shared" si="89"/>
        <v>8.2016850603909439E-2</v>
      </c>
      <c r="BC23" s="41" t="str">
        <f t="shared" si="90"/>
        <v>-0,0871409690443977+1,06736974511779i</v>
      </c>
      <c r="BD23">
        <f t="shared" si="91"/>
        <v>0.59514844356113805</v>
      </c>
      <c r="BE23" s="43">
        <f t="shared" si="92"/>
        <v>94.667324687584141</v>
      </c>
      <c r="BF23" s="41" t="str">
        <f t="shared" si="93"/>
        <v>22,622773805004+50,8512983141797i</v>
      </c>
      <c r="BG23" s="20">
        <f t="shared" si="94"/>
        <v>34.910315655096475</v>
      </c>
      <c r="BH23" s="43">
        <f t="shared" si="95"/>
        <v>66.016629923638504</v>
      </c>
      <c r="BI23" s="41" t="str">
        <f t="shared" si="96"/>
        <v>154,335206081905+349,22582842365i</v>
      </c>
      <c r="BJ23" s="20">
        <f t="shared" si="97"/>
        <v>51.63692092126341</v>
      </c>
      <c r="BK23" s="43">
        <f t="shared" si="98"/>
        <v>66.157674668072374</v>
      </c>
      <c r="BL23">
        <f t="shared" si="99"/>
        <v>34.910315655096475</v>
      </c>
      <c r="BM23" s="43">
        <f t="shared" si="100"/>
        <v>66.016629923638504</v>
      </c>
    </row>
    <row r="24" spans="1:65" x14ac:dyDescent="0.35">
      <c r="N24" s="9">
        <v>6</v>
      </c>
      <c r="O24" s="34">
        <f t="shared" si="62"/>
        <v>11.481536214968834</v>
      </c>
      <c r="P24" s="33" t="str">
        <f t="shared" si="50"/>
        <v>59,1053597814893</v>
      </c>
      <c r="Q24" s="4" t="str">
        <f t="shared" si="63"/>
        <v>1+0,554306646303487i</v>
      </c>
      <c r="R24" s="4">
        <f t="shared" si="64"/>
        <v>1.1433529018357451</v>
      </c>
      <c r="S24" s="4">
        <f t="shared" si="65"/>
        <v>0.50614364323436933</v>
      </c>
      <c r="T24" s="4" t="str">
        <f t="shared" si="51"/>
        <v>1+0,0000937828055446653i</v>
      </c>
      <c r="U24" s="4">
        <f t="shared" si="66"/>
        <v>1.0000000043976072</v>
      </c>
      <c r="V24" s="4">
        <f t="shared" si="67"/>
        <v>9.3782805269718668E-5</v>
      </c>
      <c r="W24" t="str">
        <f t="shared" si="52"/>
        <v>1-0,00346274974318765i</v>
      </c>
      <c r="X24" s="4">
        <f t="shared" si="68"/>
        <v>1.0000059952999203</v>
      </c>
      <c r="Y24" s="4">
        <f t="shared" si="69"/>
        <v>-3.4627359030968935E-3</v>
      </c>
      <c r="Z24" t="str">
        <f t="shared" si="53"/>
        <v>0,999999997276329+0,000323976964608844i</v>
      </c>
      <c r="AA24" s="4">
        <f t="shared" si="70"/>
        <v>1.0000000497568646</v>
      </c>
      <c r="AB24" s="4">
        <f t="shared" si="71"/>
        <v>3.2397695415626129E-4</v>
      </c>
      <c r="AC24" s="47" t="str">
        <f t="shared" si="72"/>
        <v>45,1207145193572-25,2289847059924i</v>
      </c>
      <c r="AD24" s="20">
        <f t="shared" si="73"/>
        <v>34.268983019108504</v>
      </c>
      <c r="AE24" s="43">
        <f t="shared" si="74"/>
        <v>-29.211483890720306</v>
      </c>
      <c r="AF24" t="str">
        <f t="shared" si="54"/>
        <v>405,634542683733</v>
      </c>
      <c r="AG24" t="str">
        <f t="shared" si="55"/>
        <v>1+0,555292927567097i</v>
      </c>
      <c r="AH24">
        <f t="shared" si="75"/>
        <v>1.1438313841672807</v>
      </c>
      <c r="AI24">
        <f t="shared" si="76"/>
        <v>0.50689779459214845</v>
      </c>
      <c r="AJ24" t="str">
        <f t="shared" si="56"/>
        <v>1+0,0000937828055446653i</v>
      </c>
      <c r="AK24">
        <f t="shared" si="77"/>
        <v>1.0000000043976072</v>
      </c>
      <c r="AL24">
        <f t="shared" si="78"/>
        <v>9.3782805269718668E-5</v>
      </c>
      <c r="AM24" t="str">
        <f t="shared" si="57"/>
        <v>1-0,000505452566056341i</v>
      </c>
      <c r="AN24">
        <f t="shared" si="79"/>
        <v>1.0000001277411401</v>
      </c>
      <c r="AO24">
        <f t="shared" si="80"/>
        <v>-5.0545252301162011E-4</v>
      </c>
      <c r="AP24" s="41" t="str">
        <f t="shared" si="81"/>
        <v>309,964277128127-172,287958362738i</v>
      </c>
      <c r="AQ24">
        <f t="shared" si="82"/>
        <v>50.995459602586671</v>
      </c>
      <c r="AR24" s="43">
        <f t="shared" si="83"/>
        <v>-29.06669121199932</v>
      </c>
      <c r="AS24" t="str">
        <f t="shared" si="58"/>
        <v>-0,0000166666666666667</v>
      </c>
      <c r="AT24" t="str">
        <f t="shared" si="59"/>
        <v>0,000015979147252418i</v>
      </c>
      <c r="AU24">
        <f t="shared" si="84"/>
        <v>1.5979147252418E-5</v>
      </c>
      <c r="AV24">
        <f t="shared" si="85"/>
        <v>1.5707963267948966</v>
      </c>
      <c r="AW24" t="str">
        <f t="shared" si="60"/>
        <v>1+0,000569634057640631i</v>
      </c>
      <c r="AX24">
        <f t="shared" si="86"/>
        <v>1.0000001622414667</v>
      </c>
      <c r="AY24">
        <f t="shared" si="87"/>
        <v>5.6963399602846137E-4</v>
      </c>
      <c r="AZ24" t="str">
        <f t="shared" si="61"/>
        <v>1+0,0841159625115998i</v>
      </c>
      <c r="BA24">
        <f t="shared" si="88"/>
        <v>1.0035315117868759</v>
      </c>
      <c r="BB24">
        <f t="shared" si="89"/>
        <v>8.3918413130119759E-2</v>
      </c>
      <c r="BC24" s="41" t="str">
        <f t="shared" si="90"/>
        <v>-0,0871409677717792+1,04307567754939i</v>
      </c>
      <c r="BD24">
        <f t="shared" si="91"/>
        <v>0.39652189022609702</v>
      </c>
      <c r="BE24" s="43">
        <f t="shared" si="92"/>
        <v>94.77553327195146</v>
      </c>
      <c r="BF24" s="41" t="str">
        <f t="shared" si="93"/>
        <v>22,3838775863153+49,2627980119707i</v>
      </c>
      <c r="BG24" s="20">
        <f t="shared" si="94"/>
        <v>34.665504909334601</v>
      </c>
      <c r="BH24" s="43">
        <f t="shared" si="95"/>
        <v>65.564049381231129</v>
      </c>
      <c r="BI24" s="41" t="str">
        <f t="shared" si="96"/>
        <v>152,698791819189+338,329537808681i</v>
      </c>
      <c r="BJ24" s="20">
        <f t="shared" si="97"/>
        <v>51.391981492812768</v>
      </c>
      <c r="BK24" s="43">
        <f t="shared" si="98"/>
        <v>65.708842059952175</v>
      </c>
      <c r="BL24">
        <f t="shared" si="99"/>
        <v>34.665504909334601</v>
      </c>
      <c r="BM24" s="43">
        <f t="shared" si="100"/>
        <v>65.564049381231129</v>
      </c>
    </row>
    <row r="25" spans="1:65" x14ac:dyDescent="0.35">
      <c r="A25" t="s">
        <v>137</v>
      </c>
      <c r="B25" s="29">
        <f>R_cs</f>
        <v>2E-3</v>
      </c>
      <c r="C25" s="2" t="s">
        <v>36</v>
      </c>
      <c r="E25" t="s">
        <v>177</v>
      </c>
      <c r="N25" s="9">
        <v>7</v>
      </c>
      <c r="O25" s="34">
        <f t="shared" si="62"/>
        <v>11.748975549395301</v>
      </c>
      <c r="P25" s="33" t="str">
        <f t="shared" si="50"/>
        <v>59,1053597814893</v>
      </c>
      <c r="Q25" s="4" t="str">
        <f t="shared" si="63"/>
        <v>1+0,567218106737005i</v>
      </c>
      <c r="R25" s="4">
        <f t="shared" si="64"/>
        <v>1.1496679436299475</v>
      </c>
      <c r="S25" s="4">
        <f t="shared" si="65"/>
        <v>0.5159663150058611</v>
      </c>
      <c r="T25" s="4" t="str">
        <f t="shared" si="51"/>
        <v>1+0,0000959672877102847i</v>
      </c>
      <c r="U25" s="4">
        <f t="shared" si="66"/>
        <v>1.00000000460486</v>
      </c>
      <c r="V25" s="4">
        <f t="shared" si="67"/>
        <v>9.5967287415674076E-5</v>
      </c>
      <c r="W25" t="str">
        <f t="shared" si="52"/>
        <v>1-0,0035434075462259i</v>
      </c>
      <c r="X25" s="4">
        <f t="shared" si="68"/>
        <v>1.0000062778488137</v>
      </c>
      <c r="Y25" s="4">
        <f t="shared" si="69"/>
        <v>-3.5433927163064966E-3</v>
      </c>
      <c r="Z25" t="str">
        <f t="shared" si="53"/>
        <v>0,999999997147966+0,00033152335754462i</v>
      </c>
      <c r="AA25" s="4">
        <f t="shared" si="70"/>
        <v>1.0000000521018328</v>
      </c>
      <c r="AB25" s="4">
        <f t="shared" si="71"/>
        <v>3.3152334634447601E-4</v>
      </c>
      <c r="AC25" s="47" t="str">
        <f t="shared" si="72"/>
        <v>44,6220704361342-25,5338032984052i</v>
      </c>
      <c r="AD25" s="20">
        <f t="shared" si="73"/>
        <v>34.221142981000149</v>
      </c>
      <c r="AE25" s="43">
        <f t="shared" si="74"/>
        <v>-29.779210036570507</v>
      </c>
      <c r="AF25" t="str">
        <f t="shared" si="54"/>
        <v>405,634542683733</v>
      </c>
      <c r="AG25" t="str">
        <f t="shared" si="55"/>
        <v>1+0,568227361442474i</v>
      </c>
      <c r="AH25">
        <f t="shared" si="75"/>
        <v>1.1501662202881269</v>
      </c>
      <c r="AI25">
        <f t="shared" si="76"/>
        <v>0.5167295667309757</v>
      </c>
      <c r="AJ25" t="str">
        <f t="shared" si="56"/>
        <v>1+0,0000959672877102847i</v>
      </c>
      <c r="AK25">
        <f t="shared" si="77"/>
        <v>1.00000000460486</v>
      </c>
      <c r="AL25">
        <f t="shared" si="78"/>
        <v>9.5967287415674076E-5</v>
      </c>
      <c r="AM25" t="str">
        <f t="shared" si="57"/>
        <v>1-0,000517226068775779i</v>
      </c>
      <c r="AN25">
        <f t="shared" si="79"/>
        <v>1.0000001337613942</v>
      </c>
      <c r="AO25">
        <f t="shared" si="80"/>
        <v>-5.1722602265252989E-4</v>
      </c>
      <c r="AP25" s="41" t="str">
        <f t="shared" si="81"/>
        <v>306,55596136912-174,364362176245i</v>
      </c>
      <c r="AQ25">
        <f t="shared" si="82"/>
        <v>50.947487656026468</v>
      </c>
      <c r="AR25" s="43">
        <f t="shared" si="83"/>
        <v>-29.630559670920622</v>
      </c>
      <c r="AS25" t="str">
        <f t="shared" si="58"/>
        <v>-0,0000166666666666667</v>
      </c>
      <c r="AT25" t="str">
        <f t="shared" si="59"/>
        <v>0,0000163513494060216i</v>
      </c>
      <c r="AU25">
        <f t="shared" si="84"/>
        <v>1.6351349406021599E-5</v>
      </c>
      <c r="AV25">
        <f t="shared" si="85"/>
        <v>1.5707963267948966</v>
      </c>
      <c r="AW25" t="str">
        <f t="shared" si="60"/>
        <v>1+0,000582902539348109i</v>
      </c>
      <c r="AX25">
        <f t="shared" si="86"/>
        <v>1.0000001698876708</v>
      </c>
      <c r="AY25">
        <f t="shared" si="87"/>
        <v>5.8290247332948037E-4</v>
      </c>
      <c r="AZ25" t="str">
        <f t="shared" si="61"/>
        <v>1+0,0860752749770707i</v>
      </c>
      <c r="BA25">
        <f t="shared" si="88"/>
        <v>1.0036976402096294</v>
      </c>
      <c r="BB25">
        <f t="shared" si="89"/>
        <v>8.5863639095793129E-2</v>
      </c>
      <c r="BC25" s="41" t="str">
        <f t="shared" si="90"/>
        <v>-0,0871409664391842+1,01933466251189i</v>
      </c>
      <c r="BD25">
        <f t="shared" si="91"/>
        <v>0.19795960000974724</v>
      </c>
      <c r="BE25" s="43">
        <f t="shared" si="92"/>
        <v>94.886226282233906</v>
      </c>
      <c r="BF25" s="41" t="str">
        <f t="shared" si="93"/>
        <v>22,1390804255028+47,7098634048897i</v>
      </c>
      <c r="BG25" s="20">
        <f t="shared" si="94"/>
        <v>34.419102581009902</v>
      </c>
      <c r="BH25" s="43">
        <f t="shared" si="95"/>
        <v>65.107016245663374</v>
      </c>
      <c r="BI25" s="41" t="str">
        <f t="shared" si="96"/>
        <v>151,022055531625+327,67739645579i</v>
      </c>
      <c r="BJ25" s="20">
        <f t="shared" si="97"/>
        <v>51.145447256036221</v>
      </c>
      <c r="BK25" s="43">
        <f t="shared" si="98"/>
        <v>65.255666611313345</v>
      </c>
      <c r="BL25">
        <f t="shared" si="99"/>
        <v>34.419102581009902</v>
      </c>
      <c r="BM25" s="43">
        <f t="shared" si="100"/>
        <v>65.107016245663374</v>
      </c>
    </row>
    <row r="26" spans="1:65" x14ac:dyDescent="0.35">
      <c r="A26" t="s">
        <v>138</v>
      </c>
      <c r="B26" s="29">
        <f>R_sl</f>
        <v>0</v>
      </c>
      <c r="C26" s="2" t="s">
        <v>36</v>
      </c>
      <c r="E26" t="s">
        <v>493</v>
      </c>
      <c r="N26" s="9">
        <v>8</v>
      </c>
      <c r="O26" s="34">
        <f t="shared" si="62"/>
        <v>12.022644346174133</v>
      </c>
      <c r="P26" s="33" t="str">
        <f t="shared" si="50"/>
        <v>59,1053597814893</v>
      </c>
      <c r="Q26" s="4" t="str">
        <f t="shared" si="63"/>
        <v>1+0,580430313718734i</v>
      </c>
      <c r="R26" s="4">
        <f t="shared" si="64"/>
        <v>1.156243637424063</v>
      </c>
      <c r="S26" s="4">
        <f t="shared" si="65"/>
        <v>0.52590572811821357</v>
      </c>
      <c r="T26" s="4" t="str">
        <f t="shared" si="51"/>
        <v>1+0,0000982026530021251i</v>
      </c>
      <c r="U26" s="4">
        <f t="shared" si="66"/>
        <v>1.0000000048218805</v>
      </c>
      <c r="V26" s="4">
        <f t="shared" si="67"/>
        <v>9.8202652686444136E-5</v>
      </c>
      <c r="W26" t="str">
        <f t="shared" si="52"/>
        <v>1-0,0036259441108477i</v>
      </c>
      <c r="X26" s="4">
        <f t="shared" si="68"/>
        <v>1.0000065737137407</v>
      </c>
      <c r="Y26" s="4">
        <f t="shared" si="69"/>
        <v>-3.6259282203084057E-3</v>
      </c>
      <c r="Z26" t="str">
        <f t="shared" si="53"/>
        <v>0,999999997013554+0,000339245528552796i</v>
      </c>
      <c r="AA26" s="4">
        <f t="shared" si="70"/>
        <v>1.0000000545573169</v>
      </c>
      <c r="AB26" s="4">
        <f t="shared" si="71"/>
        <v>3.3924551655162543E-4</v>
      </c>
      <c r="AC26" s="47" t="str">
        <f t="shared" si="72"/>
        <v>44,1115036549969-25,8322135437542i</v>
      </c>
      <c r="AD26" s="20">
        <f t="shared" si="73"/>
        <v>34.171606853601503</v>
      </c>
      <c r="AE26" s="43">
        <f t="shared" si="74"/>
        <v>-30.353739765550426</v>
      </c>
      <c r="AF26" t="str">
        <f t="shared" si="54"/>
        <v>405,634542683733</v>
      </c>
      <c r="AG26" t="str">
        <f t="shared" si="55"/>
        <v>1+0,581463076986267i</v>
      </c>
      <c r="AH26">
        <f t="shared" si="75"/>
        <v>1.1567624258672726</v>
      </c>
      <c r="AI26">
        <f t="shared" si="76"/>
        <v>0.52667788811209093</v>
      </c>
      <c r="AJ26" t="str">
        <f t="shared" si="56"/>
        <v>1+0,0000982026530021251i</v>
      </c>
      <c r="AK26">
        <f t="shared" si="77"/>
        <v>1.0000000048218805</v>
      </c>
      <c r="AL26">
        <f t="shared" si="78"/>
        <v>9.8202652686444136E-5</v>
      </c>
      <c r="AM26" t="str">
        <f t="shared" si="57"/>
        <v>1-0,000529273811603178i</v>
      </c>
      <c r="AN26">
        <f t="shared" si="79"/>
        <v>1.000000140065374</v>
      </c>
      <c r="AO26">
        <f t="shared" si="80"/>
        <v>-5.2927376218122658E-4</v>
      </c>
      <c r="AP26" s="41" t="str">
        <f t="shared" si="81"/>
        <v>303,066362618295-176,396757091353i</v>
      </c>
      <c r="AQ26">
        <f t="shared" si="82"/>
        <v>50.897816414923099</v>
      </c>
      <c r="AR26" s="43">
        <f t="shared" si="83"/>
        <v>-30.201118706930298</v>
      </c>
      <c r="AS26" t="str">
        <f t="shared" si="58"/>
        <v>-0,0000166666666666667</v>
      </c>
      <c r="AT26" t="str">
        <f t="shared" si="59"/>
        <v>0,0000167322212615159i</v>
      </c>
      <c r="AU26">
        <f t="shared" si="84"/>
        <v>1.6732221261515899E-5</v>
      </c>
      <c r="AV26">
        <f t="shared" si="85"/>
        <v>1.5707963267948966</v>
      </c>
      <c r="AW26" t="str">
        <f t="shared" si="60"/>
        <v>1+0,000596480083697576i</v>
      </c>
      <c r="AX26">
        <f t="shared" si="86"/>
        <v>1.0000001778942293</v>
      </c>
      <c r="AY26">
        <f t="shared" si="87"/>
        <v>5.9648001295734162E-4</v>
      </c>
      <c r="AZ26" t="str">
        <f t="shared" si="61"/>
        <v>1+0,0880802256926753i</v>
      </c>
      <c r="BA26">
        <f t="shared" si="88"/>
        <v>1.0038715685574886</v>
      </c>
      <c r="BB26">
        <f t="shared" si="89"/>
        <v>8.7853500968383097E-2</v>
      </c>
      <c r="BC26" s="41" t="str">
        <f t="shared" si="90"/>
        <v>-0,0871409650437862+0,996134112204874i</v>
      </c>
      <c r="BD26">
        <f t="shared" si="91"/>
        <v>-5.3544302600803256E-4</v>
      </c>
      <c r="BE26" s="43">
        <f t="shared" si="92"/>
        <v>94.999459033630473</v>
      </c>
      <c r="BF26" s="41" t="str">
        <f t="shared" si="93"/>
        <v>21,8884301066654+46,1920175488123i</v>
      </c>
      <c r="BG26" s="20">
        <f t="shared" si="94"/>
        <v>34.1710714105755</v>
      </c>
      <c r="BH26" s="43">
        <f t="shared" si="95"/>
        <v>64.645719268080043</v>
      </c>
      <c r="BI26" s="41" t="str">
        <f t="shared" si="96"/>
        <v>149,305331710145+317,266125709471i</v>
      </c>
      <c r="BJ26" s="20">
        <f t="shared" si="97"/>
        <v>50.897280971897096</v>
      </c>
      <c r="BK26" s="43">
        <f t="shared" si="98"/>
        <v>64.798340326700284</v>
      </c>
      <c r="BL26">
        <f t="shared" si="99"/>
        <v>34.1710714105755</v>
      </c>
      <c r="BM26" s="43">
        <f t="shared" si="100"/>
        <v>64.645719268080043</v>
      </c>
    </row>
    <row r="27" spans="1:65" x14ac:dyDescent="0.35">
      <c r="A27" t="s">
        <v>129</v>
      </c>
      <c r="B27" s="12">
        <f>Rsl_int</f>
        <v>3000</v>
      </c>
      <c r="C27" s="2" t="s">
        <v>36</v>
      </c>
      <c r="E27" t="s">
        <v>178</v>
      </c>
      <c r="N27" s="9">
        <v>9</v>
      </c>
      <c r="O27" s="34">
        <f t="shared" si="62"/>
        <v>12.302687708123818</v>
      </c>
      <c r="P27" s="33" t="str">
        <f t="shared" si="50"/>
        <v>59,1053597814893</v>
      </c>
      <c r="Q27" s="4" t="str">
        <f t="shared" si="63"/>
        <v>1+0,5939502725357i</v>
      </c>
      <c r="R27" s="4">
        <f t="shared" si="64"/>
        <v>1.1630893887596225</v>
      </c>
      <c r="S27" s="4">
        <f t="shared" si="65"/>
        <v>0.53595929647787088</v>
      </c>
      <c r="T27" s="4" t="str">
        <f t="shared" si="51"/>
        <v>1+0,000100490086640453i</v>
      </c>
      <c r="U27" s="4">
        <f t="shared" si="66"/>
        <v>1.0000000050491287</v>
      </c>
      <c r="V27" s="4">
        <f t="shared" si="67"/>
        <v>1.0049008630219474E-4</v>
      </c>
      <c r="W27" t="str">
        <f t="shared" si="52"/>
        <v>1-0,00371040319903213i</v>
      </c>
      <c r="X27" s="4">
        <f t="shared" si="68"/>
        <v>1.0000068835222582</v>
      </c>
      <c r="Y27" s="4">
        <f t="shared" si="69"/>
        <v>-3.7103861720188354E-3</v>
      </c>
      <c r="Z27" t="str">
        <f t="shared" si="53"/>
        <v>0,999999996872807+0,000347147572030657i</v>
      </c>
      <c r="AA27" s="4">
        <f t="shared" si="70"/>
        <v>1.0000000571285237</v>
      </c>
      <c r="AB27" s="4">
        <f t="shared" si="71"/>
        <v>3.4714755917117108E-4</v>
      </c>
      <c r="AC27" s="47" t="str">
        <f t="shared" si="72"/>
        <v>43,5891420928737-26,12366630135i</v>
      </c>
      <c r="AD27" s="20">
        <f t="shared" si="73"/>
        <v>34.120334771837385</v>
      </c>
      <c r="AE27" s="43">
        <f t="shared" si="74"/>
        <v>-30.934927579183945</v>
      </c>
      <c r="AF27" t="str">
        <f t="shared" si="54"/>
        <v>405,634542683733</v>
      </c>
      <c r="AG27" t="str">
        <f t="shared" si="55"/>
        <v>1+0,595007091950052i</v>
      </c>
      <c r="AH27">
        <f t="shared" si="75"/>
        <v>1.1636294253201307</v>
      </c>
      <c r="AI27">
        <f t="shared" si="76"/>
        <v>0.53674015622999838</v>
      </c>
      <c r="AJ27" t="str">
        <f t="shared" si="56"/>
        <v>1+0,000100490086640453i</v>
      </c>
      <c r="AK27">
        <f t="shared" si="77"/>
        <v>1.0000000050491287</v>
      </c>
      <c r="AL27">
        <f t="shared" si="78"/>
        <v>1.0049008630219474E-4</v>
      </c>
      <c r="AM27" t="str">
        <f t="shared" si="57"/>
        <v>1-0,000541602182411256i</v>
      </c>
      <c r="AN27">
        <f t="shared" si="79"/>
        <v>1.0000001466664512</v>
      </c>
      <c r="AO27">
        <f t="shared" si="80"/>
        <v>-5.4160212945468143E-4</v>
      </c>
      <c r="AP27" s="41" t="str">
        <f t="shared" si="81"/>
        <v>299,496369986062-178,381394458244i</v>
      </c>
      <c r="AQ27">
        <f t="shared" si="82"/>
        <v>50.846406042420362</v>
      </c>
      <c r="AR27" s="43">
        <f t="shared" si="83"/>
        <v>-30.778219505536399</v>
      </c>
      <c r="AS27" t="str">
        <f t="shared" si="58"/>
        <v>-0,0000166666666666667</v>
      </c>
      <c r="AT27" t="str">
        <f t="shared" si="59"/>
        <v>0,0000171219647622003i</v>
      </c>
      <c r="AU27">
        <f t="shared" si="84"/>
        <v>1.7121964762200298E-5</v>
      </c>
      <c r="AV27">
        <f t="shared" si="85"/>
        <v>1.5707963267948966</v>
      </c>
      <c r="AW27" t="str">
        <f t="shared" si="60"/>
        <v>1+0,000610373889682768i</v>
      </c>
      <c r="AX27">
        <f t="shared" si="86"/>
        <v>1.0000001862781251</v>
      </c>
      <c r="AY27">
        <f t="shared" si="87"/>
        <v>6.1037381388324193E-4</v>
      </c>
      <c r="AZ27" t="str">
        <f t="shared" si="61"/>
        <v>1+0,0901318777098219i</v>
      </c>
      <c r="BA27">
        <f t="shared" si="88"/>
        <v>1.0040536616035511</v>
      </c>
      <c r="BB27">
        <f t="shared" si="89"/>
        <v>8.9888990732365837E-2</v>
      </c>
      <c r="BC27" s="41" t="str">
        <f t="shared" si="90"/>
        <v>-0,0871409635826247+0,97346172538946i</v>
      </c>
      <c r="BD27">
        <f t="shared" si="91"/>
        <v>-0.19896011843486064</v>
      </c>
      <c r="BE27" s="43">
        <f t="shared" si="92"/>
        <v>95.115287950194315</v>
      </c>
      <c r="BF27" s="41" t="str">
        <f t="shared" si="93"/>
        <v>21,6319894274977+44,7088029237858i</v>
      </c>
      <c r="BG27" s="20">
        <f t="shared" si="94"/>
        <v>33.921374653402523</v>
      </c>
      <c r="BH27" s="43">
        <f t="shared" si="95"/>
        <v>64.180360371010408</v>
      </c>
      <c r="BI27" s="41" t="str">
        <f t="shared" si="96"/>
        <v>147,549057756616+307,092579672816i</v>
      </c>
      <c r="BJ27" s="20">
        <f t="shared" si="97"/>
        <v>50.647445923985501</v>
      </c>
      <c r="BK27" s="43">
        <f t="shared" si="98"/>
        <v>64.337068444657987</v>
      </c>
      <c r="BL27">
        <f t="shared" si="99"/>
        <v>33.921374653402523</v>
      </c>
      <c r="BM27" s="43">
        <f t="shared" si="100"/>
        <v>64.180360371010408</v>
      </c>
    </row>
    <row r="28" spans="1:65" x14ac:dyDescent="0.35">
      <c r="A28" t="s">
        <v>127</v>
      </c>
      <c r="B28" s="12">
        <f>Isl</f>
        <v>2.9999999999999997E-5</v>
      </c>
      <c r="C28" s="2" t="s">
        <v>11</v>
      </c>
      <c r="E28" t="s">
        <v>179</v>
      </c>
      <c r="N28" s="9">
        <v>10</v>
      </c>
      <c r="O28" s="34">
        <f t="shared" si="62"/>
        <v>12.58925411794168</v>
      </c>
      <c r="P28" s="33" t="str">
        <f t="shared" si="50"/>
        <v>59,1053597814893</v>
      </c>
      <c r="Q28" s="4" t="str">
        <f t="shared" si="63"/>
        <v>1+0,607785151649026i</v>
      </c>
      <c r="R28" s="4">
        <f t="shared" si="64"/>
        <v>1.1702148480364747</v>
      </c>
      <c r="S28" s="4">
        <f t="shared" si="65"/>
        <v>0.54612422080533074</v>
      </c>
      <c r="T28" s="4" t="str">
        <f t="shared" si="51"/>
        <v>1+0,000102830801452862i</v>
      </c>
      <c r="U28" s="4">
        <f t="shared" si="66"/>
        <v>1.0000000052870868</v>
      </c>
      <c r="V28" s="4">
        <f t="shared" si="67"/>
        <v>1.0283080109041176E-4</v>
      </c>
      <c r="W28" t="str">
        <f t="shared" si="52"/>
        <v>1-0,00379682959210567i</v>
      </c>
      <c r="X28" s="4">
        <f t="shared" si="68"/>
        <v>1.0000072079314986</v>
      </c>
      <c r="Y28" s="4">
        <f t="shared" si="69"/>
        <v>-3.7968113473393168E-3</v>
      </c>
      <c r="Z28" t="str">
        <f t="shared" si="53"/>
        <v>0,999999996725427+0,000355233677746249i</v>
      </c>
      <c r="AA28" s="4">
        <f t="shared" si="70"/>
        <v>1.0000000598209082</v>
      </c>
      <c r="AB28" s="4">
        <f t="shared" si="71"/>
        <v>3.5523366396706161E-4</v>
      </c>
      <c r="AC28" s="47" t="str">
        <f t="shared" si="72"/>
        <v>43,0551452182029-26,4076092864485i</v>
      </c>
      <c r="AD28" s="20">
        <f t="shared" si="73"/>
        <v>34.067287353639848</v>
      </c>
      <c r="AE28" s="43">
        <f t="shared" si="74"/>
        <v>-31.522615826605897</v>
      </c>
      <c r="AF28" t="str">
        <f t="shared" si="54"/>
        <v>405,634542683733</v>
      </c>
      <c r="AG28" t="str">
        <f t="shared" si="55"/>
        <v>1+0,608866587549839i</v>
      </c>
      <c r="AH28">
        <f t="shared" si="75"/>
        <v>1.1707768879827556</v>
      </c>
      <c r="AI28">
        <f t="shared" si="76"/>
        <v>0.54691355530161456</v>
      </c>
      <c r="AJ28" t="str">
        <f t="shared" si="56"/>
        <v>1+0,000102830801452862i</v>
      </c>
      <c r="AK28">
        <f t="shared" si="77"/>
        <v>1.0000000052870868</v>
      </c>
      <c r="AL28">
        <f t="shared" si="78"/>
        <v>1.0283080109041176E-4</v>
      </c>
      <c r="AM28" t="str">
        <f t="shared" si="57"/>
        <v>1-0,000554217717865402i</v>
      </c>
      <c r="AN28">
        <f t="shared" si="79"/>
        <v>1.0000001535786276</v>
      </c>
      <c r="AO28">
        <f t="shared" si="80"/>
        <v>-5.5421766112141041E-4</v>
      </c>
      <c r="AP28" s="41" t="str">
        <f t="shared" si="81"/>
        <v>295,847088318239-180,314505226294i</v>
      </c>
      <c r="AQ28">
        <f t="shared" si="82"/>
        <v>50.793217192617341</v>
      </c>
      <c r="AR28" s="43">
        <f t="shared" si="83"/>
        <v>-31.36170103928464</v>
      </c>
      <c r="AS28" t="str">
        <f t="shared" si="58"/>
        <v>-0,0000166666666666667</v>
      </c>
      <c r="AT28" t="str">
        <f t="shared" si="59"/>
        <v>0,0000175207865552376i</v>
      </c>
      <c r="AU28">
        <f t="shared" si="84"/>
        <v>1.75207865552376E-5</v>
      </c>
      <c r="AV28">
        <f t="shared" si="85"/>
        <v>1.5707963267948966</v>
      </c>
      <c r="AW28" t="str">
        <f t="shared" si="60"/>
        <v>1+0,000624591323983523i</v>
      </c>
      <c r="AX28">
        <f t="shared" si="86"/>
        <v>1.000000195057142</v>
      </c>
      <c r="AY28">
        <f t="shared" si="87"/>
        <v>6.2459124276286837E-4</v>
      </c>
      <c r="AZ28" t="str">
        <f t="shared" si="61"/>
        <v>1+0,0922313188415668i</v>
      </c>
      <c r="BA28">
        <f t="shared" si="88"/>
        <v>1.0042443010419599</v>
      </c>
      <c r="BB28">
        <f t="shared" si="89"/>
        <v>9.1971120126163541E-2</v>
      </c>
      <c r="BC28" s="41" t="str">
        <f t="shared" si="90"/>
        <v>-0,0871409620526012+0,951305480866054i</v>
      </c>
      <c r="BD28">
        <f t="shared" si="91"/>
        <v>-0.39731116336094663</v>
      </c>
      <c r="BE28" s="43">
        <f t="shared" si="92"/>
        <v>95.233770578188725</v>
      </c>
      <c r="BF28" s="41" t="str">
        <f t="shared" si="93"/>
        <v>21,3698366751391+43,2597801042906i</v>
      </c>
      <c r="BG28" s="20">
        <f t="shared" si="94"/>
        <v>33.669976190278895</v>
      </c>
      <c r="BH28" s="43">
        <f t="shared" si="95"/>
        <v>63.711154751582832</v>
      </c>
      <c r="BI28" s="41" t="str">
        <f t="shared" si="96"/>
        <v>145,753777204912+297,153736072862i</v>
      </c>
      <c r="BJ28" s="20">
        <f t="shared" si="97"/>
        <v>50.395906029256388</v>
      </c>
      <c r="BK28" s="43">
        <f t="shared" si="98"/>
        <v>63.872069538904071</v>
      </c>
      <c r="BL28">
        <f t="shared" si="99"/>
        <v>33.669976190278895</v>
      </c>
      <c r="BM28" s="43">
        <f t="shared" si="100"/>
        <v>63.711154751582832</v>
      </c>
    </row>
    <row r="29" spans="1:65" x14ac:dyDescent="0.35">
      <c r="A29" t="s">
        <v>491</v>
      </c>
      <c r="B29" s="12">
        <f>Vsl</f>
        <v>4.4999999999999998E-2</v>
      </c>
      <c r="C29" s="2"/>
      <c r="N29" s="9">
        <v>11</v>
      </c>
      <c r="O29" s="34">
        <f t="shared" si="62"/>
        <v>12.882495516931346</v>
      </c>
      <c r="P29" s="33" t="str">
        <f t="shared" si="50"/>
        <v>59,1053597814893</v>
      </c>
      <c r="Q29" s="4" t="str">
        <f t="shared" si="63"/>
        <v>1+0,621942286494743i</v>
      </c>
      <c r="R29" s="4">
        <f t="shared" si="64"/>
        <v>1.1776299111903998</v>
      </c>
      <c r="S29" s="4">
        <f t="shared" si="65"/>
        <v>0.55639748781093556</v>
      </c>
      <c r="T29" s="4" t="str">
        <f t="shared" si="51"/>
        <v>1+0,000105226038517327i</v>
      </c>
      <c r="U29" s="4">
        <f t="shared" si="66"/>
        <v>1.0000000055362595</v>
      </c>
      <c r="V29" s="4">
        <f t="shared" si="67"/>
        <v>1.0522603812895455E-4</v>
      </c>
      <c r="W29" t="str">
        <f t="shared" si="52"/>
        <v>1-0,00388526911448592i</v>
      </c>
      <c r="X29" s="4">
        <f t="shared" si="68"/>
        <v>1.0000075476295627</v>
      </c>
      <c r="Y29" s="4">
        <f t="shared" si="69"/>
        <v>-3.8852495648745225E-3</v>
      </c>
      <c r="Z29" t="str">
        <f t="shared" si="53"/>
        <v>0,999999996571101+0,000363508133059856i</v>
      </c>
      <c r="AA29" s="4">
        <f t="shared" si="70"/>
        <v>1.0000000626401804</v>
      </c>
      <c r="AB29" s="4">
        <f t="shared" si="71"/>
        <v>3.6350811829519088E-4</v>
      </c>
      <c r="AC29" s="47" t="str">
        <f t="shared" si="72"/>
        <v>42,5097048886313-26,6834891189706i</v>
      </c>
      <c r="AD29" s="20">
        <f t="shared" si="73"/>
        <v>34.012425807463977</v>
      </c>
      <c r="AE29" s="43">
        <f t="shared" si="74"/>
        <v>-32.116634658788001</v>
      </c>
      <c r="AF29" t="str">
        <f t="shared" si="54"/>
        <v>405,634542683733</v>
      </c>
      <c r="AG29" t="str">
        <f t="shared" si="55"/>
        <v>1+0,623048912273646i</v>
      </c>
      <c r="AH29">
        <f t="shared" si="75"/>
        <v>1.1782147287677969</v>
      </c>
      <c r="AI29">
        <f t="shared" si="76"/>
        <v>0.55719505550341086</v>
      </c>
      <c r="AJ29" t="str">
        <f t="shared" si="56"/>
        <v>1+0,000105226038517327i</v>
      </c>
      <c r="AK29">
        <f t="shared" si="77"/>
        <v>1.0000000055362595</v>
      </c>
      <c r="AL29">
        <f t="shared" si="78"/>
        <v>1.0522603812895455E-4</v>
      </c>
      <c r="AM29" t="str">
        <f t="shared" si="57"/>
        <v>1-0,000567127106889497i</v>
      </c>
      <c r="AN29">
        <f t="shared" si="79"/>
        <v>1.0000001608165647</v>
      </c>
      <c r="AO29">
        <f t="shared" si="80"/>
        <v>-5.6712704608721505E-4</v>
      </c>
      <c r="AP29" s="41" t="str">
        <f t="shared" si="81"/>
        <v>292,11984383753-182,192313985155i</v>
      </c>
      <c r="AQ29">
        <f t="shared" si="82"/>
        <v>50.738211118288334</v>
      </c>
      <c r="AR29" s="43">
        <f t="shared" si="83"/>
        <v>-31.951390024211989</v>
      </c>
      <c r="AS29" t="str">
        <f t="shared" si="58"/>
        <v>-0,0000166666666666667</v>
      </c>
      <c r="AT29" t="str">
        <f t="shared" si="59"/>
        <v>0,0000179288981012215i</v>
      </c>
      <c r="AU29">
        <f t="shared" si="84"/>
        <v>1.7928898101221499E-5</v>
      </c>
      <c r="AV29">
        <f t="shared" si="85"/>
        <v>1.5707963267948966</v>
      </c>
      <c r="AW29" t="str">
        <f t="shared" si="60"/>
        <v>1+0,000639139924871696i</v>
      </c>
      <c r="AX29">
        <f t="shared" si="86"/>
        <v>1.000000204249901</v>
      </c>
      <c r="AY29">
        <f t="shared" si="87"/>
        <v>6.3913983784219758E-4</v>
      </c>
      <c r="AZ29" t="str">
        <f t="shared" si="61"/>
        <v>1+0,094379662239387i</v>
      </c>
      <c r="BA29">
        <f t="shared" si="88"/>
        <v>1.0044438862596659</v>
      </c>
      <c r="BB29">
        <f t="shared" si="89"/>
        <v>9.4100920869795934E-2</v>
      </c>
      <c r="BC29" s="41" t="str">
        <f t="shared" si="90"/>
        <v>-0,0871409604504695+0,929653631100529i</v>
      </c>
      <c r="BD29">
        <f t="shared" si="91"/>
        <v>-0.59558516626802394</v>
      </c>
      <c r="BE29" s="43">
        <f t="shared" si="92"/>
        <v>95.354965598906787</v>
      </c>
      <c r="BF29" s="41" t="str">
        <f t="shared" si="93"/>
        <v>21,1020660374211+41,8445263767247i</v>
      </c>
      <c r="BG29" s="20">
        <f t="shared" si="94"/>
        <v>33.41684064119594</v>
      </c>
      <c r="BH29" s="43">
        <f t="shared" si="95"/>
        <v>63.238330940118807</v>
      </c>
      <c r="BI29" s="41" t="str">
        <f t="shared" si="96"/>
        <v>143,920142496264+287,446686767439i</v>
      </c>
      <c r="BJ29" s="20">
        <f t="shared" si="97"/>
        <v>50.14262595202031</v>
      </c>
      <c r="BK29" s="43">
        <f t="shared" si="98"/>
        <v>63.403575574694734</v>
      </c>
      <c r="BL29">
        <f t="shared" si="99"/>
        <v>33.41684064119594</v>
      </c>
      <c r="BM29" s="43">
        <f t="shared" si="100"/>
        <v>63.238330940118807</v>
      </c>
    </row>
    <row r="30" spans="1:65" x14ac:dyDescent="0.35">
      <c r="A30" t="s">
        <v>201</v>
      </c>
      <c r="B30" s="12">
        <f>Gcomp</f>
        <v>1</v>
      </c>
      <c r="C30" s="2"/>
      <c r="E30" t="s">
        <v>202</v>
      </c>
      <c r="N30" s="9">
        <v>12</v>
      </c>
      <c r="O30" s="34">
        <f t="shared" si="62"/>
        <v>13.182567385564075</v>
      </c>
      <c r="P30" s="33" t="str">
        <f t="shared" si="50"/>
        <v>59,1053597814893</v>
      </c>
      <c r="Q30" s="4" t="str">
        <f t="shared" si="63"/>
        <v>1+0,63642918337314i</v>
      </c>
      <c r="R30" s="4">
        <f t="shared" si="64"/>
        <v>1.1853447200915865</v>
      </c>
      <c r="S30" s="4">
        <f t="shared" si="65"/>
        <v>0.56677587018634523</v>
      </c>
      <c r="T30" s="4" t="str">
        <f t="shared" si="51"/>
        <v>1+0,000107677067820245i</v>
      </c>
      <c r="U30" s="4">
        <f t="shared" si="66"/>
        <v>1.0000000057971754</v>
      </c>
      <c r="V30" s="4">
        <f t="shared" si="67"/>
        <v>1.0767706740409643E-4</v>
      </c>
      <c r="W30" t="str">
        <f t="shared" si="52"/>
        <v>1-0,00397576865797829i</v>
      </c>
      <c r="X30" s="4">
        <f t="shared" si="68"/>
        <v>1.0000079033369795</v>
      </c>
      <c r="Y30" s="4">
        <f t="shared" si="69"/>
        <v>-3.9757477102012094E-3</v>
      </c>
      <c r="Z30" t="str">
        <f t="shared" si="53"/>
        <v>0,999999996409502+0,000371975325197211i</v>
      </c>
      <c r="AA30" s="4">
        <f t="shared" si="70"/>
        <v>1.0000000655923211</v>
      </c>
      <c r="AB30" s="4">
        <f t="shared" si="71"/>
        <v>3.7197530937658726E-4</v>
      </c>
      <c r="AC30" s="47" t="str">
        <f t="shared" si="72"/>
        <v>41,9530460416651-26,9507534885572i</v>
      </c>
      <c r="AD30" s="20">
        <f t="shared" si="73"/>
        <v>33.955712042377115</v>
      </c>
      <c r="AE30" s="43">
        <f t="shared" si="74"/>
        <v>-32.716802029533241</v>
      </c>
      <c r="AF30" t="str">
        <f t="shared" si="54"/>
        <v>405,634542683733</v>
      </c>
      <c r="AG30" t="str">
        <f t="shared" si="55"/>
        <v>1+0,637561585777768i</v>
      </c>
      <c r="AH30">
        <f t="shared" si="75"/>
        <v>1.1859531085415909</v>
      </c>
      <c r="AI30">
        <f t="shared" si="76"/>
        <v>0.5675814130277006</v>
      </c>
      <c r="AJ30" t="str">
        <f t="shared" si="56"/>
        <v>1+0,000107677067820245i</v>
      </c>
      <c r="AK30">
        <f t="shared" si="77"/>
        <v>1.0000000057971754</v>
      </c>
      <c r="AL30">
        <f t="shared" si="78"/>
        <v>1.0767706740409643E-4</v>
      </c>
      <c r="AM30" t="str">
        <f t="shared" si="57"/>
        <v>1-0,00058033719421248i</v>
      </c>
      <c r="AN30">
        <f t="shared" si="79"/>
        <v>1.0000001683956152</v>
      </c>
      <c r="AO30">
        <f t="shared" si="80"/>
        <v>-5.8033712906166175E-4</v>
      </c>
      <c r="AP30" s="41" t="str">
        <f t="shared" si="81"/>
        <v>288,316188773757-184,011053794213i</v>
      </c>
      <c r="AQ30">
        <f t="shared" si="82"/>
        <v>50.681349781137392</v>
      </c>
      <c r="AR30" s="43">
        <f t="shared" si="83"/>
        <v>-32.547100923236258</v>
      </c>
      <c r="AS30" t="str">
        <f t="shared" si="58"/>
        <v>-0,0000166666666666667</v>
      </c>
      <c r="AT30" t="str">
        <f t="shared" si="59"/>
        <v>0,0000183465157862956i</v>
      </c>
      <c r="AU30">
        <f t="shared" si="84"/>
        <v>1.8346515786295602E-5</v>
      </c>
      <c r="AV30">
        <f t="shared" si="85"/>
        <v>1.5707963267948966</v>
      </c>
      <c r="AW30" t="str">
        <f t="shared" si="60"/>
        <v>1+0,000654027406208055i</v>
      </c>
      <c r="AX30">
        <f t="shared" si="86"/>
        <v>1.0000002138759012</v>
      </c>
      <c r="AY30">
        <f t="shared" si="87"/>
        <v>6.5402731295426835E-4</v>
      </c>
      <c r="AZ30" t="str">
        <f t="shared" si="61"/>
        <v>1+0,0965780469833893i</v>
      </c>
      <c r="BA30">
        <f t="shared" si="88"/>
        <v>1.0046528351421329</v>
      </c>
      <c r="BB30">
        <f t="shared" si="89"/>
        <v>9.6279444882080095E-2</v>
      </c>
      <c r="BC30" s="41" t="str">
        <f t="shared" si="90"/>
        <v>-0,0871409587728325+0,908494695995544i</v>
      </c>
      <c r="BD30">
        <f t="shared" si="91"/>
        <v>-0.7937785604140446</v>
      </c>
      <c r="BE30" s="43">
        <f t="shared" si="92"/>
        <v>95.47893284088704</v>
      </c>
      <c r="BF30" s="41" t="str">
        <f t="shared" si="93"/>
        <v>20,8287879419261+40,4626343083527i</v>
      </c>
      <c r="BG30" s="20">
        <f t="shared" si="94"/>
        <v>33.161933481963061</v>
      </c>
      <c r="BH30" s="43">
        <f t="shared" si="95"/>
        <v>62.762130811353842</v>
      </c>
      <c r="BI30" s="41" t="str">
        <f t="shared" si="96"/>
        <v>142,048917257119+277,968627923035i</v>
      </c>
      <c r="BJ30" s="20">
        <f t="shared" si="97"/>
        <v>49.887571220723345</v>
      </c>
      <c r="BK30" s="43">
        <f t="shared" si="98"/>
        <v>62.931831917650804</v>
      </c>
      <c r="BL30">
        <f t="shared" si="99"/>
        <v>33.161933481963061</v>
      </c>
      <c r="BM30" s="43">
        <f t="shared" si="100"/>
        <v>62.762130811353842</v>
      </c>
    </row>
    <row r="31" spans="1:65" x14ac:dyDescent="0.35">
      <c r="A31" t="s">
        <v>481</v>
      </c>
      <c r="B31">
        <f>IF(Variable_Management!B20=3,1,IF((VOUT*IOUT)/(VIN_var*Np)&lt;((VIN_var*(1-(VIN_var/VOUT)))/(2*Lm*Fsw)),0,1))</f>
        <v>1</v>
      </c>
      <c r="E31" t="s">
        <v>482</v>
      </c>
      <c r="N31" s="9">
        <v>13</v>
      </c>
      <c r="O31" s="34">
        <f t="shared" si="62"/>
        <v>13.489628825916535</v>
      </c>
      <c r="P31" s="33" t="str">
        <f t="shared" si="50"/>
        <v>59,1053597814893</v>
      </c>
      <c r="Q31" s="4" t="str">
        <f t="shared" si="63"/>
        <v>1+0,651253523428697i</v>
      </c>
      <c r="R31" s="4">
        <f t="shared" si="64"/>
        <v>1.1933696626688197</v>
      </c>
      <c r="S31" s="4">
        <f t="shared" si="65"/>
        <v>0.57725592745463128</v>
      </c>
      <c r="T31" s="4" t="str">
        <f t="shared" si="51"/>
        <v>1+0,000110185188929797i</v>
      </c>
      <c r="U31" s="4">
        <f t="shared" si="66"/>
        <v>1.000000006070388</v>
      </c>
      <c r="V31" s="4">
        <f t="shared" si="67"/>
        <v>1.1018518848388577E-4</v>
      </c>
      <c r="W31" t="str">
        <f t="shared" si="52"/>
        <v>1-0,00406837620663865i</v>
      </c>
      <c r="X31" s="4">
        <f t="shared" si="68"/>
        <v>1.0000082758082349</v>
      </c>
      <c r="Y31" s="4">
        <f t="shared" si="69"/>
        <v>-4.0683537607011386E-3</v>
      </c>
      <c r="Z31" t="str">
        <f t="shared" si="53"/>
        <v>0,999999996240287+0,000380639743575661i</v>
      </c>
      <c r="AA31" s="4">
        <f t="shared" si="70"/>
        <v>1.0000000686835919</v>
      </c>
      <c r="AB31" s="4">
        <f t="shared" si="71"/>
        <v>3.8063972662355733E-4</v>
      </c>
      <c r="AC31" s="47" t="str">
        <f t="shared" si="72"/>
        <v>41,3854272233429-27,2088534249588i</v>
      </c>
      <c r="AD31" s="20">
        <f t="shared" si="73"/>
        <v>33.897108780202061</v>
      </c>
      <c r="AE31" s="43">
        <f t="shared" si="74"/>
        <v>-33.322923745700336</v>
      </c>
      <c r="AF31" t="str">
        <f t="shared" si="54"/>
        <v>405,634542683733</v>
      </c>
      <c r="AG31" t="str">
        <f t="shared" si="55"/>
        <v>1+0,652412302873795i</v>
      </c>
      <c r="AH31">
        <f t="shared" si="75"/>
        <v>1.1940024342274551</v>
      </c>
      <c r="AI31">
        <f t="shared" si="76"/>
        <v>0.57806917100068533</v>
      </c>
      <c r="AJ31" t="str">
        <f t="shared" si="56"/>
        <v>1+0,000110185188929797i</v>
      </c>
      <c r="AK31">
        <f t="shared" si="77"/>
        <v>1.000000006070388</v>
      </c>
      <c r="AL31">
        <f t="shared" si="78"/>
        <v>1.1018518848388577E-4</v>
      </c>
      <c r="AM31" t="str">
        <f t="shared" si="57"/>
        <v>1-0,000593854983997506i</v>
      </c>
      <c r="AN31">
        <f t="shared" si="79"/>
        <v>1.0000001763318553</v>
      </c>
      <c r="AO31">
        <f t="shared" si="80"/>
        <v>-5.9385491418714709E-4</v>
      </c>
      <c r="AP31" s="41" t="str">
        <f t="shared" si="81"/>
        <v>284,43790488133-185,766981724358i</v>
      </c>
      <c r="AQ31">
        <f t="shared" si="82"/>
        <v>50.622595964064288</v>
      </c>
      <c r="AR31" s="43">
        <f t="shared" si="83"/>
        <v>-33.148635998926572</v>
      </c>
      <c r="AS31" t="str">
        <f t="shared" si="58"/>
        <v>-0,0000166666666666667</v>
      </c>
      <c r="AT31" t="str">
        <f t="shared" si="59"/>
        <v>0,0000187738610368846i</v>
      </c>
      <c r="AU31">
        <f t="shared" si="84"/>
        <v>1.8773861036884598E-5</v>
      </c>
      <c r="AV31">
        <f t="shared" si="85"/>
        <v>1.5707963267948966</v>
      </c>
      <c r="AW31" t="str">
        <f t="shared" si="60"/>
        <v>1+0,00066926166153226i</v>
      </c>
      <c r="AX31">
        <f t="shared" si="86"/>
        <v>1.0000002239555608</v>
      </c>
      <c r="AY31">
        <f t="shared" si="87"/>
        <v>6.6926156160902848E-4</v>
      </c>
      <c r="AZ31" t="str">
        <f t="shared" si="61"/>
        <v>1+0,0988276386862637i</v>
      </c>
      <c r="BA31">
        <f t="shared" si="88"/>
        <v>1.0048715849143623</v>
      </c>
      <c r="BB31">
        <f t="shared" si="89"/>
        <v>9.8507764486106181E-2</v>
      </c>
      <c r="BC31" s="41" t="str">
        <f t="shared" si="90"/>
        <v>-0,0871409570161302+0,887817456803612i</v>
      </c>
      <c r="BD31">
        <f t="shared" si="91"/>
        <v>-0.99188761706375628</v>
      </c>
      <c r="BE31" s="43">
        <f t="shared" si="92"/>
        <v>95.60573329145204</v>
      </c>
      <c r="BF31" s="41" t="str">
        <f t="shared" si="93"/>
        <v>20,5501293155257+39,1137102729218i</v>
      </c>
      <c r="BG31" s="20">
        <f t="shared" si="94"/>
        <v>32.905221163138314</v>
      </c>
      <c r="BH31" s="43">
        <f t="shared" si="95"/>
        <v>62.282809545751675</v>
      </c>
      <c r="BI31" s="41" t="str">
        <f t="shared" si="96"/>
        <v>140,14097802958+268,716849899749i</v>
      </c>
      <c r="BJ31" s="20">
        <f t="shared" si="97"/>
        <v>49.630708347000542</v>
      </c>
      <c r="BK31" s="43">
        <f t="shared" si="98"/>
        <v>62.457097292525603</v>
      </c>
      <c r="BL31">
        <f t="shared" si="99"/>
        <v>32.905221163138314</v>
      </c>
      <c r="BM31" s="43">
        <f t="shared" si="100"/>
        <v>62.282809545751675</v>
      </c>
    </row>
    <row r="32" spans="1:65" ht="15.5" x14ac:dyDescent="0.35">
      <c r="A32" s="35" t="s">
        <v>476</v>
      </c>
      <c r="E32" s="31" t="s">
        <v>500</v>
      </c>
      <c r="N32" s="9">
        <v>14</v>
      </c>
      <c r="O32" s="34">
        <f t="shared" si="62"/>
        <v>13.803842646028857</v>
      </c>
      <c r="P32" s="33" t="str">
        <f t="shared" si="50"/>
        <v>59,1053597814893</v>
      </c>
      <c r="Q32" s="4" t="str">
        <f t="shared" si="63"/>
        <v>1+0,666423166722736i</v>
      </c>
      <c r="R32" s="4">
        <f t="shared" si="64"/>
        <v>1.2017153727670957</v>
      </c>
      <c r="S32" s="4">
        <f t="shared" si="65"/>
        <v>0.58783400771733196</v>
      </c>
      <c r="T32" s="4" t="str">
        <f t="shared" si="51"/>
        <v>1+0,000112751731684992i</v>
      </c>
      <c r="U32" s="4">
        <f t="shared" si="66"/>
        <v>1.0000000063564765</v>
      </c>
      <c r="V32" s="4">
        <f t="shared" si="67"/>
        <v>1.1275173120718952E-4</v>
      </c>
      <c r="W32" t="str">
        <f t="shared" si="52"/>
        <v>1-0,00416314086221509i</v>
      </c>
      <c r="X32" s="4">
        <f t="shared" si="68"/>
        <v>1.0000086658333709</v>
      </c>
      <c r="Y32" s="4">
        <f t="shared" si="69"/>
        <v>-4.1631168109709793E-3</v>
      </c>
      <c r="Z32" t="str">
        <f t="shared" si="53"/>
        <v>0,999999996063098+0,000389505982184517i</v>
      </c>
      <c r="AA32" s="4">
        <f t="shared" si="70"/>
        <v>1.0000000719205504</v>
      </c>
      <c r="AB32" s="4">
        <f t="shared" si="71"/>
        <v>3.8950596402001042E-4</v>
      </c>
      <c r="AC32" s="47" t="str">
        <f t="shared" si="72"/>
        <v>40,8071409407864-27,457245660806i</v>
      </c>
      <c r="AD32" s="20">
        <f t="shared" si="73"/>
        <v>33.836579669145785</v>
      </c>
      <c r="AE32" s="43">
        <f t="shared" si="74"/>
        <v>-33.934793568854978</v>
      </c>
      <c r="AF32" t="str">
        <f t="shared" si="54"/>
        <v>405,634542683733</v>
      </c>
      <c r="AG32" t="str">
        <f t="shared" si="55"/>
        <v>1+0,667608937608503i</v>
      </c>
      <c r="AH32">
        <f t="shared" si="75"/>
        <v>1.2023733586431271</v>
      </c>
      <c r="AI32">
        <f t="shared" si="76"/>
        <v>0.5886546613001975</v>
      </c>
      <c r="AJ32" t="str">
        <f t="shared" si="56"/>
        <v>1+0,000112751731684992i</v>
      </c>
      <c r="AK32">
        <f t="shared" si="77"/>
        <v>1.0000000063564765</v>
      </c>
      <c r="AL32">
        <f t="shared" si="78"/>
        <v>1.1275173120718952E-4</v>
      </c>
      <c r="AM32" t="str">
        <f t="shared" si="57"/>
        <v>1-0,000607687643555648i</v>
      </c>
      <c r="AN32">
        <f t="shared" si="79"/>
        <v>1.0000001846421189</v>
      </c>
      <c r="AO32">
        <f t="shared" si="80"/>
        <v>-6.0768756875250157E-4</v>
      </c>
      <c r="AP32" s="41" t="str">
        <f t="shared" si="81"/>
        <v>280,487005747945-187,456395022645i</v>
      </c>
      <c r="AQ32">
        <f t="shared" si="82"/>
        <v>50.561913384869456</v>
      </c>
      <c r="AR32" s="43">
        <f t="shared" si="83"/>
        <v>-33.755785417825386</v>
      </c>
      <c r="AS32" t="str">
        <f t="shared" si="58"/>
        <v>-0,0000166666666666667</v>
      </c>
      <c r="AT32" t="str">
        <f t="shared" si="59"/>
        <v>0,0000192111604370967i</v>
      </c>
      <c r="AU32">
        <f t="shared" si="84"/>
        <v>1.9211160437096699E-5</v>
      </c>
      <c r="AV32">
        <f t="shared" si="85"/>
        <v>1.5707963267948966</v>
      </c>
      <c r="AW32" t="str">
        <f t="shared" si="60"/>
        <v>1+0,000684850768248137i</v>
      </c>
      <c r="AX32">
        <f t="shared" si="86"/>
        <v>1.0000002345102599</v>
      </c>
      <c r="AY32">
        <f t="shared" si="87"/>
        <v>6.8485066117846677E-4</v>
      </c>
      <c r="AZ32" t="str">
        <f t="shared" si="61"/>
        <v>1+0,101129630111308i</v>
      </c>
      <c r="BA32">
        <f t="shared" si="88"/>
        <v>1.0051005930186541</v>
      </c>
      <c r="BB32">
        <f t="shared" si="89"/>
        <v>0.10078697260163799</v>
      </c>
      <c r="BC32" s="41" t="str">
        <f t="shared" si="90"/>
        <v>-0,0871409551766375+0,867610950178824i</v>
      </c>
      <c r="BD32">
        <f t="shared" si="91"/>
        <v>-1.1899084384298426</v>
      </c>
      <c r="BE32" s="43">
        <f t="shared" si="92"/>
        <v>95.735429107492251</v>
      </c>
      <c r="BF32" s="41" t="str">
        <f t="shared" si="93"/>
        <v>20,2662337574575+37,7973729391191i</v>
      </c>
      <c r="BG32" s="20">
        <f t="shared" si="94"/>
        <v>32.646671230715945</v>
      </c>
      <c r="BH32" s="43">
        <f t="shared" si="95"/>
        <v>61.800635538637266</v>
      </c>
      <c r="BI32" s="41" t="str">
        <f t="shared" si="96"/>
        <v>138,197315407183+259,68872688603i</v>
      </c>
      <c r="BJ32" s="20">
        <f t="shared" si="97"/>
        <v>49.372004946439603</v>
      </c>
      <c r="BK32" s="43">
        <f t="shared" si="98"/>
        <v>61.979643689666872</v>
      </c>
      <c r="BL32">
        <f t="shared" si="99"/>
        <v>32.646671230715945</v>
      </c>
      <c r="BM32" s="43">
        <f t="shared" si="100"/>
        <v>61.800635538637266</v>
      </c>
    </row>
    <row r="33" spans="1:65" x14ac:dyDescent="0.35">
      <c r="N33" s="9">
        <v>15</v>
      </c>
      <c r="O33" s="34">
        <f t="shared" si="62"/>
        <v>14.125375446227544</v>
      </c>
      <c r="P33" s="33" t="str">
        <f t="shared" si="50"/>
        <v>59,1053597814893</v>
      </c>
      <c r="Q33" s="4" t="str">
        <f t="shared" si="63"/>
        <v>1+0,681946156400924i</v>
      </c>
      <c r="R33" s="4">
        <f t="shared" si="64"/>
        <v>1.2103927297493131</v>
      </c>
      <c r="S33" s="4">
        <f t="shared" si="65"/>
        <v>0.59850625033138483</v>
      </c>
      <c r="T33" s="4" t="str">
        <f t="shared" si="51"/>
        <v>1+0,000115378056900772i</v>
      </c>
      <c r="U33" s="4">
        <f t="shared" si="66"/>
        <v>1.0000000066560479</v>
      </c>
      <c r="V33" s="4">
        <f t="shared" si="67"/>
        <v>1.153780563887974E-4</v>
      </c>
      <c r="W33" t="str">
        <f t="shared" si="52"/>
        <v>1-0,00426011287018235i</v>
      </c>
      <c r="X33" s="4">
        <f t="shared" si="68"/>
        <v>1.0000090742396623</v>
      </c>
      <c r="Y33" s="4">
        <f t="shared" si="69"/>
        <v>-4.2600870988225995E-3</v>
      </c>
      <c r="Z33" t="str">
        <f t="shared" si="53"/>
        <v>0,999999995877557+0,000398578742020848i</v>
      </c>
      <c r="AA33" s="4">
        <f t="shared" si="70"/>
        <v>1.0000000753100611</v>
      </c>
      <c r="AB33" s="4">
        <f t="shared" si="71"/>
        <v>3.985787225572288E-4</v>
      </c>
      <c r="AC33" s="47" t="str">
        <f t="shared" si="72"/>
        <v>40,2185138255372-27,6953950718916i</v>
      </c>
      <c r="AD33" s="20">
        <f t="shared" si="73"/>
        <v>33.774089398299367</v>
      </c>
      <c r="AE33" s="43">
        <f t="shared" si="74"/>
        <v>-34.552193370236068</v>
      </c>
      <c r="AF33" t="str">
        <f t="shared" si="54"/>
        <v>405,634542683733</v>
      </c>
      <c r="AG33" t="str">
        <f t="shared" si="55"/>
        <v>1+0,68315954743878i</v>
      </c>
      <c r="AH33">
        <f t="shared" si="75"/>
        <v>1.2110767800832278</v>
      </c>
      <c r="AI33">
        <f t="shared" si="76"/>
        <v>0.59933400730562936</v>
      </c>
      <c r="AJ33" t="str">
        <f t="shared" si="56"/>
        <v>1+0,000115378056900772i</v>
      </c>
      <c r="AK33">
        <f t="shared" si="77"/>
        <v>1.0000000066560479</v>
      </c>
      <c r="AL33">
        <f t="shared" si="78"/>
        <v>1.153780563887974E-4</v>
      </c>
      <c r="AM33" t="str">
        <f t="shared" si="57"/>
        <v>1-0,000621842507146099i</v>
      </c>
      <c r="AN33">
        <f t="shared" si="79"/>
        <v>1.0000001933440332</v>
      </c>
      <c r="AO33">
        <f t="shared" si="80"/>
        <v>-6.2184242699308439E-4</v>
      </c>
      <c r="AP33" s="41" t="str">
        <f t="shared" si="81"/>
        <v>276,465737805814-189,075647797409i</v>
      </c>
      <c r="AQ33">
        <f t="shared" si="82"/>
        <v>50.499266810779972</v>
      </c>
      <c r="AR33" s="43">
        <f t="shared" si="83"/>
        <v>-34.368327408184769</v>
      </c>
      <c r="AS33" t="str">
        <f t="shared" si="58"/>
        <v>-0,0000166666666666667</v>
      </c>
      <c r="AT33" t="str">
        <f t="shared" si="59"/>
        <v>0,0000196586458488623i</v>
      </c>
      <c r="AU33">
        <f t="shared" si="84"/>
        <v>1.9658645848862299E-5</v>
      </c>
      <c r="AV33">
        <f t="shared" si="85"/>
        <v>1.5707963267948966</v>
      </c>
      <c r="AW33" t="str">
        <f t="shared" si="60"/>
        <v>1+0,000700802991906408i</v>
      </c>
      <c r="AX33">
        <f t="shared" si="86"/>
        <v>1.0000002455623866</v>
      </c>
      <c r="AY33">
        <f t="shared" si="87"/>
        <v>7.0080287717919087E-4</v>
      </c>
      <c r="AZ33" t="str">
        <f t="shared" si="61"/>
        <v>1+0,103485241804846i</v>
      </c>
      <c r="BA33">
        <f t="shared" si="88"/>
        <v>1.0053403380305634</v>
      </c>
      <c r="BB33">
        <f t="shared" si="89"/>
        <v>0.10311818292297906</v>
      </c>
      <c r="BC33" s="41" t="str">
        <f t="shared" si="90"/>
        <v>-0,087140953250452+0,847864462363892i</v>
      </c>
      <c r="BD33">
        <f t="shared" si="91"/>
        <v>-1.3878369503360961</v>
      </c>
      <c r="BE33" s="43">
        <f t="shared" si="92"/>
        <v>95.8680836254117</v>
      </c>
      <c r="BF33" s="41" t="str">
        <f t="shared" si="93"/>
        <v>19,9772616195112+36,5132517289764i</v>
      </c>
      <c r="BG33" s="20">
        <f t="shared" si="94"/>
        <v>32.38625244796328</v>
      </c>
      <c r="BH33" s="43">
        <f t="shared" si="95"/>
        <v>61.31589025517561</v>
      </c>
      <c r="BI33" s="41" t="str">
        <f t="shared" si="96"/>
        <v>136,219034532367+250,881706332276i</v>
      </c>
      <c r="BJ33" s="20">
        <f t="shared" si="97"/>
        <v>49.111429860443877</v>
      </c>
      <c r="BK33" s="43">
        <f t="shared" si="98"/>
        <v>61.499756217226853</v>
      </c>
      <c r="BL33">
        <f t="shared" si="99"/>
        <v>32.38625244796328</v>
      </c>
      <c r="BM33" s="43">
        <f t="shared" si="100"/>
        <v>61.31589025517561</v>
      </c>
    </row>
    <row r="34" spans="1:65" x14ac:dyDescent="0.35">
      <c r="A34" t="s">
        <v>494</v>
      </c>
      <c r="B34">
        <f>(R_cs*Acs/(2*Lm*Fsw))*(1-(VIN_var/VOUT))*(VIN_var/VOUT)</f>
        <v>1.7045454545454547E-4</v>
      </c>
      <c r="E34" t="s">
        <v>497</v>
      </c>
      <c r="N34" s="9">
        <v>16</v>
      </c>
      <c r="O34" s="34">
        <f t="shared" si="62"/>
        <v>14.454397707459275</v>
      </c>
      <c r="P34" s="33" t="str">
        <f t="shared" si="50"/>
        <v>59,1053597814893</v>
      </c>
      <c r="Q34" s="4" t="str">
        <f t="shared" si="63"/>
        <v>1+0,697830722957861i</v>
      </c>
      <c r="R34" s="4">
        <f t="shared" si="64"/>
        <v>1.2194128578557351</v>
      </c>
      <c r="S34" s="4">
        <f t="shared" si="65"/>
        <v>0.60926858954277219</v>
      </c>
      <c r="T34" s="4" t="str">
        <f t="shared" si="51"/>
        <v>1+0,00011806555708953i</v>
      </c>
      <c r="U34" s="4">
        <f t="shared" si="66"/>
        <v>1.0000000069697379</v>
      </c>
      <c r="V34" s="4">
        <f t="shared" si="67"/>
        <v>1.1806555654093935E-4</v>
      </c>
      <c r="W34" t="str">
        <f t="shared" si="52"/>
        <v>1-0,00435934364638265i</v>
      </c>
      <c r="X34" s="4">
        <f t="shared" si="68"/>
        <v>1.0000095018933708</v>
      </c>
      <c r="Y34" s="4">
        <f t="shared" si="69"/>
        <v>-4.3593160318873272E-3</v>
      </c>
      <c r="Z34" t="str">
        <f t="shared" si="53"/>
        <v>0,999999995683272+0,000407862833582012i</v>
      </c>
      <c r="AA34" s="4">
        <f t="shared" si="70"/>
        <v>1.0000000788593144</v>
      </c>
      <c r="AB34" s="4">
        <f t="shared" si="71"/>
        <v>4.0786281272636851E-4</v>
      </c>
      <c r="AC34" s="47" t="str">
        <f t="shared" si="72"/>
        <v>39,6199065959104-27,9227771782545i</v>
      </c>
      <c r="AD34" s="20">
        <f t="shared" si="73"/>
        <v>33.709603812352967</v>
      </c>
      <c r="AE34" s="43">
        <f t="shared" si="74"/>
        <v>-35.174893340574087</v>
      </c>
      <c r="AF34" t="str">
        <f t="shared" si="54"/>
        <v>405,634542683733</v>
      </c>
      <c r="AG34" t="str">
        <f t="shared" si="55"/>
        <v>1+0,699072377503795i</v>
      </c>
      <c r="AH34">
        <f t="shared" si="75"/>
        <v>1.220123841660677</v>
      </c>
      <c r="AI34">
        <f t="shared" si="76"/>
        <v>0.61010312760636076</v>
      </c>
      <c r="AJ34" t="str">
        <f t="shared" si="56"/>
        <v>1+0,00011806555708953i</v>
      </c>
      <c r="AK34">
        <f t="shared" si="77"/>
        <v>1.0000000069697379</v>
      </c>
      <c r="AL34">
        <f t="shared" si="78"/>
        <v>1.1806555654093935E-4</v>
      </c>
      <c r="AM34" t="str">
        <f t="shared" si="57"/>
        <v>1-0,000636327079864898i</v>
      </c>
      <c r="AN34">
        <f t="shared" si="79"/>
        <v>1.0000002024560557</v>
      </c>
      <c r="AO34">
        <f t="shared" si="80"/>
        <v>-6.3632699397939629E-4</v>
      </c>
      <c r="AP34" s="41" t="str">
        <f t="shared" si="81"/>
        <v>272,376579965923-190,621168108912i</v>
      </c>
      <c r="AQ34">
        <f t="shared" si="82"/>
        <v>50.434622173138102</v>
      </c>
      <c r="AR34" s="43">
        <f t="shared" si="83"/>
        <v>-34.986028472625598</v>
      </c>
      <c r="AS34" t="str">
        <f t="shared" si="58"/>
        <v>-0,0000166666666666667</v>
      </c>
      <c r="AT34" t="str">
        <f t="shared" si="59"/>
        <v>0,0000201165545348699i</v>
      </c>
      <c r="AU34">
        <f t="shared" si="84"/>
        <v>2.0116554534869899E-5</v>
      </c>
      <c r="AV34">
        <f t="shared" si="85"/>
        <v>1.5707963267948966</v>
      </c>
      <c r="AW34" t="str">
        <f t="shared" si="60"/>
        <v>1+0,000717126790587214i</v>
      </c>
      <c r="AX34">
        <f t="shared" si="86"/>
        <v>1.0000002571353839</v>
      </c>
      <c r="AY34">
        <f t="shared" si="87"/>
        <v>7.1712666765478769E-4</v>
      </c>
      <c r="AZ34" t="str">
        <f t="shared" si="61"/>
        <v>1+0,105895722743378i</v>
      </c>
      <c r="BA34">
        <f t="shared" si="88"/>
        <v>1.0055913206145637</v>
      </c>
      <c r="BB34">
        <f t="shared" si="89"/>
        <v>0.10550253008075335</v>
      </c>
      <c r="BC34" s="41" t="str">
        <f t="shared" si="90"/>
        <v>-0,0871409512334885+0,82856752350959i</v>
      </c>
      <c r="BD34">
        <f t="shared" si="91"/>
        <v>-1.5856688945929089</v>
      </c>
      <c r="BE34" s="43">
        <f t="shared" si="92"/>
        <v>96.003761370146279</v>
      </c>
      <c r="BF34" s="41" t="str">
        <f t="shared" si="93"/>
        <v>19,6833899875468+35,2609852542486i</v>
      </c>
      <c r="BG34" s="20">
        <f t="shared" si="94"/>
        <v>32.123934917760053</v>
      </c>
      <c r="BH34" s="43">
        <f t="shared" si="95"/>
        <v>60.828868029572249</v>
      </c>
      <c r="BI34" s="41" t="str">
        <f t="shared" si="96"/>
        <v>134,207354916552+242,293298238626i</v>
      </c>
      <c r="BJ34" s="20">
        <f t="shared" si="97"/>
        <v>48.84895327854521</v>
      </c>
      <c r="BK34" s="43">
        <f t="shared" si="98"/>
        <v>61.017732897520624</v>
      </c>
      <c r="BL34">
        <f t="shared" si="99"/>
        <v>32.123934917760053</v>
      </c>
      <c r="BM34" s="43">
        <f t="shared" si="100"/>
        <v>60.828868029572249</v>
      </c>
    </row>
    <row r="35" spans="1:65" x14ac:dyDescent="0.35">
      <c r="A35" t="s">
        <v>495</v>
      </c>
      <c r="B35">
        <f>1/((0.5-(1-(VIN_var/VOUT)))*(R_cs*Acs/(Lm*Fsw))+(Vsl*Acs/VOUT))</f>
        <v>133.60323886639677</v>
      </c>
      <c r="E35" t="s">
        <v>497</v>
      </c>
      <c r="N35" s="9">
        <v>17</v>
      </c>
      <c r="O35" s="34">
        <f t="shared" si="62"/>
        <v>14.791083881682074</v>
      </c>
      <c r="P35" s="33" t="str">
        <f t="shared" si="50"/>
        <v>59,1053597814893</v>
      </c>
      <c r="Q35" s="4" t="str">
        <f t="shared" si="63"/>
        <v>1+0,714085288600991i</v>
      </c>
      <c r="R35" s="4">
        <f t="shared" si="64"/>
        <v>1.2287871253379734</v>
      </c>
      <c r="S35" s="4">
        <f t="shared" si="65"/>
        <v>0.62011675909688269</v>
      </c>
      <c r="T35" s="4" t="str">
        <f t="shared" si="51"/>
        <v>1+0,000120815657199439i</v>
      </c>
      <c r="U35" s="4">
        <f t="shared" si="66"/>
        <v>1.0000000072982114</v>
      </c>
      <c r="V35" s="4">
        <f t="shared" si="67"/>
        <v>1.2081565661161353E-4</v>
      </c>
      <c r="W35" t="str">
        <f t="shared" si="52"/>
        <v>1-0,004460885804287i</v>
      </c>
      <c r="X35" s="4">
        <f t="shared" si="68"/>
        <v>1.0000099497015813</v>
      </c>
      <c r="Y35" s="4">
        <f t="shared" si="69"/>
        <v>-4.460856214838058E-3</v>
      </c>
      <c r="Z35" t="str">
        <f t="shared" si="53"/>
        <v>0,999999995479831+0,000417363179416245i</v>
      </c>
      <c r="AA35" s="4">
        <f t="shared" si="70"/>
        <v>1.0000000825758393</v>
      </c>
      <c r="AB35" s="4">
        <f t="shared" si="71"/>
        <v>4.1736315706902041E-4</v>
      </c>
      <c r="AC35" s="47" t="str">
        <f t="shared" si="72"/>
        <v>39,0117138081877-28,1388806876349i</v>
      </c>
      <c r="AD35" s="20">
        <f t="shared" si="73"/>
        <v>33.643090025832564</v>
      </c>
      <c r="AE35" s="43">
        <f t="shared" si="74"/>
        <v>-35.802652255908505</v>
      </c>
      <c r="AF35" t="str">
        <f t="shared" si="54"/>
        <v>405,634542683733</v>
      </c>
      <c r="AG35" t="str">
        <f t="shared" si="55"/>
        <v>1+0,715355864996679i</v>
      </c>
      <c r="AH35">
        <f t="shared" si="75"/>
        <v>1.2295259304240587</v>
      </c>
      <c r="AI35">
        <f t="shared" si="76"/>
        <v>0.62095774068815435</v>
      </c>
      <c r="AJ35" t="str">
        <f t="shared" si="56"/>
        <v>1+0,000120815657199439i</v>
      </c>
      <c r="AK35">
        <f t="shared" si="77"/>
        <v>1.0000000072982114</v>
      </c>
      <c r="AL35">
        <f t="shared" si="78"/>
        <v>1.2081565661161353E-4</v>
      </c>
      <c r="AM35" t="str">
        <f t="shared" si="57"/>
        <v>1-0,000651149041624225i</v>
      </c>
      <c r="AN35">
        <f t="shared" si="79"/>
        <v>1.0000002119975147</v>
      </c>
      <c r="AO35">
        <f t="shared" si="80"/>
        <v>-6.5114894959625292E-4</v>
      </c>
      <c r="AP35" s="41" t="str">
        <f t="shared" si="81"/>
        <v>268,222241806781-192,089475338899i</v>
      </c>
      <c r="AQ35">
        <f t="shared" si="82"/>
        <v>50.367946681555864</v>
      </c>
      <c r="AR35" s="43">
        <f t="shared" si="83"/>
        <v>-35.608643656833493</v>
      </c>
      <c r="AS35" t="str">
        <f t="shared" si="58"/>
        <v>-0,0000166666666666667</v>
      </c>
      <c r="AT35" t="str">
        <f t="shared" si="59"/>
        <v>0,000020585129284366i</v>
      </c>
      <c r="AU35">
        <f t="shared" si="84"/>
        <v>2.0585129284365999E-5</v>
      </c>
      <c r="AV35">
        <f t="shared" si="85"/>
        <v>1.5707963267948966</v>
      </c>
      <c r="AW35" t="str">
        <f t="shared" si="60"/>
        <v>1+0,000733830819384684i</v>
      </c>
      <c r="AX35">
        <f t="shared" si="86"/>
        <v>1.0000002692537995</v>
      </c>
      <c r="AY35">
        <f t="shared" si="87"/>
        <v>7.3383068766021793E-4</v>
      </c>
      <c r="AZ35" t="str">
        <f t="shared" si="61"/>
        <v>1+0,108362350995805i</v>
      </c>
      <c r="BA35">
        <f t="shared" si="88"/>
        <v>1.0058540645209613</v>
      </c>
      <c r="BB35">
        <f t="shared" si="89"/>
        <v>0.10794116978593729</v>
      </c>
      <c r="BC35" s="41" t="str">
        <f t="shared" si="90"/>
        <v>-0,087140949121469+0,809709902123503i</v>
      </c>
      <c r="BD35">
        <f t="shared" si="91"/>
        <v>-1.783399821077597</v>
      </c>
      <c r="BE35" s="43">
        <f t="shared" si="92"/>
        <v>96.142528063159133</v>
      </c>
      <c r="BF35" s="41" t="str">
        <f t="shared" si="93"/>
        <v>19,3848125593492+34,0402197396341i</v>
      </c>
      <c r="BG35" s="20">
        <f t="shared" si="94"/>
        <v>31.859690204754976</v>
      </c>
      <c r="BH35" s="43">
        <f t="shared" si="95"/>
        <v>60.339875807250657</v>
      </c>
      <c r="BI35" s="41" t="str">
        <f t="shared" si="96"/>
        <v>132,163609549084+233,921064357992i</v>
      </c>
      <c r="BJ35" s="20">
        <f t="shared" si="97"/>
        <v>48.58454686047827</v>
      </c>
      <c r="BK35" s="43">
        <f t="shared" si="98"/>
        <v>60.533884406325647</v>
      </c>
      <c r="BL35">
        <f t="shared" si="99"/>
        <v>31.859690204754976</v>
      </c>
      <c r="BM35" s="43">
        <f t="shared" si="100"/>
        <v>60.339875807250657</v>
      </c>
    </row>
    <row r="36" spans="1:65" x14ac:dyDescent="0.35">
      <c r="A36" t="s">
        <v>496</v>
      </c>
      <c r="B36">
        <f>2+((VOUT*((VIN_var/VOUT)^2))/(IOUT_VAR*R_cs*Acs))*((1/Km)+(Kex/(VIN_var/VOUT)))</f>
        <v>2.1148674242424241</v>
      </c>
      <c r="E36" t="s">
        <v>497</v>
      </c>
      <c r="N36" s="9">
        <v>18</v>
      </c>
      <c r="O36" s="34">
        <f t="shared" si="62"/>
        <v>15.135612484362087</v>
      </c>
      <c r="P36" s="33" t="str">
        <f t="shared" si="50"/>
        <v>59,1053597814893</v>
      </c>
      <c r="Q36" s="4" t="str">
        <f t="shared" si="63"/>
        <v>1+0,730718471716175i</v>
      </c>
      <c r="R36" s="4">
        <f t="shared" si="64"/>
        <v>1.2385271433873473</v>
      </c>
      <c r="S36" s="4">
        <f t="shared" si="65"/>
        <v>0.63104629783818089</v>
      </c>
      <c r="T36" s="4" t="str">
        <f t="shared" si="51"/>
        <v>1+0,00012362981536998i</v>
      </c>
      <c r="U36" s="4">
        <f t="shared" si="66"/>
        <v>1.0000000076421656</v>
      </c>
      <c r="V36" s="4">
        <f t="shared" si="67"/>
        <v>1.2362981474011364E-4</v>
      </c>
      <c r="W36" t="str">
        <f t="shared" si="52"/>
        <v>1-0,00456479318289158i</v>
      </c>
      <c r="X36" s="4">
        <f t="shared" si="68"/>
        <v>1.0000104186141274</v>
      </c>
      <c r="Y36" s="4">
        <f t="shared" si="69"/>
        <v>-4.564761477243647E-3</v>
      </c>
      <c r="Z36" t="str">
        <f t="shared" si="53"/>
        <v>0,999999995266802+0,000427084816732659i</v>
      </c>
      <c r="AA36" s="4">
        <f t="shared" si="70"/>
        <v>1.0000000864675187</v>
      </c>
      <c r="AB36" s="4">
        <f t="shared" si="71"/>
        <v>4.270847927871765E-4</v>
      </c>
      <c r="AC36" s="47" t="str">
        <f t="shared" si="72"/>
        <v>38,3943633883215-28,3432100613087i</v>
      </c>
      <c r="AD36" s="20">
        <f t="shared" si="73"/>
        <v>33.574516536134411</v>
      </c>
      <c r="AE36" s="43">
        <f t="shared" si="74"/>
        <v>-36.435217800127553</v>
      </c>
      <c r="AF36" t="str">
        <f t="shared" si="54"/>
        <v>405,634542683733</v>
      </c>
      <c r="AG36" t="str">
        <f t="shared" si="55"/>
        <v>1+0,73201864363804i</v>
      </c>
      <c r="AH36">
        <f t="shared" si="75"/>
        <v>1.2392946762710133</v>
      </c>
      <c r="AI36">
        <f t="shared" si="76"/>
        <v>0.63189337060949835</v>
      </c>
      <c r="AJ36" t="str">
        <f t="shared" si="56"/>
        <v>1+0,00012362981536998i</v>
      </c>
      <c r="AK36">
        <f t="shared" si="77"/>
        <v>1.0000000076421656</v>
      </c>
      <c r="AL36">
        <f t="shared" si="78"/>
        <v>1.2362981474011364E-4</v>
      </c>
      <c r="AM36" t="str">
        <f t="shared" si="57"/>
        <v>1-0,000666316251224399i</v>
      </c>
      <c r="AN36">
        <f t="shared" si="79"/>
        <v>1.0000002219886488</v>
      </c>
      <c r="AO36">
        <f t="shared" si="80"/>
        <v>-6.6631615261465162E-4</v>
      </c>
      <c r="AP36" s="41" t="str">
        <f t="shared" si="81"/>
        <v>264,005660261879-193,477197701895i</v>
      </c>
      <c r="AQ36">
        <f t="shared" si="82"/>
        <v>50.299208936809244</v>
      </c>
      <c r="AR36" s="43">
        <f t="shared" si="83"/>
        <v>-36.235916874979949</v>
      </c>
      <c r="AS36" t="str">
        <f t="shared" si="58"/>
        <v>-0,0000166666666666667</v>
      </c>
      <c r="AT36" t="str">
        <f t="shared" si="59"/>
        <v>0,0000210646185418851i</v>
      </c>
      <c r="AU36">
        <f t="shared" si="84"/>
        <v>2.10646185418851E-5</v>
      </c>
      <c r="AV36">
        <f t="shared" si="85"/>
        <v>1.5707963267948966</v>
      </c>
      <c r="AW36" t="str">
        <f t="shared" si="60"/>
        <v>1+0,000750923934995991i</v>
      </c>
      <c r="AX36">
        <f t="shared" si="86"/>
        <v>1.0000002819433385</v>
      </c>
      <c r="AY36">
        <f t="shared" si="87"/>
        <v>7.5092379385068486E-4</v>
      </c>
      <c r="AZ36" t="str">
        <f t="shared" si="61"/>
        <v>1+0,110886434401075i</v>
      </c>
      <c r="BA36">
        <f t="shared" si="88"/>
        <v>1.0061291176256573</v>
      </c>
      <c r="BB36">
        <f t="shared" si="89"/>
        <v>0.11043527895436711</v>
      </c>
      <c r="BC36" s="41" t="str">
        <f t="shared" si="90"/>
        <v>-0,0871409469099128+0,791281599645153i</v>
      </c>
      <c r="BD36">
        <f t="shared" si="91"/>
        <v>-1.9810250795113937</v>
      </c>
      <c r="BE36" s="43">
        <f t="shared" si="92"/>
        <v>96.284450629311564</v>
      </c>
      <c r="BF36" s="41" t="str">
        <f t="shared" si="93"/>
        <v>19,0817394147293+32,8506074424773i</v>
      </c>
      <c r="BG36" s="20">
        <f t="shared" si="94"/>
        <v>31.593491456623006</v>
      </c>
      <c r="BH36" s="43">
        <f t="shared" si="95"/>
        <v>59.849232829184011</v>
      </c>
      <c r="BI36" s="41" t="str">
        <f t="shared" si="96"/>
        <v>130,08924326762+225,762607380614i</v>
      </c>
      <c r="BJ36" s="20">
        <f t="shared" si="97"/>
        <v>48.318183857297853</v>
      </c>
      <c r="BK36" s="43">
        <f t="shared" si="98"/>
        <v>60.04853375433165</v>
      </c>
      <c r="BL36">
        <f t="shared" si="99"/>
        <v>31.593491456623006</v>
      </c>
      <c r="BM36" s="43">
        <f t="shared" si="100"/>
        <v>59.849232829184011</v>
      </c>
    </row>
    <row r="37" spans="1:65" x14ac:dyDescent="0.35">
      <c r="N37" s="9">
        <v>19</v>
      </c>
      <c r="O37" s="34">
        <f t="shared" si="62"/>
        <v>15.488166189124817</v>
      </c>
      <c r="P37" s="33" t="str">
        <f t="shared" si="50"/>
        <v>59,1053597814893</v>
      </c>
      <c r="Q37" s="4" t="str">
        <f t="shared" si="63"/>
        <v>1+0,747739091437264i</v>
      </c>
      <c r="R37" s="4">
        <f t="shared" si="64"/>
        <v>1.2486447648804784</v>
      </c>
      <c r="S37" s="4">
        <f t="shared" si="65"/>
        <v>0.64205255630373359</v>
      </c>
      <c r="T37" s="4" t="str">
        <f t="shared" si="51"/>
        <v>1+0,000126509523705064i</v>
      </c>
      <c r="U37" s="4">
        <f t="shared" si="66"/>
        <v>1.0000000080023297</v>
      </c>
      <c r="V37" s="4">
        <f t="shared" si="67"/>
        <v>1.2650952303015005E-4</v>
      </c>
      <c r="W37" t="str">
        <f t="shared" si="52"/>
        <v>1-0,00467112087526391i</v>
      </c>
      <c r="X37" s="4">
        <f t="shared" si="68"/>
        <v>1.0000109096256056</v>
      </c>
      <c r="Y37" s="4">
        <f t="shared" si="69"/>
        <v>-4.6710869020700823E-3</v>
      </c>
      <c r="Z37" t="str">
        <f t="shared" si="53"/>
        <v>0,999999995043734+0,00043703290007204i</v>
      </c>
      <c r="AA37" s="4">
        <f t="shared" si="70"/>
        <v>1.0000000905426076</v>
      </c>
      <c r="AB37" s="4">
        <f t="shared" si="71"/>
        <v>4.3703287441399305E-4</v>
      </c>
      <c r="AC37" s="47" t="str">
        <f t="shared" si="72"/>
        <v>37,768315937914-28,5352880809416i</v>
      </c>
      <c r="AD37" s="20">
        <f t="shared" si="73"/>
        <v>33.503853334608131</v>
      </c>
      <c r="AE37" s="43">
        <f t="shared" si="74"/>
        <v>-37.0723269444916</v>
      </c>
      <c r="AF37" t="str">
        <f t="shared" si="54"/>
        <v>405,634542683733</v>
      </c>
      <c r="AG37" t="str">
        <f t="shared" si="55"/>
        <v>1+0,749069548253669i</v>
      </c>
      <c r="AH37">
        <f t="shared" si="75"/>
        <v>1.2494419506807652</v>
      </c>
      <c r="AI37">
        <f t="shared" si="76"/>
        <v>0.64290535367181501</v>
      </c>
      <c r="AJ37" t="str">
        <f t="shared" si="56"/>
        <v>1+0,000126509523705064i</v>
      </c>
      <c r="AK37">
        <f t="shared" si="77"/>
        <v>1.0000000080023297</v>
      </c>
      <c r="AL37">
        <f t="shared" si="78"/>
        <v>1.2650952303015005E-4</v>
      </c>
      <c r="AM37" t="str">
        <f t="shared" si="57"/>
        <v>1-0,00068183675052071i</v>
      </c>
      <c r="AN37">
        <f t="shared" si="79"/>
        <v>1.0000002324506501</v>
      </c>
      <c r="AO37">
        <f t="shared" si="80"/>
        <v>-6.8183664485846329E-4</v>
      </c>
      <c r="AP37" s="41" t="str">
        <f t="shared" si="81"/>
        <v>259,72999476451-194,781089751868i</v>
      </c>
      <c r="AQ37">
        <f t="shared" si="82"/>
        <v>50.228379041722263</v>
      </c>
      <c r="AR37" s="43">
        <f t="shared" si="83"/>
        <v>-36.867581292090357</v>
      </c>
      <c r="AS37" t="str">
        <f t="shared" si="58"/>
        <v>-0,0000166666666666667</v>
      </c>
      <c r="AT37" t="str">
        <f t="shared" si="59"/>
        <v>0,0000215552765389782i</v>
      </c>
      <c r="AU37">
        <f t="shared" si="84"/>
        <v>2.1555276538978199E-5</v>
      </c>
      <c r="AV37">
        <f t="shared" si="85"/>
        <v>1.5707963267948966</v>
      </c>
      <c r="AW37" t="str">
        <f t="shared" si="60"/>
        <v>1+0,000768415200417286i</v>
      </c>
      <c r="AX37">
        <f t="shared" si="86"/>
        <v>1.0000002952309166</v>
      </c>
      <c r="AY37">
        <f t="shared" si="87"/>
        <v>7.6841504917736796E-4</v>
      </c>
      <c r="AZ37" t="str">
        <f t="shared" si="61"/>
        <v>1+0,113469311261619i</v>
      </c>
      <c r="BA37">
        <f t="shared" si="88"/>
        <v>1.0064170530143983</v>
      </c>
      <c r="BB37">
        <f t="shared" si="89"/>
        <v>0.1129860558098385</v>
      </c>
      <c r="BC37" s="41" t="str">
        <f t="shared" si="90"/>
        <v>-0,087140944594129+0,773272845144633i</v>
      </c>
      <c r="BD37">
        <f t="shared" si="91"/>
        <v>-2.1785398109250904</v>
      </c>
      <c r="BE37" s="43">
        <f t="shared" si="92"/>
        <v>96.429597202501114</v>
      </c>
      <c r="BF37" s="41" t="str">
        <f t="shared" si="93"/>
        <v>18,7743966748121+31,691805079271i</v>
      </c>
      <c r="BG37" s="20">
        <f t="shared" si="94"/>
        <v>31.32531352368304</v>
      </c>
      <c r="BH37" s="43">
        <f t="shared" si="95"/>
        <v>59.357270258009564</v>
      </c>
      <c r="BI37" s="41" t="str">
        <f t="shared" si="96"/>
        <v>127,985810369592+217,815560171005i</v>
      </c>
      <c r="BJ37" s="20">
        <f t="shared" si="97"/>
        <v>48.049839230797176</v>
      </c>
      <c r="BK37" s="43">
        <f t="shared" si="98"/>
        <v>59.562015910410672</v>
      </c>
      <c r="BL37">
        <f t="shared" si="99"/>
        <v>31.32531352368304</v>
      </c>
      <c r="BM37" s="43">
        <f t="shared" si="100"/>
        <v>59.357270258009564</v>
      </c>
    </row>
    <row r="38" spans="1:65" x14ac:dyDescent="0.35">
      <c r="A38" t="s">
        <v>200</v>
      </c>
      <c r="B38" s="16">
        <f>(Gcomp*(VIN_var/VOUT)*(VOUT/IOUT))/(Kd*R_cs*Acs/Np)</f>
        <v>59.105359781489284</v>
      </c>
      <c r="C38" t="s">
        <v>150</v>
      </c>
      <c r="E38" t="s">
        <v>204</v>
      </c>
      <c r="N38" s="9">
        <v>20</v>
      </c>
      <c r="O38" s="34">
        <f t="shared" si="62"/>
        <v>15.848931924611136</v>
      </c>
      <c r="P38" s="33" t="str">
        <f t="shared" si="50"/>
        <v>59,1053597814893</v>
      </c>
      <c r="Q38" s="4" t="str">
        <f t="shared" si="63"/>
        <v>1+0,76515617232213i</v>
      </c>
      <c r="R38" s="4">
        <f t="shared" si="64"/>
        <v>1.2591520829679999</v>
      </c>
      <c r="S38" s="4">
        <f t="shared" si="65"/>
        <v>0.65313070430669218</v>
      </c>
      <c r="T38" s="4" t="str">
        <f t="shared" si="51"/>
        <v>1+0,000129456309064168i</v>
      </c>
      <c r="U38" s="4">
        <f t="shared" si="66"/>
        <v>1.000000008379468</v>
      </c>
      <c r="V38" s="4">
        <f t="shared" si="67"/>
        <v>1.2945630834098468E-4</v>
      </c>
      <c r="W38" t="str">
        <f t="shared" si="52"/>
        <v>1-0,00477992525775391i</v>
      </c>
      <c r="X38" s="4">
        <f t="shared" si="68"/>
        <v>1.0000114237774835</v>
      </c>
      <c r="Y38" s="4">
        <f t="shared" si="69"/>
        <v>-4.7798888548433232E-3</v>
      </c>
      <c r="Z38" t="str">
        <f t="shared" si="53"/>
        <v>0,999999994810152+0,000447212704039853i</v>
      </c>
      <c r="AA38" s="4">
        <f t="shared" si="70"/>
        <v>1.0000000948097487</v>
      </c>
      <c r="AB38" s="4">
        <f t="shared" si="71"/>
        <v>4.4721267654676067E-4</v>
      </c>
      <c r="AC38" s="47" t="str">
        <f t="shared" si="72"/>
        <v>37,1340638105488-28,7146583939787i</v>
      </c>
      <c r="AD38" s="20">
        <f t="shared" si="73"/>
        <v>33.431072014922506</v>
      </c>
      <c r="AE38" s="43">
        <f t="shared" si="74"/>
        <v>-37.713706383916133</v>
      </c>
      <c r="AF38" t="str">
        <f t="shared" si="54"/>
        <v>405,634542683733</v>
      </c>
      <c r="AG38" t="str">
        <f t="shared" si="55"/>
        <v>1+0,766517619458889i</v>
      </c>
      <c r="AH38">
        <f t="shared" si="75"/>
        <v>1.2599798652918712</v>
      </c>
      <c r="AI38">
        <f t="shared" si="76"/>
        <v>0.65398884607895402</v>
      </c>
      <c r="AJ38" t="str">
        <f t="shared" si="56"/>
        <v>1+0,000129456309064168i</v>
      </c>
      <c r="AK38">
        <f t="shared" si="77"/>
        <v>1.000000008379468</v>
      </c>
      <c r="AL38">
        <f t="shared" si="78"/>
        <v>1.2945630834098468E-4</v>
      </c>
      <c r="AM38" t="str">
        <f t="shared" si="57"/>
        <v>1-0,000697718768687324i</v>
      </c>
      <c r="AN38">
        <f t="shared" si="79"/>
        <v>1.0000002434057105</v>
      </c>
      <c r="AO38">
        <f t="shared" si="80"/>
        <v>-6.9771865546818825E-4</v>
      </c>
      <c r="AP38" s="41" t="str">
        <f t="shared" si="81"/>
        <v>255,398620824416-195,998049730348i</v>
      </c>
      <c r="AQ38">
        <f t="shared" si="82"/>
        <v>50.155428709272712</v>
      </c>
      <c r="AR38" s="43">
        <f t="shared" si="83"/>
        <v>-37.503359763101422</v>
      </c>
      <c r="AS38" t="str">
        <f t="shared" si="58"/>
        <v>-0,0000166666666666667</v>
      </c>
      <c r="AT38" t="str">
        <f t="shared" si="59"/>
        <v>0,0000220573634290102i</v>
      </c>
      <c r="AU38">
        <f t="shared" si="84"/>
        <v>2.2057363429010199E-5</v>
      </c>
      <c r="AV38">
        <f t="shared" si="85"/>
        <v>1.5707963267948966</v>
      </c>
      <c r="AW38" t="str">
        <f t="shared" si="60"/>
        <v>1+0,00078631388974902i</v>
      </c>
      <c r="AX38">
        <f t="shared" si="86"/>
        <v>1.0000003091447187</v>
      </c>
      <c r="AY38">
        <f t="shared" si="87"/>
        <v>7.8631372769253076E-4</v>
      </c>
      <c r="AZ38" t="str">
        <f t="shared" si="61"/>
        <v>1+0,116112351052938i</v>
      </c>
      <c r="BA38">
        <f t="shared" si="88"/>
        <v>1.0067184701131895</v>
      </c>
      <c r="BB38">
        <f t="shared" si="89"/>
        <v>0.11559471996377717</v>
      </c>
      <c r="BC38" s="41" t="str">
        <f t="shared" si="90"/>
        <v>-0,0871409421692055+0,755674090141912i</v>
      </c>
      <c r="BD38">
        <f t="shared" si="91"/>
        <v>-2.375938938805811</v>
      </c>
      <c r="BE38" s="43">
        <f t="shared" si="92"/>
        <v>96.57803712995107</v>
      </c>
      <c r="BF38" s="41" t="str">
        <f t="shared" si="93"/>
        <v>18,463026048583+30,5634722698264i</v>
      </c>
      <c r="BG38" s="20">
        <f t="shared" si="94"/>
        <v>31.0551330761167</v>
      </c>
      <c r="BH38" s="43">
        <f t="shared" si="95"/>
        <v>58.864330746035051</v>
      </c>
      <c r="BI38" s="41" t="str">
        <f t="shared" si="96"/>
        <v>125,854971452215+210,077575131819i</v>
      </c>
      <c r="BJ38" s="20">
        <f t="shared" si="97"/>
        <v>47.77948977046691</v>
      </c>
      <c r="BK38" s="43">
        <f t="shared" si="98"/>
        <v>59.074677366849592</v>
      </c>
      <c r="BL38">
        <f t="shared" si="99"/>
        <v>31.0551330761167</v>
      </c>
      <c r="BM38" s="43">
        <f t="shared" si="100"/>
        <v>58.864330746035051</v>
      </c>
    </row>
    <row r="39" spans="1:65" x14ac:dyDescent="0.35">
      <c r="A39" t="s">
        <v>217</v>
      </c>
      <c r="B39" s="18">
        <f>Kd/(Cout*(VOUT/IOUT_VAR))</f>
        <v>130.14568764568764</v>
      </c>
      <c r="C39" t="s">
        <v>216</v>
      </c>
      <c r="E39" t="s">
        <v>207</v>
      </c>
      <c r="N39" s="9">
        <v>21</v>
      </c>
      <c r="O39" s="34">
        <f t="shared" si="62"/>
        <v>16.218100973589298</v>
      </c>
      <c r="P39" s="33" t="str">
        <f t="shared" si="50"/>
        <v>59,1053597814893</v>
      </c>
      <c r="Q39" s="4" t="str">
        <f t="shared" si="63"/>
        <v>1+0,782978949137599i</v>
      </c>
      <c r="R39" s="4">
        <f t="shared" si="64"/>
        <v>1.2700614295350516</v>
      </c>
      <c r="S39" s="4">
        <f t="shared" si="65"/>
        <v>0.66427573949690977</v>
      </c>
      <c r="T39" s="4" t="str">
        <f t="shared" si="51"/>
        <v>1+0,000132471733871894i</v>
      </c>
      <c r="U39" s="4">
        <f t="shared" si="66"/>
        <v>1.0000000087743801</v>
      </c>
      <c r="V39" s="4">
        <f t="shared" si="67"/>
        <v>1.3247173309698912E-4</v>
      </c>
      <c r="W39" t="str">
        <f t="shared" si="52"/>
        <v>1-0,00489126401988534i</v>
      </c>
      <c r="X39" s="4">
        <f t="shared" si="68"/>
        <v>1.0000119621603094</v>
      </c>
      <c r="Y39" s="4">
        <f t="shared" si="69"/>
        <v>-4.8912250134890796E-3</v>
      </c>
      <c r="Z39" t="str">
        <f t="shared" si="53"/>
        <v>0,999999994565562+0,000457629626102908i</v>
      </c>
      <c r="AA39" s="4">
        <f t="shared" si="70"/>
        <v>1.0000000992779943</v>
      </c>
      <c r="AB39" s="4">
        <f t="shared" si="71"/>
        <v>4.5762959664352899E-4</v>
      </c>
      <c r="AC39" s="47" t="str">
        <f t="shared" si="72"/>
        <v>36,4921299570572-28,880888014236i</v>
      </c>
      <c r="AD39" s="20">
        <f t="shared" si="73"/>
        <v>33.356145877939127</v>
      </c>
      <c r="AE39" s="43">
        <f t="shared" si="74"/>
        <v>-38.359073029283003</v>
      </c>
      <c r="AF39" t="str">
        <f t="shared" si="54"/>
        <v>405,634542683733</v>
      </c>
      <c r="AG39" t="str">
        <f t="shared" si="55"/>
        <v>1+0,784372108452005i</v>
      </c>
      <c r="AH39">
        <f t="shared" si="75"/>
        <v>1.2709207703540941</v>
      </c>
      <c r="AI39">
        <f t="shared" si="76"/>
        <v>0.66513883257245854</v>
      </c>
      <c r="AJ39" t="str">
        <f t="shared" si="56"/>
        <v>1+0,000132471733871894i</v>
      </c>
      <c r="AK39">
        <f t="shared" si="77"/>
        <v>1.0000000087743801</v>
      </c>
      <c r="AL39">
        <f t="shared" si="78"/>
        <v>1.3247173309698912E-4</v>
      </c>
      <c r="AM39" t="str">
        <f t="shared" si="57"/>
        <v>1-0,000713970726580493i</v>
      </c>
      <c r="AN39">
        <f t="shared" si="79"/>
        <v>1.0000002548770668</v>
      </c>
      <c r="AO39">
        <f t="shared" si="80"/>
        <v>-7.1397060526400501E-4</v>
      </c>
      <c r="AP39" s="41" t="str">
        <f t="shared" si="81"/>
        <v>251,015122028004-197,125136596421i</v>
      </c>
      <c r="AQ39">
        <f t="shared" si="82"/>
        <v>50.080331367145234</v>
      </c>
      <c r="AR39" s="43">
        <f t="shared" si="83"/>
        <v>-38.142965327827312</v>
      </c>
      <c r="AS39" t="str">
        <f t="shared" si="58"/>
        <v>-0,0000166666666666667</v>
      </c>
      <c r="AT39" t="str">
        <f t="shared" si="59"/>
        <v>0,0000225711454250959i</v>
      </c>
      <c r="AU39">
        <f t="shared" si="84"/>
        <v>2.25711454250959E-5</v>
      </c>
      <c r="AV39">
        <f t="shared" si="85"/>
        <v>1.5707963267948966</v>
      </c>
      <c r="AW39" t="str">
        <f t="shared" si="60"/>
        <v>1+0,000804629493113192i</v>
      </c>
      <c r="AX39">
        <f t="shared" si="86"/>
        <v>1.0000003237142583</v>
      </c>
      <c r="AY39">
        <f t="shared" si="87"/>
        <v>8.0462931946653836E-4</v>
      </c>
      <c r="AZ39" t="str">
        <f t="shared" si="61"/>
        <v>1+0,118816955149714i</v>
      </c>
      <c r="BA39">
        <f t="shared" si="88"/>
        <v>1.007033995866599</v>
      </c>
      <c r="BB39">
        <f t="shared" si="89"/>
        <v>0.11826251246933205</v>
      </c>
      <c r="BC39" s="41" t="str">
        <f t="shared" si="90"/>
        <v>-0,0871409396299995+0,738476003544135i</v>
      </c>
      <c r="BD39">
        <f t="shared" si="91"/>
        <v>-2.573217159916648</v>
      </c>
      <c r="BE39" s="43">
        <f t="shared" si="92"/>
        <v>96.729840975028083</v>
      </c>
      <c r="BF39" s="41" t="str">
        <f t="shared" si="93"/>
        <v>18,1478842660007+29,4652700104101i</v>
      </c>
      <c r="BG39" s="20">
        <f t="shared" si="94"/>
        <v>30.782928718022475</v>
      </c>
      <c r="BH39" s="43">
        <f t="shared" si="95"/>
        <v>58.370767945745058</v>
      </c>
      <c r="BI39" s="41" t="str">
        <f t="shared" si="96"/>
        <v>123,698489476957+202,546313772088i</v>
      </c>
      <c r="BJ39" s="20">
        <f t="shared" si="97"/>
        <v>47.507114207228582</v>
      </c>
      <c r="BK39" s="43">
        <f t="shared" si="98"/>
        <v>58.586875647200884</v>
      </c>
      <c r="BL39">
        <f t="shared" si="99"/>
        <v>30.782928718022475</v>
      </c>
      <c r="BM39" s="43">
        <f t="shared" si="100"/>
        <v>58.370767945745058</v>
      </c>
    </row>
    <row r="40" spans="1:65" x14ac:dyDescent="0.35">
      <c r="B40" s="17">
        <f>wp_lf/(2*PI())</f>
        <v>20.713329510905005</v>
      </c>
      <c r="C40" t="s">
        <v>65</v>
      </c>
      <c r="N40" s="9">
        <v>22</v>
      </c>
      <c r="O40" s="34">
        <f t="shared" si="62"/>
        <v>16.595869074375614</v>
      </c>
      <c r="P40" s="33" t="str">
        <f t="shared" si="50"/>
        <v>59,1053597814893</v>
      </c>
      <c r="Q40" s="4" t="str">
        <f t="shared" si="63"/>
        <v>1+0,801216871755857i</v>
      </c>
      <c r="R40" s="4">
        <f t="shared" si="64"/>
        <v>1.2813853735649714</v>
      </c>
      <c r="S40" s="4">
        <f t="shared" si="65"/>
        <v>0.67548249687676776</v>
      </c>
      <c r="T40" s="4" t="str">
        <f t="shared" si="51"/>
        <v>1+0,000135557396946391i</v>
      </c>
      <c r="U40" s="4">
        <f t="shared" si="66"/>
        <v>1.0000000091879038</v>
      </c>
      <c r="V40" s="4">
        <f t="shared" si="67"/>
        <v>1.3555739611606545E-4</v>
      </c>
      <c r="W40" t="str">
        <f t="shared" si="52"/>
        <v>1-0,00500519619494367i</v>
      </c>
      <c r="X40" s="4">
        <f t="shared" si="68"/>
        <v>1.0000125259160257</v>
      </c>
      <c r="Y40" s="4">
        <f t="shared" si="69"/>
        <v>-5.005154398865324E-3</v>
      </c>
      <c r="Z40" t="str">
        <f t="shared" si="53"/>
        <v>0,999999994309445+0,000468289189451168i</v>
      </c>
      <c r="AA40" s="4">
        <f t="shared" si="70"/>
        <v>1.000000103956822</v>
      </c>
      <c r="AB40" s="4">
        <f t="shared" si="71"/>
        <v>4.6828915788487476E-4</v>
      </c>
      <c r="AC40" s="47" t="str">
        <f t="shared" si="72"/>
        <v>35,8430665409605-29,0335697538162i</v>
      </c>
      <c r="AD40" s="20">
        <f t="shared" si="73"/>
        <v>33.279050032318253</v>
      </c>
      <c r="AE40" s="43">
        <f t="shared" si="74"/>
        <v>-39.008134554523302</v>
      </c>
      <c r="AF40" t="str">
        <f t="shared" si="54"/>
        <v>405,634542683733</v>
      </c>
      <c r="AG40" t="str">
        <f t="shared" si="55"/>
        <v>1+0,802642481919419i</v>
      </c>
      <c r="AH40">
        <f t="shared" si="75"/>
        <v>1.2822772530859949</v>
      </c>
      <c r="AI40">
        <f t="shared" si="76"/>
        <v>0.67635013601995675</v>
      </c>
      <c r="AJ40" t="str">
        <f t="shared" si="56"/>
        <v>1+0,000135557396946391i</v>
      </c>
      <c r="AK40">
        <f t="shared" si="77"/>
        <v>1.0000000091879038</v>
      </c>
      <c r="AL40">
        <f t="shared" si="78"/>
        <v>1.3555739611606545E-4</v>
      </c>
      <c r="AM40" t="str">
        <f t="shared" si="57"/>
        <v>1-0,000730601241203419i</v>
      </c>
      <c r="AN40">
        <f t="shared" si="79"/>
        <v>1.0000002668890513</v>
      </c>
      <c r="AO40">
        <f t="shared" si="80"/>
        <v>-7.3060111121046195E-4</v>
      </c>
      <c r="AP40" s="41" t="str">
        <f t="shared" si="81"/>
        <v>246,583280472017-198,159586575534i</v>
      </c>
      <c r="AQ40">
        <f t="shared" si="82"/>
        <v>50.00306225795633</v>
      </c>
      <c r="AR40" s="43">
        <f t="shared" si="83"/>
        <v>-38.786101760543389</v>
      </c>
      <c r="AS40" t="str">
        <f t="shared" si="58"/>
        <v>-0,0000166666666666667</v>
      </c>
      <c r="AT40" t="str">
        <f t="shared" si="59"/>
        <v>0,0000230968949412504i</v>
      </c>
      <c r="AU40">
        <f t="shared" si="84"/>
        <v>2.30968949412504E-5</v>
      </c>
      <c r="AV40">
        <f t="shared" si="85"/>
        <v>1.5707963267948966</v>
      </c>
      <c r="AW40" t="str">
        <f t="shared" si="60"/>
        <v>1+0,000823371721685147i</v>
      </c>
      <c r="AX40">
        <f t="shared" si="86"/>
        <v>1.0000003389704386</v>
      </c>
      <c r="AY40">
        <f t="shared" si="87"/>
        <v>8.2337153561940879E-4</v>
      </c>
      <c r="AZ40" t="str">
        <f t="shared" si="61"/>
        <v>1+0,12158455756884i</v>
      </c>
      <c r="BA40">
        <f t="shared" si="88"/>
        <v>1.007364285965713</v>
      </c>
      <c r="BB40">
        <f t="shared" si="89"/>
        <v>0.1209906958476208</v>
      </c>
      <c r="BC40" s="41" t="str">
        <f t="shared" si="90"/>
        <v>-0,0871409369711255+0,721669466698132i</v>
      </c>
      <c r="BD40">
        <f t="shared" si="91"/>
        <v>-2.7703689347830029</v>
      </c>
      <c r="BE40" s="43">
        <f t="shared" si="92"/>
        <v>96.885080518457485</v>
      </c>
      <c r="BF40" s="41" t="str">
        <f t="shared" si="93"/>
        <v>17,8292423982819+28,3968591874047i</v>
      </c>
      <c r="BG40" s="20">
        <f t="shared" si="94"/>
        <v>30.508681097535259</v>
      </c>
      <c r="BH40" s="43">
        <f t="shared" si="95"/>
        <v>57.876945963934133</v>
      </c>
      <c r="BI40" s="41" t="str">
        <f t="shared" si="96"/>
        <v>121,518225063343+195,219436558919i</v>
      </c>
      <c r="BJ40" s="20">
        <f t="shared" si="97"/>
        <v>47.232693323173322</v>
      </c>
      <c r="BK40" s="43">
        <f t="shared" si="98"/>
        <v>58.098978757913969</v>
      </c>
      <c r="BL40">
        <f t="shared" si="99"/>
        <v>30.508681097535259</v>
      </c>
      <c r="BM40" s="43">
        <f t="shared" si="100"/>
        <v>57.876945963934133</v>
      </c>
    </row>
    <row r="41" spans="1:65" x14ac:dyDescent="0.35">
      <c r="B41" s="1"/>
      <c r="C41" t="s">
        <v>237</v>
      </c>
      <c r="E41" t="s">
        <v>236</v>
      </c>
      <c r="N41" s="9">
        <v>23</v>
      </c>
      <c r="O41" s="34">
        <f t="shared" si="62"/>
        <v>16.982436524617448</v>
      </c>
      <c r="P41" s="33" t="str">
        <f t="shared" si="50"/>
        <v>59,1053597814893</v>
      </c>
      <c r="Q41" s="4" t="str">
        <f t="shared" si="63"/>
        <v>1+0,819879610164873i</v>
      </c>
      <c r="R41" s="4">
        <f t="shared" si="64"/>
        <v>1.2931367194400227</v>
      </c>
      <c r="S41" s="4">
        <f t="shared" si="65"/>
        <v>0.68674565924094688</v>
      </c>
      <c r="T41" s="4" t="str">
        <f t="shared" si="51"/>
        <v>1+0,000138714934347062i</v>
      </c>
      <c r="U41" s="4">
        <f t="shared" si="66"/>
        <v>1.0000000096209165</v>
      </c>
      <c r="V41" s="4">
        <f t="shared" si="67"/>
        <v>1.3871493345735215E-4</v>
      </c>
      <c r="W41" t="str">
        <f t="shared" si="52"/>
        <v>1-0,00512178219127614i</v>
      </c>
      <c r="X41" s="4">
        <f t="shared" si="68"/>
        <v>1.0000131162403896</v>
      </c>
      <c r="Y41" s="4">
        <f t="shared" si="69"/>
        <v>-5.1217374060030336E-3</v>
      </c>
      <c r="Z41" t="str">
        <f t="shared" si="53"/>
        <v>0,999999994041257+0,000479197045926213i</v>
      </c>
      <c r="AA41" s="4">
        <f t="shared" si="70"/>
        <v>1.0000001088561554</v>
      </c>
      <c r="AB41" s="4">
        <f t="shared" si="71"/>
        <v>4.7919701210232077E-4</v>
      </c>
      <c r="AC41" s="47" t="str">
        <f t="shared" si="72"/>
        <v>35,1874533281083-29,1723245622654i</v>
      </c>
      <c r="AD41" s="20">
        <f t="shared" si="73"/>
        <v>33.199761490090836</v>
      </c>
      <c r="AE41" s="43">
        <f t="shared" si="74"/>
        <v>-39.66058999668013</v>
      </c>
      <c r="AF41" t="str">
        <f t="shared" si="54"/>
        <v>405,634542683733</v>
      </c>
      <c r="AG41" t="str">
        <f t="shared" si="55"/>
        <v>1+0,821338427054971i</v>
      </c>
      <c r="AH41">
        <f t="shared" si="75"/>
        <v>1.2940621359722777</v>
      </c>
      <c r="AI41">
        <f t="shared" si="76"/>
        <v>0.68761742792470315</v>
      </c>
      <c r="AJ41" t="str">
        <f t="shared" si="56"/>
        <v>1+0,000138714934347062i</v>
      </c>
      <c r="AK41">
        <f t="shared" si="77"/>
        <v>1.0000000096209165</v>
      </c>
      <c r="AL41">
        <f t="shared" si="78"/>
        <v>1.3871493345735215E-4</v>
      </c>
      <c r="AM41" t="str">
        <f t="shared" si="57"/>
        <v>1-0,000747619130275077i</v>
      </c>
      <c r="AN41">
        <f t="shared" si="79"/>
        <v>1.000000279467143</v>
      </c>
      <c r="AO41">
        <f t="shared" si="80"/>
        <v>-7.4761899098511604E-4</v>
      </c>
      <c r="AP41" s="41" t="str">
        <f t="shared" si="81"/>
        <v>242,107065659549-199,098829062762i</v>
      </c>
      <c r="AQ41">
        <f t="shared" si="82"/>
        <v>49.923598534385441</v>
      </c>
      <c r="AR41" s="43">
        <f t="shared" si="83"/>
        <v>-39.432464172351303</v>
      </c>
      <c r="AS41" t="str">
        <f t="shared" si="58"/>
        <v>-0,0000166666666666667</v>
      </c>
      <c r="AT41" t="str">
        <f t="shared" si="59"/>
        <v>0,0000236348907368264i</v>
      </c>
      <c r="AU41">
        <f t="shared" si="84"/>
        <v>2.3634890736826401E-5</v>
      </c>
      <c r="AV41">
        <f t="shared" si="85"/>
        <v>1.5707963267948966</v>
      </c>
      <c r="AW41" t="str">
        <f t="shared" si="60"/>
        <v>1+0,000842550512842547i</v>
      </c>
      <c r="AX41">
        <f t="shared" si="86"/>
        <v>1.0000003549456205</v>
      </c>
      <c r="AY41">
        <f t="shared" si="87"/>
        <v>8.4255031346952027E-4</v>
      </c>
      <c r="AZ41" t="str">
        <f t="shared" si="61"/>
        <v>1+0,124416625729749i</v>
      </c>
      <c r="BA41">
        <f t="shared" si="88"/>
        <v>1.0077100261275445</v>
      </c>
      <c r="BB41">
        <f t="shared" si="89"/>
        <v>0.12378055408369032</v>
      </c>
      <c r="BC41" s="41" t="str">
        <f t="shared" si="90"/>
        <v>-0,087140934186941+0,705245568555587i</v>
      </c>
      <c r="BD41">
        <f t="shared" si="91"/>
        <v>-2.9673884778379893</v>
      </c>
      <c r="BE41" s="43">
        <f t="shared" si="92"/>
        <v>97.043828757797058</v>
      </c>
      <c r="BF41" s="41" t="str">
        <f t="shared" si="93"/>
        <v>17,5073850673322+27,3578991431654i</v>
      </c>
      <c r="BG41" s="20">
        <f t="shared" si="94"/>
        <v>30.23237301225285</v>
      </c>
      <c r="BH41" s="43">
        <f t="shared" si="95"/>
        <v>57.383238761116999</v>
      </c>
      <c r="BI41" s="41" t="str">
        <f t="shared" si="96"/>
        <v>119,316131026287+188,094593132449i</v>
      </c>
      <c r="BJ41" s="20">
        <f t="shared" si="97"/>
        <v>46.956210056547462</v>
      </c>
      <c r="BK41" s="43">
        <f t="shared" si="98"/>
        <v>57.61136458544582</v>
      </c>
      <c r="BL41">
        <f t="shared" si="99"/>
        <v>30.23237301225285</v>
      </c>
      <c r="BM41" s="43">
        <f t="shared" si="100"/>
        <v>57.383238761116999</v>
      </c>
    </row>
    <row r="42" spans="1:65" x14ac:dyDescent="0.35">
      <c r="A42" t="s">
        <v>218</v>
      </c>
      <c r="B42" s="18">
        <f>((VOUT/IOUT)*((VIN_var/VOUT)^2))/(Lm)</f>
        <v>20833.333333333336</v>
      </c>
      <c r="C42" t="s">
        <v>216</v>
      </c>
      <c r="E42" t="s">
        <v>208</v>
      </c>
      <c r="N42" s="9">
        <v>24</v>
      </c>
      <c r="O42" s="34">
        <f t="shared" si="62"/>
        <v>17.378008287493756</v>
      </c>
      <c r="P42" s="33" t="str">
        <f t="shared" si="50"/>
        <v>59,1053597814893</v>
      </c>
      <c r="Q42" s="4" t="str">
        <f t="shared" si="63"/>
        <v>1+0,838977059595594i</v>
      </c>
      <c r="R42" s="4">
        <f t="shared" si="64"/>
        <v>1.3053285052153227</v>
      </c>
      <c r="S42" s="4">
        <f t="shared" si="65"/>
        <v>0.69805976849966223</v>
      </c>
      <c r="T42" s="4" t="str">
        <f t="shared" si="51"/>
        <v>1+0,000141946020242034i</v>
      </c>
      <c r="U42" s="4">
        <f t="shared" si="66"/>
        <v>1.0000000100743363</v>
      </c>
      <c r="V42" s="4">
        <f t="shared" si="67"/>
        <v>1.4194601928869271E-4</v>
      </c>
      <c r="W42" t="str">
        <f t="shared" si="52"/>
        <v>1-0,00524108382432126i</v>
      </c>
      <c r="X42" s="4">
        <f t="shared" si="68"/>
        <v>1.00001373438551</v>
      </c>
      <c r="Y42" s="4">
        <f t="shared" si="69"/>
        <v>-5.2410358360721332E-3</v>
      </c>
      <c r="Z42" t="str">
        <f t="shared" si="53"/>
        <v>0,99999999376043+0,000490358979017935i</v>
      </c>
      <c r="AA42" s="4">
        <f t="shared" si="70"/>
        <v>1.0000001139863877</v>
      </c>
      <c r="AB42" s="4">
        <f t="shared" si="71"/>
        <v>4.9035894277498166E-4</v>
      </c>
      <c r="AC42" s="47" t="str">
        <f t="shared" si="72"/>
        <v>34,5258958573643-29,2968037490438i</v>
      </c>
      <c r="AD42" s="20">
        <f t="shared" si="73"/>
        <v>33.118259256447779</v>
      </c>
      <c r="AE42" s="43">
        <f t="shared" si="74"/>
        <v>-40.316130406637321</v>
      </c>
      <c r="AF42" t="str">
        <f t="shared" si="54"/>
        <v>405,634542683733</v>
      </c>
      <c r="AG42" t="str">
        <f t="shared" si="55"/>
        <v>1+0,840469856696252i</v>
      </c>
      <c r="AH42">
        <f t="shared" si="75"/>
        <v>1.3062884750372019</v>
      </c>
      <c r="AI42">
        <f t="shared" si="76"/>
        <v>0.69893523981506434</v>
      </c>
      <c r="AJ42" t="str">
        <f t="shared" si="56"/>
        <v>1+0,000141946020242034i</v>
      </c>
      <c r="AK42">
        <f t="shared" si="77"/>
        <v>1.0000000100743363</v>
      </c>
      <c r="AL42">
        <f t="shared" si="78"/>
        <v>1.4194601928869271E-4</v>
      </c>
      <c r="AM42" t="str">
        <f t="shared" si="57"/>
        <v>1-0,000765033416905522i</v>
      </c>
      <c r="AN42">
        <f t="shared" si="79"/>
        <v>1.0000002926380216</v>
      </c>
      <c r="AO42">
        <f t="shared" si="80"/>
        <v>-7.6503326765364212E-4</v>
      </c>
      <c r="AP42" s="41" t="str">
        <f t="shared" si="81"/>
        <v>237,590621906704-199,940501717499i</v>
      </c>
      <c r="AQ42">
        <f t="shared" si="82"/>
        <v>49.84191934846622</v>
      </c>
      <c r="AR42" s="43">
        <f t="shared" si="83"/>
        <v>-40.081739663967042</v>
      </c>
      <c r="AS42" t="str">
        <f t="shared" si="58"/>
        <v>-0,0000166666666666667</v>
      </c>
      <c r="AT42" t="str">
        <f t="shared" si="59"/>
        <v>0,0000241854180643157i</v>
      </c>
      <c r="AU42">
        <f t="shared" si="84"/>
        <v>2.4185418064315699E-5</v>
      </c>
      <c r="AV42">
        <f t="shared" si="85"/>
        <v>1.5707963267948966</v>
      </c>
      <c r="AW42" t="str">
        <f t="shared" si="60"/>
        <v>1+0,000862176035434338i</v>
      </c>
      <c r="AX42">
        <f t="shared" si="86"/>
        <v>1.0000003716736889</v>
      </c>
      <c r="AY42">
        <f t="shared" si="87"/>
        <v>8.6217582180229512E-4</v>
      </c>
      <c r="AZ42" t="str">
        <f t="shared" si="61"/>
        <v>1+0,12731466123247i</v>
      </c>
      <c r="BA42">
        <f t="shared" si="88"/>
        <v>1.0080719334277384</v>
      </c>
      <c r="BB42">
        <f t="shared" si="89"/>
        <v>0.1266333925896464</v>
      </c>
      <c r="BC42" s="41" t="str">
        <f t="shared" si="90"/>
        <v>-0,0871409312715437+0,689195600948301i</v>
      </c>
      <c r="BD42">
        <f t="shared" si="91"/>
        <v>-3.1642697472203842</v>
      </c>
      <c r="BE42" s="43">
        <f t="shared" si="92"/>
        <v>97.206159905022488</v>
      </c>
      <c r="BF42" s="41" t="str">
        <f t="shared" si="93"/>
        <v>17,1826095476916+26,348046305666i</v>
      </c>
      <c r="BG42" s="20">
        <f t="shared" si="94"/>
        <v>29.953989509227398</v>
      </c>
      <c r="BH42" s="43">
        <f t="shared" si="95"/>
        <v>56.890029498385225</v>
      </c>
      <c r="BI42" s="41" t="str">
        <f t="shared" si="96"/>
        <v>117,094246180761+181,169412963234i</v>
      </c>
      <c r="BJ42" s="20">
        <f t="shared" si="97"/>
        <v>46.677649601245832</v>
      </c>
      <c r="BK42" s="43">
        <f t="shared" si="98"/>
        <v>57.124420241055475</v>
      </c>
      <c r="BL42">
        <f t="shared" si="99"/>
        <v>29.953989509227398</v>
      </c>
      <c r="BM42" s="43">
        <f t="shared" si="100"/>
        <v>56.890029498385225</v>
      </c>
    </row>
    <row r="43" spans="1:65" x14ac:dyDescent="0.35">
      <c r="B43" s="1">
        <f>wz_rhp/(2*PI())</f>
        <v>3315.7279810811533</v>
      </c>
      <c r="C43" t="s">
        <v>65</v>
      </c>
      <c r="N43" s="9">
        <v>25</v>
      </c>
      <c r="O43" s="34">
        <f t="shared" si="62"/>
        <v>17.782794100389236</v>
      </c>
      <c r="P43" s="33" t="str">
        <f t="shared" si="50"/>
        <v>59,1053597814893</v>
      </c>
      <c r="Q43" s="4" t="str">
        <f t="shared" si="63"/>
        <v>1+0,85851934576848i</v>
      </c>
      <c r="R43" s="4">
        <f t="shared" si="64"/>
        <v>1.31797400090394</v>
      </c>
      <c r="S43" s="4">
        <f t="shared" si="65"/>
        <v>0.70941923783556315</v>
      </c>
      <c r="T43" s="4" t="str">
        <f t="shared" si="51"/>
        <v>1+0,000145252367795815i</v>
      </c>
      <c r="U43" s="4">
        <f t="shared" si="66"/>
        <v>1.0000000105491251</v>
      </c>
      <c r="V43" s="4">
        <f t="shared" si="67"/>
        <v>1.452523667742914E-4</v>
      </c>
      <c r="W43" t="str">
        <f t="shared" si="52"/>
        <v>1-0,00536316434938393i</v>
      </c>
      <c r="X43" s="4">
        <f t="shared" si="68"/>
        <v>1.0000143816625031</v>
      </c>
      <c r="Y43" s="4">
        <f t="shared" si="69"/>
        <v>-5.3631129290885047E-3</v>
      </c>
      <c r="Z43" t="str">
        <f t="shared" si="53"/>
        <v>0,999999993466368+0,000501780906930995i</v>
      </c>
      <c r="AA43" s="4">
        <f t="shared" si="70"/>
        <v>1.0000001193584003</v>
      </c>
      <c r="AB43" s="4">
        <f t="shared" si="71"/>
        <v>5.0178086809597126E-4</v>
      </c>
      <c r="AC43" s="47" t="str">
        <f t="shared" si="72"/>
        <v>33,859023402065-29,4066910659033i</v>
      </c>
      <c r="AD43" s="20">
        <f t="shared" si="73"/>
        <v>33.034524413026908</v>
      </c>
      <c r="AE43" s="43">
        <f t="shared" si="74"/>
        <v>-40.974439547656047</v>
      </c>
      <c r="AF43" t="str">
        <f t="shared" si="54"/>
        <v>405,634542683733</v>
      </c>
      <c r="AG43" t="str">
        <f t="shared" si="55"/>
        <v>1+0,86004691458048i</v>
      </c>
      <c r="AH43">
        <f t="shared" si="75"/>
        <v>1.3189695581321821</v>
      </c>
      <c r="AI43">
        <f t="shared" si="76"/>
        <v>0.71029797546346485</v>
      </c>
      <c r="AJ43" t="str">
        <f t="shared" si="56"/>
        <v>1+0,000145252367795815i</v>
      </c>
      <c r="AK43">
        <f t="shared" si="77"/>
        <v>1.0000000105491251</v>
      </c>
      <c r="AL43">
        <f t="shared" si="78"/>
        <v>1.452523667742914E-4</v>
      </c>
      <c r="AM43" t="str">
        <f t="shared" si="57"/>
        <v>1-0,000782853334380017i</v>
      </c>
      <c r="AN43">
        <f t="shared" si="79"/>
        <v>1.0000003064296246</v>
      </c>
      <c r="AO43">
        <f t="shared" si="80"/>
        <v>-7.8285317445374899E-4</v>
      </c>
      <c r="AP43" s="41" t="str">
        <f t="shared" si="81"/>
        <v>233,038254327705-200,682464590259i</v>
      </c>
      <c r="AQ43">
        <f t="shared" si="82"/>
        <v>49.758005934319996</v>
      </c>
      <c r="AR43" s="43">
        <f t="shared" si="83"/>
        <v>-40.733608026037615</v>
      </c>
      <c r="AS43" t="str">
        <f t="shared" si="58"/>
        <v>-0,0000166666666666667</v>
      </c>
      <c r="AT43" t="str">
        <f t="shared" si="59"/>
        <v>0,0000247487688205947i</v>
      </c>
      <c r="AU43">
        <f t="shared" si="84"/>
        <v>2.4748768820594699E-5</v>
      </c>
      <c r="AV43">
        <f t="shared" si="85"/>
        <v>1.5707963267948966</v>
      </c>
      <c r="AW43" t="str">
        <f t="shared" si="60"/>
        <v>1+0,000882258695172356i</v>
      </c>
      <c r="AX43">
        <f t="shared" si="86"/>
        <v>1.0000003891901268</v>
      </c>
      <c r="AY43">
        <f t="shared" si="87"/>
        <v>8.8225846626150274E-4</v>
      </c>
      <c r="AZ43" t="str">
        <f t="shared" si="61"/>
        <v>1+0,130280200653784i</v>
      </c>
      <c r="BA43">
        <f t="shared" si="88"/>
        <v>1.0084507576884407</v>
      </c>
      <c r="BB43">
        <f t="shared" si="89"/>
        <v>0.12955053813218789</v>
      </c>
      <c r="BC43" s="41" t="str">
        <f t="shared" si="90"/>
        <v>-0,0871409282187467+0,67351105397098i</v>
      </c>
      <c r="BD43">
        <f t="shared" si="91"/>
        <v>-3.3610064342200916</v>
      </c>
      <c r="BE43" s="43">
        <f t="shared" si="92"/>
        <v>97.372149382066524</v>
      </c>
      <c r="BF43" s="41" t="str">
        <f t="shared" si="93"/>
        <v>16,8552247657593+25,3669528932776i</v>
      </c>
      <c r="BG43" s="20">
        <f t="shared" si="94"/>
        <v>29.67351797880681</v>
      </c>
      <c r="BH43" s="43">
        <f t="shared" si="95"/>
        <v>56.397709834410506</v>
      </c>
      <c r="BI43" s="41" t="str">
        <f t="shared" si="96"/>
        <v>114,854688447087+174,441496529431i</v>
      </c>
      <c r="BJ43" s="20">
        <f t="shared" si="97"/>
        <v>46.396999500099916</v>
      </c>
      <c r="BK43" s="43">
        <f t="shared" si="98"/>
        <v>56.63854135602886</v>
      </c>
      <c r="BL43">
        <f t="shared" si="99"/>
        <v>29.67351797880681</v>
      </c>
      <c r="BM43" s="43">
        <f t="shared" si="100"/>
        <v>56.397709834410506</v>
      </c>
    </row>
    <row r="44" spans="1:65" x14ac:dyDescent="0.35">
      <c r="B44" s="1"/>
      <c r="N44" s="9">
        <v>26</v>
      </c>
      <c r="O44" s="34">
        <f t="shared" si="62"/>
        <v>18.197008586099841</v>
      </c>
      <c r="P44" s="33" t="str">
        <f t="shared" si="50"/>
        <v>59,1053597814893</v>
      </c>
      <c r="Q44" s="4" t="str">
        <f t="shared" si="63"/>
        <v>1+0,878516830262345i</v>
      </c>
      <c r="R44" s="4">
        <f t="shared" si="64"/>
        <v>1.3310867068129701</v>
      </c>
      <c r="S44" s="4">
        <f t="shared" si="65"/>
        <v>0.7208183646358054</v>
      </c>
      <c r="T44" s="4" t="str">
        <f t="shared" si="51"/>
        <v>1+0,000148635730077644i</v>
      </c>
      <c r="U44" s="4">
        <f t="shared" si="66"/>
        <v>1.0000000110462901</v>
      </c>
      <c r="V44" s="4">
        <f t="shared" si="67"/>
        <v>1.4863572898306176E-4</v>
      </c>
      <c r="W44" t="str">
        <f t="shared" si="52"/>
        <v>1-0,00548808849517455i</v>
      </c>
      <c r="X44" s="4">
        <f t="shared" si="68"/>
        <v>1.000015059444272</v>
      </c>
      <c r="Y44" s="4">
        <f t="shared" si="69"/>
        <v>-5.4880333973801338E-3</v>
      </c>
      <c r="Z44" t="str">
        <f t="shared" si="53"/>
        <v>0,999999993158448+0,00051346888572277i</v>
      </c>
      <c r="AA44" s="4">
        <f t="shared" si="70"/>
        <v>1.0000001249835886</v>
      </c>
      <c r="AB44" s="4">
        <f t="shared" si="71"/>
        <v>5.134688441102923E-4</v>
      </c>
      <c r="AC44" s="47" t="str">
        <f t="shared" si="72"/>
        <v>33,1874867347764-29,5017046266778i</v>
      </c>
      <c r="AD44" s="20">
        <f t="shared" si="73"/>
        <v>32.948540194013709</v>
      </c>
      <c r="AE44" s="43">
        <f t="shared" si="74"/>
        <v>-41.635194638373896</v>
      </c>
      <c r="AF44" t="str">
        <f t="shared" si="54"/>
        <v>405,634542683733</v>
      </c>
      <c r="AG44" t="str">
        <f t="shared" si="55"/>
        <v>1+0,880079980722891i</v>
      </c>
      <c r="AH44">
        <f t="shared" si="75"/>
        <v>1.3321189032774829</v>
      </c>
      <c r="AI44">
        <f t="shared" si="76"/>
        <v>0.72169992387561643</v>
      </c>
      <c r="AJ44" t="str">
        <f t="shared" si="56"/>
        <v>1+0,000148635730077644i</v>
      </c>
      <c r="AK44">
        <f t="shared" si="77"/>
        <v>1.0000000110462901</v>
      </c>
      <c r="AL44">
        <f t="shared" si="78"/>
        <v>1.4863572898306176E-4</v>
      </c>
      <c r="AM44" t="str">
        <f t="shared" si="57"/>
        <v>1-0,000801088331054694i</v>
      </c>
      <c r="AN44">
        <f t="shared" si="79"/>
        <v>1.0000003208712056</v>
      </c>
      <c r="AO44">
        <f t="shared" si="80"/>
        <v>-8.0108815969061342E-4</v>
      </c>
      <c r="AP44" s="41" t="str">
        <f t="shared" si="81"/>
        <v>228,454413485392-201,322813128704i</v>
      </c>
      <c r="AQ44">
        <f t="shared" si="82"/>
        <v>49.67184168365111</v>
      </c>
      <c r="AR44" s="43">
        <f t="shared" si="83"/>
        <v>-41.387742483598309</v>
      </c>
      <c r="AS44" t="str">
        <f t="shared" si="58"/>
        <v>-0,0000166666666666667</v>
      </c>
      <c r="AT44" t="str">
        <f t="shared" si="59"/>
        <v>0,0000253252417016909i</v>
      </c>
      <c r="AU44">
        <f t="shared" si="84"/>
        <v>2.5325241701690901E-5</v>
      </c>
      <c r="AV44">
        <f t="shared" si="85"/>
        <v>1.5707963267948966</v>
      </c>
      <c r="AW44" t="str">
        <f t="shared" si="60"/>
        <v>1+0,000902809140148636i</v>
      </c>
      <c r="AX44">
        <f t="shared" si="86"/>
        <v>1.0000004075320887</v>
      </c>
      <c r="AY44">
        <f t="shared" si="87"/>
        <v>9.0280889486624291E-4</v>
      </c>
      <c r="AZ44" t="str">
        <f t="shared" si="61"/>
        <v>1+0,133314816361948i</v>
      </c>
      <c r="BA44">
        <f t="shared" si="88"/>
        <v>1.008847282923248</v>
      </c>
      <c r="BB44">
        <f t="shared" si="89"/>
        <v>0.13253333872170486</v>
      </c>
      <c r="BC44" s="41" t="str">
        <f t="shared" si="90"/>
        <v>-0,0871409250220772+0,658183611469196i</v>
      </c>
      <c r="BD44">
        <f t="shared" si="91"/>
        <v>-3.557591952364497</v>
      </c>
      <c r="BE44" s="43">
        <f t="shared" si="92"/>
        <v>97.541873814148744</v>
      </c>
      <c r="BF44" s="41" t="str">
        <f t="shared" si="93"/>
        <v>16,5255502024579+24,414265705578i</v>
      </c>
      <c r="BG44" s="20">
        <f t="shared" si="94"/>
        <v>29.390948241649216</v>
      </c>
      <c r="BH44" s="43">
        <f t="shared" si="95"/>
        <v>55.906679175774968</v>
      </c>
      <c r="BI44" s="41" t="str">
        <f t="shared" si="96"/>
        <v>112,599647299695+167,908407087974i</v>
      </c>
      <c r="BJ44" s="20">
        <f t="shared" si="97"/>
        <v>46.114249731286591</v>
      </c>
      <c r="BK44" s="43">
        <f t="shared" si="98"/>
        <v>56.154131330550463</v>
      </c>
      <c r="BL44">
        <f t="shared" si="99"/>
        <v>29.390948241649216</v>
      </c>
      <c r="BM44" s="43">
        <f t="shared" si="100"/>
        <v>55.906679175774968</v>
      </c>
    </row>
    <row r="45" spans="1:65" x14ac:dyDescent="0.35">
      <c r="A45" t="s">
        <v>219</v>
      </c>
      <c r="B45" s="18">
        <f>1/(Cout*Resr)</f>
        <v>769230.76923076925</v>
      </c>
      <c r="C45" t="s">
        <v>216</v>
      </c>
      <c r="E45" t="s">
        <v>209</v>
      </c>
      <c r="N45" s="9">
        <v>27</v>
      </c>
      <c r="O45" s="34">
        <f t="shared" si="62"/>
        <v>18.62087136662868</v>
      </c>
      <c r="P45" s="33" t="str">
        <f t="shared" si="50"/>
        <v>59,1053597814893</v>
      </c>
      <c r="Q45" s="4" t="str">
        <f t="shared" si="63"/>
        <v>1+0,898980116008157i</v>
      </c>
      <c r="R45" s="4">
        <f t="shared" si="64"/>
        <v>1.3446803519714414</v>
      </c>
      <c r="S45" s="4">
        <f t="shared" si="65"/>
        <v>0.7322513441321078</v>
      </c>
      <c r="T45" s="4" t="str">
        <f t="shared" si="51"/>
        <v>1+0,000152097900990987i</v>
      </c>
      <c r="U45" s="4">
        <f t="shared" si="66"/>
        <v>1.0000000115668857</v>
      </c>
      <c r="V45" s="4">
        <f t="shared" si="67"/>
        <v>1.5209789981812099E-4</v>
      </c>
      <c r="W45" t="str">
        <f t="shared" si="52"/>
        <v>1-0,00561592249812875i</v>
      </c>
      <c r="X45" s="4">
        <f t="shared" si="68"/>
        <v>1.0000157691684191</v>
      </c>
      <c r="Y45" s="4">
        <f t="shared" si="69"/>
        <v>-5.6158634598286374E-3</v>
      </c>
      <c r="Z45" t="str">
        <f t="shared" si="53"/>
        <v>0,999999992836015+0,000525429112514317i</v>
      </c>
      <c r="AA45" s="4">
        <f t="shared" si="70"/>
        <v>1.0000001308738828</v>
      </c>
      <c r="AB45" s="4">
        <f t="shared" si="71"/>
        <v>5.2542906792574435E-4</v>
      </c>
      <c r="AC45" s="47" t="str">
        <f t="shared" si="72"/>
        <v>32,511955710619-29,5815986432713i</v>
      </c>
      <c r="AD45" s="20">
        <f t="shared" si="73"/>
        <v>32.860292054420562</v>
      </c>
      <c r="AE45" s="43">
        <f t="shared" si="74"/>
        <v>-42.298067136414581</v>
      </c>
      <c r="AF45" t="str">
        <f t="shared" si="54"/>
        <v>405,634542683733</v>
      </c>
      <c r="AG45" t="str">
        <f t="shared" si="55"/>
        <v>1+0,900579676920315i</v>
      </c>
      <c r="AH45">
        <f t="shared" si="75"/>
        <v>1.3457502570989532</v>
      </c>
      <c r="AI45">
        <f t="shared" si="76"/>
        <v>0.73313527298221937</v>
      </c>
      <c r="AJ45" t="str">
        <f t="shared" si="56"/>
        <v>1+0,000152097900990987i</v>
      </c>
      <c r="AK45">
        <f t="shared" si="77"/>
        <v>1.0000000115668857</v>
      </c>
      <c r="AL45">
        <f t="shared" si="78"/>
        <v>1.5209789981812099E-4</v>
      </c>
      <c r="AM45" t="str">
        <f t="shared" si="57"/>
        <v>1-0,000819748075366153i</v>
      </c>
      <c r="AN45">
        <f t="shared" si="79"/>
        <v>1.0000003359933971</v>
      </c>
      <c r="AO45">
        <f t="shared" si="80"/>
        <v>-8.1974789174623578E-4</v>
      </c>
      <c r="AP45" s="41" t="str">
        <f t="shared" si="81"/>
        <v>223,84367881268-201,859889918933i</v>
      </c>
      <c r="AQ45">
        <f t="shared" si="82"/>
        <v>49.583412213372512</v>
      </c>
      <c r="AR45" s="43">
        <f t="shared" si="83"/>
        <v>-42.043810480782014</v>
      </c>
      <c r="AS45" t="str">
        <f t="shared" si="58"/>
        <v>-0,0000166666666666667</v>
      </c>
      <c r="AT45" t="str">
        <f t="shared" si="59"/>
        <v>0,0000259151423611567i</v>
      </c>
      <c r="AU45">
        <f t="shared" si="84"/>
        <v>2.5915142361156699E-5</v>
      </c>
      <c r="AV45">
        <f t="shared" si="85"/>
        <v>1.5707963267948966</v>
      </c>
      <c r="AW45" t="str">
        <f t="shared" si="60"/>
        <v>1+0,000923838266481111i</v>
      </c>
      <c r="AX45">
        <f t="shared" si="86"/>
        <v>1.0000004267384801</v>
      </c>
      <c r="AY45">
        <f t="shared" si="87"/>
        <v>9.2383800365629766E-4</v>
      </c>
      <c r="AZ45" t="str">
        <f t="shared" si="61"/>
        <v>1+0,136420117350377i</v>
      </c>
      <c r="BA45">
        <f t="shared" si="88"/>
        <v>1.0092623288411644</v>
      </c>
      <c r="BB45">
        <f t="shared" si="89"/>
        <v>0.13558316345984747</v>
      </c>
      <c r="BC45" s="41" t="str">
        <f t="shared" si="90"/>
        <v>-0,087140921674753+0,643205146630028i</v>
      </c>
      <c r="BD45">
        <f t="shared" si="91"/>
        <v>-3.7540194261424835</v>
      </c>
      <c r="BE45" s="43">
        <f t="shared" si="92"/>
        <v>97.715411020718307</v>
      </c>
      <c r="BF45" s="41" t="str">
        <f t="shared" si="93"/>
        <v>16,1939147068239+23,489625010465i</v>
      </c>
      <c r="BG45" s="20">
        <f t="shared" si="94"/>
        <v>29.106272628278095</v>
      </c>
      <c r="BH45" s="43">
        <f t="shared" si="95"/>
        <v>55.417343884303733</v>
      </c>
      <c r="BI45" s="41" t="str">
        <f t="shared" si="96"/>
        <v>110,331375611224+161,567663109615i</v>
      </c>
      <c r="BJ45" s="20">
        <f t="shared" si="97"/>
        <v>45.829392787230042</v>
      </c>
      <c r="BK45" s="43">
        <f t="shared" si="98"/>
        <v>55.671600539936428</v>
      </c>
      <c r="BL45">
        <f t="shared" si="99"/>
        <v>29.106272628278095</v>
      </c>
      <c r="BM45" s="43">
        <f t="shared" si="100"/>
        <v>55.417343884303733</v>
      </c>
    </row>
    <row r="46" spans="1:65" x14ac:dyDescent="0.35">
      <c r="B46" s="18">
        <f>wz_esr/(2*PI())</f>
        <v>122426.87930145796</v>
      </c>
      <c r="C46" t="s">
        <v>65</v>
      </c>
      <c r="N46" s="9">
        <v>28</v>
      </c>
      <c r="O46" s="34">
        <f t="shared" si="62"/>
        <v>19.054607179632477</v>
      </c>
      <c r="P46" s="33" t="str">
        <f t="shared" si="50"/>
        <v>59,1053597814893</v>
      </c>
      <c r="Q46" s="4" t="str">
        <f t="shared" si="63"/>
        <v>1+0,919920052910886i</v>
      </c>
      <c r="R46" s="4">
        <f t="shared" si="64"/>
        <v>1.3587688926920454</v>
      </c>
      <c r="S46" s="4">
        <f t="shared" si="65"/>
        <v>0.74371228367392361</v>
      </c>
      <c r="T46" s="4" t="str">
        <f t="shared" si="51"/>
        <v>1+0,000155640716224689i</v>
      </c>
      <c r="U46" s="4">
        <f t="shared" si="66"/>
        <v>1.0000000121120163</v>
      </c>
      <c r="V46" s="4">
        <f t="shared" si="67"/>
        <v>1.5564071496794042E-4</v>
      </c>
      <c r="W46" t="str">
        <f t="shared" si="52"/>
        <v>1-0,00574673413752697i</v>
      </c>
      <c r="X46" s="4">
        <f t="shared" si="68"/>
        <v>1.0000165123402951</v>
      </c>
      <c r="Y46" s="4">
        <f t="shared" si="69"/>
        <v>-5.7466708769050665E-3</v>
      </c>
      <c r="Z46" t="str">
        <f t="shared" si="53"/>
        <v>0,999999992498387+0,000537667928776196i</v>
      </c>
      <c r="AA46" s="4">
        <f t="shared" si="70"/>
        <v>1.0000001370417786</v>
      </c>
      <c r="AB46" s="4">
        <f t="shared" si="71"/>
        <v>5.3766788099867985E-4</v>
      </c>
      <c r="AC46" s="47" t="str">
        <f t="shared" si="72"/>
        <v>31,8331166869896-29,6461649582854i</v>
      </c>
      <c r="AD46" s="20">
        <f t="shared" si="73"/>
        <v>32.769767729963021</v>
      </c>
      <c r="AE46" s="43">
        <f t="shared" si="74"/>
        <v>-42.962723558322359</v>
      </c>
      <c r="AF46" t="str">
        <f t="shared" si="54"/>
        <v>405,634542683733</v>
      </c>
      <c r="AG46" t="str">
        <f t="shared" si="55"/>
        <v>1+0,921556872383024i</v>
      </c>
      <c r="AH46">
        <f t="shared" si="75"/>
        <v>1.3598775934018403</v>
      </c>
      <c r="AI46">
        <f t="shared" si="76"/>
        <v>0.74459812395767799</v>
      </c>
      <c r="AJ46" t="str">
        <f t="shared" si="56"/>
        <v>1+0,000155640716224689i</v>
      </c>
      <c r="AK46">
        <f t="shared" si="77"/>
        <v>1.0000000121120163</v>
      </c>
      <c r="AL46">
        <f t="shared" si="78"/>
        <v>1.5564071496794042E-4</v>
      </c>
      <c r="AM46" t="str">
        <f t="shared" si="57"/>
        <v>1-0,00083884246095782i</v>
      </c>
      <c r="AN46">
        <f t="shared" si="79"/>
        <v>1.0000003518282752</v>
      </c>
      <c r="AO46">
        <f t="shared" si="80"/>
        <v>-8.3884226420553767E-4</v>
      </c>
      <c r="AP46" s="41" t="str">
        <f t="shared" si="81"/>
        <v>219,210740927929-202,292295029593i</v>
      </c>
      <c r="AQ46">
        <f t="shared" si="82"/>
        <v>49.492705424785697</v>
      </c>
      <c r="AR46" s="43">
        <f t="shared" si="83"/>
        <v>-42.701474501461945</v>
      </c>
      <c r="AS46" t="str">
        <f t="shared" si="58"/>
        <v>-0,0000166666666666667</v>
      </c>
      <c r="AT46" t="str">
        <f t="shared" si="59"/>
        <v>0,0000265187835721297i</v>
      </c>
      <c r="AU46">
        <f t="shared" si="84"/>
        <v>2.65187835721297E-5</v>
      </c>
      <c r="AV46">
        <f t="shared" si="85"/>
        <v>1.5707963267948966</v>
      </c>
      <c r="AW46" t="str">
        <f t="shared" si="60"/>
        <v>1+0,000945357224090921i</v>
      </c>
      <c r="AX46">
        <f t="shared" si="86"/>
        <v>1.0000004468500407</v>
      </c>
      <c r="AY46">
        <f t="shared" si="87"/>
        <v>9.4535694246906639E-4</v>
      </c>
      <c r="AZ46" t="str">
        <f t="shared" si="61"/>
        <v>1+0,139597750090759i</v>
      </c>
      <c r="BA46">
        <f t="shared" si="88"/>
        <v>1.0096967524115357</v>
      </c>
      <c r="BB46">
        <f t="shared" si="89"/>
        <v>0.13870140234237333</v>
      </c>
      <c r="BC46" s="41" t="str">
        <f t="shared" si="90"/>
        <v>-0,087140918169675+0,628567717673141i</v>
      </c>
      <c r="BD46">
        <f t="shared" si="91"/>
        <v>-3.950281679360951</v>
      </c>
      <c r="BE46" s="43">
        <f t="shared" si="92"/>
        <v>97.892840003827075</v>
      </c>
      <c r="BF46" s="41" t="str">
        <f t="shared" si="93"/>
        <v>15,8606552292842+22,5926635370385i</v>
      </c>
      <c r="BG46" s="20">
        <f t="shared" si="94"/>
        <v>28.819486050602077</v>
      </c>
      <c r="BH46" s="43">
        <f t="shared" si="95"/>
        <v>54.930116445504801</v>
      </c>
      <c r="BI46" s="41" t="str">
        <f t="shared" si="96"/>
        <v>108,052180952498+155,416731442036i</v>
      </c>
      <c r="BJ46" s="20">
        <f t="shared" si="97"/>
        <v>45.542423745424728</v>
      </c>
      <c r="BK46" s="43">
        <f t="shared" si="98"/>
        <v>55.19136550236523</v>
      </c>
      <c r="BL46">
        <f t="shared" si="99"/>
        <v>28.819486050602077</v>
      </c>
      <c r="BM46" s="43">
        <f t="shared" si="100"/>
        <v>54.930116445504801</v>
      </c>
    </row>
    <row r="47" spans="1:65" x14ac:dyDescent="0.35">
      <c r="B47" s="1"/>
      <c r="N47" s="9">
        <v>29</v>
      </c>
      <c r="O47" s="34">
        <f t="shared" si="62"/>
        <v>19.498445997580465</v>
      </c>
      <c r="P47" s="33" t="str">
        <f t="shared" si="50"/>
        <v>59,1053597814893</v>
      </c>
      <c r="Q47" s="4" t="str">
        <f t="shared" si="63"/>
        <v>1+0,941347743602253i</v>
      </c>
      <c r="R47" s="4">
        <f t="shared" si="64"/>
        <v>1.3733665113089999</v>
      </c>
      <c r="S47" s="4">
        <f t="shared" si="65"/>
        <v>0.7551952175524842</v>
      </c>
      <c r="T47" s="4" t="str">
        <f t="shared" si="51"/>
        <v>1+0,000159266054226282i</v>
      </c>
      <c r="U47" s="4">
        <f t="shared" si="66"/>
        <v>1.0000000126828379</v>
      </c>
      <c r="V47" s="4">
        <f t="shared" si="67"/>
        <v>1.5926605287965164E-4</v>
      </c>
      <c r="W47" t="str">
        <f t="shared" si="52"/>
        <v>1-0,00588059277143195i</v>
      </c>
      <c r="X47" s="4">
        <f t="shared" si="68"/>
        <v>1.0000172905361904</v>
      </c>
      <c r="Y47" s="4">
        <f t="shared" si="69"/>
        <v>-5.8805249865176192E-3</v>
      </c>
      <c r="Z47" t="str">
        <f t="shared" si="53"/>
        <v>0,999999992144847+0,000550191823690791i</v>
      </c>
      <c r="AA47" s="4">
        <f t="shared" si="70"/>
        <v>1.0000001435003583</v>
      </c>
      <c r="AB47" s="4">
        <f t="shared" si="71"/>
        <v>5.5019177249626054E-4</v>
      </c>
      <c r="AC47" s="47" t="str">
        <f t="shared" si="72"/>
        <v>31,1516697998947-29,6952343567244i</v>
      </c>
      <c r="AD47" s="20">
        <f t="shared" si="73"/>
        <v>32.676957288017633</v>
      </c>
      <c r="AE47" s="43">
        <f t="shared" si="74"/>
        <v>-43.628826331107255</v>
      </c>
      <c r="AF47" t="str">
        <f t="shared" si="54"/>
        <v>405,634542683733</v>
      </c>
      <c r="AG47" t="str">
        <f t="shared" si="55"/>
        <v>1+0,943022689497719i</v>
      </c>
      <c r="AH47">
        <f t="shared" si="75"/>
        <v>1.3745151119240238</v>
      </c>
      <c r="AI47">
        <f t="shared" si="76"/>
        <v>0.75608250608307259</v>
      </c>
      <c r="AJ47" t="str">
        <f t="shared" si="56"/>
        <v>1+0,000159266054226282i</v>
      </c>
      <c r="AK47">
        <f t="shared" si="77"/>
        <v>1.0000000126828379</v>
      </c>
      <c r="AL47">
        <f t="shared" si="78"/>
        <v>1.5926605287965164E-4</v>
      </c>
      <c r="AM47" t="str">
        <f t="shared" si="57"/>
        <v>1-0,000858381611925681i</v>
      </c>
      <c r="AN47">
        <f t="shared" si="79"/>
        <v>1.0000003684094279</v>
      </c>
      <c r="AO47">
        <f t="shared" si="80"/>
        <v>-8.5838140110181622E-4</v>
      </c>
      <c r="AP47" s="41" t="str">
        <f t="shared" si="81"/>
        <v>214,560382983294-202,618894840097i</v>
      </c>
      <c r="AQ47">
        <f t="shared" si="82"/>
        <v>49.399711553802732</v>
      </c>
      <c r="AR47" s="43">
        <f t="shared" si="83"/>
        <v>-43.360392921080397</v>
      </c>
      <c r="AS47" t="str">
        <f t="shared" si="58"/>
        <v>-0,0000166666666666667</v>
      </c>
      <c r="AT47" t="str">
        <f t="shared" si="59"/>
        <v>0,0000271364853931703i</v>
      </c>
      <c r="AU47">
        <f t="shared" si="84"/>
        <v>2.7136485393170301E-5</v>
      </c>
      <c r="AV47">
        <f t="shared" si="85"/>
        <v>1.5707963267948966</v>
      </c>
      <c r="AW47" t="str">
        <f t="shared" si="60"/>
        <v>1+0,000967377422614228i</v>
      </c>
      <c r="AX47">
        <f t="shared" si="86"/>
        <v>1.0000004679094294</v>
      </c>
      <c r="AY47">
        <f t="shared" si="87"/>
        <v>9.6737712085098152E-4</v>
      </c>
      <c r="AZ47" t="str">
        <f t="shared" si="61"/>
        <v>1+0,142849399406034i</v>
      </c>
      <c r="BA47">
        <f t="shared" si="88"/>
        <v>1.0101514494919386</v>
      </c>
      <c r="BB47">
        <f t="shared" si="89"/>
        <v>0.14188946601385072</v>
      </c>
      <c r="BC47" s="41" t="str">
        <f t="shared" si="90"/>
        <v>-0,087140914499408+0,614263563639928i</v>
      </c>
      <c r="BD47">
        <f t="shared" si="91"/>
        <v>-4.1463712231322436</v>
      </c>
      <c r="BE47" s="43">
        <f t="shared" si="92"/>
        <v>98.074240933736291</v>
      </c>
      <c r="BF47" s="41" t="str">
        <f t="shared" si="93"/>
        <v>15,5261154845379+21,7230055827368i</v>
      </c>
      <c r="BG47" s="20">
        <f t="shared" si="94"/>
        <v>28.530586064885377</v>
      </c>
      <c r="BH47" s="43">
        <f t="shared" si="95"/>
        <v>54.445414602629057</v>
      </c>
      <c r="BI47" s="41" t="str">
        <f t="shared" si="96"/>
        <v>105,764416416754+149,453021258491i</v>
      </c>
      <c r="BJ47" s="20">
        <f t="shared" si="97"/>
        <v>45.253340330670468</v>
      </c>
      <c r="BK47" s="43">
        <f t="shared" si="98"/>
        <v>54.713848012655923</v>
      </c>
      <c r="BL47">
        <f t="shared" si="99"/>
        <v>28.530586064885377</v>
      </c>
      <c r="BM47" s="43">
        <f t="shared" si="100"/>
        <v>54.445414602629057</v>
      </c>
    </row>
    <row r="48" spans="1:65" x14ac:dyDescent="0.35">
      <c r="A48" t="s">
        <v>212</v>
      </c>
      <c r="B48" s="1">
        <f>(Vsl*Fsw)</f>
        <v>19800</v>
      </c>
      <c r="C48" t="s">
        <v>150</v>
      </c>
      <c r="E48" t="s">
        <v>213</v>
      </c>
      <c r="N48" s="9">
        <v>30</v>
      </c>
      <c r="O48" s="34">
        <f t="shared" si="62"/>
        <v>19.952623149688804</v>
      </c>
      <c r="P48" s="33" t="str">
        <f t="shared" si="50"/>
        <v>59,1053597814893</v>
      </c>
      <c r="Q48" s="4" t="str">
        <f t="shared" si="63"/>
        <v>1+0,963274549327487i</v>
      </c>
      <c r="R48" s="4">
        <f t="shared" si="64"/>
        <v>1.3884876151345655</v>
      </c>
      <c r="S48" s="4">
        <f t="shared" si="65"/>
        <v>0.76669412228722356</v>
      </c>
      <c r="T48" s="4" t="str">
        <f t="shared" si="51"/>
        <v>1+0,000162975837197961i</v>
      </c>
      <c r="U48" s="4">
        <f t="shared" si="66"/>
        <v>1.0000000132805618</v>
      </c>
      <c r="V48" s="4">
        <f t="shared" si="67"/>
        <v>1.629758357550206E-4</v>
      </c>
      <c r="W48" t="str">
        <f t="shared" si="52"/>
        <v>1-0,00601756937346318i</v>
      </c>
      <c r="X48" s="4">
        <f t="shared" si="68"/>
        <v>1.0000181054066795</v>
      </c>
      <c r="Y48" s="4">
        <f t="shared" si="69"/>
        <v>-6.0174967406898929E-3</v>
      </c>
      <c r="Z48" t="str">
        <f t="shared" si="53"/>
        <v>0,999999991774645+0,000563007437592955i</v>
      </c>
      <c r="AA48" s="4">
        <f t="shared" si="70"/>
        <v>1.0000001502633211</v>
      </c>
      <c r="AB48" s="4">
        <f t="shared" si="71"/>
        <v>5.6300738273702764E-4</v>
      </c>
      <c r="AC48" s="47" t="str">
        <f t="shared" si="72"/>
        <v>30,4683261192114-29,7286776415349i</v>
      </c>
      <c r="AD48" s="20">
        <f t="shared" si="73"/>
        <v>32.58185316921508</v>
      </c>
      <c r="AE48" s="43">
        <f t="shared" si="74"/>
        <v>-44.296034670334357</v>
      </c>
      <c r="AF48" t="str">
        <f t="shared" si="54"/>
        <v>405,634542683733</v>
      </c>
      <c r="AG48" t="str">
        <f t="shared" si="55"/>
        <v>1+0,964988509724767i</v>
      </c>
      <c r="AH48">
        <f t="shared" si="75"/>
        <v>1.3896772373111774</v>
      </c>
      <c r="AI48">
        <f t="shared" si="76"/>
        <v>0.76758239206444168</v>
      </c>
      <c r="AJ48" t="str">
        <f t="shared" si="56"/>
        <v>1+0,000162975837197961i</v>
      </c>
      <c r="AK48">
        <f t="shared" si="77"/>
        <v>1.0000000132805618</v>
      </c>
      <c r="AL48">
        <f t="shared" si="78"/>
        <v>1.629758357550206E-4</v>
      </c>
      <c r="AM48" t="str">
        <f t="shared" si="57"/>
        <v>1-0,000878375888186208i</v>
      </c>
      <c r="AN48">
        <f t="shared" si="79"/>
        <v>1.0000003857720261</v>
      </c>
      <c r="AO48">
        <f t="shared" si="80"/>
        <v>-8.7837566228437169E-4</v>
      </c>
      <c r="AP48" s="41" t="str">
        <f t="shared" si="81"/>
        <v>209,897461199378-202,838829250318i</v>
      </c>
      <c r="AQ48">
        <f t="shared" si="82"/>
        <v>49.304423211772608</v>
      </c>
      <c r="AR48" s="43">
        <f t="shared" si="83"/>
        <v>-44.020220884573028</v>
      </c>
      <c r="AS48" t="str">
        <f t="shared" si="58"/>
        <v>-0,0000166666666666667</v>
      </c>
      <c r="AT48" t="str">
        <f t="shared" si="59"/>
        <v>0,0000277685753379602i</v>
      </c>
      <c r="AU48">
        <f t="shared" si="84"/>
        <v>2.7768575337960198E-5</v>
      </c>
      <c r="AV48">
        <f t="shared" si="85"/>
        <v>1.5707963267948966</v>
      </c>
      <c r="AW48" t="str">
        <f t="shared" si="60"/>
        <v>1+0,000989910537451759i</v>
      </c>
      <c r="AX48">
        <f t="shared" si="86"/>
        <v>1.000000489961316</v>
      </c>
      <c r="AY48">
        <f t="shared" si="87"/>
        <v>9.8991021410662337E-4</v>
      </c>
      <c r="AZ48" t="str">
        <f t="shared" si="61"/>
        <v>1+0,14617678936371i</v>
      </c>
      <c r="BA48">
        <f t="shared" si="88"/>
        <v>1.0106273565210286</v>
      </c>
      <c r="BB48">
        <f t="shared" si="89"/>
        <v>0.1451487854706428</v>
      </c>
      <c r="BC48" s="41" t="str">
        <f t="shared" si="90"/>
        <v>-0,0871409106561675+0,600285100278563i</v>
      </c>
      <c r="BD48">
        <f t="shared" si="91"/>
        <v>-4.3422802434894958</v>
      </c>
      <c r="BE48" s="43">
        <f t="shared" si="92"/>
        <v>98.259695131552434</v>
      </c>
      <c r="BF48" s="41" t="str">
        <f t="shared" si="93"/>
        <v>15,1906445550007+20,8802662420778i</v>
      </c>
      <c r="BG48" s="20">
        <f t="shared" si="94"/>
        <v>28.2395729257256</v>
      </c>
      <c r="BH48" s="43">
        <f t="shared" si="95"/>
        <v>53.963660461218069</v>
      </c>
      <c r="BI48" s="41" t="str">
        <f t="shared" si="96"/>
        <v>103,470471043582+143,673878841588i</v>
      </c>
      <c r="BJ48" s="20">
        <f t="shared" si="97"/>
        <v>44.962142968283118</v>
      </c>
      <c r="BK48" s="43">
        <f t="shared" si="98"/>
        <v>54.239474246979448</v>
      </c>
      <c r="BL48">
        <f t="shared" si="99"/>
        <v>28.2395729257256</v>
      </c>
      <c r="BM48" s="43">
        <f t="shared" si="100"/>
        <v>53.963660461218069</v>
      </c>
    </row>
    <row r="49" spans="1:65" x14ac:dyDescent="0.35">
      <c r="A49" t="s">
        <v>215</v>
      </c>
      <c r="B49" s="1">
        <f>(R_cs*VIN_var)/Lm</f>
        <v>833.33333333333337</v>
      </c>
      <c r="C49" t="s">
        <v>150</v>
      </c>
      <c r="E49" t="s">
        <v>214</v>
      </c>
      <c r="J49">
        <f>(0.5-(1-(VIN_var/VOUT)))</f>
        <v>-0.4</v>
      </c>
      <c r="N49" s="9">
        <v>31</v>
      </c>
      <c r="O49" s="34">
        <f t="shared" si="62"/>
        <v>20.4173794466953</v>
      </c>
      <c r="P49" s="33" t="str">
        <f t="shared" si="50"/>
        <v>59,1053597814893</v>
      </c>
      <c r="Q49" s="4" t="str">
        <f t="shared" si="63"/>
        <v>1+0,985712095969216i</v>
      </c>
      <c r="R49" s="4">
        <f t="shared" si="64"/>
        <v>1.4041468356763922</v>
      </c>
      <c r="S49" s="4">
        <f t="shared" si="65"/>
        <v>0.77820293228065918</v>
      </c>
      <c r="T49" s="4" t="str">
        <f t="shared" si="51"/>
        <v>1+0,000166772032115762i</v>
      </c>
      <c r="U49" s="4">
        <f t="shared" si="66"/>
        <v>1.0000000139064553</v>
      </c>
      <c r="V49" s="4">
        <f t="shared" si="67"/>
        <v>1.6677203056962347E-4</v>
      </c>
      <c r="W49" t="str">
        <f t="shared" si="52"/>
        <v>1-0,00615773657042814i</v>
      </c>
      <c r="X49" s="4">
        <f t="shared" si="68"/>
        <v>1.0000189586801196</v>
      </c>
      <c r="Y49" s="4">
        <f t="shared" si="69"/>
        <v>-6.1576587430890589E-3</v>
      </c>
      <c r="Z49" t="str">
        <f t="shared" si="53"/>
        <v>0,999999991386996+0,000576121565490813i</v>
      </c>
      <c r="AA49" s="4">
        <f t="shared" si="70"/>
        <v>1.0000001573450128</v>
      </c>
      <c r="AB49" s="4">
        <f t="shared" si="71"/>
        <v>5.7612150671162835E-4</v>
      </c>
      <c r="AC49" s="47" t="str">
        <f t="shared" si="72"/>
        <v>29,7838047070142-29,7464064603425i</v>
      </c>
      <c r="AD49" s="20">
        <f t="shared" si="73"/>
        <v>32.484450219303163</v>
      </c>
      <c r="AE49" s="43">
        <f t="shared" si="74"/>
        <v>-44.964005479376461</v>
      </c>
      <c r="AF49" t="str">
        <f t="shared" si="54"/>
        <v>405,634542683733</v>
      </c>
      <c r="AG49" t="str">
        <f t="shared" si="55"/>
        <v>1+0,987465979632799i</v>
      </c>
      <c r="AH49">
        <f t="shared" si="75"/>
        <v>1.40537861835598</v>
      </c>
      <c r="AI49">
        <f t="shared" si="76"/>
        <v>0.77909171371206409</v>
      </c>
      <c r="AJ49" t="str">
        <f t="shared" si="56"/>
        <v>1+0,000166772032115762i</v>
      </c>
      <c r="AK49">
        <f t="shared" si="77"/>
        <v>1.0000000139064553</v>
      </c>
      <c r="AL49">
        <f t="shared" si="78"/>
        <v>1.6677203056962347E-4</v>
      </c>
      <c r="AM49" t="str">
        <f t="shared" si="57"/>
        <v>1-0,000898835890969327i</v>
      </c>
      <c r="AN49">
        <f t="shared" si="79"/>
        <v>1.0000004039528978</v>
      </c>
      <c r="AO49">
        <f t="shared" si="80"/>
        <v>-8.9883564891115361E-4</v>
      </c>
      <c r="AP49" s="41" t="str">
        <f t="shared" si="81"/>
        <v>205,226884751689-202,951517186916i</v>
      </c>
      <c r="AQ49">
        <f t="shared" si="82"/>
        <v>49.206835416549936</v>
      </c>
      <c r="AR49" s="43">
        <f t="shared" si="83"/>
        <v>-44.680611204982</v>
      </c>
      <c r="AS49" t="str">
        <f t="shared" si="58"/>
        <v>-0,0000166666666666667</v>
      </c>
      <c r="AT49" t="str">
        <f t="shared" si="59"/>
        <v>0,0000284153885489549i</v>
      </c>
      <c r="AU49">
        <f t="shared" si="84"/>
        <v>2.84153885489549E-5</v>
      </c>
      <c r="AV49">
        <f t="shared" si="85"/>
        <v>1.5707963267948966</v>
      </c>
      <c r="AW49" t="str">
        <f t="shared" si="60"/>
        <v>1+0,00101296851595926i</v>
      </c>
      <c r="AX49">
        <f t="shared" si="86"/>
        <v>1.0000005130524756</v>
      </c>
      <c r="AY49">
        <f t="shared" si="87"/>
        <v>1.0129681694887147E-3</v>
      </c>
      <c r="AZ49" t="str">
        <f t="shared" si="61"/>
        <v>1+0,149581684189983i</v>
      </c>
      <c r="BA49">
        <f t="shared" si="88"/>
        <v>1.011125452278357</v>
      </c>
      <c r="BB49">
        <f t="shared" si="89"/>
        <v>0.14848081170839364</v>
      </c>
      <c r="BC49" s="41" t="str">
        <f t="shared" si="90"/>
        <v>-0,0871409066317994+0,586624916022716i</v>
      </c>
      <c r="BD49">
        <f t="shared" si="91"/>
        <v>-4.5380005886302079</v>
      </c>
      <c r="BE49" s="43">
        <f t="shared" si="92"/>
        <v>98.449285048674838</v>
      </c>
      <c r="BF49" s="41" t="str">
        <f t="shared" si="93"/>
        <v>14,8545954466623+20,0640507630814i</v>
      </c>
      <c r="BG49" s="20">
        <f t="shared" si="94"/>
        <v>27.946449630672944</v>
      </c>
      <c r="BH49" s="43">
        <f t="shared" si="95"/>
        <v>53.485279569298385</v>
      </c>
      <c r="BI49" s="41" t="str">
        <f t="shared" si="96"/>
        <v>101,172759923975+138,07658324303i</v>
      </c>
      <c r="BJ49" s="20">
        <f t="shared" si="97"/>
        <v>44.668834827919703</v>
      </c>
      <c r="BK49" s="43">
        <f t="shared" si="98"/>
        <v>53.768673843692909</v>
      </c>
      <c r="BL49">
        <f t="shared" si="99"/>
        <v>27.946449630672944</v>
      </c>
      <c r="BM49" s="43">
        <f t="shared" si="100"/>
        <v>53.485279569298385</v>
      </c>
    </row>
    <row r="50" spans="1:65" x14ac:dyDescent="0.35">
      <c r="B50" s="1"/>
      <c r="J50">
        <f>Lm*Fsw</f>
        <v>5.28</v>
      </c>
      <c r="N50" s="9">
        <v>32</v>
      </c>
      <c r="O50" s="34">
        <f t="shared" si="62"/>
        <v>20.8929613085404</v>
      </c>
      <c r="P50" s="33" t="str">
        <f t="shared" si="50"/>
        <v>59,1053597814893</v>
      </c>
      <c r="Q50" s="4" t="str">
        <f t="shared" si="63"/>
        <v>1+1,00867228021168i</v>
      </c>
      <c r="R50" s="4">
        <f t="shared" si="64"/>
        <v>1.420359028157117</v>
      </c>
      <c r="S50" s="4">
        <f t="shared" si="65"/>
        <v>0.78971555574344521</v>
      </c>
      <c r="T50" s="4" t="str">
        <f t="shared" si="51"/>
        <v>1+0,000170656651772481i</v>
      </c>
      <c r="U50" s="4">
        <f t="shared" si="66"/>
        <v>1.0000000145618464</v>
      </c>
      <c r="V50" s="4">
        <f t="shared" si="67"/>
        <v>1.7065665011576373E-4</v>
      </c>
      <c r="W50" t="str">
        <f t="shared" si="52"/>
        <v>1-0,00630116868083007i</v>
      </c>
      <c r="X50" s="4">
        <f t="shared" si="68"/>
        <v>1.0000198521663179</v>
      </c>
      <c r="Y50" s="4">
        <f t="shared" si="69"/>
        <v>-6.3010852874231804E-3</v>
      </c>
      <c r="Z50" t="str">
        <f t="shared" si="53"/>
        <v>0,999999990981078+0,00058954116066857i</v>
      </c>
      <c r="AA50" s="4">
        <f t="shared" si="70"/>
        <v>1.0000001647604544</v>
      </c>
      <c r="AB50" s="4">
        <f t="shared" si="71"/>
        <v>5.895410976855393E-4</v>
      </c>
      <c r="AC50" s="47" t="str">
        <f t="shared" si="72"/>
        <v>29,0988296045649-29,7483738735765i</v>
      </c>
      <c r="AD50" s="20">
        <f t="shared" si="73"/>
        <v>32.384745710995354</v>
      </c>
      <c r="AE50" s="43">
        <f t="shared" si="74"/>
        <v>-45.632394264198425</v>
      </c>
      <c r="AF50" t="str">
        <f t="shared" si="54"/>
        <v>405,634542683733</v>
      </c>
      <c r="AG50" t="str">
        <f t="shared" si="55"/>
        <v>1+1,0104670170739i</v>
      </c>
      <c r="AH50">
        <f t="shared" si="75"/>
        <v>1.4216341275427464</v>
      </c>
      <c r="AI50">
        <f t="shared" si="76"/>
        <v>0.79060437788218918</v>
      </c>
      <c r="AJ50" t="str">
        <f t="shared" si="56"/>
        <v>1+0,000170656651772481i</v>
      </c>
      <c r="AK50">
        <f t="shared" si="77"/>
        <v>1.0000000145618464</v>
      </c>
      <c r="AL50">
        <f t="shared" si="78"/>
        <v>1.7065665011576373E-4</v>
      </c>
      <c r="AM50" t="str">
        <f t="shared" si="57"/>
        <v>1-0,000919772468439346i</v>
      </c>
      <c r="AN50">
        <f t="shared" si="79"/>
        <v>1.0000004229906074</v>
      </c>
      <c r="AO50">
        <f t="shared" si="80"/>
        <v>-9.1977220906934605E-4</v>
      </c>
      <c r="AP50" s="41" t="str">
        <f t="shared" si="81"/>
        <v>200,553595184245-202,956660340981i</v>
      </c>
      <c r="AQ50">
        <f t="shared" si="82"/>
        <v>49.106945613530385</v>
      </c>
      <c r="AR50" s="43">
        <f t="shared" si="83"/>
        <v>-45.341215277111097</v>
      </c>
      <c r="AS50" t="str">
        <f t="shared" si="58"/>
        <v>-0,0000166666666666667</v>
      </c>
      <c r="AT50" t="str">
        <f t="shared" si="59"/>
        <v>0,0000290772679750803i</v>
      </c>
      <c r="AU50">
        <f t="shared" si="84"/>
        <v>2.90772679750803E-5</v>
      </c>
      <c r="AV50">
        <f t="shared" si="85"/>
        <v>1.5707963267948966</v>
      </c>
      <c r="AW50" t="str">
        <f t="shared" si="60"/>
        <v>1+0,00103656358378215i</v>
      </c>
      <c r="AX50">
        <f t="shared" si="86"/>
        <v>1.0000005372318874</v>
      </c>
      <c r="AY50">
        <f t="shared" si="87"/>
        <v>1.0365632125322825E-3</v>
      </c>
      <c r="AZ50" t="str">
        <f t="shared" si="61"/>
        <v>1+0,153065889205164i</v>
      </c>
      <c r="BA50">
        <f t="shared" si="88"/>
        <v>1.0116467597131755</v>
      </c>
      <c r="BB50">
        <f t="shared" si="89"/>
        <v>0.15188701531007012</v>
      </c>
      <c r="BC50" s="41" t="str">
        <f t="shared" si="90"/>
        <v>-0,0871409024177709+0,573275768061863i</v>
      </c>
      <c r="BD50">
        <f t="shared" si="91"/>
        <v>-4.7335237557877603</v>
      </c>
      <c r="BE50" s="43">
        <f t="shared" si="92"/>
        <v>98.643094242829306</v>
      </c>
      <c r="BF50" s="41" t="str">
        <f t="shared" si="93"/>
        <v>14,5183236099233+19,2739540360629i</v>
      </c>
      <c r="BG50" s="20">
        <f t="shared" si="94"/>
        <v>27.651221955207589</v>
      </c>
      <c r="BH50" s="43">
        <f t="shared" si="95"/>
        <v>53.010699978630861</v>
      </c>
      <c r="BI50" s="41" t="str">
        <f t="shared" ref="BI50:BI113" si="101">IMPRODUCT(AP50,BC50)</f>
        <v>98,8737140727631+132,658342850626i</v>
      </c>
      <c r="BJ50" s="20">
        <f t="shared" si="97"/>
        <v>44.37342185774262</v>
      </c>
      <c r="BK50" s="43">
        <f t="shared" ref="BK50:BK113" si="102">(180/PI())*IMARGUMENT(BI50)</f>
        <v>53.301878965718203</v>
      </c>
      <c r="BL50">
        <f t="shared" si="99"/>
        <v>27.651221955207589</v>
      </c>
      <c r="BM50" s="43">
        <f t="shared" si="100"/>
        <v>53.010699978630861</v>
      </c>
    </row>
    <row r="51" spans="1:65" x14ac:dyDescent="0.35">
      <c r="A51" t="s">
        <v>210</v>
      </c>
      <c r="B51" s="1">
        <f>2*PI()*Fsw</f>
        <v>2764601.5351590179</v>
      </c>
      <c r="C51" t="s">
        <v>216</v>
      </c>
      <c r="N51" s="9">
        <v>33</v>
      </c>
      <c r="O51" s="34">
        <f t="shared" si="62"/>
        <v>21.379620895022335</v>
      </c>
      <c r="P51" s="33" t="str">
        <f t="shared" si="50"/>
        <v>59,1053597814893</v>
      </c>
      <c r="Q51" s="4" t="str">
        <f t="shared" si="63"/>
        <v>1+1,03216727584846i</v>
      </c>
      <c r="R51" s="4">
        <f t="shared" si="64"/>
        <v>1.437139271376449</v>
      </c>
      <c r="S51" s="4">
        <f t="shared" si="65"/>
        <v>0.80122589078807016</v>
      </c>
      <c r="T51" s="4" t="str">
        <f t="shared" si="51"/>
        <v>1+0,000174631755844876i</v>
      </c>
      <c r="U51" s="4">
        <f t="shared" si="66"/>
        <v>1.000000015248125</v>
      </c>
      <c r="V51" s="4">
        <f t="shared" si="67"/>
        <v>1.7463175406967144E-4</v>
      </c>
      <c r="W51" t="str">
        <f t="shared" si="52"/>
        <v>1-0,00644794175427236i</v>
      </c>
      <c r="X51" s="4">
        <f t="shared" si="68"/>
        <v>1.0000207877603677</v>
      </c>
      <c r="Y51" s="4">
        <f t="shared" si="69"/>
        <v>-6.4478523967272713E-3</v>
      </c>
      <c r="Z51" t="str">
        <f t="shared" si="53"/>
        <v>0,999999990556029+0,000603273338373208i</v>
      </c>
      <c r="AA51" s="4">
        <f t="shared" si="70"/>
        <v>1.0000001725253744</v>
      </c>
      <c r="AB51" s="4">
        <f t="shared" si="71"/>
        <v>6.0327327088567563E-4</v>
      </c>
      <c r="AC51" s="47" t="str">
        <f t="shared" si="72"/>
        <v>28,4141267746585-29,7345746572061i</v>
      </c>
      <c r="AD51" s="20">
        <f t="shared" si="73"/>
        <v>32.282739355610708</v>
      </c>
      <c r="AE51" s="43">
        <f t="shared" si="74"/>
        <v>-46.300856057859846</v>
      </c>
      <c r="AF51" t="str">
        <f t="shared" si="54"/>
        <v>405,634542683733</v>
      </c>
      <c r="AG51" t="str">
        <f t="shared" si="55"/>
        <v>1+1,03400381750256i</v>
      </c>
      <c r="AH51">
        <f t="shared" si="75"/>
        <v>1.4384588609375897</v>
      </c>
      <c r="AI51">
        <f t="shared" si="76"/>
        <v>0.80211428257946948</v>
      </c>
      <c r="AJ51" t="str">
        <f t="shared" si="56"/>
        <v>1+0,000174631755844876i</v>
      </c>
      <c r="AK51">
        <f t="shared" si="77"/>
        <v>1.000000015248125</v>
      </c>
      <c r="AL51">
        <f t="shared" si="78"/>
        <v>1.7463175406967144E-4</v>
      </c>
      <c r="AM51" t="str">
        <f t="shared" si="57"/>
        <v>1-0,000941196721446751i</v>
      </c>
      <c r="AN51">
        <f t="shared" si="79"/>
        <v>1.0000004429255362</v>
      </c>
      <c r="AO51">
        <f t="shared" si="80"/>
        <v>-9.4119644352679552E-4</v>
      </c>
      <c r="AP51" s="41" t="str">
        <f t="shared" si="81"/>
        <v>195,88254553287-202,854245092366i</v>
      </c>
      <c r="AQ51">
        <f t="shared" si="82"/>
        <v>49.004753686464362</v>
      </c>
      <c r="AR51" s="43">
        <f t="shared" si="83"/>
        <v>-46.001684000397155</v>
      </c>
      <c r="AS51" t="str">
        <f t="shared" si="58"/>
        <v>-0,0000166666666666667</v>
      </c>
      <c r="AT51" t="str">
        <f t="shared" si="59"/>
        <v>0,0000297545645535693i</v>
      </c>
      <c r="AU51">
        <f t="shared" si="84"/>
        <v>2.9754564553569299E-5</v>
      </c>
      <c r="AV51">
        <f t="shared" si="85"/>
        <v>1.5707963267948966</v>
      </c>
      <c r="AW51" t="str">
        <f t="shared" si="60"/>
        <v>1+0,00106070825133769i</v>
      </c>
      <c r="AX51">
        <f t="shared" si="86"/>
        <v>1.000000562550839</v>
      </c>
      <c r="AY51">
        <f t="shared" si="87"/>
        <v>1.0607078535363023E-3</v>
      </c>
      <c r="AZ51" t="str">
        <f t="shared" si="61"/>
        <v>1+0,156631251780866i</v>
      </c>
      <c r="BA51">
        <f t="shared" si="88"/>
        <v>1.0121923478442429</v>
      </c>
      <c r="BB51">
        <f t="shared" si="89"/>
        <v>0.15536888597035806</v>
      </c>
      <c r="BC51" s="41" t="str">
        <f t="shared" si="90"/>
        <v>-0,0871408980051403+0,560230578501023i</v>
      </c>
      <c r="BD51">
        <f t="shared" si="91"/>
        <v>-4.9288408777343076</v>
      </c>
      <c r="BE51" s="43">
        <f t="shared" si="92"/>
        <v>98.841207350446865</v>
      </c>
      <c r="BF51" s="41" t="str">
        <f t="shared" si="93"/>
        <v>14,1821854385128+18,5095602179982i</v>
      </c>
      <c r="BG51" s="20">
        <f t="shared" si="94"/>
        <v>27.353898477876413</v>
      </c>
      <c r="BH51" s="43">
        <f t="shared" si="95"/>
        <v>52.540351292587047</v>
      </c>
      <c r="BI51" s="41" t="str">
        <f t="shared" si="101"/>
        <v>96,5757701582174+127,416292883636i</v>
      </c>
      <c r="BJ51" s="20">
        <f t="shared" si="97"/>
        <v>44.075912808730038</v>
      </c>
      <c r="BK51" s="43">
        <f t="shared" si="102"/>
        <v>52.839523350049646</v>
      </c>
      <c r="BL51">
        <f t="shared" si="99"/>
        <v>27.353898477876413</v>
      </c>
      <c r="BM51" s="43">
        <f t="shared" si="100"/>
        <v>52.540351292587047</v>
      </c>
    </row>
    <row r="52" spans="1:65" x14ac:dyDescent="0.35">
      <c r="A52" t="s">
        <v>211</v>
      </c>
      <c r="B52" s="1">
        <f>1/(PI()*(((VIN_var/VOUT)*(1+(B48/B49)))-0.5))</f>
        <v>0.16108799908086571</v>
      </c>
      <c r="N52" s="9">
        <v>34</v>
      </c>
      <c r="O52" s="34">
        <f t="shared" si="62"/>
        <v>21.877616239495538</v>
      </c>
      <c r="P52" s="33" t="str">
        <f t="shared" si="50"/>
        <v>59,1053597814893</v>
      </c>
      <c r="Q52" s="4" t="str">
        <f t="shared" si="63"/>
        <v>1+1,05620954023724i</v>
      </c>
      <c r="R52" s="4">
        <f t="shared" si="64"/>
        <v>1.4545028679546019</v>
      </c>
      <c r="S52" s="4">
        <f t="shared" si="65"/>
        <v>0.81272784158777767</v>
      </c>
      <c r="T52" s="4" t="str">
        <f t="shared" si="51"/>
        <v>1+0,000178699451985746i</v>
      </c>
      <c r="U52" s="4">
        <f t="shared" si="66"/>
        <v>1.0000000159667468</v>
      </c>
      <c r="V52" s="4">
        <f t="shared" si="67"/>
        <v>1.7869945008358007E-4</v>
      </c>
      <c r="W52" t="str">
        <f t="shared" si="52"/>
        <v>1-0,00659813361178139i</v>
      </c>
      <c r="X52" s="4">
        <f t="shared" si="68"/>
        <v>1.0000217674466685</v>
      </c>
      <c r="Y52" s="4">
        <f t="shared" si="69"/>
        <v>-6.5980378635593206E-3</v>
      </c>
      <c r="Z52" t="str">
        <f t="shared" si="53"/>
        <v>0,999999990110949+0,000617325379587121i</v>
      </c>
      <c r="AA52" s="4">
        <f t="shared" si="70"/>
        <v>1.0000001806562449</v>
      </c>
      <c r="AB52" s="4">
        <f t="shared" si="71"/>
        <v>6.1732530727292743E-4</v>
      </c>
      <c r="AC52" s="47" t="str">
        <f t="shared" si="72"/>
        <v>27,7304210266962-29,7050453364588i</v>
      </c>
      <c r="AD52" s="20">
        <f t="shared" si="73"/>
        <v>32.178433304400393</v>
      </c>
      <c r="AE52" s="43">
        <f t="shared" si="74"/>
        <v>-46.969046348808376</v>
      </c>
      <c r="AF52" t="str">
        <f t="shared" si="54"/>
        <v>405,634542683733</v>
      </c>
      <c r="AG52" t="str">
        <f t="shared" si="55"/>
        <v>1+1,05808886044191i</v>
      </c>
      <c r="AH52">
        <f t="shared" si="75"/>
        <v>1.4558681384628416</v>
      </c>
      <c r="AI52">
        <f t="shared" si="76"/>
        <v>0.81361533311657241</v>
      </c>
      <c r="AJ52" t="str">
        <f t="shared" si="56"/>
        <v>1+0,000178699451985746i</v>
      </c>
      <c r="AK52">
        <f t="shared" si="77"/>
        <v>1.0000000159667468</v>
      </c>
      <c r="AL52">
        <f t="shared" si="78"/>
        <v>1.7869945008358007E-4</v>
      </c>
      <c r="AM52" t="str">
        <f t="shared" si="57"/>
        <v>1-0,000963120009414083i</v>
      </c>
      <c r="AN52">
        <f t="shared" si="79"/>
        <v>1.0000004637999687</v>
      </c>
      <c r="AO52">
        <f t="shared" si="80"/>
        <v>-9.6311971161749292E-4</v>
      </c>
      <c r="AP52" s="41" t="str">
        <f t="shared" si="81"/>
        <v>191,218679345187-202,64454259764i</v>
      </c>
      <c r="AQ52">
        <f t="shared" si="82"/>
        <v>48.900261957951727</v>
      </c>
      <c r="AR52" s="43">
        <f t="shared" si="83"/>
        <v>-46.661668705060585</v>
      </c>
      <c r="AS52" t="str">
        <f t="shared" si="58"/>
        <v>-0,0000166666666666667</v>
      </c>
      <c r="AT52" t="str">
        <f t="shared" si="59"/>
        <v>0,0000304476373960328i</v>
      </c>
      <c r="AU52">
        <f t="shared" si="84"/>
        <v>3.04476373960328E-5</v>
      </c>
      <c r="AV52">
        <f t="shared" si="85"/>
        <v>1.5707963267948966</v>
      </c>
      <c r="AW52" t="str">
        <f t="shared" si="60"/>
        <v>1+0,00108541532044824i</v>
      </c>
      <c r="AX52">
        <f t="shared" si="86"/>
        <v>1.0000005890630355</v>
      </c>
      <c r="AY52">
        <f t="shared" si="87"/>
        <v>1.0854148941963867E-3</v>
      </c>
      <c r="AZ52" t="str">
        <f t="shared" si="61"/>
        <v>1+0,160279662319523i</v>
      </c>
      <c r="BA52">
        <f t="shared" si="88"/>
        <v>1.0127633337326447</v>
      </c>
      <c r="BB52">
        <f t="shared" si="89"/>
        <v>0.15892793195211777</v>
      </c>
      <c r="BC52" s="41" t="str">
        <f t="shared" si="90"/>
        <v>-0,0871408933845502+0,547482430607993i</v>
      </c>
      <c r="BD52">
        <f t="shared" si="91"/>
        <v>-5.1239427089172658</v>
      </c>
      <c r="BE52" s="43">
        <f t="shared" si="92"/>
        <v>99.043710055140593</v>
      </c>
      <c r="BF52" s="41" t="str">
        <f t="shared" si="93"/>
        <v>13,8465367599291+17,7704424941262i</v>
      </c>
      <c r="BG52" s="20">
        <f t="shared" si="94"/>
        <v>27.054490595483131</v>
      </c>
      <c r="BH52" s="43">
        <f t="shared" si="95"/>
        <v>52.074663706332139</v>
      </c>
      <c r="BI52" s="41" t="str">
        <f t="shared" si="101"/>
        <v>94,2813601808475+122,347493827015i</v>
      </c>
      <c r="BJ52" s="20">
        <f t="shared" si="97"/>
        <v>43.776319249034444</v>
      </c>
      <c r="BK52" s="43">
        <f t="shared" si="102"/>
        <v>52.382041350079952</v>
      </c>
      <c r="BL52">
        <f t="shared" si="99"/>
        <v>27.054490595483131</v>
      </c>
      <c r="BM52" s="43">
        <f t="shared" si="100"/>
        <v>52.074663706332139</v>
      </c>
    </row>
    <row r="53" spans="1:65" x14ac:dyDescent="0.35">
      <c r="N53" s="9">
        <v>35</v>
      </c>
      <c r="O53" s="34">
        <f t="shared" si="62"/>
        <v>22.387211385683404</v>
      </c>
      <c r="P53" s="33" t="str">
        <f t="shared" si="50"/>
        <v>59,1053597814893</v>
      </c>
      <c r="Q53" s="4" t="str">
        <f t="shared" si="63"/>
        <v>1+1,08081182090485i</v>
      </c>
      <c r="R53" s="4">
        <f t="shared" si="64"/>
        <v>1.4724653449937821</v>
      </c>
      <c r="S53" s="4">
        <f t="shared" si="65"/>
        <v>0.82421533449632811</v>
      </c>
      <c r="T53" s="4" t="str">
        <f t="shared" si="51"/>
        <v>1+0,000182861896941425i</v>
      </c>
      <c r="U53" s="4">
        <f t="shared" si="66"/>
        <v>1.0000000167192364</v>
      </c>
      <c r="V53" s="4">
        <f t="shared" si="67"/>
        <v>1.8286189490321748E-4</v>
      </c>
      <c r="W53" t="str">
        <f t="shared" si="52"/>
        <v>1-0,00675182388706801i</v>
      </c>
      <c r="X53" s="4">
        <f t="shared" si="68"/>
        <v>1.0000227933031336</v>
      </c>
      <c r="Y53" s="4">
        <f t="shared" si="69"/>
        <v>-6.7517212911259172E-3</v>
      </c>
      <c r="Z53" t="str">
        <f t="shared" si="53"/>
        <v>0,999999989644892+0,000631704734888559i</v>
      </c>
      <c r="AA53" s="4">
        <f t="shared" si="70"/>
        <v>1.0000001891703101</v>
      </c>
      <c r="AB53" s="4">
        <f t="shared" si="71"/>
        <v>6.3170465740250566E-4</v>
      </c>
      <c r="AC53" s="47" t="str">
        <f t="shared" si="72"/>
        <v>27,0484329521281-29,659863950118i</v>
      </c>
      <c r="AD53" s="20">
        <f t="shared" si="73"/>
        <v>32.071832139549599</v>
      </c>
      <c r="AE53" s="43">
        <f t="shared" si="74"/>
        <v>-47.636622006989526</v>
      </c>
      <c r="AF53" t="str">
        <f t="shared" si="54"/>
        <v>405,634542683733</v>
      </c>
      <c r="AG53" t="str">
        <f t="shared" si="55"/>
        <v>1+1,08273491610054i</v>
      </c>
      <c r="AH53">
        <f t="shared" si="75"/>
        <v>1.473877504592306</v>
      </c>
      <c r="AI53">
        <f t="shared" si="76"/>
        <v>0.82510145822660119</v>
      </c>
      <c r="AJ53" t="str">
        <f t="shared" si="56"/>
        <v>1+0,000182861896941425i</v>
      </c>
      <c r="AK53">
        <f t="shared" si="77"/>
        <v>1.0000000167192364</v>
      </c>
      <c r="AL53">
        <f t="shared" si="78"/>
        <v>1.8286189490321748E-4</v>
      </c>
      <c r="AM53" t="str">
        <f t="shared" si="57"/>
        <v>1-0,000985553956358807i</v>
      </c>
      <c r="AN53">
        <f t="shared" si="79"/>
        <v>1.0000004856581826</v>
      </c>
      <c r="AO53">
        <f t="shared" si="80"/>
        <v>-9.8555363726401989E-4</v>
      </c>
      <c r="AP53" s="41" t="str">
        <f t="shared" si="81"/>
        <v>186,5669097859-202,328107040612i</v>
      </c>
      <c r="AQ53">
        <f t="shared" si="82"/>
        <v>48.793475179612919</v>
      </c>
      <c r="AR53" s="43">
        <f t="shared" si="83"/>
        <v>-47.320822075561452</v>
      </c>
      <c r="AS53" t="str">
        <f t="shared" si="58"/>
        <v>-0,0000166666666666667</v>
      </c>
      <c r="AT53" t="str">
        <f t="shared" si="59"/>
        <v>0,0000311568539788658i</v>
      </c>
      <c r="AU53">
        <f t="shared" si="84"/>
        <v>3.1156853978865797E-5</v>
      </c>
      <c r="AV53">
        <f t="shared" si="85"/>
        <v>1.5707963267948966</v>
      </c>
      <c r="AW53" t="str">
        <f t="shared" si="60"/>
        <v>1+0,00111069789112885i</v>
      </c>
      <c r="AX53">
        <f t="shared" si="86"/>
        <v>1.0000006168247124</v>
      </c>
      <c r="AY53">
        <f t="shared" si="87"/>
        <v>1.1106974343917757E-3</v>
      </c>
      <c r="AZ53" t="str">
        <f t="shared" si="61"/>
        <v>1+0,164013055256694i</v>
      </c>
      <c r="BA53">
        <f t="shared" si="88"/>
        <v>1.0133608845296109</v>
      </c>
      <c r="BB53">
        <f t="shared" si="89"/>
        <v>0.16256567947027675</v>
      </c>
      <c r="BC53" s="41" t="str">
        <f t="shared" si="90"/>
        <v>-0,0871408885461987+0,535024565145984i</v>
      </c>
      <c r="BD53">
        <f t="shared" si="91"/>
        <v>-5.3188196112366537</v>
      </c>
      <c r="BE53" s="43">
        <f t="shared" si="92"/>
        <v>99.250689052016753</v>
      </c>
      <c r="BF53" s="41" t="str">
        <f t="shared" si="93"/>
        <v>13,5117313309702+17,0561629768653i</v>
      </c>
      <c r="BG53" s="20">
        <f t="shared" si="94"/>
        <v>26.753012528312951</v>
      </c>
      <c r="BH53" s="43">
        <f t="shared" si="95"/>
        <v>51.614067045027255</v>
      </c>
      <c r="BI53" s="41" t="str">
        <f t="shared" si="101"/>
        <v>91,9929011941517+117,44893080422i</v>
      </c>
      <c r="BJ53" s="20">
        <f t="shared" si="97"/>
        <v>43.474655568376249</v>
      </c>
      <c r="BK53" s="43">
        <f t="shared" si="102"/>
        <v>51.929866976455187</v>
      </c>
      <c r="BL53">
        <f t="shared" si="99"/>
        <v>26.753012528312951</v>
      </c>
      <c r="BM53" s="43">
        <f t="shared" si="100"/>
        <v>51.614067045027255</v>
      </c>
    </row>
    <row r="54" spans="1:65" ht="15.5" x14ac:dyDescent="0.35">
      <c r="A54" s="35" t="s">
        <v>225</v>
      </c>
      <c r="N54" s="9">
        <v>36</v>
      </c>
      <c r="O54" s="34">
        <f t="shared" si="62"/>
        <v>22.908676527677727</v>
      </c>
      <c r="P54" s="33" t="str">
        <f t="shared" si="50"/>
        <v>59,1053597814893</v>
      </c>
      <c r="Q54" s="4" t="str">
        <f t="shared" si="63"/>
        <v>1+1,10598716230613i</v>
      </c>
      <c r="R54" s="4">
        <f t="shared" si="64"/>
        <v>1.491042455192328</v>
      </c>
      <c r="S54" s="4">
        <f t="shared" si="65"/>
        <v>0.83568233402480474</v>
      </c>
      <c r="T54" s="4" t="str">
        <f t="shared" si="51"/>
        <v>1+0,000187121297695326i</v>
      </c>
      <c r="U54" s="4">
        <f t="shared" si="66"/>
        <v>1.0000000175071899</v>
      </c>
      <c r="V54" s="4">
        <f t="shared" si="67"/>
        <v>1.871212955113473E-4</v>
      </c>
      <c r="W54" t="str">
        <f t="shared" si="52"/>
        <v>1-0,00690909406875049i</v>
      </c>
      <c r="X54" s="4">
        <f t="shared" si="68"/>
        <v>1.0000238675055966</v>
      </c>
      <c r="Y54" s="4">
        <f t="shared" si="69"/>
        <v>-6.9089841353596046E-3</v>
      </c>
      <c r="Z54" t="str">
        <f t="shared" si="53"/>
        <v>0,999999989156871+0,000646419028402033i</v>
      </c>
      <c r="AA54" s="4">
        <f t="shared" si="70"/>
        <v>1.0000001980856317</v>
      </c>
      <c r="AB54" s="4">
        <f t="shared" si="71"/>
        <v>6.4641894537423154E-4</v>
      </c>
      <c r="AC54" s="47" t="str">
        <f t="shared" si="72"/>
        <v>26,3688758977494-29,5991495482224i</v>
      </c>
      <c r="AD54" s="20">
        <f t="shared" si="73"/>
        <v>31.96294285493607</v>
      </c>
      <c r="AE54" s="43">
        <f t="shared" si="74"/>
        <v>-48.303242201819586</v>
      </c>
      <c r="AF54" t="str">
        <f t="shared" si="54"/>
        <v>405,634542683733</v>
      </c>
      <c r="AG54" t="str">
        <f t="shared" si="55"/>
        <v>1+1,10795505214337i</v>
      </c>
      <c r="AH54">
        <f t="shared" si="75"/>
        <v>1.4925027295016977</v>
      </c>
      <c r="AI54">
        <f t="shared" si="76"/>
        <v>0.83656662602457965</v>
      </c>
      <c r="AJ54" t="str">
        <f t="shared" si="56"/>
        <v>1+0,000187121297695326i</v>
      </c>
      <c r="AK54">
        <f t="shared" si="77"/>
        <v>1.0000000175071899</v>
      </c>
      <c r="AL54">
        <f t="shared" si="78"/>
        <v>1.871212955113473E-4</v>
      </c>
      <c r="AM54" t="str">
        <f t="shared" si="57"/>
        <v>1-0,00100851045705654i</v>
      </c>
      <c r="AN54">
        <f t="shared" si="79"/>
        <v>1.0000005085465418</v>
      </c>
      <c r="AO54">
        <f t="shared" si="80"/>
        <v>-1.0085101151403248E-3</v>
      </c>
      <c r="AP54" s="41" t="str">
        <f t="shared" si="81"/>
        <v>181,932099014691-201,905772066397i</v>
      </c>
      <c r="AQ54">
        <f t="shared" si="82"/>
        <v>48.684400512025796</v>
      </c>
      <c r="AR54" s="43">
        <f t="shared" si="83"/>
        <v>-47.978799065411394</v>
      </c>
      <c r="AS54" t="str">
        <f t="shared" si="58"/>
        <v>-0,0000166666666666667</v>
      </c>
      <c r="AT54" t="str">
        <f t="shared" si="59"/>
        <v>0,0000318825903380881i</v>
      </c>
      <c r="AU54">
        <f t="shared" si="84"/>
        <v>3.1882590338088103E-5</v>
      </c>
      <c r="AV54">
        <f t="shared" si="85"/>
        <v>1.5707963267948966</v>
      </c>
      <c r="AW54" t="str">
        <f t="shared" si="60"/>
        <v>1+0,00113656936853316i</v>
      </c>
      <c r="AX54">
        <f t="shared" si="86"/>
        <v>1.0000006458947561</v>
      </c>
      <c r="AY54">
        <f t="shared" si="87"/>
        <v>1.1365688791305844E-3</v>
      </c>
      <c r="AZ54" t="str">
        <f t="shared" si="61"/>
        <v>1+0,16783341008673i</v>
      </c>
      <c r="BA54">
        <f t="shared" si="88"/>
        <v>1.0139862196013023</v>
      </c>
      <c r="BB54">
        <f t="shared" si="89"/>
        <v>0.16628367199844682</v>
      </c>
      <c r="BC54" s="41" t="str">
        <f t="shared" si="90"/>
        <v>-0,0871408834798227+0,522850376789798i</v>
      </c>
      <c r="BD54">
        <f t="shared" si="91"/>
        <v>-5.5134615394697226</v>
      </c>
      <c r="BE54" s="43">
        <f t="shared" si="92"/>
        <v>99.462232007548621</v>
      </c>
      <c r="BF54" s="41" t="str">
        <f t="shared" si="93"/>
        <v>13,178119351846+16,3662727405452i</v>
      </c>
      <c r="BG54" s="20">
        <f t="shared" si="94"/>
        <v>26.449481315466358</v>
      </c>
      <c r="BH54" s="43">
        <f t="shared" si="95"/>
        <v>51.158989805729</v>
      </c>
      <c r="BI54" s="41" t="str">
        <f t="shared" si="101"/>
        <v>89,712785159472+112,717513877532i</v>
      </c>
      <c r="BJ54" s="20">
        <f t="shared" si="97"/>
        <v>43.170938972556094</v>
      </c>
      <c r="BK54" s="43">
        <f t="shared" si="102"/>
        <v>51.483432942137327</v>
      </c>
      <c r="BL54">
        <f t="shared" si="99"/>
        <v>26.449481315466358</v>
      </c>
      <c r="BM54" s="43">
        <f t="shared" si="100"/>
        <v>51.158989805729</v>
      </c>
    </row>
    <row r="55" spans="1:65" x14ac:dyDescent="0.35">
      <c r="A55" t="s">
        <v>191</v>
      </c>
      <c r="N55" s="9">
        <v>37</v>
      </c>
      <c r="O55" s="34">
        <f t="shared" si="62"/>
        <v>23.442288153199236</v>
      </c>
      <c r="P55" s="33" t="str">
        <f t="shared" si="50"/>
        <v>59,1053597814893</v>
      </c>
      <c r="Q55" s="4" t="str">
        <f t="shared" si="63"/>
        <v>1+1,13174891274035i</v>
      </c>
      <c r="R55" s="4">
        <f t="shared" si="64"/>
        <v>1.5102501784436126</v>
      </c>
      <c r="S55" s="4">
        <f t="shared" si="65"/>
        <v>0.84712285857342218</v>
      </c>
      <c r="T55" s="4" t="str">
        <f t="shared" si="51"/>
        <v>1+0,000191479912638108i</v>
      </c>
      <c r="U55" s="4">
        <f t="shared" si="66"/>
        <v>1.0000000183322784</v>
      </c>
      <c r="V55" s="4">
        <f t="shared" si="67"/>
        <v>1.9147991029793267E-4</v>
      </c>
      <c r="W55" t="str">
        <f t="shared" si="52"/>
        <v>1-0,00707002754356091i</v>
      </c>
      <c r="X55" s="4">
        <f t="shared" si="68"/>
        <v>1.0000249923324249</v>
      </c>
      <c r="Y55" s="4">
        <f t="shared" si="69"/>
        <v>-7.0699097479692838E-3</v>
      </c>
      <c r="Z55" t="str">
        <f t="shared" si="53"/>
        <v>0,99999998864585+0,000661476061840735i</v>
      </c>
      <c r="AA55" s="4">
        <f t="shared" si="70"/>
        <v>1.0000002074211187</v>
      </c>
      <c r="AB55" s="4">
        <f t="shared" si="71"/>
        <v>6.6147597287484396E-4</v>
      </c>
      <c r="AC55" s="47" t="str">
        <f t="shared" si="72"/>
        <v>25,6924530037418-29,523061429174i</v>
      </c>
      <c r="AD55" s="20">
        <f t="shared" si="73"/>
        <v>31.851774826817604</v>
      </c>
      <c r="AE55" s="43">
        <f t="shared" si="74"/>
        <v>-48.968569306185181</v>
      </c>
      <c r="AF55" t="str">
        <f t="shared" si="54"/>
        <v>405,634542683733</v>
      </c>
      <c r="AG55" t="str">
        <f t="shared" si="55"/>
        <v>1+1,13376264062037i</v>
      </c>
      <c r="AH55">
        <f t="shared" si="75"/>
        <v>1.5117598107062096</v>
      </c>
      <c r="AI55">
        <f t="shared" si="76"/>
        <v>0.84800485971616812</v>
      </c>
      <c r="AJ55" t="str">
        <f t="shared" si="56"/>
        <v>1+0,000191479912638108i</v>
      </c>
      <c r="AK55">
        <f t="shared" si="77"/>
        <v>1.0000000183322784</v>
      </c>
      <c r="AL55">
        <f t="shared" si="78"/>
        <v>1.9147991029793267E-4</v>
      </c>
      <c r="AM55" t="str">
        <f t="shared" si="57"/>
        <v>1-0,00103200168334782i</v>
      </c>
      <c r="AN55">
        <f t="shared" si="79"/>
        <v>1.0000005325135954</v>
      </c>
      <c r="AO55">
        <f t="shared" si="80"/>
        <v>-1.0320013169780053E-3</v>
      </c>
      <c r="AP55" s="41" t="str">
        <f t="shared" si="81"/>
        <v>177,319038019755-201,378645441619i</v>
      </c>
      <c r="AQ55">
        <f t="shared" si="82"/>
        <v>48.573047494606115</v>
      </c>
      <c r="AR55" s="43">
        <f t="shared" si="83"/>
        <v>-48.635257797513077</v>
      </c>
      <c r="AS55" t="str">
        <f t="shared" si="58"/>
        <v>-0,0000166666666666667</v>
      </c>
      <c r="AT55" t="str">
        <f t="shared" si="59"/>
        <v>0,0000326252312687236i</v>
      </c>
      <c r="AU55">
        <f t="shared" si="84"/>
        <v>3.26252312687236E-5</v>
      </c>
      <c r="AV55">
        <f t="shared" si="85"/>
        <v>1.5707963267948966</v>
      </c>
      <c r="AW55" t="str">
        <f t="shared" si="60"/>
        <v>1+0,00116304347006095i</v>
      </c>
      <c r="AX55">
        <f t="shared" si="86"/>
        <v>1.0000006763348279</v>
      </c>
      <c r="AY55">
        <f t="shared" si="87"/>
        <v>1.1630429456566615E-3</v>
      </c>
      <c r="AZ55" t="str">
        <f t="shared" si="61"/>
        <v>1+0,171742752412333i</v>
      </c>
      <c r="BA55">
        <f t="shared" si="88"/>
        <v>1.0146406127324905</v>
      </c>
      <c r="BB55">
        <f t="shared" si="89"/>
        <v>0.1700834694932917</v>
      </c>
      <c r="BC55" s="41" t="str">
        <f t="shared" si="90"/>
        <v>-0,087140878174677+0,510953410623586i</v>
      </c>
      <c r="BD55">
        <f t="shared" si="91"/>
        <v>-5.7078580263537484</v>
      </c>
      <c r="BE55" s="43">
        <f t="shared" si="92"/>
        <v>99.678427514729094</v>
      </c>
      <c r="BF55" s="41" t="str">
        <f t="shared" si="93"/>
        <v>12,8460460120784+15,7003119888912i</v>
      </c>
      <c r="BG55" s="20">
        <f t="shared" si="94"/>
        <v>26.143916800463842</v>
      </c>
      <c r="BH55" s="43">
        <f t="shared" si="95"/>
        <v>50.709858208543913</v>
      </c>
      <c r="BI55" s="41" t="str">
        <f t="shared" si="101"/>
        <v>87,4433690250227+108,150079254097i</v>
      </c>
      <c r="BJ55" s="20">
        <f t="shared" si="97"/>
        <v>42.865189468252382</v>
      </c>
      <c r="BK55" s="43">
        <f t="shared" si="102"/>
        <v>51.043169717216102</v>
      </c>
      <c r="BL55">
        <f t="shared" si="99"/>
        <v>26.143916800463842</v>
      </c>
      <c r="BM55" s="43">
        <f t="shared" si="100"/>
        <v>50.709858208543913</v>
      </c>
    </row>
    <row r="56" spans="1:65" x14ac:dyDescent="0.35">
      <c r="A56" t="s">
        <v>189</v>
      </c>
      <c r="B56" s="3">
        <f>RFBT</f>
        <v>6980</v>
      </c>
      <c r="C56" s="2" t="s">
        <v>36</v>
      </c>
      <c r="E56" t="s">
        <v>192</v>
      </c>
      <c r="N56" s="9">
        <v>38</v>
      </c>
      <c r="O56" s="34">
        <f t="shared" si="62"/>
        <v>23.988329190194907</v>
      </c>
      <c r="P56" s="33" t="str">
        <f t="shared" si="50"/>
        <v>59,1053597814893</v>
      </c>
      <c r="Q56" s="4" t="str">
        <f t="shared" si="63"/>
        <v>1+1,15811073142856i</v>
      </c>
      <c r="R56" s="4">
        <f t="shared" si="64"/>
        <v>1.5301047239486563</v>
      </c>
      <c r="S56" s="4">
        <f t="shared" si="65"/>
        <v>0.85853099581901027</v>
      </c>
      <c r="T56" s="4" t="str">
        <f t="shared" si="51"/>
        <v>1+0,000195940052765106i</v>
      </c>
      <c r="U56" s="4">
        <f t="shared" si="66"/>
        <v>1.0000000191962519</v>
      </c>
      <c r="V56" s="4">
        <f t="shared" si="67"/>
        <v>1.9594005025756295E-4</v>
      </c>
      <c r="W56" t="str">
        <f t="shared" si="52"/>
        <v>1-0,00723470964055777i</v>
      </c>
      <c r="X56" s="4">
        <f t="shared" si="68"/>
        <v>1.0000261701693527</v>
      </c>
      <c r="Y56" s="4">
        <f t="shared" si="69"/>
        <v>-7.2345834204856673E-3</v>
      </c>
      <c r="Z56" t="str">
        <f t="shared" si="53"/>
        <v>0,999999988110745+0,000676883818643093i</v>
      </c>
      <c r="AA56" s="4">
        <f t="shared" si="70"/>
        <v>1.0000002171965734</v>
      </c>
      <c r="AB56" s="4">
        <f t="shared" si="71"/>
        <v>6.7688372331442461E-4</v>
      </c>
      <c r="AC56" s="47" t="str">
        <f t="shared" si="72"/>
        <v>25,0198543323805-29,4317981253139i</v>
      </c>
      <c r="AD56" s="20">
        <f t="shared" si="73"/>
        <v>31.738339774711044</v>
      </c>
      <c r="AE56" s="43">
        <f t="shared" si="74"/>
        <v>-49.632269780771878</v>
      </c>
      <c r="AF56" t="str">
        <f t="shared" si="54"/>
        <v>405,634542683733</v>
      </c>
      <c r="AG56" t="str">
        <f t="shared" si="55"/>
        <v>1+1,16017136505655i</v>
      </c>
      <c r="AH56">
        <f t="shared" si="75"/>
        <v>1.5316649752139593</v>
      </c>
      <c r="AI56">
        <f t="shared" si="76"/>
        <v>0.85941025295457663</v>
      </c>
      <c r="AJ56" t="str">
        <f t="shared" si="56"/>
        <v>1+0,000195940052765106i</v>
      </c>
      <c r="AK56">
        <f t="shared" si="77"/>
        <v>1.0000000191962519</v>
      </c>
      <c r="AL56">
        <f t="shared" si="78"/>
        <v>1.9594005025756295E-4</v>
      </c>
      <c r="AM56" t="str">
        <f t="shared" si="57"/>
        <v>1-0,00105604009059176i</v>
      </c>
      <c r="AN56">
        <f t="shared" si="79"/>
        <v>1.0000005576101809</v>
      </c>
      <c r="AO56">
        <f t="shared" si="80"/>
        <v>-1.0560396980194425E-3</v>
      </c>
      <c r="AP56" s="41" t="str">
        <f t="shared" si="81"/>
        <v>172,732427083194-200,748102004146i</v>
      </c>
      <c r="AQ56">
        <f t="shared" si="82"/>
        <v>48.459428005701675</v>
      </c>
      <c r="AR56" s="43">
        <f t="shared" si="83"/>
        <v>-49.289860444345145</v>
      </c>
      <c r="AS56" t="str">
        <f t="shared" si="58"/>
        <v>-0,0000166666666666667</v>
      </c>
      <c r="AT56" t="str">
        <f t="shared" si="59"/>
        <v>0,0000333851705288238i</v>
      </c>
      <c r="AU56">
        <f t="shared" si="84"/>
        <v>3.3385170528823802E-5</v>
      </c>
      <c r="AV56">
        <f t="shared" si="85"/>
        <v>1.5707963267948966</v>
      </c>
      <c r="AW56" t="str">
        <f t="shared" si="60"/>
        <v>1+0,00119013423263126i</v>
      </c>
      <c r="AX56">
        <f t="shared" si="86"/>
        <v>1.000000708209495</v>
      </c>
      <c r="AY56">
        <f t="shared" si="87"/>
        <v>1.1901336707219627E-3</v>
      </c>
      <c r="AZ56" t="str">
        <f t="shared" si="61"/>
        <v>1+0,175743155018549i</v>
      </c>
      <c r="BA56">
        <f t="shared" si="88"/>
        <v>1.0153253944110103</v>
      </c>
      <c r="BB56">
        <f t="shared" si="89"/>
        <v>0.17396664753147506</v>
      </c>
      <c r="BC56" s="41" t="str">
        <f t="shared" si="90"/>
        <v>-0,087140872619508+0,499327358718371i</v>
      </c>
      <c r="BD56">
        <f t="shared" si="91"/>
        <v>-5.9019981673387445</v>
      </c>
      <c r="BE56" s="43">
        <f t="shared" si="92"/>
        <v>99.899365043204725</v>
      </c>
      <c r="BF56" s="41" t="str">
        <f t="shared" si="93"/>
        <v>12,5158500809087+15,057810350707i</v>
      </c>
      <c r="BG56" s="20">
        <f t="shared" si="94"/>
        <v>25.836341607372301</v>
      </c>
      <c r="BH56" s="43">
        <f t="shared" si="95"/>
        <v>50.267095262432797</v>
      </c>
      <c r="BI56" s="41" t="str">
        <f t="shared" si="101"/>
        <v>85,1869651157413+103,743391365816i</v>
      </c>
      <c r="BJ56" s="20">
        <f t="shared" si="97"/>
        <v>42.557429838362921</v>
      </c>
      <c r="BK56" s="43">
        <f t="shared" si="102"/>
        <v>50.60950459885953</v>
      </c>
      <c r="BL56">
        <f t="shared" si="99"/>
        <v>25.836341607372301</v>
      </c>
      <c r="BM56" s="43">
        <f t="shared" si="100"/>
        <v>50.267095262432797</v>
      </c>
    </row>
    <row r="57" spans="1:65" x14ac:dyDescent="0.35">
      <c r="A57" t="s">
        <v>190</v>
      </c>
      <c r="B57" s="3">
        <f>RFBB</f>
        <v>28000</v>
      </c>
      <c r="C57" s="2" t="s">
        <v>36</v>
      </c>
      <c r="E57" t="s">
        <v>193</v>
      </c>
      <c r="N57" s="9">
        <v>39</v>
      </c>
      <c r="O57" s="34">
        <f t="shared" si="62"/>
        <v>24.547089156850316</v>
      </c>
      <c r="P57" s="33" t="str">
        <f t="shared" si="50"/>
        <v>59,1053597814893</v>
      </c>
      <c r="Q57" s="4" t="str">
        <f t="shared" si="63"/>
        <v>1+1,18508659575598i</v>
      </c>
      <c r="R57" s="4">
        <f t="shared" si="64"/>
        <v>1.5506225328688144</v>
      </c>
      <c r="S57" s="4">
        <f t="shared" si="65"/>
        <v>0.86990091766321964</v>
      </c>
      <c r="T57" s="4" t="str">
        <f t="shared" si="51"/>
        <v>1+0,000200504082901654i</v>
      </c>
      <c r="U57" s="4">
        <f t="shared" si="66"/>
        <v>1.0000000201009434</v>
      </c>
      <c r="V57" s="4">
        <f t="shared" si="67"/>
        <v>2.0050408021477322E-4</v>
      </c>
      <c r="W57" t="str">
        <f t="shared" si="52"/>
        <v>1-0,00740322767636876i</v>
      </c>
      <c r="X57" s="4">
        <f t="shared" si="68"/>
        <v>1.0000274035145378</v>
      </c>
      <c r="Y57" s="4">
        <f t="shared" si="69"/>
        <v>-7.4030924293249575E-3</v>
      </c>
      <c r="Z57" t="str">
        <f t="shared" si="53"/>
        <v>0,999999987550422+0,000692650468205713i</v>
      </c>
      <c r="AA57" s="4">
        <f t="shared" si="70"/>
        <v>1.0000002274327318</v>
      </c>
      <c r="AB57" s="4">
        <f t="shared" si="71"/>
        <v>6.9265036605920558E-4</v>
      </c>
      <c r="AC57" s="47" t="str">
        <f t="shared" si="72"/>
        <v>24,3517541119294-29,3255961489202i</v>
      </c>
      <c r="AD57" s="20">
        <f t="shared" si="73"/>
        <v>31.622651712807897</v>
      </c>
      <c r="AE57" s="43">
        <f t="shared" si="74"/>
        <v>-50.294015033287359</v>
      </c>
      <c r="AF57" t="str">
        <f t="shared" si="54"/>
        <v>405,634542683733</v>
      </c>
      <c r="AG57" t="str">
        <f t="shared" si="55"/>
        <v>1+1,18719522770716i</v>
      </c>
      <c r="AH57">
        <f t="shared" si="75"/>
        <v>1.5522346822212985</v>
      </c>
      <c r="AI57">
        <f t="shared" si="76"/>
        <v>0.87077698475100107</v>
      </c>
      <c r="AJ57" t="str">
        <f t="shared" si="56"/>
        <v>1+0,000200504082901654i</v>
      </c>
      <c r="AK57">
        <f t="shared" si="77"/>
        <v>1.0000000201009434</v>
      </c>
      <c r="AL57">
        <f t="shared" si="78"/>
        <v>2.0050408021477322E-4</v>
      </c>
      <c r="AM57" t="str">
        <f t="shared" si="57"/>
        <v>1-0,00108063842427008i</v>
      </c>
      <c r="AN57">
        <f t="shared" si="79"/>
        <v>1.0000005838895316</v>
      </c>
      <c r="AO57">
        <f t="shared" si="80"/>
        <v>-1.0806380036212765E-3</v>
      </c>
      <c r="AP57" s="41" t="str">
        <f t="shared" si="81"/>
        <v>168,176857044754-200,015774985382i</v>
      </c>
      <c r="AQ57">
        <f t="shared" si="82"/>
        <v>48.34355621325156</v>
      </c>
      <c r="AR57" s="43">
        <f t="shared" si="83"/>
        <v>-49.94227408257742</v>
      </c>
      <c r="AS57" t="str">
        <f t="shared" si="58"/>
        <v>-0,0000166666666666667</v>
      </c>
      <c r="AT57" t="str">
        <f t="shared" si="59"/>
        <v>0,0000341628110482434i</v>
      </c>
      <c r="AU57">
        <f t="shared" si="84"/>
        <v>3.41628110482434E-5</v>
      </c>
      <c r="AV57">
        <f t="shared" si="85"/>
        <v>1.5707963267948966</v>
      </c>
      <c r="AW57" t="str">
        <f t="shared" si="60"/>
        <v>1+0,001217856020125i</v>
      </c>
      <c r="AX57">
        <f t="shared" si="86"/>
        <v>1.0000007415863679</v>
      </c>
      <c r="AY57">
        <f t="shared" si="87"/>
        <v>1.2178554180283642E-3</v>
      </c>
      <c r="AZ57" t="str">
        <f t="shared" si="61"/>
        <v>1+0,179836738971791i</v>
      </c>
      <c r="BA57">
        <f t="shared" si="88"/>
        <v>1.0160419541948098</v>
      </c>
      <c r="BB57">
        <f t="shared" si="89"/>
        <v>0.17793479635386222</v>
      </c>
      <c r="BC57" s="41" t="str">
        <f t="shared" si="90"/>
        <v>-0,0871408668025325+0,487966056787504i</v>
      </c>
      <c r="BD57">
        <f t="shared" si="91"/>
        <v>-6.0958706050254836</v>
      </c>
      <c r="BE57" s="43">
        <f t="shared" si="92"/>
        <v>100.12513488408594</v>
      </c>
      <c r="BF57" s="41" t="str">
        <f t="shared" si="93"/>
        <v>12,1878625542557+14,438287297775i</v>
      </c>
      <c r="BG57" s="20">
        <f t="shared" si="94"/>
        <v>25.526781107782401</v>
      </c>
      <c r="BH57" s="43">
        <f t="shared" si="95"/>
        <v>49.8311198507987</v>
      </c>
      <c r="BI57" s="41" t="str">
        <f t="shared" si="101"/>
        <v>82,9458319159081+99,4941457814509i</v>
      </c>
      <c r="BJ57" s="20">
        <f t="shared" si="97"/>
        <v>42.247685608226078</v>
      </c>
      <c r="BK57" s="43">
        <f t="shared" si="102"/>
        <v>50.182860801508518</v>
      </c>
      <c r="BL57">
        <f t="shared" si="99"/>
        <v>25.526781107782401</v>
      </c>
      <c r="BM57" s="43">
        <f t="shared" si="100"/>
        <v>49.8311198507987</v>
      </c>
    </row>
    <row r="58" spans="1:65" x14ac:dyDescent="0.35">
      <c r="A58" t="s">
        <v>180</v>
      </c>
      <c r="B58" s="3">
        <f>RCOMP</f>
        <v>5300</v>
      </c>
      <c r="C58" s="2" t="s">
        <v>36</v>
      </c>
      <c r="E58" t="s">
        <v>186</v>
      </c>
      <c r="N58" s="9">
        <v>40</v>
      </c>
      <c r="O58" s="34">
        <f t="shared" si="62"/>
        <v>25.118864315095799</v>
      </c>
      <c r="P58" s="33" t="str">
        <f t="shared" si="50"/>
        <v>59,1053597814893</v>
      </c>
      <c r="Q58" s="4" t="str">
        <f t="shared" si="63"/>
        <v>1+1,21269080868295i</v>
      </c>
      <c r="R58" s="4">
        <f t="shared" si="64"/>
        <v>1.5718202815411524</v>
      </c>
      <c r="S58" s="4">
        <f t="shared" si="65"/>
        <v>0.88122689465133475</v>
      </c>
      <c r="T58" s="4" t="str">
        <f t="shared" si="51"/>
        <v>1+0,000205174422956942i</v>
      </c>
      <c r="U58" s="4">
        <f t="shared" si="66"/>
        <v>1.0000000210482718</v>
      </c>
      <c r="V58" s="4">
        <f t="shared" si="67"/>
        <v>2.0517442007789738E-4</v>
      </c>
      <c r="W58" t="str">
        <f t="shared" si="52"/>
        <v>1-0,00757567100148712i</v>
      </c>
      <c r="X58" s="4">
        <f t="shared" si="68"/>
        <v>1.0000286949838604</v>
      </c>
      <c r="Y58" s="4">
        <f t="shared" si="69"/>
        <v>-7.5755260818932977E-3</v>
      </c>
      <c r="Z58" t="str">
        <f t="shared" si="53"/>
        <v>0,999999986963691+0,000708784370214892i</v>
      </c>
      <c r="AA58" s="4">
        <f t="shared" si="70"/>
        <v>1.0000002381513045</v>
      </c>
      <c r="AB58" s="4">
        <f t="shared" si="71"/>
        <v>7.0878426076293897E-4</v>
      </c>
      <c r="AC58" s="47" t="str">
        <f t="shared" si="72"/>
        <v>23,6888081185385-29,2047285132453i</v>
      </c>
      <c r="AD58" s="20">
        <f t="shared" si="73"/>
        <v>31.504726892354157</v>
      </c>
      <c r="AE58" s="43">
        <f t="shared" si="74"/>
        <v>-50.953482247417284</v>
      </c>
      <c r="AF58" t="str">
        <f t="shared" si="54"/>
        <v>405,634542683733</v>
      </c>
      <c r="AG58" t="str">
        <f t="shared" si="55"/>
        <v>1+1,2148485569819i</v>
      </c>
      <c r="AH58">
        <f t="shared" si="75"/>
        <v>1.5734856263725463</v>
      </c>
      <c r="AI58">
        <f t="shared" si="76"/>
        <v>0.88209933384903028</v>
      </c>
      <c r="AJ58" t="str">
        <f t="shared" si="56"/>
        <v>1+0,000205174422956942i</v>
      </c>
      <c r="AK58">
        <f t="shared" si="77"/>
        <v>1.0000000210482718</v>
      </c>
      <c r="AL58">
        <f t="shared" si="78"/>
        <v>2.0517442007789738E-4</v>
      </c>
      <c r="AM58" t="str">
        <f t="shared" si="57"/>
        <v>1-0,00110580972674489i</v>
      </c>
      <c r="AN58">
        <f t="shared" si="79"/>
        <v>1.0000006114073889</v>
      </c>
      <c r="AO58">
        <f t="shared" si="80"/>
        <v>-1.1058092760115911E-3</v>
      </c>
      <c r="AP58" s="41" t="str">
        <f t="shared" si="81"/>
        <v>163,656791518529-199,18354580615i</v>
      </c>
      <c r="AQ58">
        <f t="shared" si="82"/>
        <v>48.225448516443038</v>
      </c>
      <c r="AR58" s="43">
        <f t="shared" si="83"/>
        <v>-50.592171516978276</v>
      </c>
      <c r="AS58" t="str">
        <f t="shared" si="58"/>
        <v>-0,0000166666666666667</v>
      </c>
      <c r="AT58" t="str">
        <f t="shared" si="59"/>
        <v>0,0000349585651422789i</v>
      </c>
      <c r="AU58">
        <f t="shared" si="84"/>
        <v>3.4958565142278901E-5</v>
      </c>
      <c r="AV58">
        <f t="shared" si="85"/>
        <v>1.5707963267948966</v>
      </c>
      <c r="AW58" t="str">
        <f t="shared" si="60"/>
        <v>1+0,00124622353100084i</v>
      </c>
      <c r="AX58">
        <f t="shared" si="86"/>
        <v>1.0000007765362431</v>
      </c>
      <c r="AY58">
        <f t="shared" si="87"/>
        <v>1.246222885842698E-3</v>
      </c>
      <c r="AZ58" t="str">
        <f t="shared" si="61"/>
        <v>1+0,184025674744458i</v>
      </c>
      <c r="BA58">
        <f t="shared" si="88"/>
        <v>1.0167917431633446</v>
      </c>
      <c r="BB58">
        <f t="shared" si="89"/>
        <v>0.18198951981141859</v>
      </c>
      <c r="BC58" s="41" t="str">
        <f t="shared" si="90"/>
        <v>-0,0871408607114132+0,476863480918274i</v>
      </c>
      <c r="BD58">
        <f t="shared" si="91"/>
        <v>-6.2894635133070196</v>
      </c>
      <c r="BE58" s="43">
        <f t="shared" si="92"/>
        <v>100.35582808911538</v>
      </c>
      <c r="BF58" s="41" t="str">
        <f t="shared" si="93"/>
        <v>11,8624053694224+13,8412526776987i</v>
      </c>
      <c r="BG58" s="20">
        <f t="shared" si="94"/>
        <v>25.215263379047151</v>
      </c>
      <c r="BH58" s="43">
        <f t="shared" si="95"/>
        <v>49.40234584169805</v>
      </c>
      <c r="BI58" s="41" t="str">
        <f t="shared" si="101"/>
        <v>80,7221653205722+95,3989729005411i</v>
      </c>
      <c r="BJ58" s="20">
        <f t="shared" si="97"/>
        <v>41.935985003136018</v>
      </c>
      <c r="BK58" s="43">
        <f t="shared" si="102"/>
        <v>49.763656572137116</v>
      </c>
      <c r="BL58">
        <f t="shared" si="99"/>
        <v>25.215263379047151</v>
      </c>
      <c r="BM58" s="43">
        <f t="shared" si="100"/>
        <v>49.40234584169805</v>
      </c>
    </row>
    <row r="59" spans="1:65" x14ac:dyDescent="0.35">
      <c r="A59" t="s">
        <v>184</v>
      </c>
      <c r="B59" s="3">
        <f>CCOMP</f>
        <v>2.2000000000000001E-7</v>
      </c>
      <c r="C59" s="2" t="s">
        <v>162</v>
      </c>
      <c r="E59" t="s">
        <v>187</v>
      </c>
      <c r="N59" s="9">
        <v>41</v>
      </c>
      <c r="O59" s="34">
        <f t="shared" si="62"/>
        <v>25.703957827688647</v>
      </c>
      <c r="P59" s="33" t="str">
        <f t="shared" si="50"/>
        <v>59,1053597814893</v>
      </c>
      <c r="Q59" s="4" t="str">
        <f t="shared" si="63"/>
        <v>1+1,24093800632854i</v>
      </c>
      <c r="R59" s="4">
        <f t="shared" si="64"/>
        <v>1.5937148852761123</v>
      </c>
      <c r="S59" s="4">
        <f t="shared" si="65"/>
        <v>0.89250330977793302</v>
      </c>
      <c r="T59" s="4" t="str">
        <f t="shared" si="51"/>
        <v>1+0,000209953549207086i</v>
      </c>
      <c r="U59" s="4">
        <f t="shared" si="66"/>
        <v>1.0000000220402461</v>
      </c>
      <c r="V59" s="4">
        <f t="shared" si="67"/>
        <v>2.0995354612213412E-4</v>
      </c>
      <c r="W59" t="str">
        <f t="shared" si="52"/>
        <v>1-0,00775213104764627i</v>
      </c>
      <c r="X59" s="4">
        <f t="shared" si="68"/>
        <v>1.0000300473164694</v>
      </c>
      <c r="Y59" s="4">
        <f t="shared" si="69"/>
        <v>-7.7519757637557717E-3</v>
      </c>
      <c r="Z59" t="str">
        <f t="shared" si="53"/>
        <v>0,999999986349309+0,000725294079079024i</v>
      </c>
      <c r="AA59" s="4">
        <f t="shared" si="70"/>
        <v>1.0000002493750286</v>
      </c>
      <c r="AB59" s="4">
        <f t="shared" si="71"/>
        <v>7.2529396179914479E-4</v>
      </c>
      <c r="AC59" s="47" t="str">
        <f t="shared" si="72"/>
        <v>23,0316512169008-29,0695030456i</v>
      </c>
      <c r="AD59" s="20">
        <f t="shared" si="73"/>
        <v>31.384583735492683</v>
      </c>
      <c r="AE59" s="43">
        <f t="shared" si="74"/>
        <v>-51.610355176714435</v>
      </c>
      <c r="AF59" t="str">
        <f t="shared" si="54"/>
        <v>405,634542683733</v>
      </c>
      <c r="AG59" t="str">
        <f t="shared" si="55"/>
        <v>1+1,24314601504196i</v>
      </c>
      <c r="AH59">
        <f t="shared" si="75"/>
        <v>1.5954347416032737</v>
      </c>
      <c r="AI59">
        <f t="shared" si="76"/>
        <v>0.89337169247964832</v>
      </c>
      <c r="AJ59" t="str">
        <f t="shared" si="56"/>
        <v>1+0,000209953549207086i</v>
      </c>
      <c r="AK59">
        <f t="shared" si="77"/>
        <v>1.0000000220402461</v>
      </c>
      <c r="AL59">
        <f t="shared" si="78"/>
        <v>2.0995354612213412E-4</v>
      </c>
      <c r="AM59" t="str">
        <f t="shared" si="57"/>
        <v>1-0,00113156734417394i</v>
      </c>
      <c r="AN59">
        <f t="shared" si="79"/>
        <v>1.0000006402221222</v>
      </c>
      <c r="AO59">
        <f t="shared" si="80"/>
        <v>-1.1315668612045253E-3</v>
      </c>
      <c r="AP59" s="41" t="str">
        <f t="shared" si="81"/>
        <v>159,176550203131-198,253532463401i</v>
      </c>
      <c r="AQ59">
        <f t="shared" si="82"/>
        <v>48.105123478871114</v>
      </c>
      <c r="AR59" s="43">
        <f t="shared" si="83"/>
        <v>-51.239232068840366</v>
      </c>
      <c r="AS59" t="str">
        <f t="shared" si="58"/>
        <v>-0,0000166666666666667</v>
      </c>
      <c r="AT59" t="str">
        <f t="shared" si="59"/>
        <v>0,0000357728547302843i</v>
      </c>
      <c r="AU59">
        <f t="shared" si="84"/>
        <v>3.5772854730284301E-5</v>
      </c>
      <c r="AV59">
        <f t="shared" si="85"/>
        <v>1.5707963267948966</v>
      </c>
      <c r="AW59" t="str">
        <f t="shared" si="60"/>
        <v>1+0,00127525180608854i</v>
      </c>
      <c r="AX59">
        <f t="shared" si="86"/>
        <v>1.0000008131332538</v>
      </c>
      <c r="AY59">
        <f t="shared" si="87"/>
        <v>1.2752511147891663E-3</v>
      </c>
      <c r="AZ59" t="str">
        <f t="shared" si="61"/>
        <v>1+0,18831218336574i</v>
      </c>
      <c r="BA59">
        <f t="shared" si="88"/>
        <v>1.0175762764549752</v>
      </c>
      <c r="BB59">
        <f t="shared" si="89"/>
        <v>0.18613243420707573</v>
      </c>
      <c r="BC59" s="41" t="str">
        <f t="shared" si="90"/>
        <v>-0,0871408543332278+0,466013744377944i</v>
      </c>
      <c r="BD59">
        <f t="shared" si="91"/>
        <v>-6.4827645812349246</v>
      </c>
      <c r="BE59" s="43">
        <f t="shared" si="92"/>
        <v>100.59153640386515</v>
      </c>
      <c r="BF59" s="41" t="str">
        <f t="shared" si="93"/>
        <v>11,5397901977404+13,2662073532307i</v>
      </c>
      <c r="BG59" s="20">
        <f t="shared" si="94"/>
        <v>24.901819154257737</v>
      </c>
      <c r="BH59" s="43">
        <f t="shared" si="95"/>
        <v>48.981181227150778</v>
      </c>
      <c r="BI59" s="41" t="str">
        <f t="shared" si="101"/>
        <v>78,518090424907+91,4544423707659i</v>
      </c>
      <c r="BJ59" s="20">
        <f t="shared" si="97"/>
        <v>41.62235889763619</v>
      </c>
      <c r="BK59" s="43">
        <f t="shared" si="102"/>
        <v>49.35230433502479</v>
      </c>
      <c r="BL59">
        <f t="shared" si="99"/>
        <v>24.901819154257737</v>
      </c>
      <c r="BM59" s="43">
        <f t="shared" si="100"/>
        <v>48.981181227150778</v>
      </c>
    </row>
    <row r="60" spans="1:65" x14ac:dyDescent="0.35">
      <c r="A60" t="s">
        <v>185</v>
      </c>
      <c r="B60" s="3">
        <f>CHF</f>
        <v>1.5E-9</v>
      </c>
      <c r="C60" s="2" t="s">
        <v>162</v>
      </c>
      <c r="E60" t="s">
        <v>188</v>
      </c>
      <c r="N60" s="9">
        <v>42</v>
      </c>
      <c r="O60" s="34">
        <f t="shared" si="62"/>
        <v>26.302679918953825</v>
      </c>
      <c r="P60" s="33" t="str">
        <f t="shared" si="50"/>
        <v>59,1053597814893</v>
      </c>
      <c r="Q60" s="4" t="str">
        <f t="shared" si="63"/>
        <v>1+1,26984316573084i</v>
      </c>
      <c r="R60" s="4">
        <f t="shared" si="64"/>
        <v>1.6163235027534932</v>
      </c>
      <c r="S60" s="4">
        <f t="shared" si="65"/>
        <v>0.90372467160254444</v>
      </c>
      <c r="T60" s="4" t="str">
        <f t="shared" si="51"/>
        <v>1+0,000214843995608083i</v>
      </c>
      <c r="U60" s="4">
        <f t="shared" si="66"/>
        <v>1.000000023078971</v>
      </c>
      <c r="V60" s="4">
        <f t="shared" si="67"/>
        <v>2.1484399230249748E-4</v>
      </c>
      <c r="W60" t="str">
        <f t="shared" si="52"/>
        <v>1-0,00793270137629848i</v>
      </c>
      <c r="X60" s="4">
        <f t="shared" si="68"/>
        <v>1.0000314633805907</v>
      </c>
      <c r="Y60" s="4">
        <f t="shared" si="69"/>
        <v>-7.9325349868947549E-3</v>
      </c>
      <c r="Z60" t="str">
        <f t="shared" si="53"/>
        <v>0,999999985705972+0,000742188348464288i</v>
      </c>
      <c r="AA60" s="4">
        <f t="shared" si="70"/>
        <v>1.0000002611277103</v>
      </c>
      <c r="AB60" s="4">
        <f t="shared" si="71"/>
        <v>7.4218822279663473E-4</v>
      </c>
      <c r="AC60" s="47" t="str">
        <f t="shared" si="72"/>
        <v>22,3808950781219-28,9202605115785i</v>
      </c>
      <c r="AD60" s="20">
        <f t="shared" si="73"/>
        <v>31.262242761134395</v>
      </c>
      <c r="AE60" s="43">
        <f t="shared" si="74"/>
        <v>-52.264324899018938</v>
      </c>
      <c r="AF60" t="str">
        <f t="shared" si="54"/>
        <v>405,634542683733</v>
      </c>
      <c r="AG60" t="str">
        <f t="shared" si="55"/>
        <v>1+1,27210260557418i</v>
      </c>
      <c r="AH60">
        <f t="shared" si="75"/>
        <v>1.618099205583087</v>
      </c>
      <c r="AI60">
        <f t="shared" si="76"/>
        <v>0.90458857942066895</v>
      </c>
      <c r="AJ60" t="str">
        <f t="shared" si="56"/>
        <v>1+0,000214843995608083i</v>
      </c>
      <c r="AK60">
        <f t="shared" si="77"/>
        <v>1.000000023078971</v>
      </c>
      <c r="AL60">
        <f t="shared" si="78"/>
        <v>2.1484399230249748E-4</v>
      </c>
      <c r="AM60" t="str">
        <f t="shared" si="57"/>
        <v>1-0,00115792493358694i</v>
      </c>
      <c r="AN60">
        <f t="shared" si="79"/>
        <v>1.0000006703948512</v>
      </c>
      <c r="AO60">
        <f t="shared" si="80"/>
        <v>-1.1579244160759071E-3</v>
      </c>
      <c r="AP60" s="41" t="str">
        <f t="shared" si="81"/>
        <v>154,740293409877-197,228076639009i</v>
      </c>
      <c r="AQ60">
        <f t="shared" si="82"/>
        <v>47.982601753769963</v>
      </c>
      <c r="AR60" s="43">
        <f t="shared" si="83"/>
        <v>-51.883142324562712</v>
      </c>
      <c r="AS60" t="str">
        <f t="shared" si="58"/>
        <v>-0,0000166666666666667</v>
      </c>
      <c r="AT60" t="str">
        <f t="shared" si="59"/>
        <v>0,0000366061115593773i</v>
      </c>
      <c r="AU60">
        <f t="shared" si="84"/>
        <v>3.6606111559377297E-5</v>
      </c>
      <c r="AV60">
        <f t="shared" si="85"/>
        <v>1.5707963267948966</v>
      </c>
      <c r="AW60" t="str">
        <f t="shared" si="60"/>
        <v>1+0,00130495623656377i</v>
      </c>
      <c r="AX60">
        <f t="shared" si="86"/>
        <v>1.0000008514550272</v>
      </c>
      <c r="AY60">
        <f t="shared" si="87"/>
        <v>1.3049554958231796E-3</v>
      </c>
      <c r="AZ60" t="str">
        <f t="shared" si="61"/>
        <v>1+0,19269853759925i</v>
      </c>
      <c r="BA60">
        <f t="shared" si="88"/>
        <v>1.0183971358919317</v>
      </c>
      <c r="BB60">
        <f t="shared" si="89"/>
        <v>0.19036516702770059</v>
      </c>
      <c r="BC60" s="41" t="str">
        <f t="shared" si="90"/>
        <v>-0,0871408476544495+0,455411094492539i</v>
      </c>
      <c r="BD60">
        <f t="shared" si="91"/>
        <v>-6.6757609966346196</v>
      </c>
      <c r="BE60" s="43">
        <f t="shared" si="92"/>
        <v>100.83235219462716</v>
      </c>
      <c r="BF60" s="41" t="str">
        <f t="shared" si="93"/>
        <v>11,2203173242145+12,7126439386166i</v>
      </c>
      <c r="BG60" s="20">
        <f t="shared" si="94"/>
        <v>24.586481764499769</v>
      </c>
      <c r="BH60" s="43">
        <f t="shared" si="95"/>
        <v>48.568027295608118</v>
      </c>
      <c r="BI60" s="41" t="str">
        <f t="shared" si="101"/>
        <v>76,3356539127946+87,6570681634687i</v>
      </c>
      <c r="BJ60" s="20">
        <f t="shared" si="97"/>
        <v>41.306840757135348</v>
      </c>
      <c r="BK60" s="43">
        <f t="shared" si="102"/>
        <v>48.949209870064429</v>
      </c>
      <c r="BL60">
        <f t="shared" si="99"/>
        <v>24.586481764499769</v>
      </c>
      <c r="BM60" s="43">
        <f t="shared" si="100"/>
        <v>48.568027295608118</v>
      </c>
    </row>
    <row r="61" spans="1:65" x14ac:dyDescent="0.35">
      <c r="N61" s="9">
        <v>43</v>
      </c>
      <c r="O61" s="34">
        <f t="shared" si="62"/>
        <v>26.915348039269158</v>
      </c>
      <c r="P61" s="33" t="str">
        <f t="shared" si="50"/>
        <v>59,1053597814893</v>
      </c>
      <c r="Q61" s="4" t="str">
        <f t="shared" si="63"/>
        <v>1+1,29942161278798i</v>
      </c>
      <c r="R61" s="4">
        <f t="shared" si="64"/>
        <v>1.6396635410292306</v>
      </c>
      <c r="S61" s="4">
        <f t="shared" si="65"/>
        <v>0.91488562660617501</v>
      </c>
      <c r="T61" s="4" t="str">
        <f t="shared" si="51"/>
        <v>1+0,000219848355139349i</v>
      </c>
      <c r="U61" s="4">
        <f t="shared" si="66"/>
        <v>1.0000000241666493</v>
      </c>
      <c r="V61" s="4">
        <f t="shared" si="67"/>
        <v>2.1984835159735033E-4</v>
      </c>
      <c r="W61" t="str">
        <f t="shared" si="52"/>
        <v>1-0,00811747772822214i</v>
      </c>
      <c r="X61" s="4">
        <f t="shared" si="68"/>
        <v>1.0000329461796087</v>
      </c>
      <c r="Y61" s="4">
        <f t="shared" si="69"/>
        <v>-8.1172994390810958E-3</v>
      </c>
      <c r="Z61" t="str">
        <f t="shared" si="53"/>
        <v>0,999999985032315+0,000759476135935934i</v>
      </c>
      <c r="AA61" s="4">
        <f t="shared" si="70"/>
        <v>1.0000002734342783</v>
      </c>
      <c r="AB61" s="4">
        <f t="shared" si="71"/>
        <v>7.5947600128061963E-4</v>
      </c>
      <c r="AC61" s="47" t="str">
        <f t="shared" si="72"/>
        <v>21,7371260907207-28,7573725712574i</v>
      </c>
      <c r="AD61" s="20">
        <f t="shared" si="73"/>
        <v>31.137726503480977</v>
      </c>
      <c r="AE61" s="43">
        <f t="shared" si="74"/>
        <v>-52.915090527454218</v>
      </c>
      <c r="AF61" t="str">
        <f t="shared" si="54"/>
        <v>405,634542683733</v>
      </c>
      <c r="AG61" t="str">
        <f t="shared" si="55"/>
        <v>1+1,30173368174615i</v>
      </c>
      <c r="AH61">
        <f t="shared" si="75"/>
        <v>1.6414964447699503</v>
      </c>
      <c r="AI61">
        <f t="shared" si="76"/>
        <v>0.91574465229199442</v>
      </c>
      <c r="AJ61" t="str">
        <f t="shared" si="56"/>
        <v>1+0,000219848355139349i</v>
      </c>
      <c r="AK61">
        <f t="shared" si="77"/>
        <v>1.0000000241666493</v>
      </c>
      <c r="AL61">
        <f t="shared" si="78"/>
        <v>2.1984835159735033E-4</v>
      </c>
      <c r="AM61" t="str">
        <f t="shared" si="57"/>
        <v>1-0,00118489647012667i</v>
      </c>
      <c r="AN61">
        <f t="shared" si="79"/>
        <v>1.000000701989576</v>
      </c>
      <c r="AO61">
        <f t="shared" si="80"/>
        <v>-1.1848959156036286E-3</v>
      </c>
      <c r="AP61" s="41" t="str">
        <f t="shared" si="81"/>
        <v>150,35200791629-196,109729673589i</v>
      </c>
      <c r="AQ61">
        <f t="shared" si="82"/>
        <v>47.85790600194445</v>
      </c>
      <c r="AR61" s="43">
        <f t="shared" si="83"/>
        <v>-52.523596840453266</v>
      </c>
      <c r="AS61" t="str">
        <f t="shared" si="58"/>
        <v>-0,0000166666666666667</v>
      </c>
      <c r="AT61" t="str">
        <f t="shared" si="59"/>
        <v>0,0000374587774333583i</v>
      </c>
      <c r="AU61">
        <f t="shared" si="84"/>
        <v>3.7458777433358297E-5</v>
      </c>
      <c r="AV61">
        <f t="shared" si="85"/>
        <v>1.5707963267948966</v>
      </c>
      <c r="AW61" t="str">
        <f t="shared" si="60"/>
        <v>1+0,00133535257210878i</v>
      </c>
      <c r="AX61">
        <f t="shared" si="86"/>
        <v>1.0000008915828484</v>
      </c>
      <c r="AY61">
        <f t="shared" si="87"/>
        <v>1.3353517783909754E-3</v>
      </c>
      <c r="AZ61" t="str">
        <f t="shared" si="61"/>
        <v>1+0,197187063148063i</v>
      </c>
      <c r="BA61">
        <f t="shared" si="88"/>
        <v>1.0192559726942776</v>
      </c>
      <c r="BB61">
        <f t="shared" si="89"/>
        <v>0.19468935556007111</v>
      </c>
      <c r="BC61" s="41" t="str">
        <f t="shared" si="90"/>
        <v>-0,0871408406609117+0,445049909596691i</v>
      </c>
      <c r="BD61">
        <f t="shared" si="91"/>
        <v>-6.8684394294991939</v>
      </c>
      <c r="BE61" s="43">
        <f t="shared" si="92"/>
        <v>101.07836836864682</v>
      </c>
      <c r="BF61" s="41" t="str">
        <f t="shared" si="93"/>
        <v>10,9042746219788+12,1800476226255i</v>
      </c>
      <c r="BG61" s="20">
        <f t="shared" si="94"/>
        <v>24.269287073981758</v>
      </c>
      <c r="BH61" s="43">
        <f t="shared" si="95"/>
        <v>48.163277841192595</v>
      </c>
      <c r="BI61" s="41" t="str">
        <f t="shared" si="101"/>
        <v>74,1768170973807+84,0033142363665i</v>
      </c>
      <c r="BJ61" s="20">
        <f t="shared" si="97"/>
        <v>40.989466572445252</v>
      </c>
      <c r="BK61" s="43">
        <f t="shared" si="102"/>
        <v>48.554771528193555</v>
      </c>
      <c r="BL61">
        <f t="shared" si="99"/>
        <v>24.269287073981758</v>
      </c>
      <c r="BM61" s="43">
        <f t="shared" si="100"/>
        <v>48.163277841192595</v>
      </c>
    </row>
    <row r="62" spans="1:65" x14ac:dyDescent="0.35">
      <c r="A62" t="s">
        <v>227</v>
      </c>
      <c r="B62" s="1">
        <f>(-gm_ea)/Kfb</f>
        <v>-1.6666666666666667E-5</v>
      </c>
      <c r="C62" t="s">
        <v>150</v>
      </c>
      <c r="N62" s="9">
        <v>44</v>
      </c>
      <c r="O62" s="34">
        <f t="shared" si="62"/>
        <v>27.542287033381665</v>
      </c>
      <c r="P62" s="33" t="str">
        <f t="shared" si="50"/>
        <v>59,1053597814893</v>
      </c>
      <c r="Q62" s="4" t="str">
        <f t="shared" si="63"/>
        <v>1+1,3296890303841i</v>
      </c>
      <c r="R62" s="4">
        <f t="shared" si="64"/>
        <v>1.6637526611620514</v>
      </c>
      <c r="S62" s="4">
        <f t="shared" si="65"/>
        <v>0.92598097072793772</v>
      </c>
      <c r="T62" s="4" t="str">
        <f t="shared" si="51"/>
        <v>1+0,000224969281178547i</v>
      </c>
      <c r="U62" s="4">
        <f t="shared" si="66"/>
        <v>1.0000000253055885</v>
      </c>
      <c r="V62" s="4">
        <f t="shared" si="67"/>
        <v>2.2496927738322703E-4</v>
      </c>
      <c r="W62" t="str">
        <f t="shared" si="52"/>
        <v>1-0,00830655807428483i</v>
      </c>
      <c r="X62" s="4">
        <f t="shared" si="68"/>
        <v>1.0000344988584351</v>
      </c>
      <c r="Y62" s="4">
        <f t="shared" si="69"/>
        <v>-8.3063670343842266E-3</v>
      </c>
      <c r="Z62" t="str">
        <f t="shared" si="53"/>
        <v>0,99999998432691+0,000777166607707708i</v>
      </c>
      <c r="AA62" s="4">
        <f t="shared" si="70"/>
        <v>1.000000286320837</v>
      </c>
      <c r="AB62" s="4">
        <f t="shared" si="71"/>
        <v>7.7716646342194126E-4</v>
      </c>
      <c r="AC62" s="47" t="str">
        <f t="shared" si="72"/>
        <v>21,100903477992-28,5812395895785i</v>
      </c>
      <c r="AD62" s="20">
        <f t="shared" si="73"/>
        <v>31.011059423871746</v>
      </c>
      <c r="AE62" s="43">
        <f t="shared" si="74"/>
        <v>-53.562359874513618</v>
      </c>
      <c r="AF62" t="str">
        <f t="shared" si="54"/>
        <v>405,634542683733</v>
      </c>
      <c r="AG62" t="str">
        <f t="shared" si="55"/>
        <v>1+1,33205495434666i</v>
      </c>
      <c r="AH62">
        <f t="shared" si="75"/>
        <v>1.6656441400849948</v>
      </c>
      <c r="AI62">
        <f t="shared" si="76"/>
        <v>0.92683471902667869</v>
      </c>
      <c r="AJ62" t="str">
        <f t="shared" si="56"/>
        <v>1+0,000224969281178547i</v>
      </c>
      <c r="AK62">
        <f t="shared" si="77"/>
        <v>1.0000000253055885</v>
      </c>
      <c r="AL62">
        <f t="shared" si="78"/>
        <v>2.2496927738322703E-4</v>
      </c>
      <c r="AM62" t="str">
        <f t="shared" si="57"/>
        <v>1-0,00121249625445883i</v>
      </c>
      <c r="AN62">
        <f t="shared" si="79"/>
        <v>1.0000007350733133</v>
      </c>
      <c r="AO62">
        <f t="shared" si="80"/>
        <v>-1.2124956602767097E-3</v>
      </c>
      <c r="AP62" s="41" t="str">
        <f t="shared" si="81"/>
        <v>146,015494233663-194,901237557522i</v>
      </c>
      <c r="AQ62">
        <f t="shared" si="82"/>
        <v>47.731060803077042</v>
      </c>
      <c r="AR62" s="43">
        <f t="shared" si="83"/>
        <v>-53.1602988003199</v>
      </c>
      <c r="AS62" t="str">
        <f t="shared" si="58"/>
        <v>-0,0000166666666666667</v>
      </c>
      <c r="AT62" t="str">
        <f t="shared" si="59"/>
        <v>0,00003833130444696i</v>
      </c>
      <c r="AU62">
        <f t="shared" si="84"/>
        <v>3.8331304446960002E-5</v>
      </c>
      <c r="AV62">
        <f t="shared" si="85"/>
        <v>1.5707963267948966</v>
      </c>
      <c r="AW62" t="str">
        <f t="shared" si="60"/>
        <v>1+0,001366456929263i</v>
      </c>
      <c r="AX62">
        <f t="shared" si="86"/>
        <v>1.0000009336018338</v>
      </c>
      <c r="AY62">
        <f t="shared" si="87"/>
        <v>1.3664560787790922E-3</v>
      </c>
      <c r="AZ62" t="str">
        <f t="shared" si="61"/>
        <v>1+0,201780139887835i</v>
      </c>
      <c r="BA62">
        <f t="shared" si="88"/>
        <v>1.0201545102841796</v>
      </c>
      <c r="BB62">
        <f t="shared" si="89"/>
        <v>0.19910664538469447</v>
      </c>
      <c r="BC62" s="41" t="str">
        <f t="shared" si="90"/>
        <v>-0,087140833337779+0,434924696052961i</v>
      </c>
      <c r="BD62">
        <f t="shared" si="91"/>
        <v>-7.0607860151935666</v>
      </c>
      <c r="BE62" s="43">
        <f t="shared" si="92"/>
        <v>101.32967828734688</v>
      </c>
      <c r="BF62" s="41" t="str">
        <f t="shared" si="93"/>
        <v>10,591936628062+11,6678970672711i</v>
      </c>
      <c r="BG62" s="20">
        <f t="shared" si="94"/>
        <v>23.950273408678157</v>
      </c>
      <c r="BH62" s="43">
        <f t="shared" si="95"/>
        <v>47.767318412833255</v>
      </c>
      <c r="BI62" s="41" t="str">
        <f t="shared" si="101"/>
        <v>72,0434496573021+80,4896007079257i</v>
      </c>
      <c r="BJ62" s="20">
        <f t="shared" si="97"/>
        <v>40.670274787883471</v>
      </c>
      <c r="BK62" s="43">
        <f t="shared" si="102"/>
        <v>48.169379487027015</v>
      </c>
      <c r="BL62">
        <f t="shared" si="99"/>
        <v>23.950273408678157</v>
      </c>
      <c r="BM62" s="43">
        <f t="shared" si="100"/>
        <v>47.767318412833255</v>
      </c>
    </row>
    <row r="63" spans="1:65" x14ac:dyDescent="0.35">
      <c r="A63" t="s">
        <v>226</v>
      </c>
      <c r="B63" s="1">
        <f>1/(RCOMP*CCOMP)</f>
        <v>857.63293310463109</v>
      </c>
      <c r="E63" t="s">
        <v>240</v>
      </c>
      <c r="N63" s="9">
        <v>45</v>
      </c>
      <c r="O63" s="34">
        <f t="shared" si="62"/>
        <v>28.183829312644548</v>
      </c>
      <c r="P63" s="33" t="str">
        <f t="shared" si="50"/>
        <v>59,1053597814893</v>
      </c>
      <c r="Q63" s="4" t="str">
        <f t="shared" si="63"/>
        <v>1+1,36066146670464i</v>
      </c>
      <c r="R63" s="4">
        <f t="shared" si="64"/>
        <v>1.6886087844657276</v>
      </c>
      <c r="S63" s="4">
        <f t="shared" si="65"/>
        <v>0.93700566002984809</v>
      </c>
      <c r="T63" s="4" t="str">
        <f t="shared" si="51"/>
        <v>1+0,000230209488908446i</v>
      </c>
      <c r="U63" s="4">
        <f t="shared" si="66"/>
        <v>1.0000000264982041</v>
      </c>
      <c r="V63" s="4">
        <f t="shared" si="67"/>
        <v>2.3020948484168741E-4</v>
      </c>
      <c r="W63" t="str">
        <f t="shared" si="52"/>
        <v>1-0,00850004266738878i</v>
      </c>
      <c r="X63" s="4">
        <f t="shared" si="68"/>
        <v>1.0000361247101763</v>
      </c>
      <c r="Y63" s="4">
        <f t="shared" si="69"/>
        <v>-8.4998379648465842E-3</v>
      </c>
      <c r="Z63" t="str">
        <f t="shared" si="53"/>
        <v>0,99999998358826+0,000795269143501904i</v>
      </c>
      <c r="AA63" s="4">
        <f t="shared" si="70"/>
        <v>1.0000002998147206</v>
      </c>
      <c r="AB63" s="4">
        <f t="shared" si="71"/>
        <v>7.9526898889692194E-4</v>
      </c>
      <c r="AC63" s="47" t="str">
        <f t="shared" si="72"/>
        <v>20,4727576321548-28,3922883241305i</v>
      </c>
      <c r="AD63" s="20">
        <f t="shared" si="73"/>
        <v>30.882267816666705</v>
      </c>
      <c r="AE63" s="43">
        <f t="shared" si="74"/>
        <v>-54.205850066267281</v>
      </c>
      <c r="AF63" t="str">
        <f t="shared" si="54"/>
        <v>405,634542683733</v>
      </c>
      <c r="AG63" t="str">
        <f t="shared" si="55"/>
        <v>1+1,3630825001158i</v>
      </c>
      <c r="AH63">
        <f t="shared" si="75"/>
        <v>1.6905602332132208</v>
      </c>
      <c r="AI63">
        <f t="shared" si="76"/>
        <v>0.93785374846651637</v>
      </c>
      <c r="AJ63" t="str">
        <f t="shared" si="56"/>
        <v>1+0,000230209488908446i</v>
      </c>
      <c r="AK63">
        <f t="shared" si="77"/>
        <v>1.0000000264982041</v>
      </c>
      <c r="AL63">
        <f t="shared" si="78"/>
        <v>2.3020948484168741E-4</v>
      </c>
      <c r="AM63" t="str">
        <f t="shared" si="57"/>
        <v>1-0,00124073892035438i</v>
      </c>
      <c r="AN63">
        <f t="shared" si="79"/>
        <v>1.0000007697162381</v>
      </c>
      <c r="AO63">
        <f t="shared" si="80"/>
        <v>-1.2407382836767938E-3</v>
      </c>
      <c r="AP63" s="41" t="str">
        <f t="shared" si="81"/>
        <v>141,734355358341-193,605525097942i</v>
      </c>
      <c r="AQ63">
        <f t="shared" si="82"/>
        <v>47.602092561124323</v>
      </c>
      <c r="AR63" s="43">
        <f t="shared" si="83"/>
        <v>-53.792960622905014</v>
      </c>
      <c r="AS63" t="str">
        <f t="shared" si="58"/>
        <v>-0,0000166666666666667</v>
      </c>
      <c r="AT63" t="str">
        <f t="shared" si="59"/>
        <v>0,0000392241552255543i</v>
      </c>
      <c r="AU63">
        <f t="shared" si="84"/>
        <v>3.9224155225554303E-5</v>
      </c>
      <c r="AV63">
        <f t="shared" si="85"/>
        <v>1.5707963267948966</v>
      </c>
      <c r="AW63" t="str">
        <f t="shared" si="60"/>
        <v>1+0,0013982857999683i</v>
      </c>
      <c r="AX63">
        <f t="shared" si="86"/>
        <v>1.0000009776011114</v>
      </c>
      <c r="AY63">
        <f t="shared" si="87"/>
        <v>1.3982848886584221E-3</v>
      </c>
      <c r="AZ63" t="str">
        <f t="shared" si="61"/>
        <v>1+0,206480203128652i</v>
      </c>
      <c r="BA63">
        <f t="shared" si="88"/>
        <v>1.0210945471816257</v>
      </c>
      <c r="BB63">
        <f t="shared" si="89"/>
        <v>0.20361868874114217</v>
      </c>
      <c r="BC63" s="41" t="str">
        <f t="shared" si="90"/>
        <v>-0,0871408256695193+0,425030085339044i</v>
      </c>
      <c r="BD63">
        <f t="shared" si="91"/>
        <v>-7.2527863375063726</v>
      </c>
      <c r="BE63" s="43">
        <f t="shared" si="92"/>
        <v>101.58637567217836</v>
      </c>
      <c r="BF63" s="41" t="str">
        <f t="shared" si="93"/>
        <v>10,283563725578+11,1756653707321i</v>
      </c>
      <c r="BG63" s="20">
        <f t="shared" si="94"/>
        <v>23.629481479160329</v>
      </c>
      <c r="BH63" s="43">
        <f t="shared" si="95"/>
        <v>47.380525605911096</v>
      </c>
      <c r="BI63" s="41" t="str">
        <f t="shared" si="101"/>
        <v>69,9373241028258+77,1123104646456i</v>
      </c>
      <c r="BJ63" s="20">
        <f t="shared" si="97"/>
        <v>40.349306223617951</v>
      </c>
      <c r="BK63" s="43">
        <f t="shared" si="102"/>
        <v>47.793415049273371</v>
      </c>
      <c r="BL63">
        <f t="shared" si="99"/>
        <v>23.629481479160329</v>
      </c>
      <c r="BM63" s="43">
        <f t="shared" si="100"/>
        <v>47.380525605911096</v>
      </c>
    </row>
    <row r="64" spans="1:65" x14ac:dyDescent="0.35">
      <c r="A64" t="s">
        <v>231</v>
      </c>
      <c r="B64" s="1">
        <f>(CCOMP+CHF)</f>
        <v>2.2150000000000002E-7</v>
      </c>
      <c r="E64" t="s">
        <v>241</v>
      </c>
      <c r="N64" s="9">
        <v>46</v>
      </c>
      <c r="O64" s="34">
        <f t="shared" si="62"/>
        <v>28.840315031266066</v>
      </c>
      <c r="P64" s="33" t="str">
        <f t="shared" si="50"/>
        <v>59,1053597814893</v>
      </c>
      <c r="Q64" s="4" t="str">
        <f t="shared" si="63"/>
        <v>1+1,39235534374531i</v>
      </c>
      <c r="R64" s="4">
        <f t="shared" si="64"/>
        <v>1.7142500993892695</v>
      </c>
      <c r="S64" s="4">
        <f t="shared" si="65"/>
        <v>0.94795482044691537</v>
      </c>
      <c r="T64" s="4" t="str">
        <f t="shared" si="51"/>
        <v>1+0,000235571756756547i</v>
      </c>
      <c r="U64" s="4">
        <f t="shared" si="66"/>
        <v>1.000000027747026</v>
      </c>
      <c r="V64" s="4">
        <f t="shared" si="67"/>
        <v>2.3557175239893668E-4</v>
      </c>
      <c r="W64" t="str">
        <f t="shared" si="52"/>
        <v>1-0,00869803409562635i</v>
      </c>
      <c r="X64" s="4">
        <f t="shared" si="68"/>
        <v>1.0000378271831165</v>
      </c>
      <c r="Y64" s="4">
        <f t="shared" si="69"/>
        <v>-8.6978147533486525E-3</v>
      </c>
      <c r="Z64" t="str">
        <f t="shared" si="53"/>
        <v>0,999999982814798+0,000813793341522615i</v>
      </c>
      <c r="AA64" s="4">
        <f t="shared" si="70"/>
        <v>1.0000003139445501</v>
      </c>
      <c r="AB64" s="4">
        <f t="shared" si="71"/>
        <v>8.137931758603953E-4</v>
      </c>
      <c r="AC64" s="47" t="str">
        <f t="shared" si="72"/>
        <v>19,8531886728609-28,1909695141604i</v>
      </c>
      <c r="AD64" s="20">
        <f t="shared" si="73"/>
        <v>30.751379709907901</v>
      </c>
      <c r="AE64" s="43">
        <f t="shared" si="74"/>
        <v>-54.845288104231706</v>
      </c>
      <c r="AF64" t="str">
        <f t="shared" si="54"/>
        <v>405,634542683733</v>
      </c>
      <c r="AG64" t="str">
        <f t="shared" si="55"/>
        <v>1+1,39483277026903i</v>
      </c>
      <c r="AH64">
        <f t="shared" si="75"/>
        <v>1.7162629335321489</v>
      </c>
      <c r="AI64">
        <f t="shared" si="76"/>
        <v>0.94879688003998508</v>
      </c>
      <c r="AJ64" t="str">
        <f t="shared" si="56"/>
        <v>1+0,000235571756756547i</v>
      </c>
      <c r="AK64">
        <f t="shared" si="77"/>
        <v>1.000000027747026</v>
      </c>
      <c r="AL64">
        <f t="shared" si="78"/>
        <v>2.3557175239893668E-4</v>
      </c>
      <c r="AM64" t="str">
        <f t="shared" si="57"/>
        <v>1-0,00126963944244863i</v>
      </c>
      <c r="AN64">
        <f t="shared" si="79"/>
        <v>1.0000008059918322</v>
      </c>
      <c r="AO64">
        <f t="shared" si="80"/>
        <v>-1.2696387602363346E-3</v>
      </c>
      <c r="AP64" s="41" t="str">
        <f t="shared" si="81"/>
        <v>137,51198705688-192,225679424537i</v>
      </c>
      <c r="AQ64">
        <f t="shared" si="82"/>
        <v>47.471029404547878</v>
      </c>
      <c r="AR64" s="43">
        <f t="shared" si="83"/>
        <v>-54.421304516754255</v>
      </c>
      <c r="AS64" t="str">
        <f t="shared" si="58"/>
        <v>-0,0000166666666666667</v>
      </c>
      <c r="AT64" t="str">
        <f t="shared" si="59"/>
        <v>0,0000401378031704423i</v>
      </c>
      <c r="AU64">
        <f t="shared" si="84"/>
        <v>4.0137803170442303E-5</v>
      </c>
      <c r="AV64">
        <f t="shared" si="85"/>
        <v>1.5707963267948966</v>
      </c>
      <c r="AW64" t="str">
        <f t="shared" si="60"/>
        <v>1+0,00143085606031325i</v>
      </c>
      <c r="AX64">
        <f t="shared" si="86"/>
        <v>1.0000010236740087</v>
      </c>
      <c r="AY64">
        <f t="shared" si="87"/>
        <v>1.4308550838271769E-3</v>
      </c>
      <c r="AZ64" t="str">
        <f t="shared" si="61"/>
        <v>1+0,211289744906256i</v>
      </c>
      <c r="BA64">
        <f t="shared" si="88"/>
        <v>1.0220779599925589</v>
      </c>
      <c r="BB64">
        <f t="shared" si="89"/>
        <v>0.20822714275845736</v>
      </c>
      <c r="BC64" s="41" t="str">
        <f t="shared" si="90"/>
        <v>-0,0871408176398668+0,415360831201301i</v>
      </c>
      <c r="BD64">
        <f t="shared" si="91"/>
        <v>-7.4444254115915296</v>
      </c>
      <c r="BE64" s="43">
        <f t="shared" si="92"/>
        <v>101.84855450272953</v>
      </c>
      <c r="BF64" s="41" t="str">
        <f t="shared" si="93"/>
        <v>9,97940143606056+10,7028210826803i</v>
      </c>
      <c r="BG64" s="20">
        <f t="shared" si="94"/>
        <v>23.306954298316395</v>
      </c>
      <c r="BH64" s="43">
        <f t="shared" si="95"/>
        <v>47.003266398497949</v>
      </c>
      <c r="BI64" s="41" t="str">
        <f t="shared" si="101"/>
        <v>67,8601109965912+73,8677961205213i</v>
      </c>
      <c r="BJ64" s="20">
        <f t="shared" si="97"/>
        <v>40.026603992956346</v>
      </c>
      <c r="BK64" s="43">
        <f t="shared" si="102"/>
        <v>47.42724998597528</v>
      </c>
      <c r="BL64">
        <f t="shared" si="99"/>
        <v>23.306954298316395</v>
      </c>
      <c r="BM64" s="43">
        <f t="shared" si="100"/>
        <v>47.003266398497949</v>
      </c>
    </row>
    <row r="65" spans="1:65" x14ac:dyDescent="0.35">
      <c r="A65" t="s">
        <v>232</v>
      </c>
      <c r="B65" s="1">
        <f>(CCOMP+CHF)/(RCOMP*CHF*CCOMP)</f>
        <v>126643.7964551172</v>
      </c>
      <c r="E65" t="s">
        <v>242</v>
      </c>
      <c r="N65" s="9">
        <v>47</v>
      </c>
      <c r="O65" s="34">
        <f t="shared" si="62"/>
        <v>29.512092266663863</v>
      </c>
      <c r="P65" s="33" t="str">
        <f t="shared" si="50"/>
        <v>59,1053597814893</v>
      </c>
      <c r="Q65" s="4" t="str">
        <f t="shared" si="63"/>
        <v>1+1,42478746601924i</v>
      </c>
      <c r="R65" s="4">
        <f t="shared" si="64"/>
        <v>1.7406950690243042</v>
      </c>
      <c r="S65" s="4">
        <f t="shared" si="65"/>
        <v>0.95882375658896291</v>
      </c>
      <c r="T65" s="4" t="str">
        <f t="shared" si="51"/>
        <v>1+0,00024105892786824i</v>
      </c>
      <c r="U65" s="4">
        <f t="shared" si="66"/>
        <v>1.0000000290547029</v>
      </c>
      <c r="V65" s="4">
        <f t="shared" si="67"/>
        <v>2.4105892319897641E-4</v>
      </c>
      <c r="W65" t="str">
        <f t="shared" si="52"/>
        <v>1-0,0089006373366735i</v>
      </c>
      <c r="X65" s="4">
        <f t="shared" si="68"/>
        <v>1.0000396098880278</v>
      </c>
      <c r="Y65" s="4">
        <f t="shared" si="69"/>
        <v>-8.9004023076912648E-3</v>
      </c>
      <c r="Z65" t="str">
        <f t="shared" si="53"/>
        <v>0,999999982004884+0,00083274902354483i</v>
      </c>
      <c r="AA65" s="4">
        <f t="shared" si="70"/>
        <v>1.0000003287402981</v>
      </c>
      <c r="AB65" s="4">
        <f t="shared" si="71"/>
        <v>8.3274884603456686E-4</v>
      </c>
      <c r="AC65" s="47" t="str">
        <f t="shared" si="72"/>
        <v>19,2426652347852-27,977755394896i</v>
      </c>
      <c r="AD65" s="20">
        <f t="shared" si="73"/>
        <v>30.618424761522419</v>
      </c>
      <c r="AE65" s="43">
        <f t="shared" si="74"/>
        <v>-55.480411372984634</v>
      </c>
      <c r="AF65" t="str">
        <f t="shared" si="54"/>
        <v>405,634542683733</v>
      </c>
      <c r="AG65" t="str">
        <f t="shared" si="55"/>
        <v>1+1,42732259921984i</v>
      </c>
      <c r="AH65">
        <f t="shared" si="75"/>
        <v>1.742770725667516</v>
      </c>
      <c r="AI65">
        <f t="shared" si="76"/>
        <v>0.95965943248973307</v>
      </c>
      <c r="AJ65" t="str">
        <f t="shared" si="56"/>
        <v>1+0,00024105892786824i</v>
      </c>
      <c r="AK65">
        <f t="shared" si="77"/>
        <v>1.0000000290547029</v>
      </c>
      <c r="AL65">
        <f t="shared" si="78"/>
        <v>2.4105892319897641E-4</v>
      </c>
      <c r="AM65" t="str">
        <f t="shared" si="57"/>
        <v>1-0,00129921314418092i</v>
      </c>
      <c r="AN65">
        <f t="shared" si="79"/>
        <v>1.0000008439770409</v>
      </c>
      <c r="AO65">
        <f t="shared" si="80"/>
        <v>-1.2992124131773087E-3</v>
      </c>
      <c r="AP65" s="41" t="str">
        <f t="shared" si="81"/>
        <v>133,35156971582-190,764932998452i</v>
      </c>
      <c r="AQ65">
        <f t="shared" si="82"/>
        <v>47.337901082143432</v>
      </c>
      <c r="AR65" s="43">
        <f t="shared" si="83"/>
        <v>-55.04506298063415</v>
      </c>
      <c r="AS65" t="str">
        <f t="shared" si="58"/>
        <v>-0,0000166666666666667</v>
      </c>
      <c r="AT65" t="str">
        <f t="shared" si="59"/>
        <v>0,0000410727327098578i</v>
      </c>
      <c r="AU65">
        <f t="shared" si="84"/>
        <v>4.1072732709857803E-5</v>
      </c>
      <c r="AV65">
        <f t="shared" si="85"/>
        <v>1.5707963267948966</v>
      </c>
      <c r="AW65" t="str">
        <f t="shared" si="60"/>
        <v>1+0,001464184979481i</v>
      </c>
      <c r="AX65">
        <f t="shared" si="86"/>
        <v>1.0000010719182526</v>
      </c>
      <c r="AY65">
        <f t="shared" si="87"/>
        <v>1.4641839331573821E-3</v>
      </c>
      <c r="AZ65" t="str">
        <f t="shared" si="61"/>
        <v>1+0,21621131530336i</v>
      </c>
      <c r="BA65">
        <f t="shared" si="88"/>
        <v>1.0231067064901926</v>
      </c>
      <c r="BB65">
        <f t="shared" si="89"/>
        <v>0.21293366754416182</v>
      </c>
      <c r="BC65" s="41" t="str">
        <f t="shared" si="90"/>
        <v>-0,0871408092317905+0,405911806873128i</v>
      </c>
      <c r="BD65">
        <f t="shared" si="91"/>
        <v>-7.6356876668459117</v>
      </c>
      <c r="BE65" s="43">
        <f t="shared" si="92"/>
        <v>102.11630890672149</v>
      </c>
      <c r="BF65" s="41" t="str">
        <f t="shared" si="93"/>
        <v>9,67967982426102+10,2488292601067i</v>
      </c>
      <c r="BG65" s="20">
        <f t="shared" si="94"/>
        <v>22.982737094676501</v>
      </c>
      <c r="BH65" s="43">
        <f t="shared" si="95"/>
        <v>46.635897533736809</v>
      </c>
      <c r="BI65" s="41" t="str">
        <f t="shared" si="101"/>
        <v>65,8133749440668+70,7523872472498i</v>
      </c>
      <c r="BJ65" s="20">
        <f t="shared" si="97"/>
        <v>39.702213415297514</v>
      </c>
      <c r="BK65" s="43">
        <f t="shared" si="102"/>
        <v>47.071245926087336</v>
      </c>
      <c r="BL65">
        <f t="shared" si="99"/>
        <v>22.982737094676501</v>
      </c>
      <c r="BM65" s="43">
        <f t="shared" si="100"/>
        <v>46.635897533736809</v>
      </c>
    </row>
    <row r="66" spans="1:65" x14ac:dyDescent="0.35">
      <c r="N66" s="9">
        <v>48</v>
      </c>
      <c r="O66" s="34">
        <f t="shared" si="62"/>
        <v>30.199517204020164</v>
      </c>
      <c r="P66" s="33" t="str">
        <f t="shared" si="50"/>
        <v>59,1053597814893</v>
      </c>
      <c r="Q66" s="4" t="str">
        <f t="shared" si="63"/>
        <v>1+1,45797502946694i</v>
      </c>
      <c r="R66" s="4">
        <f t="shared" si="64"/>
        <v>1.7679624392359485</v>
      </c>
      <c r="S66" s="4">
        <f t="shared" si="65"/>
        <v>0.96960795956992196</v>
      </c>
      <c r="T66" s="4" t="str">
        <f t="shared" si="51"/>
        <v>1+0,000246673911614282i</v>
      </c>
      <c r="U66" s="4">
        <f t="shared" si="66"/>
        <v>1.0000000304240089</v>
      </c>
      <c r="V66" s="4">
        <f t="shared" si="67"/>
        <v>2.4667390661107591E-4</v>
      </c>
      <c r="W66" t="str">
        <f t="shared" si="52"/>
        <v>1-0,00910795981345043i</v>
      </c>
      <c r="X66" s="4">
        <f t="shared" si="68"/>
        <v>1.0000414766058272</v>
      </c>
      <c r="Y66" s="4">
        <f t="shared" si="69"/>
        <v>-9.1077079759227936E-3</v>
      </c>
      <c r="Z66" t="str">
        <f t="shared" si="53"/>
        <v>0,999999981156801+0,000852146240122065i</v>
      </c>
      <c r="AA66" s="4">
        <f t="shared" si="70"/>
        <v>1.0000003442333492</v>
      </c>
      <c r="AB66" s="4">
        <f t="shared" si="71"/>
        <v>8.5214604991639418E-4</v>
      </c>
      <c r="AC66" s="47" t="str">
        <f t="shared" si="72"/>
        <v>18,6416234862282-27,753137161138i</v>
      </c>
      <c r="AD66" s="20">
        <f t="shared" si="73"/>
        <v>30.483434151841259</v>
      </c>
      <c r="AE66" s="43">
        <f t="shared" si="74"/>
        <v>-56.110968092129994</v>
      </c>
      <c r="AF66" t="str">
        <f t="shared" si="54"/>
        <v>405,634542683733</v>
      </c>
      <c r="AG66" t="str">
        <f t="shared" si="55"/>
        <v>1+1,46056921350562i</v>
      </c>
      <c r="AH66">
        <f t="shared" si="75"/>
        <v>1.770102377672101</v>
      </c>
      <c r="AI66">
        <f t="shared" si="76"/>
        <v>0.97043691162606471</v>
      </c>
      <c r="AJ66" t="str">
        <f t="shared" si="56"/>
        <v>1+0,000246673911614282i</v>
      </c>
      <c r="AK66">
        <f t="shared" si="77"/>
        <v>1.0000000304240089</v>
      </c>
      <c r="AL66">
        <f t="shared" si="78"/>
        <v>2.4667390661107591E-4</v>
      </c>
      <c r="AM66" t="str">
        <f t="shared" si="57"/>
        <v>1-0,00132947570591938i</v>
      </c>
      <c r="AN66">
        <f t="shared" si="79"/>
        <v>1.0000008837524359</v>
      </c>
      <c r="AO66">
        <f t="shared" si="80"/>
        <v>-1.3294749226349354E-3</v>
      </c>
      <c r="AP66" s="41" t="str">
        <f t="shared" si="81"/>
        <v>129,256061767752-189,22664628761i</v>
      </c>
      <c r="AQ66">
        <f t="shared" si="82"/>
        <v>47.202738855242544</v>
      </c>
      <c r="AR66" s="43">
        <f t="shared" si="83"/>
        <v>-55.663979248154284</v>
      </c>
      <c r="AS66" t="str">
        <f t="shared" si="58"/>
        <v>-0,0000166666666666667</v>
      </c>
      <c r="AT66" t="str">
        <f t="shared" si="59"/>
        <v>0,000042029439555818i</v>
      </c>
      <c r="AU66">
        <f t="shared" si="84"/>
        <v>4.2029439555818E-5</v>
      </c>
      <c r="AV66">
        <f t="shared" si="85"/>
        <v>1.5707963267948966</v>
      </c>
      <c r="AW66" t="str">
        <f t="shared" si="60"/>
        <v>1+0,00149829022890564i</v>
      </c>
      <c r="AX66">
        <f t="shared" si="86"/>
        <v>1.0000011224361751</v>
      </c>
      <c r="AY66">
        <f t="shared" si="87"/>
        <v>1.4982891077497519E-3</v>
      </c>
      <c r="AZ66" t="str">
        <f t="shared" si="61"/>
        <v>1+0,221247523801733i</v>
      </c>
      <c r="BA66">
        <f t="shared" si="88"/>
        <v>1.0241828287900547</v>
      </c>
      <c r="BB66">
        <f t="shared" si="89"/>
        <v>0.21773992412529966</v>
      </c>
      <c r="BC66" s="41" t="str">
        <f t="shared" si="90"/>
        <v>-0,0871408004274553+0,396678002356677i</v>
      </c>
      <c r="BD66">
        <f t="shared" si="91"/>
        <v>-7.8265569297755917</v>
      </c>
      <c r="BE66" s="43">
        <f t="shared" si="92"/>
        <v>102.38973304151395</v>
      </c>
      <c r="BF66" s="41" t="str">
        <f t="shared" si="93"/>
        <v>9,3846130163539+9,81315255179684i</v>
      </c>
      <c r="BG66" s="20">
        <f t="shared" si="94"/>
        <v>22.656877222065667</v>
      </c>
      <c r="BH66" s="43">
        <f t="shared" si="95"/>
        <v>46.278764949383991</v>
      </c>
      <c r="BI66" s="41" t="str">
        <f t="shared" si="101"/>
        <v>63,7985713594801+67,7623977942284i</v>
      </c>
      <c r="BJ66" s="20">
        <f t="shared" si="97"/>
        <v>39.376181925466952</v>
      </c>
      <c r="BK66" s="43">
        <f t="shared" si="102"/>
        <v>46.725753793359694</v>
      </c>
      <c r="BL66">
        <f t="shared" si="99"/>
        <v>22.656877222065667</v>
      </c>
      <c r="BM66" s="43">
        <f t="shared" si="100"/>
        <v>46.278764949383991</v>
      </c>
    </row>
    <row r="67" spans="1:65" x14ac:dyDescent="0.35">
      <c r="N67" s="9">
        <v>49</v>
      </c>
      <c r="O67" s="34">
        <f t="shared" si="62"/>
        <v>30.902954325135919</v>
      </c>
      <c r="P67" s="33" t="str">
        <f t="shared" si="50"/>
        <v>59,1053597814893</v>
      </c>
      <c r="Q67" s="4" t="str">
        <f t="shared" si="63"/>
        <v>1+1,49193563057384i</v>
      </c>
      <c r="R67" s="4">
        <f t="shared" si="64"/>
        <v>1.7960712474107927</v>
      </c>
      <c r="S67" s="4">
        <f t="shared" si="65"/>
        <v>0.98030311384955005</v>
      </c>
      <c r="T67" s="4" t="str">
        <f t="shared" si="51"/>
        <v>1+0,000252419685133377i</v>
      </c>
      <c r="U67" s="4">
        <f t="shared" si="66"/>
        <v>1.0000000318578481</v>
      </c>
      <c r="V67" s="4">
        <f t="shared" si="67"/>
        <v>2.5241967977234511E-4</v>
      </c>
      <c r="W67" t="str">
        <f t="shared" si="52"/>
        <v>1-0,00932011145107854i</v>
      </c>
      <c r="X67" s="4">
        <f t="shared" si="68"/>
        <v>1.0000434312955915</v>
      </c>
      <c r="Y67" s="4">
        <f t="shared" si="69"/>
        <v>-9.3198416029388401E-3</v>
      </c>
      <c r="Z67" t="str">
        <f t="shared" si="53"/>
        <v>0,999999980268748+0,000871995275915301i</v>
      </c>
      <c r="AA67" s="4">
        <f t="shared" si="70"/>
        <v>1.0000003604565639</v>
      </c>
      <c r="AB67" s="4">
        <f t="shared" si="71"/>
        <v>8.7199507210625703E-4</v>
      </c>
      <c r="AC67" s="47" t="str">
        <f t="shared" si="72"/>
        <v>18,0504663779583-27,5176224036236i</v>
      </c>
      <c r="AD67" s="20">
        <f t="shared" si="73"/>
        <v>30.346440473209626</v>
      </c>
      <c r="AE67" s="43">
        <f t="shared" si="74"/>
        <v>-56.736717711761671</v>
      </c>
      <c r="AF67" t="str">
        <f t="shared" si="54"/>
        <v>405,634542683733</v>
      </c>
      <c r="AG67" t="str">
        <f t="shared" si="55"/>
        <v>1+1,49459024092131i</v>
      </c>
      <c r="AH67">
        <f t="shared" si="75"/>
        <v>1.7982769498209168</v>
      </c>
      <c r="AI67">
        <f t="shared" si="76"/>
        <v>0.98112501709200706</v>
      </c>
      <c r="AJ67" t="str">
        <f t="shared" si="56"/>
        <v>1+0,000252419685133377i</v>
      </c>
      <c r="AK67">
        <f t="shared" si="77"/>
        <v>1.0000000318578481</v>
      </c>
      <c r="AL67">
        <f t="shared" si="78"/>
        <v>2.5241967977234511E-4</v>
      </c>
      <c r="AM67" t="str">
        <f t="shared" si="57"/>
        <v>1-0,00136044317327481i</v>
      </c>
      <c r="AN67">
        <f t="shared" si="79"/>
        <v>1.0000009254023856</v>
      </c>
      <c r="AO67">
        <f t="shared" si="80"/>
        <v>-1.3604423339704484E-3</v>
      </c>
      <c r="AP67" s="41" t="str">
        <f t="shared" si="81"/>
        <v>125,22819468711-187,614290268444i</v>
      </c>
      <c r="AQ67">
        <f t="shared" si="82"/>
        <v>47.065575387063241</v>
      </c>
      <c r="AR67" s="43">
        <f t="shared" si="83"/>
        <v>-56.277807675763263</v>
      </c>
      <c r="AS67" t="str">
        <f t="shared" si="58"/>
        <v>-0,0000166666666666667</v>
      </c>
      <c r="AT67" t="str">
        <f t="shared" si="59"/>
        <v>0,0000430084309669561i</v>
      </c>
      <c r="AU67">
        <f t="shared" si="84"/>
        <v>4.3008430966956097E-5</v>
      </c>
      <c r="AV67">
        <f t="shared" si="85"/>
        <v>1.5707963267948966</v>
      </c>
      <c r="AW67" t="str">
        <f t="shared" si="60"/>
        <v>1+0,00153318989164187i</v>
      </c>
      <c r="AX67">
        <f t="shared" si="86"/>
        <v>1.0000011753349312</v>
      </c>
      <c r="AY67">
        <f t="shared" si="87"/>
        <v>1.5331886903017678E-3</v>
      </c>
      <c r="AZ67" t="str">
        <f t="shared" si="61"/>
        <v>1+0,226401040665783i</v>
      </c>
      <c r="BA67">
        <f t="shared" si="88"/>
        <v>1.0253084566190553</v>
      </c>
      <c r="BB67">
        <f t="shared" si="89"/>
        <v>0.22264757223497594</v>
      </c>
      <c r="BC67" s="41" t="str">
        <f t="shared" si="90"/>
        <v>-0,0871407912081867+0,387654521766486i</v>
      </c>
      <c r="BD67">
        <f t="shared" si="91"/>
        <v>-8.0170164069085263</v>
      </c>
      <c r="BE67" s="43">
        <f t="shared" si="92"/>
        <v>102.66892096674678</v>
      </c>
      <c r="BF67" s="41" t="str">
        <f t="shared" si="93"/>
        <v>9,09439883117539+9,39525229982934i</v>
      </c>
      <c r="BG67" s="20">
        <f t="shared" si="94"/>
        <v>22.32942406630109</v>
      </c>
      <c r="BH67" s="43">
        <f t="shared" si="95"/>
        <v>45.932203254985083</v>
      </c>
      <c r="BI67" s="41" t="str">
        <f t="shared" si="101"/>
        <v>61,8170440039647+64,8941336190667i</v>
      </c>
      <c r="BJ67" s="20">
        <f t="shared" si="97"/>
        <v>39.048558980154716</v>
      </c>
      <c r="BK67" s="43">
        <f t="shared" si="102"/>
        <v>46.391113290983554</v>
      </c>
      <c r="BL67">
        <f t="shared" si="99"/>
        <v>22.32942406630109</v>
      </c>
      <c r="BM67" s="43">
        <f t="shared" si="100"/>
        <v>45.932203254985083</v>
      </c>
    </row>
    <row r="68" spans="1:65" x14ac:dyDescent="0.35">
      <c r="N68" s="9">
        <v>50</v>
      </c>
      <c r="O68" s="34">
        <f t="shared" si="62"/>
        <v>31.622776601683803</v>
      </c>
      <c r="P68" s="33" t="str">
        <f t="shared" si="50"/>
        <v>59,1053597814893</v>
      </c>
      <c r="Q68" s="4" t="str">
        <f t="shared" si="63"/>
        <v>1+1,52668727570018i</v>
      </c>
      <c r="R68" s="4">
        <f t="shared" si="64"/>
        <v>1.8250408318130411</v>
      </c>
      <c r="S68" s="4">
        <f t="shared" si="65"/>
        <v>0.99090510308144164</v>
      </c>
      <c r="T68" s="4" t="str">
        <f t="shared" si="51"/>
        <v>1+0,000258299294910699i</v>
      </c>
      <c r="U68" s="4">
        <f t="shared" si="66"/>
        <v>1.0000000333592622</v>
      </c>
      <c r="V68" s="4">
        <f t="shared" si="67"/>
        <v>2.5829928916624989E-4</v>
      </c>
      <c r="W68" t="str">
        <f t="shared" si="52"/>
        <v>1-0,00953720473516427i</v>
      </c>
      <c r="X68" s="4">
        <f t="shared" si="68"/>
        <v>1.0000454781029513</v>
      </c>
      <c r="Y68" s="4">
        <f t="shared" si="69"/>
        <v>-9.5369155883832726E-3</v>
      </c>
      <c r="Z68" t="str">
        <f t="shared" si="53"/>
        <v>0,999999979338843+0,000892306655146049i</v>
      </c>
      <c r="AA68" s="4">
        <f t="shared" si="70"/>
        <v>1.0000003774443553</v>
      </c>
      <c r="AB68" s="4">
        <f t="shared" si="71"/>
        <v>8.92306436760728E-4</v>
      </c>
      <c r="AC68" s="47" t="str">
        <f t="shared" si="72"/>
        <v>17,4695631189872-27,2717325408843i</v>
      </c>
      <c r="AD68" s="20">
        <f t="shared" si="73"/>
        <v>30.207477617458448</v>
      </c>
      <c r="AE68" s="43">
        <f t="shared" si="74"/>
        <v>-57.357431251067659</v>
      </c>
      <c r="AF68" t="str">
        <f t="shared" si="54"/>
        <v>405,634542683733</v>
      </c>
      <c r="AG68" t="str">
        <f t="shared" si="55"/>
        <v>1+1,52940371986598i</v>
      </c>
      <c r="AH68">
        <f t="shared" si="75"/>
        <v>1.8273138040139405</v>
      </c>
      <c r="AI68">
        <f t="shared" si="76"/>
        <v>0.99171964813462821</v>
      </c>
      <c r="AJ68" t="str">
        <f t="shared" si="56"/>
        <v>1+0,000258299294910699i</v>
      </c>
      <c r="AK68">
        <f t="shared" si="77"/>
        <v>1.0000000333592622</v>
      </c>
      <c r="AL68">
        <f t="shared" si="78"/>
        <v>2.5829928916624989E-4</v>
      </c>
      <c r="AM68" t="str">
        <f t="shared" si="57"/>
        <v>1-0,0013921319656083i</v>
      </c>
      <c r="AN68">
        <f t="shared" si="79"/>
        <v>1.0000009690152354</v>
      </c>
      <c r="AO68">
        <f t="shared" si="80"/>
        <v>-1.3921310662775204E-3</v>
      </c>
      <c r="AP68" s="41" t="str">
        <f t="shared" si="81"/>
        <v>121,270469531734-185,931428908586i</v>
      </c>
      <c r="AQ68">
        <f t="shared" si="82"/>
        <v>46.926444629976594</v>
      </c>
      <c r="AR68" s="43">
        <f t="shared" si="83"/>
        <v>-56.886314073819499</v>
      </c>
      <c r="AS68" t="str">
        <f t="shared" si="58"/>
        <v>-0,0000166666666666667</v>
      </c>
      <c r="AT68" t="str">
        <f t="shared" si="59"/>
        <v>0,0000440102260174767i</v>
      </c>
      <c r="AU68">
        <f t="shared" si="84"/>
        <v>4.4010226017476701E-5</v>
      </c>
      <c r="AV68">
        <f t="shared" si="85"/>
        <v>1.5707963267948966</v>
      </c>
      <c r="AW68" t="str">
        <f t="shared" si="60"/>
        <v>1+0,00156890247195281i</v>
      </c>
      <c r="AX68">
        <f t="shared" si="86"/>
        <v>1.0000012307267259</v>
      </c>
      <c r="AY68">
        <f t="shared" si="87"/>
        <v>1.5689011846937839E-3</v>
      </c>
      <c r="AZ68" t="str">
        <f t="shared" si="61"/>
        <v>1+0,231674598358365i</v>
      </c>
      <c r="BA68">
        <f t="shared" si="88"/>
        <v>1.0264858106786034</v>
      </c>
      <c r="BB68">
        <f t="shared" si="89"/>
        <v>0.22765826793786215</v>
      </c>
      <c r="BC68" s="41" t="str">
        <f t="shared" si="90"/>
        <v>-0,0871407815544289+0,378836580733617i</v>
      </c>
      <c r="BD68">
        <f t="shared" si="91"/>
        <v>-8.2070486678176131</v>
      </c>
      <c r="BE68" s="43">
        <f t="shared" si="92"/>
        <v>102.95396650774194</v>
      </c>
      <c r="BF68" s="41" t="str">
        <f t="shared" si="93"/>
        <v>8,80921852286735+8,99458964686322i</v>
      </c>
      <c r="BG68" s="20">
        <f t="shared" si="94"/>
        <v>22.000428949640831</v>
      </c>
      <c r="BH68" s="43">
        <f t="shared" si="95"/>
        <v>45.596535256674287</v>
      </c>
      <c r="BI68" s="41" t="str">
        <f t="shared" si="101"/>
        <v>59,8700232841765+62,1439000519883i</v>
      </c>
      <c r="BJ68" s="20">
        <f t="shared" si="97"/>
        <v>38.719395962158984</v>
      </c>
      <c r="BK68" s="43">
        <f t="shared" si="102"/>
        <v>46.067652433922419</v>
      </c>
      <c r="BL68">
        <f t="shared" si="99"/>
        <v>22.000428949640831</v>
      </c>
      <c r="BM68" s="43">
        <f t="shared" si="100"/>
        <v>45.596535256674287</v>
      </c>
    </row>
    <row r="69" spans="1:65" x14ac:dyDescent="0.35">
      <c r="A69" s="49" t="s">
        <v>457</v>
      </c>
      <c r="N69" s="9">
        <v>51</v>
      </c>
      <c r="O69" s="34">
        <f t="shared" si="62"/>
        <v>32.359365692962832</v>
      </c>
      <c r="P69" s="33" t="str">
        <f t="shared" si="50"/>
        <v>59,1053597814893</v>
      </c>
      <c r="Q69" s="4" t="str">
        <f t="shared" si="63"/>
        <v>1+1,56224839062819i</v>
      </c>
      <c r="R69" s="4">
        <f t="shared" si="64"/>
        <v>1.8548908415376817</v>
      </c>
      <c r="S69" s="4">
        <f t="shared" si="65"/>
        <v>1.0014100149698166</v>
      </c>
      <c r="T69" s="4" t="str">
        <f t="shared" si="51"/>
        <v>1+0,000264315858393178i</v>
      </c>
      <c r="U69" s="4">
        <f t="shared" si="66"/>
        <v>1.000000034931436</v>
      </c>
      <c r="V69" s="4">
        <f t="shared" si="67"/>
        <v>2.6431585223788984E-4</v>
      </c>
      <c r="W69" t="str">
        <f t="shared" si="52"/>
        <v>1-0,00975935477144041i</v>
      </c>
      <c r="X69" s="4">
        <f t="shared" si="68"/>
        <v>1.00004762136888</v>
      </c>
      <c r="Y69" s="4">
        <f t="shared" si="69"/>
        <v>-9.7590449458793468E-3</v>
      </c>
      <c r="Z69" t="str">
        <f t="shared" si="53"/>
        <v>0,999999978365113+0,000913091147176431i</v>
      </c>
      <c r="AA69" s="4">
        <f t="shared" si="70"/>
        <v>1.0000003952327565</v>
      </c>
      <c r="AB69" s="4">
        <f t="shared" si="71"/>
        <v>9.1309091317234837E-4</v>
      </c>
      <c r="AC69" s="47" t="str">
        <f t="shared" si="72"/>
        <v>16,8992488735974-27,0160002682625i</v>
      </c>
      <c r="AD69" s="20">
        <f t="shared" si="73"/>
        <v>30.066580661990937</v>
      </c>
      <c r="AE69" s="43">
        <f t="shared" si="74"/>
        <v>-57.972891580225323</v>
      </c>
      <c r="AF69" t="str">
        <f t="shared" si="54"/>
        <v>405,634542683733</v>
      </c>
      <c r="AG69" t="str">
        <f t="shared" si="55"/>
        <v>1+1,56502810890697i</v>
      </c>
      <c r="AH69">
        <f t="shared" si="75"/>
        <v>1.8572326137748405</v>
      </c>
      <c r="AI69">
        <f t="shared" si="76"/>
        <v>1.0022169083856294</v>
      </c>
      <c r="AJ69" t="str">
        <f t="shared" si="56"/>
        <v>1+0,000264315858393178i</v>
      </c>
      <c r="AK69">
        <f t="shared" si="77"/>
        <v>1.000000034931436</v>
      </c>
      <c r="AL69">
        <f t="shared" si="78"/>
        <v>2.6431585223788984E-4</v>
      </c>
      <c r="AM69" t="str">
        <f t="shared" si="57"/>
        <v>1-0,00142455888473701i</v>
      </c>
      <c r="AN69">
        <f t="shared" si="79"/>
        <v>1.0000010146834932</v>
      </c>
      <c r="AO69">
        <f t="shared" si="80"/>
        <v>-1.4245579210867708E-3</v>
      </c>
      <c r="AP69" s="41" t="str">
        <f t="shared" si="81"/>
        <v>117,385154990341-184,181701777678i</v>
      </c>
      <c r="AQ69">
        <f t="shared" si="82"/>
        <v>46.785381711442959</v>
      </c>
      <c r="AR69" s="43">
        <f t="shared" si="83"/>
        <v>-57.489275980904637</v>
      </c>
      <c r="AS69" t="str">
        <f t="shared" si="58"/>
        <v>-0,0000166666666666667</v>
      </c>
      <c r="AT69" t="str">
        <f t="shared" si="59"/>
        <v>0,0000450353558723761i</v>
      </c>
      <c r="AU69">
        <f t="shared" si="84"/>
        <v>4.5035355872376101E-5</v>
      </c>
      <c r="AV69">
        <f t="shared" si="85"/>
        <v>1.5707963267948966</v>
      </c>
      <c r="AW69" t="str">
        <f t="shared" si="60"/>
        <v>1+0,00160544690512126i</v>
      </c>
      <c r="AX69">
        <f t="shared" si="86"/>
        <v>1.0000012887290521</v>
      </c>
      <c r="AY69">
        <f t="shared" si="87"/>
        <v>1.6054455257984589E-3</v>
      </c>
      <c r="AZ69" t="str">
        <f t="shared" si="61"/>
        <v>1+0,237070992989573i</v>
      </c>
      <c r="BA69">
        <f t="shared" si="88"/>
        <v>1.0277172061014948</v>
      </c>
      <c r="BB69">
        <f t="shared" si="89"/>
        <v>0.23277366108823339</v>
      </c>
      <c r="BC69" s="41" t="str">
        <f t="shared" si="90"/>
        <v>-0,087140771445706+0,370219503868919i</v>
      </c>
      <c r="BD69">
        <f t="shared" si="91"/>
        <v>-8.3966356283245602</v>
      </c>
      <c r="BE69" s="43">
        <f t="shared" si="92"/>
        <v>103.24496310929797</v>
      </c>
      <c r="BF69" s="41" t="str">
        <f t="shared" si="93"/>
        <v>8,52923663214047+8,61062663849441i</v>
      </c>
      <c r="BG69" s="20">
        <f t="shared" si="94"/>
        <v>21.669945033666373</v>
      </c>
      <c r="BH69" s="43">
        <f t="shared" si="95"/>
        <v>45.272071529072647</v>
      </c>
      <c r="BI69" s="41" t="str">
        <f t="shared" si="101"/>
        <v>57,9586252917331+59,50800942119i</v>
      </c>
      <c r="BJ69" s="20">
        <f t="shared" si="97"/>
        <v>38.388746083118399</v>
      </c>
      <c r="BK69" s="43">
        <f t="shared" si="102"/>
        <v>45.755687128393319</v>
      </c>
      <c r="BL69">
        <f t="shared" si="99"/>
        <v>21.669945033666373</v>
      </c>
      <c r="BM69" s="43">
        <f t="shared" si="100"/>
        <v>45.272071529072647</v>
      </c>
    </row>
    <row r="70" spans="1:65" x14ac:dyDescent="0.35">
      <c r="A70" t="s">
        <v>480</v>
      </c>
      <c r="B70">
        <f>SQRT((2*IOUT*Lm*Fsw*(VOUT-VIN_var)/(VIN_var^2)))</f>
        <v>6.1657116377592622</v>
      </c>
      <c r="E70" s="31"/>
      <c r="N70" s="9">
        <v>52</v>
      </c>
      <c r="O70" s="34">
        <f t="shared" si="62"/>
        <v>33.113112148259127</v>
      </c>
      <c r="P70" s="33" t="str">
        <f t="shared" si="50"/>
        <v>59,1053597814893</v>
      </c>
      <c r="Q70" s="4" t="str">
        <f t="shared" si="63"/>
        <v>1+1,59863783033172i</v>
      </c>
      <c r="R70" s="4">
        <f t="shared" si="64"/>
        <v>1.8856412470477277</v>
      </c>
      <c r="S70" s="4">
        <f t="shared" si="65"/>
        <v>1.0118141451457412</v>
      </c>
      <c r="T70" s="4" t="str">
        <f t="shared" si="51"/>
        <v>1+0,000270472565642412i</v>
      </c>
      <c r="U70" s="4">
        <f t="shared" si="66"/>
        <v>1.0000000365777038</v>
      </c>
      <c r="V70" s="4">
        <f t="shared" si="67"/>
        <v>2.7047255904690193E-4</v>
      </c>
      <c r="W70" t="str">
        <f t="shared" si="52"/>
        <v>1-0,00998667934679675i</v>
      </c>
      <c r="X70" s="4">
        <f t="shared" si="68"/>
        <v>1.000049865638897</v>
      </c>
      <c r="Y70" s="4">
        <f t="shared" si="69"/>
        <v>-9.9863473636208587E-3</v>
      </c>
      <c r="Z70" t="str">
        <f t="shared" si="53"/>
        <v>0,999999977345492+0,00093435977221924i</v>
      </c>
      <c r="AA70" s="4">
        <f t="shared" si="70"/>
        <v>1.0000004138594984</v>
      </c>
      <c r="AB70" s="4">
        <f t="shared" si="71"/>
        <v>9.3435952147935368E-4</v>
      </c>
      <c r="AC70" s="47" t="str">
        <f t="shared" si="72"/>
        <v>16,3398246717955-26,7509670444415i</v>
      </c>
      <c r="AD70" s="20">
        <f t="shared" si="73"/>
        <v>29.923785755215459</v>
      </c>
      <c r="AE70" s="43">
        <f t="shared" si="74"/>
        <v>-58.582893646196482</v>
      </c>
      <c r="AF70" t="str">
        <f t="shared" si="54"/>
        <v>405,634542683733</v>
      </c>
      <c r="AG70" t="str">
        <f t="shared" si="55"/>
        <v>1+1,60148229656691i</v>
      </c>
      <c r="AH70">
        <f t="shared" si="75"/>
        <v>1.8880533748327202</v>
      </c>
      <c r="AI70">
        <f t="shared" si="76"/>
        <v>1.0126131096625259</v>
      </c>
      <c r="AJ70" t="str">
        <f t="shared" si="56"/>
        <v>1+0,000270472565642412i</v>
      </c>
      <c r="AK70">
        <f t="shared" si="77"/>
        <v>1.0000000365777038</v>
      </c>
      <c r="AL70">
        <f t="shared" si="78"/>
        <v>2.7047255904690193E-4</v>
      </c>
      <c r="AM70" t="str">
        <f t="shared" si="57"/>
        <v>1-0,00145774112384267i</v>
      </c>
      <c r="AN70">
        <f t="shared" si="79"/>
        <v>1.0000010625040276</v>
      </c>
      <c r="AO70">
        <f t="shared" si="80"/>
        <v>-1.4577400912728945E-3</v>
      </c>
      <c r="AP70" s="41" t="str">
        <f t="shared" si="81"/>
        <v>113,574286881405-182,368806924429i</v>
      </c>
      <c r="AQ70">
        <f t="shared" si="82"/>
        <v>46.642422819346258</v>
      </c>
      <c r="AR70" s="43">
        <f t="shared" si="83"/>
        <v>-58.086482882030083</v>
      </c>
      <c r="AS70" t="str">
        <f t="shared" si="58"/>
        <v>-0,0000166666666666667</v>
      </c>
      <c r="AT70" t="str">
        <f t="shared" si="59"/>
        <v>0,0000460843640690724i</v>
      </c>
      <c r="AU70">
        <f t="shared" si="84"/>
        <v>4.6084364069072403E-5</v>
      </c>
      <c r="AV70">
        <f t="shared" si="85"/>
        <v>1.5707963267948966</v>
      </c>
      <c r="AW70" t="str">
        <f t="shared" si="60"/>
        <v>1+0,00164284256748942i</v>
      </c>
      <c r="AX70">
        <f t="shared" si="86"/>
        <v>1.0000013494649402</v>
      </c>
      <c r="AY70">
        <f t="shared" si="87"/>
        <v>1.6428410895185182E-3</v>
      </c>
      <c r="AZ70" t="str">
        <f t="shared" si="61"/>
        <v>1+0,242593085799271i</v>
      </c>
      <c r="BA70">
        <f t="shared" si="88"/>
        <v>1.0290050560019677</v>
      </c>
      <c r="BB70">
        <f t="shared" si="89"/>
        <v>0.23799539261421038</v>
      </c>
      <c r="BC70" s="41" t="str">
        <f t="shared" si="90"/>
        <v>-0,0871407608605767+0,361798722284077i</v>
      </c>
      <c r="BD70">
        <f t="shared" si="91"/>
        <v>-8.5857585339616787</v>
      </c>
      <c r="BE70" s="43">
        <f t="shared" si="92"/>
        <v>103.54200367951321</v>
      </c>
      <c r="BF70" s="41" t="str">
        <f t="shared" si="93"/>
        <v>8,2546009423137+8,24282731061029i</v>
      </c>
      <c r="BG70" s="20">
        <f t="shared" si="94"/>
        <v>21.338027221253775</v>
      </c>
      <c r="BH70" s="43">
        <f t="shared" si="95"/>
        <v>44.959110033316719</v>
      </c>
      <c r="BI70" s="41" t="str">
        <f t="shared" si="101"/>
        <v>56,0838515566869+56,9827884706479i</v>
      </c>
      <c r="BJ70" s="20">
        <f t="shared" si="97"/>
        <v>38.056664285384578</v>
      </c>
      <c r="BK70" s="43">
        <f t="shared" si="102"/>
        <v>45.455520797483132</v>
      </c>
      <c r="BL70">
        <f t="shared" si="99"/>
        <v>21.338027221253775</v>
      </c>
      <c r="BM70" s="43">
        <f t="shared" si="100"/>
        <v>44.959110033316719</v>
      </c>
    </row>
    <row r="71" spans="1:65" x14ac:dyDescent="0.35">
      <c r="A71" t="s">
        <v>459</v>
      </c>
      <c r="B71">
        <f>(Fsw*Gcomp)/((R_cs*Acs*(VIN_var/Lm))+((R_sl+Rsl_int)*Isl))</f>
        <v>52.799429766158532</v>
      </c>
      <c r="C71" t="s">
        <v>150</v>
      </c>
      <c r="E71" s="158"/>
      <c r="N71" s="9">
        <v>53</v>
      </c>
      <c r="O71" s="34">
        <f t="shared" si="62"/>
        <v>33.884415613920268</v>
      </c>
      <c r="P71" s="33" t="str">
        <f t="shared" si="50"/>
        <v>59,1053597814893</v>
      </c>
      <c r="Q71" s="4" t="str">
        <f t="shared" si="63"/>
        <v>1+1,63587488897335i</v>
      </c>
      <c r="R71" s="4">
        <f t="shared" si="64"/>
        <v>1.9173123512807113</v>
      </c>
      <c r="S71" s="4">
        <f t="shared" si="65"/>
        <v>1.0221140000809508</v>
      </c>
      <c r="T71" s="4" t="str">
        <f t="shared" si="51"/>
        <v>1+0,000276772681026075i</v>
      </c>
      <c r="U71" s="4">
        <f t="shared" si="66"/>
        <v>1.0000000383015577</v>
      </c>
      <c r="V71" s="4">
        <f t="shared" si="67"/>
        <v>2.7677267395885861E-4</v>
      </c>
      <c r="W71" t="str">
        <f t="shared" si="52"/>
        <v>1-0,010219298991732i</v>
      </c>
      <c r="X71" s="4">
        <f t="shared" si="68"/>
        <v>1.000052215672703</v>
      </c>
      <c r="Y71" s="4">
        <f t="shared" si="69"/>
        <v>-1.0218943266353147E-2</v>
      </c>
      <c r="Z71" t="str">
        <f t="shared" si="53"/>
        <v>0,999999976277818+0,000956123807180986i</v>
      </c>
      <c r="AA71" s="4">
        <f t="shared" si="70"/>
        <v>1.0000004333640917</v>
      </c>
      <c r="AB71" s="4">
        <f t="shared" si="71"/>
        <v>9.5612353850836336E-4</v>
      </c>
      <c r="AC71" s="47" t="str">
        <f t="shared" si="72"/>
        <v>15,791557523453-26,4771806343258i</v>
      </c>
      <c r="AD71" s="20">
        <f t="shared" si="73"/>
        <v>29.779130002026513</v>
      </c>
      <c r="AE71" s="43">
        <f t="shared" si="74"/>
        <v>-59.187244643465689</v>
      </c>
      <c r="AF71" t="str">
        <f t="shared" si="54"/>
        <v>405,634542683733</v>
      </c>
      <c r="AG71" t="str">
        <f t="shared" si="55"/>
        <v>1+1,6387856113386i</v>
      </c>
      <c r="AH71">
        <f t="shared" si="75"/>
        <v>1.9197964162718997</v>
      </c>
      <c r="AI71">
        <f t="shared" si="76"/>
        <v>1.0229047748091264</v>
      </c>
      <c r="AJ71" t="str">
        <f t="shared" si="56"/>
        <v>1+0,000276772681026075i</v>
      </c>
      <c r="AK71">
        <f t="shared" si="77"/>
        <v>1.0000000383015577</v>
      </c>
      <c r="AL71">
        <f t="shared" si="78"/>
        <v>2.7677267395885861E-4</v>
      </c>
      <c r="AM71" t="str">
        <f t="shared" si="57"/>
        <v>1-0,00149169627658767i</v>
      </c>
      <c r="AN71">
        <f t="shared" si="79"/>
        <v>1.000001112578272</v>
      </c>
      <c r="AO71">
        <f t="shared" si="80"/>
        <v>-1.4916951701692879E-3</v>
      </c>
      <c r="AP71" s="41" t="str">
        <f t="shared" si="81"/>
        <v>109,839669036066-180,49648414758i</v>
      </c>
      <c r="AQ71">
        <f t="shared" si="82"/>
        <v>46.497605087425235</v>
      </c>
      <c r="AR71" s="43">
        <f t="shared" si="83"/>
        <v>-58.677736371811164</v>
      </c>
      <c r="AS71" t="str">
        <f t="shared" si="58"/>
        <v>-0,0000166666666666667</v>
      </c>
      <c r="AT71" t="str">
        <f t="shared" si="59"/>
        <v>0,0000471578068055967i</v>
      </c>
      <c r="AU71">
        <f t="shared" si="84"/>
        <v>4.7157806805596699E-5</v>
      </c>
      <c r="AV71">
        <f t="shared" si="85"/>
        <v>1.5707963267948966</v>
      </c>
      <c r="AW71" t="str">
        <f t="shared" si="60"/>
        <v>1+0,00168110928673244i</v>
      </c>
      <c r="AX71">
        <f t="shared" si="86"/>
        <v>1.0000014130632187</v>
      </c>
      <c r="AY71">
        <f t="shared" si="87"/>
        <v>1.6811077030582067E-3</v>
      </c>
      <c r="AZ71" t="str">
        <f t="shared" si="61"/>
        <v>1+0,248243804674157i</v>
      </c>
      <c r="BA71">
        <f t="shared" si="88"/>
        <v>1.0303518751179623</v>
      </c>
      <c r="BB71">
        <f t="shared" si="89"/>
        <v>0.24332509162208729</v>
      </c>
      <c r="BC71" s="41" t="str">
        <f t="shared" si="90"/>
        <v>-0,0871407497765879+0,353569771169124i</v>
      </c>
      <c r="BD71">
        <f t="shared" si="91"/>
        <v>-8.7743979437758632</v>
      </c>
      <c r="BE71" s="43">
        <f t="shared" si="92"/>
        <v>103.84518042328753</v>
      </c>
      <c r="BF71" s="41" t="str">
        <f t="shared" si="93"/>
        <v>7,98544253534832+7,89065875241664i</v>
      </c>
      <c r="BG71" s="20">
        <f t="shared" si="94"/>
        <v>21.004732058250646</v>
      </c>
      <c r="BH71" s="43">
        <f t="shared" si="95"/>
        <v>44.657935779821869</v>
      </c>
      <c r="BI71" s="41" t="str">
        <f t="shared" si="101"/>
        <v>54,2465894818762+54,5645856070323i</v>
      </c>
      <c r="BJ71" s="20">
        <f t="shared" si="97"/>
        <v>37.723207143649368</v>
      </c>
      <c r="BK71" s="43">
        <f t="shared" si="102"/>
        <v>45.16744405147638</v>
      </c>
      <c r="BL71">
        <f t="shared" si="99"/>
        <v>21.004732058250646</v>
      </c>
      <c r="BM71" s="43">
        <f t="shared" si="100"/>
        <v>44.657935779821869</v>
      </c>
    </row>
    <row r="72" spans="1:65" x14ac:dyDescent="0.35">
      <c r="A72" t="s">
        <v>458</v>
      </c>
      <c r="B72">
        <f>(B71*2*VOUT/DC_VIN_var_DCM)*(((VOUT/VIN_var)-1)/((2*VOUT/VIN_var)-1))</f>
        <v>405.63454268373255</v>
      </c>
      <c r="C72" t="s">
        <v>150</v>
      </c>
      <c r="N72" s="9">
        <v>54</v>
      </c>
      <c r="O72" s="34">
        <f t="shared" si="62"/>
        <v>34.67368504525318</v>
      </c>
      <c r="P72" s="33" t="str">
        <f t="shared" si="50"/>
        <v>59,1053597814893</v>
      </c>
      <c r="Q72" s="4" t="str">
        <f t="shared" si="63"/>
        <v>1+1,67397931013449i</v>
      </c>
      <c r="R72" s="4">
        <f t="shared" si="64"/>
        <v>1.9499248013085899</v>
      </c>
      <c r="S72" s="4">
        <f t="shared" si="65"/>
        <v>1.0323062990645167</v>
      </c>
      <c r="T72" s="4" t="str">
        <f t="shared" si="51"/>
        <v>1+0,000283219544948739i</v>
      </c>
      <c r="U72" s="4">
        <f t="shared" si="66"/>
        <v>1.0000000401066544</v>
      </c>
      <c r="V72" s="4">
        <f t="shared" si="67"/>
        <v>2.8321953737608024E-4</v>
      </c>
      <c r="W72" t="str">
        <f t="shared" si="52"/>
        <v>1-0,0104573370442612i</v>
      </c>
      <c r="X72" s="4">
        <f t="shared" si="68"/>
        <v>1.0000546764542713</v>
      </c>
      <c r="Y72" s="4">
        <f t="shared" si="69"/>
        <v>-1.0456955878775915E-2</v>
      </c>
      <c r="Z72" t="str">
        <f t="shared" si="53"/>
        <v>0,999999975159826+0,000978394791641098i</v>
      </c>
      <c r="AA72" s="4">
        <f t="shared" si="70"/>
        <v>1.0000004537879075</v>
      </c>
      <c r="AB72" s="4">
        <f t="shared" si="71"/>
        <v>9.7839450375320327E-4</v>
      </c>
      <c r="AC72" s="47" t="str">
        <f t="shared" si="72"/>
        <v>15,2546807247355-26,1951927254236i</v>
      </c>
      <c r="AD72" s="20">
        <f t="shared" si="73"/>
        <v>29.632651349999396</v>
      </c>
      <c r="AE72" s="43">
        <f t="shared" si="74"/>
        <v>-59.785764131171526</v>
      </c>
      <c r="AF72" t="str">
        <f t="shared" si="54"/>
        <v>405,634542683733</v>
      </c>
      <c r="AG72" t="str">
        <f t="shared" si="55"/>
        <v>1+1,67695783193332i</v>
      </c>
      <c r="AH72">
        <f t="shared" si="75"/>
        <v>1.9524824122338467</v>
      </c>
      <c r="AI72">
        <f t="shared" si="76"/>
        <v>1.0330886396010788</v>
      </c>
      <c r="AJ72" t="str">
        <f t="shared" si="56"/>
        <v>1+0,000283219544948739i</v>
      </c>
      <c r="AK72">
        <f t="shared" si="77"/>
        <v>1.0000000401066544</v>
      </c>
      <c r="AL72">
        <f t="shared" si="78"/>
        <v>2.8321953737608024E-4</v>
      </c>
      <c r="AM72" t="str">
        <f t="shared" si="57"/>
        <v>1-0,00152644234644346i</v>
      </c>
      <c r="AN72">
        <f t="shared" si="79"/>
        <v>1.0000011650124399</v>
      </c>
      <c r="AO72">
        <f t="shared" si="80"/>
        <v>-1.5264411608948787E-3</v>
      </c>
      <c r="AP72" s="41" t="str">
        <f t="shared" si="81"/>
        <v>106,182875486526-178,568498776869i</v>
      </c>
      <c r="AQ72">
        <f t="shared" si="82"/>
        <v>46.350966481464759</v>
      </c>
      <c r="AR72" s="43">
        <f t="shared" si="83"/>
        <v>-59.262850264080669</v>
      </c>
      <c r="AS72" t="str">
        <f t="shared" si="58"/>
        <v>-0,0000166666666666667</v>
      </c>
      <c r="AT72" t="str">
        <f t="shared" si="59"/>
        <v>0,0000482562532354968i</v>
      </c>
      <c r="AU72">
        <f t="shared" si="84"/>
        <v>4.8256253235496802E-5</v>
      </c>
      <c r="AV72">
        <f t="shared" si="85"/>
        <v>1.5707963267948966</v>
      </c>
      <c r="AW72" t="str">
        <f t="shared" si="60"/>
        <v>1+0,0017202673523714i</v>
      </c>
      <c r="AX72">
        <f t="shared" si="86"/>
        <v>1.0000014796587871</v>
      </c>
      <c r="AY72">
        <f t="shared" si="87"/>
        <v>1.7202656554340216E-3</v>
      </c>
      <c r="AZ72" t="str">
        <f t="shared" si="61"/>
        <v>1+0,254026145700177i</v>
      </c>
      <c r="BA72">
        <f t="shared" si="88"/>
        <v>1.0317602835442385</v>
      </c>
      <c r="BB72">
        <f t="shared" si="89"/>
        <v>0.24876437231488391</v>
      </c>
      <c r="BC72" s="41" t="str">
        <f t="shared" si="90"/>
        <v>-0,0871407381702297+0,345528287425136i</v>
      </c>
      <c r="BD72">
        <f t="shared" si="91"/>
        <v>-8.9625337145662911</v>
      </c>
      <c r="BE72" s="43">
        <f t="shared" si="92"/>
        <v>104.15458466516627</v>
      </c>
      <c r="BF72" s="41" t="str">
        <f t="shared" si="93"/>
        <v>7,72187594228237+7,55359213663993i</v>
      </c>
      <c r="BG72" s="20">
        <f t="shared" si="94"/>
        <v>20.670117635433098</v>
      </c>
      <c r="BH72" s="43">
        <f t="shared" si="95"/>
        <v>44.368820533994729</v>
      </c>
      <c r="BI72" s="41" t="str">
        <f t="shared" si="101"/>
        <v>52,4476134195156+52,2497779181019i</v>
      </c>
      <c r="BJ72" s="20">
        <f t="shared" si="97"/>
        <v>37.388432766898475</v>
      </c>
      <c r="BK72" s="43">
        <f t="shared" si="102"/>
        <v>44.891734401085586</v>
      </c>
      <c r="BL72">
        <f t="shared" si="99"/>
        <v>20.670117635433098</v>
      </c>
      <c r="BM72" s="43">
        <f t="shared" si="100"/>
        <v>44.368820533994729</v>
      </c>
    </row>
    <row r="73" spans="1:65" x14ac:dyDescent="0.35">
      <c r="A73" t="s">
        <v>483</v>
      </c>
      <c r="B73">
        <f>(IOUT_VAR*((2*VOUT)-VIN_var))/(Cout*VOUT*(VOUT-VIN_var))</f>
        <v>129.91452991452991</v>
      </c>
      <c r="C73" t="s">
        <v>385</v>
      </c>
      <c r="N73" s="9">
        <v>55</v>
      </c>
      <c r="O73" s="34">
        <f t="shared" si="62"/>
        <v>35.481338923357555</v>
      </c>
      <c r="P73" s="33" t="str">
        <f t="shared" si="50"/>
        <v>59,1053597814893</v>
      </c>
      <c r="Q73" s="4" t="str">
        <f t="shared" si="63"/>
        <v>1+1,71297129728359i</v>
      </c>
      <c r="R73" s="4">
        <f t="shared" si="64"/>
        <v>1.9834996005337198</v>
      </c>
      <c r="S73" s="4">
        <f t="shared" si="65"/>
        <v>1.0423879752737468</v>
      </c>
      <c r="T73" s="4" t="str">
        <f t="shared" si="51"/>
        <v>1+0,000289816575622989i</v>
      </c>
      <c r="U73" s="4">
        <f t="shared" si="66"/>
        <v>1.0000000419968229</v>
      </c>
      <c r="V73" s="4">
        <f t="shared" si="67"/>
        <v>2.8981656750873893E-4</v>
      </c>
      <c r="W73" t="str">
        <f t="shared" si="52"/>
        <v>1-0,0107009197153104i</v>
      </c>
      <c r="X73" s="4">
        <f t="shared" si="68"/>
        <v>1.0000572532024121</v>
      </c>
      <c r="Y73" s="4">
        <f t="shared" si="69"/>
        <v>-1.0700511290397273E-2</v>
      </c>
      <c r="Z73" t="str">
        <f t="shared" si="53"/>
        <v>0,999999973989144+0,00100118453397032i</v>
      </c>
      <c r="AA73" s="4">
        <f t="shared" si="70"/>
        <v>1.000000475174267</v>
      </c>
      <c r="AB73" s="4">
        <f t="shared" si="71"/>
        <v>1.0011842254928917E-3</v>
      </c>
      <c r="AC73" s="47" t="str">
        <f t="shared" si="72"/>
        <v>14,7293943440395-25,9055566330715i</v>
      </c>
      <c r="AD73" s="20">
        <f t="shared" si="73"/>
        <v>29.484388476925272</v>
      </c>
      <c r="AE73" s="43">
        <f t="shared" si="74"/>
        <v>-60.378284098429354</v>
      </c>
      <c r="AF73" t="str">
        <f t="shared" si="54"/>
        <v>405,634542683733</v>
      </c>
      <c r="AG73" t="str">
        <f t="shared" si="55"/>
        <v>1+1,7160191977677i</v>
      </c>
      <c r="AH73">
        <f t="shared" si="75"/>
        <v>1.9861323941538491</v>
      </c>
      <c r="AI73">
        <f t="shared" si="76"/>
        <v>1.0431616537483268</v>
      </c>
      <c r="AJ73" t="str">
        <f t="shared" si="56"/>
        <v>1+0,000289816575622989i</v>
      </c>
      <c r="AK73">
        <f t="shared" si="77"/>
        <v>1.0000000419968229</v>
      </c>
      <c r="AL73">
        <f t="shared" si="78"/>
        <v>2.8981656750873893E-4</v>
      </c>
      <c r="AM73" t="str">
        <f t="shared" si="57"/>
        <v>1-0,00156199775623618i</v>
      </c>
      <c r="AN73">
        <f t="shared" si="79"/>
        <v>1.000001219917751</v>
      </c>
      <c r="AO73">
        <f t="shared" si="80"/>
        <v>-1.5619964858980715E-3</v>
      </c>
      <c r="AP73" s="41" t="str">
        <f t="shared" si="81"/>
        <v>102,605253872046-176,588626067668i</v>
      </c>
      <c r="AQ73">
        <f t="shared" si="82"/>
        <v>46.202545686869527</v>
      </c>
      <c r="AR73" s="43">
        <f t="shared" si="83"/>
        <v>-59.841650649771395</v>
      </c>
      <c r="AS73" t="str">
        <f t="shared" si="58"/>
        <v>-0,0000166666666666667</v>
      </c>
      <c r="AT73" t="str">
        <f t="shared" si="59"/>
        <v>0,0000493802857696093i</v>
      </c>
      <c r="AU73">
        <f t="shared" si="84"/>
        <v>4.9380285769609302E-5</v>
      </c>
      <c r="AV73">
        <f t="shared" si="85"/>
        <v>1.5707963267948966</v>
      </c>
      <c r="AW73" t="str">
        <f t="shared" si="60"/>
        <v>1+0,00176033752653102i</v>
      </c>
      <c r="AX73">
        <f t="shared" si="86"/>
        <v>1.0000015493929033</v>
      </c>
      <c r="AY73">
        <f t="shared" si="87"/>
        <v>1.7603357082300113E-3</v>
      </c>
      <c r="AZ73" t="str">
        <f t="shared" si="61"/>
        <v>1+0,259943174751081i</v>
      </c>
      <c r="BA73">
        <f t="shared" si="88"/>
        <v>1.0332330105545753</v>
      </c>
      <c r="BB73">
        <f t="shared" si="89"/>
        <v>0.2543148307195422</v>
      </c>
      <c r="BC73" s="41" t="str">
        <f t="shared" si="90"/>
        <v>-0,0871407260168842+0,337670007350867i</v>
      </c>
      <c r="BD73">
        <f t="shared" si="91"/>
        <v>-9.1501449856547126</v>
      </c>
      <c r="BE73" s="43">
        <f t="shared" si="92"/>
        <v>104.470306661206</v>
      </c>
      <c r="BF73" s="41" t="str">
        <f t="shared" si="93"/>
        <v>7,46399938178896+7,231103709303i</v>
      </c>
      <c r="BG73" s="20">
        <f t="shared" si="94"/>
        <v>20.334243491270556</v>
      </c>
      <c r="BH73" s="43">
        <f t="shared" si="95"/>
        <v>44.092022562776677</v>
      </c>
      <c r="BI73" s="41" t="str">
        <f t="shared" si="101"/>
        <v>50,6875863467922+50,034777911072i</v>
      </c>
      <c r="BJ73" s="20">
        <f t="shared" si="97"/>
        <v>37.052400701214822</v>
      </c>
      <c r="BK73" s="43">
        <f t="shared" si="102"/>
        <v>44.628656011434565</v>
      </c>
      <c r="BL73">
        <f t="shared" si="99"/>
        <v>20.334243491270556</v>
      </c>
      <c r="BM73" s="43">
        <f t="shared" si="100"/>
        <v>44.092022562776677</v>
      </c>
    </row>
    <row r="74" spans="1:65" x14ac:dyDescent="0.35">
      <c r="B74">
        <f>B73/(2*PI())</f>
        <v>20.676539615357342</v>
      </c>
      <c r="C74" t="s">
        <v>65</v>
      </c>
      <c r="N74" s="9">
        <v>56</v>
      </c>
      <c r="O74" s="34">
        <f t="shared" si="62"/>
        <v>36.307805477010156</v>
      </c>
      <c r="P74" s="33" t="str">
        <f t="shared" si="50"/>
        <v>59,1053597814893</v>
      </c>
      <c r="Q74" s="4" t="str">
        <f t="shared" si="63"/>
        <v>1+1,75287152448837i</v>
      </c>
      <c r="R74" s="4">
        <f t="shared" si="64"/>
        <v>2.0180581214033908</v>
      </c>
      <c r="S74" s="4">
        <f t="shared" si="65"/>
        <v>1.0523561759764608</v>
      </c>
      <c r="T74" s="4" t="str">
        <f t="shared" si="51"/>
        <v>1+0,000296567270881811i</v>
      </c>
      <c r="U74" s="4">
        <f t="shared" si="66"/>
        <v>1.0000000439760721</v>
      </c>
      <c r="V74" s="4">
        <f t="shared" si="67"/>
        <v>2.9656726218723543E-4</v>
      </c>
      <c r="W74" t="str">
        <f t="shared" si="52"/>
        <v>1-0,0109501761556361i</v>
      </c>
      <c r="X74" s="4">
        <f t="shared" si="68"/>
        <v>1.0000599513818356</v>
      </c>
      <c r="Y74" s="4">
        <f t="shared" si="69"/>
        <v>-1.0949738521873869E-2</v>
      </c>
      <c r="Z74" t="str">
        <f t="shared" si="53"/>
        <v>0,999999972763291+0,00102450511759171i</v>
      </c>
      <c r="AA74" s="4">
        <f t="shared" si="70"/>
        <v>1.0000004975685355</v>
      </c>
      <c r="AB74" s="4">
        <f t="shared" si="71"/>
        <v>1.0245047870521982E-3</v>
      </c>
      <c r="AC74" s="47" t="str">
        <f t="shared" si="72"/>
        <v>14,2158658735238-25,6088251079371i</v>
      </c>
      <c r="AD74" s="20">
        <f t="shared" si="73"/>
        <v>29.334380680265539</v>
      </c>
      <c r="AE74" s="43">
        <f t="shared" si="74"/>
        <v>-60.964648979976914</v>
      </c>
      <c r="AF74" t="str">
        <f t="shared" si="54"/>
        <v>405,634542683733</v>
      </c>
      <c r="AG74" t="str">
        <f t="shared" si="55"/>
        <v>1+1,75599041969493i</v>
      </c>
      <c r="AH74">
        <f t="shared" si="75"/>
        <v>2.0207677635147432</v>
      </c>
      <c r="AI74">
        <f t="shared" si="76"/>
        <v>1.0531209810319819</v>
      </c>
      <c r="AJ74" t="str">
        <f t="shared" si="56"/>
        <v>1+0,000296567270881811i</v>
      </c>
      <c r="AK74">
        <f t="shared" si="77"/>
        <v>1.0000000439760721</v>
      </c>
      <c r="AL74">
        <f t="shared" si="78"/>
        <v>2.9656726218723543E-4</v>
      </c>
      <c r="AM74" t="str">
        <f t="shared" si="57"/>
        <v>1-0,00159838135791475i</v>
      </c>
      <c r="AN74">
        <f t="shared" si="79"/>
        <v>1.0000012774106668</v>
      </c>
      <c r="AO74">
        <f t="shared" si="80"/>
        <v>-1.5983799967230364E-3</v>
      </c>
      <c r="AP74" s="41" t="str">
        <f t="shared" si="81"/>
        <v>99,1079299671408-174,560636299948i</v>
      </c>
      <c r="AQ74">
        <f t="shared" si="82"/>
        <v>46.052381998196232</v>
      </c>
      <c r="AR74" s="43">
        <f t="shared" si="83"/>
        <v>-60.413975905214642</v>
      </c>
      <c r="AS74" t="str">
        <f t="shared" si="58"/>
        <v>-0,0000166666666666667</v>
      </c>
      <c r="AT74" t="str">
        <f t="shared" si="59"/>
        <v>0,0000505305003848623i</v>
      </c>
      <c r="AU74">
        <f t="shared" si="84"/>
        <v>5.0530500384862301E-5</v>
      </c>
      <c r="AV74">
        <f t="shared" si="85"/>
        <v>1.5707963267948966</v>
      </c>
      <c r="AW74" t="str">
        <f t="shared" si="60"/>
        <v>1+0,00180134105494804i</v>
      </c>
      <c r="AX74">
        <f t="shared" si="86"/>
        <v>1.000001622413482</v>
      </c>
      <c r="AY74">
        <f t="shared" si="87"/>
        <v>1.8013391066035772E-3</v>
      </c>
      <c r="AZ74" t="str">
        <f t="shared" si="61"/>
        <v>1+0,265998029113993i</v>
      </c>
      <c r="BA74">
        <f t="shared" si="88"/>
        <v>1.0347728985108418</v>
      </c>
      <c r="BB74">
        <f t="shared" si="89"/>
        <v>0.2599780412176485</v>
      </c>
      <c r="BC74" s="41" t="str">
        <f t="shared" si="90"/>
        <v>-0,0871407132907728+0,329990764382069i</v>
      </c>
      <c r="BD74">
        <f t="shared" si="91"/>
        <v>-9.3372101642960672</v>
      </c>
      <c r="BE74" s="43">
        <f t="shared" si="92"/>
        <v>104.79243539956913</v>
      </c>
      <c r="BF74" s="41" t="str">
        <f t="shared" si="93"/>
        <v>7,21189508003007+6,92267573240138i</v>
      </c>
      <c r="BG74" s="20">
        <f t="shared" si="94"/>
        <v>19.997170515969476</v>
      </c>
      <c r="BH74" s="43">
        <f t="shared" si="95"/>
        <v>43.827786419592215</v>
      </c>
      <c r="BI74" s="41" t="str">
        <f t="shared" si="101"/>
        <v>48,9670620935316+47,91603992585i</v>
      </c>
      <c r="BJ74" s="20">
        <f t="shared" si="97"/>
        <v>36.715171833900165</v>
      </c>
      <c r="BK74" s="43">
        <f t="shared" si="102"/>
        <v>44.37845949435448</v>
      </c>
      <c r="BL74">
        <f t="shared" si="99"/>
        <v>19.997170515969476</v>
      </c>
      <c r="BM74" s="43">
        <f t="shared" si="100"/>
        <v>43.827786419592215</v>
      </c>
    </row>
    <row r="75" spans="1:65" x14ac:dyDescent="0.35">
      <c r="A75" t="s">
        <v>461</v>
      </c>
      <c r="B75">
        <f>1/(Cout*Resr)</f>
        <v>769230.76923076925</v>
      </c>
      <c r="C75" t="s">
        <v>385</v>
      </c>
      <c r="N75" s="9">
        <v>57</v>
      </c>
      <c r="O75" s="34">
        <f t="shared" si="62"/>
        <v>37.15352290971726</v>
      </c>
      <c r="P75" s="33" t="str">
        <f t="shared" si="50"/>
        <v>59,1053597814893</v>
      </c>
      <c r="Q75" s="4" t="str">
        <f t="shared" si="63"/>
        <v>1+1,79370114737744i</v>
      </c>
      <c r="R75" s="4">
        <f t="shared" si="64"/>
        <v>2.0536221186243453</v>
      </c>
      <c r="S75" s="4">
        <f t="shared" si="65"/>
        <v>1.0622082619064239</v>
      </c>
      <c r="T75" s="4" t="str">
        <f t="shared" si="51"/>
        <v>1+0,000303475210033185i</v>
      </c>
      <c r="U75" s="4">
        <f t="shared" si="66"/>
        <v>1.0000000460486005</v>
      </c>
      <c r="V75" s="4">
        <f t="shared" si="67"/>
        <v>3.034752007167795E-4</v>
      </c>
      <c r="W75" t="str">
        <f t="shared" si="52"/>
        <v>1-0,0112052385243022i</v>
      </c>
      <c r="X75" s="4">
        <f t="shared" si="68"/>
        <v>1.0000627767147352</v>
      </c>
      <c r="Y75" s="4">
        <f t="shared" si="69"/>
        <v>-1.1204769592867149E-2</v>
      </c>
      <c r="Z75" t="str">
        <f t="shared" si="53"/>
        <v>0,999999971479664+0,00104836890738737i</v>
      </c>
      <c r="AA75" s="4">
        <f t="shared" si="70"/>
        <v>1.0000005210182117</v>
      </c>
      <c r="AB75" s="4">
        <f t="shared" si="71"/>
        <v>1.0483685532079122E-3</v>
      </c>
      <c r="AC75" s="47" t="str">
        <f t="shared" si="72"/>
        <v>13,7142310314821-25,3055482572916i</v>
      </c>
      <c r="AD75" s="20">
        <f t="shared" si="73"/>
        <v>29.182667769058956</v>
      </c>
      <c r="AE75" s="43">
        <f t="shared" si="74"/>
        <v>-61.544715624537858</v>
      </c>
      <c r="AF75" t="str">
        <f t="shared" si="54"/>
        <v>405,634542683733</v>
      </c>
      <c r="AG75" t="str">
        <f t="shared" si="55"/>
        <v>1+1,79689269098596i</v>
      </c>
      <c r="AH75">
        <f t="shared" si="75"/>
        <v>2.056410305099341</v>
      </c>
      <c r="AI75">
        <f t="shared" si="76"/>
        <v>1.0629639986178072</v>
      </c>
      <c r="AJ75" t="str">
        <f t="shared" si="56"/>
        <v>1+0,000303475210033185i</v>
      </c>
      <c r="AK75">
        <f t="shared" si="77"/>
        <v>1.0000000460486005</v>
      </c>
      <c r="AL75">
        <f t="shared" si="78"/>
        <v>3.034752007167795E-4</v>
      </c>
      <c r="AM75" t="str">
        <f t="shared" si="57"/>
        <v>1-0,00163561244254636i</v>
      </c>
      <c r="AN75">
        <f t="shared" si="79"/>
        <v>1.0000013376131365</v>
      </c>
      <c r="AO75">
        <f t="shared" si="80"/>
        <v>-1.6356109840032663E-3</v>
      </c>
      <c r="AP75" s="41" t="str">
        <f t="shared" si="81"/>
        <v>95,6918132309138-172,488280658925i</v>
      </c>
      <c r="AQ75">
        <f t="shared" si="82"/>
        <v>45.900515211172397</v>
      </c>
      <c r="AR75" s="43">
        <f t="shared" si="83"/>
        <v>-60.979676653270886</v>
      </c>
      <c r="AS75" t="str">
        <f t="shared" si="58"/>
        <v>-0,0000166666666666667</v>
      </c>
      <c r="AT75" t="str">
        <f t="shared" si="59"/>
        <v>0,0000517075069402695i</v>
      </c>
      <c r="AU75">
        <f t="shared" si="84"/>
        <v>5.1707506940269498E-5</v>
      </c>
      <c r="AV75">
        <f t="shared" si="85"/>
        <v>1.5707963267948966</v>
      </c>
      <c r="AW75" t="str">
        <f t="shared" si="60"/>
        <v>1+0,00184329967823595i</v>
      </c>
      <c r="AX75">
        <f t="shared" si="86"/>
        <v>1.0000016988754088</v>
      </c>
      <c r="AY75">
        <f t="shared" si="87"/>
        <v>1.8432975905474365E-3</v>
      </c>
      <c r="AZ75" t="str">
        <f t="shared" si="61"/>
        <v>1+0,272193919152841i</v>
      </c>
      <c r="BA75">
        <f t="shared" si="88"/>
        <v>1.0363829068562369</v>
      </c>
      <c r="BB75">
        <f t="shared" si="89"/>
        <v>0.26575555287500646</v>
      </c>
      <c r="BC75" s="41" t="str">
        <f t="shared" si="90"/>
        <v>-0,0871406999649025+0,322486486882329i</v>
      </c>
      <c r="BD75">
        <f t="shared" si="91"/>
        <v>-9.5237069118438971</v>
      </c>
      <c r="BE75" s="43">
        <f t="shared" si="92"/>
        <v>105.12105838957866</v>
      </c>
      <c r="BF75" s="41" t="str">
        <f t="shared" si="93"/>
        <v>6,96562966456148+6,62779737377129i</v>
      </c>
      <c r="BG75" s="20">
        <f t="shared" si="94"/>
        <v>19.658960857215064</v>
      </c>
      <c r="BH75" s="43">
        <f t="shared" si="95"/>
        <v>43.576342765040792</v>
      </c>
      <c r="BI75" s="41" t="str">
        <f t="shared" si="101"/>
        <v>47,2864880722174+45,8900661845986i</v>
      </c>
      <c r="BJ75" s="20">
        <f t="shared" si="97"/>
        <v>36.376808299328502</v>
      </c>
      <c r="BK75" s="43">
        <f t="shared" si="102"/>
        <v>44.141381736307736</v>
      </c>
      <c r="BL75">
        <f t="shared" si="99"/>
        <v>19.658960857215064</v>
      </c>
      <c r="BM75" s="43">
        <f t="shared" si="100"/>
        <v>43.576342765040792</v>
      </c>
    </row>
    <row r="76" spans="1:65" x14ac:dyDescent="0.35">
      <c r="B76">
        <f>B75/(2*PI())</f>
        <v>122426.87930145796</v>
      </c>
      <c r="C76" t="s">
        <v>65</v>
      </c>
      <c r="N76" s="9">
        <v>58</v>
      </c>
      <c r="O76" s="34">
        <f t="shared" si="62"/>
        <v>38.018939632056139</v>
      </c>
      <c r="P76" s="33" t="str">
        <f t="shared" si="50"/>
        <v>59,1053597814893</v>
      </c>
      <c r="Q76" s="4" t="str">
        <f t="shared" si="63"/>
        <v>1+1,83548181435728i</v>
      </c>
      <c r="R76" s="4">
        <f t="shared" si="64"/>
        <v>2.0902137428589191</v>
      </c>
      <c r="S76" s="4">
        <f t="shared" si="65"/>
        <v>1.0719418058579195</v>
      </c>
      <c r="T76" s="4" t="str">
        <f t="shared" si="51"/>
        <v>1+0,000310544055757888i</v>
      </c>
      <c r="U76" s="4">
        <f t="shared" si="66"/>
        <v>1.0000000482188041</v>
      </c>
      <c r="V76" s="4">
        <f t="shared" si="67"/>
        <v>3.1054404577517965E-4</v>
      </c>
      <c r="W76" t="str">
        <f t="shared" si="52"/>
        <v>1-0,0114662420587528i</v>
      </c>
      <c r="X76" s="4">
        <f t="shared" si="68"/>
        <v>1.0000657351929172</v>
      </c>
      <c r="Y76" s="4">
        <f t="shared" si="69"/>
        <v>-1.1465739591451085E-2</v>
      </c>
      <c r="Z76" t="str">
        <f t="shared" si="53"/>
        <v>0,999999970135542+0,00107278855625452i</v>
      </c>
      <c r="AA76" s="4">
        <f t="shared" si="70"/>
        <v>1.000000545573037</v>
      </c>
      <c r="AB76" s="4">
        <f t="shared" si="71"/>
        <v>1.0727881767444046E-3</v>
      </c>
      <c r="AC76" s="47" t="str">
        <f t="shared" si="72"/>
        <v>13,2245947002051-24,9962715895818i</v>
      </c>
      <c r="AD76" s="20">
        <f t="shared" si="73"/>
        <v>29.029289958762309</v>
      </c>
      <c r="AE76" s="43">
        <f t="shared" si="74"/>
        <v>-62.118353218539923</v>
      </c>
      <c r="AF76" t="str">
        <f t="shared" si="54"/>
        <v>405,634542683733</v>
      </c>
      <c r="AG76" t="str">
        <f t="shared" si="55"/>
        <v>1+1,83874769856644i</v>
      </c>
      <c r="AH76">
        <f t="shared" si="75"/>
        <v>2.0930822007229866</v>
      </c>
      <c r="AI76">
        <f t="shared" si="76"/>
        <v>1.0726882955925106</v>
      </c>
      <c r="AJ76" t="str">
        <f t="shared" si="56"/>
        <v>1+0,000310544055757888i</v>
      </c>
      <c r="AK76">
        <f t="shared" si="77"/>
        <v>1.0000000482188041</v>
      </c>
      <c r="AL76">
        <f t="shared" si="78"/>
        <v>3.1054404577517965E-4</v>
      </c>
      <c r="AM76" t="str">
        <f t="shared" si="57"/>
        <v>1-0,0016737107505449i</v>
      </c>
      <c r="AN76">
        <f t="shared" si="79"/>
        <v>1.0000014006528573</v>
      </c>
      <c r="AO76">
        <f t="shared" si="80"/>
        <v>-1.6737091876879355E-3</v>
      </c>
      <c r="AP76" s="41" t="str">
        <f t="shared" si="81"/>
        <v>92,3576032725748-170,375277961401i</v>
      </c>
      <c r="AQ76">
        <f t="shared" si="82"/>
        <v>45.746985517679832</v>
      </c>
      <c r="AR76" s="43">
        <f t="shared" si="83"/>
        <v>-61.538615679943533</v>
      </c>
      <c r="AS76" t="str">
        <f t="shared" si="58"/>
        <v>-0,0000166666666666667</v>
      </c>
      <c r="AT76" t="str">
        <f t="shared" si="59"/>
        <v>0,0000529119295002862i</v>
      </c>
      <c r="AU76">
        <f t="shared" si="84"/>
        <v>5.2911929500286197E-5</v>
      </c>
      <c r="AV76">
        <f t="shared" si="85"/>
        <v>1.5707963267948966</v>
      </c>
      <c r="AW76" t="str">
        <f t="shared" si="60"/>
        <v>1+0,00188623564341221i</v>
      </c>
      <c r="AX76">
        <f t="shared" si="86"/>
        <v>1.0000017789408688</v>
      </c>
      <c r="AY76">
        <f t="shared" si="87"/>
        <v>1.8862334064138793E-3</v>
      </c>
      <c r="AZ76" t="str">
        <f t="shared" si="61"/>
        <v>1+0,278534130010536i</v>
      </c>
      <c r="BA76">
        <f t="shared" si="88"/>
        <v>1.0380661161894873</v>
      </c>
      <c r="BB76">
        <f t="shared" si="89"/>
        <v>0.27164888556599176</v>
      </c>
      <c r="BC76" s="41" t="str">
        <f t="shared" si="90"/>
        <v>-0,0871406860110073+0,315153195984232i</v>
      </c>
      <c r="BD76">
        <f t="shared" si="91"/>
        <v>-9.7096121307944934</v>
      </c>
      <c r="BE76" s="43">
        <f t="shared" si="92"/>
        <v>105.45626143899946</v>
      </c>
      <c r="BF76" s="41" t="str">
        <f t="shared" si="93"/>
        <v>6,72525462475316+6,34596553939938i</v>
      </c>
      <c r="BG76" s="20">
        <f t="shared" si="94"/>
        <v>19.319677827967816</v>
      </c>
      <c r="BH76" s="43">
        <f t="shared" si="95"/>
        <v>43.337908220459532</v>
      </c>
      <c r="BI76" s="41" t="str">
        <f t="shared" si="101"/>
        <v>45,6462084587328+43,9534124456683i</v>
      </c>
      <c r="BJ76" s="20">
        <f t="shared" si="97"/>
        <v>36.037373386885335</v>
      </c>
      <c r="BK76" s="43">
        <f t="shared" si="102"/>
        <v>43.917645759055972</v>
      </c>
      <c r="BL76">
        <f t="shared" si="99"/>
        <v>19.319677827967816</v>
      </c>
      <c r="BM76" s="43">
        <f t="shared" si="100"/>
        <v>43.337908220459532</v>
      </c>
    </row>
    <row r="77" spans="1:65" x14ac:dyDescent="0.35">
      <c r="A77" t="s">
        <v>462</v>
      </c>
      <c r="B77">
        <f>2*Fsw/(DC_VIN_var_DCM)</f>
        <v>142724.80642961254</v>
      </c>
      <c r="C77" t="s">
        <v>385</v>
      </c>
      <c r="N77" s="9">
        <v>59</v>
      </c>
      <c r="O77" s="34">
        <f t="shared" si="62"/>
        <v>38.904514499428053</v>
      </c>
      <c r="P77" s="33" t="str">
        <f t="shared" si="50"/>
        <v>59,1053597814893</v>
      </c>
      <c r="Q77" s="4" t="str">
        <f t="shared" si="63"/>
        <v>1+1,87823567809057i</v>
      </c>
      <c r="R77" s="4">
        <f t="shared" si="64"/>
        <v>2.1278555548843872</v>
      </c>
      <c r="S77" s="4">
        <f t="shared" si="65"/>
        <v>1.0815545905487129</v>
      </c>
      <c r="T77" s="4" t="str">
        <f t="shared" si="51"/>
        <v>1+0,000317777556051491i</v>
      </c>
      <c r="U77" s="4">
        <f t="shared" si="66"/>
        <v>1.0000000504912863</v>
      </c>
      <c r="V77" s="4">
        <f t="shared" si="67"/>
        <v>3.1777754535482634E-4</v>
      </c>
      <c r="W77" t="str">
        <f t="shared" si="52"/>
        <v>1-0,0117333251465166i</v>
      </c>
      <c r="X77" s="4">
        <f t="shared" si="68"/>
        <v>1.0000688330904999</v>
      </c>
      <c r="Y77" s="4">
        <f t="shared" si="69"/>
        <v>-1.1732786745103972E-2</v>
      </c>
      <c r="Z77" t="str">
        <f t="shared" si="53"/>
        <v>0,999999968728073+0,00109777701181424i</v>
      </c>
      <c r="AA77" s="4">
        <f t="shared" si="70"/>
        <v>1.0000005712850941</v>
      </c>
      <c r="AB77" s="4">
        <f t="shared" si="71"/>
        <v>1.0977766051618379E-3</v>
      </c>
      <c r="AC77" s="47" t="str">
        <f t="shared" si="72"/>
        <v>12,747031983642-24,6815341898965i</v>
      </c>
      <c r="AD77" s="20">
        <f t="shared" si="73"/>
        <v>28.874287769454284</v>
      </c>
      <c r="AE77" s="43">
        <f t="shared" si="74"/>
        <v>-62.685443168013784</v>
      </c>
      <c r="AF77" t="str">
        <f t="shared" si="54"/>
        <v>405,634542683733</v>
      </c>
      <c r="AG77" t="str">
        <f t="shared" si="55"/>
        <v>1+1,8815776345154i</v>
      </c>
      <c r="AH77">
        <f t="shared" si="75"/>
        <v>2.1308060434278313</v>
      </c>
      <c r="AI77">
        <f t="shared" si="76"/>
        <v>1.082291670772334</v>
      </c>
      <c r="AJ77" t="str">
        <f t="shared" si="56"/>
        <v>1+0,000317777556051491i</v>
      </c>
      <c r="AK77">
        <f t="shared" si="77"/>
        <v>1.0000000504912863</v>
      </c>
      <c r="AL77">
        <f t="shared" si="78"/>
        <v>3.1777754535482634E-4</v>
      </c>
      <c r="AM77" t="str">
        <f t="shared" si="57"/>
        <v>1-0,00171269648213756i</v>
      </c>
      <c r="AN77">
        <f t="shared" si="79"/>
        <v>1.0000014666635444</v>
      </c>
      <c r="AO77">
        <f t="shared" si="80"/>
        <v>-1.7126948075062839E-3</v>
      </c>
      <c r="AP77" s="41" t="str">
        <f t="shared" si="81"/>
        <v>89,105797125987-168,225302278588i</v>
      </c>
      <c r="AQ77">
        <f t="shared" si="82"/>
        <v>45.591833404127293</v>
      </c>
      <c r="AR77" s="43">
        <f t="shared" si="83"/>
        <v>-62.090667809308421</v>
      </c>
      <c r="AS77" t="str">
        <f t="shared" si="58"/>
        <v>-0,0000166666666666667</v>
      </c>
      <c r="AT77" t="str">
        <f t="shared" si="59"/>
        <v>0,0000541444066656962i</v>
      </c>
      <c r="AU77">
        <f t="shared" si="84"/>
        <v>5.4144406665696203E-5</v>
      </c>
      <c r="AV77">
        <f t="shared" si="85"/>
        <v>1.5707963267948966</v>
      </c>
      <c r="AW77" t="str">
        <f t="shared" si="60"/>
        <v>1+0,0019301717156939i</v>
      </c>
      <c r="AX77">
        <f t="shared" si="86"/>
        <v>1.0000018627796909</v>
      </c>
      <c r="AY77">
        <f t="shared" si="87"/>
        <v>1.930169318707244E-3</v>
      </c>
      <c r="AZ77" t="str">
        <f t="shared" si="61"/>
        <v>1+0,285022023350799i</v>
      </c>
      <c r="BA77">
        <f t="shared" si="88"/>
        <v>1.0398257324162465</v>
      </c>
      <c r="BB77">
        <f t="shared" si="89"/>
        <v>0.27765952588929088</v>
      </c>
      <c r="BC77" s="41" t="str">
        <f t="shared" si="90"/>
        <v>-0,0871406713994905+0,307987003479709i</v>
      </c>
      <c r="BD77">
        <f t="shared" si="91"/>
        <v>-9.8949019528415061</v>
      </c>
      <c r="BE77" s="43">
        <f t="shared" si="92"/>
        <v>105.7981284193522</v>
      </c>
      <c r="BF77" s="41" t="str">
        <f t="shared" si="93"/>
        <v>6,49080683102287+6,07668564437897i</v>
      </c>
      <c r="BG77" s="20">
        <f t="shared" si="94"/>
        <v>18.979385816612783</v>
      </c>
      <c r="BH77" s="43">
        <f t="shared" si="95"/>
        <v>43.112685251338419</v>
      </c>
      <c r="BI77" s="41" t="str">
        <f t="shared" si="101"/>
        <v>44,0464677711053+42,102693236442i</v>
      </c>
      <c r="BJ77" s="20">
        <f t="shared" si="97"/>
        <v>35.696931451285785</v>
      </c>
      <c r="BK77" s="43">
        <f t="shared" si="102"/>
        <v>43.707460610043789</v>
      </c>
      <c r="BL77">
        <f t="shared" si="99"/>
        <v>18.979385816612783</v>
      </c>
      <c r="BM77" s="43">
        <f t="shared" si="100"/>
        <v>43.112685251338419</v>
      </c>
    </row>
    <row r="78" spans="1:65" x14ac:dyDescent="0.35">
      <c r="B78">
        <f>B77/(2*PI())</f>
        <v>22715.358445106762</v>
      </c>
      <c r="C78" t="s">
        <v>65</v>
      </c>
      <c r="N78" s="9">
        <v>60</v>
      </c>
      <c r="O78" s="34">
        <f t="shared" si="62"/>
        <v>39.810717055349755</v>
      </c>
      <c r="P78" s="33" t="str">
        <f t="shared" si="50"/>
        <v>59,1053597814893</v>
      </c>
      <c r="Q78" s="4" t="str">
        <f t="shared" si="63"/>
        <v>1+1,92198540724176i</v>
      </c>
      <c r="R78" s="4">
        <f t="shared" si="64"/>
        <v>2.1665705401971738</v>
      </c>
      <c r="S78" s="4">
        <f t="shared" si="65"/>
        <v>1.0910446058031833</v>
      </c>
      <c r="T78" s="4" t="str">
        <f t="shared" si="51"/>
        <v>1+0,000325179546211594i</v>
      </c>
      <c r="U78" s="4">
        <f t="shared" si="66"/>
        <v>1.0000000528708672</v>
      </c>
      <c r="V78" s="4">
        <f t="shared" si="67"/>
        <v>3.2517953474991133E-4</v>
      </c>
      <c r="W78" t="str">
        <f t="shared" si="52"/>
        <v>1-0,012006629398582i</v>
      </c>
      <c r="X78" s="4">
        <f t="shared" si="68"/>
        <v>1.000072076977212</v>
      </c>
      <c r="Y78" s="4">
        <f t="shared" si="69"/>
        <v>-1.2006052493320001E-2</v>
      </c>
      <c r="Z78" t="str">
        <f t="shared" si="53"/>
        <v>0,999999967254273+0,00112334752327642i</v>
      </c>
      <c r="AA78" s="4">
        <f t="shared" si="70"/>
        <v>1.0000005982089237</v>
      </c>
      <c r="AB78" s="4">
        <f t="shared" si="71"/>
        <v>1.1233470875405343E-3</v>
      </c>
      <c r="AC78" s="47" t="str">
        <f t="shared" si="72"/>
        <v>12,2815893690684-24,3618670320359i</v>
      </c>
      <c r="AD78" s="20">
        <f t="shared" si="73"/>
        <v>28.717701927779352</v>
      </c>
      <c r="AE78" s="43">
        <f t="shared" si="74"/>
        <v>-63.245878941635958</v>
      </c>
      <c r="AF78" t="str">
        <f t="shared" si="54"/>
        <v>405,634542683733</v>
      </c>
      <c r="AG78" t="str">
        <f t="shared" si="55"/>
        <v>1+1,92540520783181i</v>
      </c>
      <c r="AH78">
        <f t="shared" si="75"/>
        <v>2.1696048521207394</v>
      </c>
      <c r="AI78">
        <f t="shared" si="76"/>
        <v>1.0917721298359337</v>
      </c>
      <c r="AJ78" t="str">
        <f t="shared" si="56"/>
        <v>1+0,000325179546211594i</v>
      </c>
      <c r="AK78">
        <f t="shared" si="77"/>
        <v>1.0000000528708672</v>
      </c>
      <c r="AL78">
        <f t="shared" si="78"/>
        <v>3.2517953474991133E-4</v>
      </c>
      <c r="AM78" t="str">
        <f t="shared" si="57"/>
        <v>1-0,00175259030807526i</v>
      </c>
      <c r="AN78">
        <f t="shared" si="79"/>
        <v>1.0000015357852146</v>
      </c>
      <c r="AO78">
        <f t="shared" si="80"/>
        <v>-1.7525885136756673E-3</v>
      </c>
      <c r="AP78" s="41" t="str">
        <f t="shared" si="81"/>
        <v>85,9366972254676-166,041971493391i</v>
      </c>
      <c r="AQ78">
        <f t="shared" si="82"/>
        <v>45.435099553584422</v>
      </c>
      <c r="AR78" s="43">
        <f t="shared" si="83"/>
        <v>-62.635719739739457</v>
      </c>
      <c r="AS78" t="str">
        <f t="shared" si="58"/>
        <v>-0,0000166666666666667</v>
      </c>
      <c r="AT78" t="str">
        <f t="shared" si="59"/>
        <v>0,0000554055919122063i</v>
      </c>
      <c r="AU78">
        <f t="shared" si="84"/>
        <v>5.5405591912206297E-5</v>
      </c>
      <c r="AV78">
        <f t="shared" si="85"/>
        <v>1.5707963267948966</v>
      </c>
      <c r="AW78" t="str">
        <f t="shared" si="60"/>
        <v>1+0,00197513119056808i</v>
      </c>
      <c r="AX78">
        <f t="shared" si="86"/>
        <v>1.0000019505697078</v>
      </c>
      <c r="AY78">
        <f t="shared" si="87"/>
        <v>1.9751286221508747E-3</v>
      </c>
      <c r="AZ78" t="str">
        <f t="shared" si="61"/>
        <v>1+0,291661039140553i</v>
      </c>
      <c r="BA78">
        <f t="shared" si="88"/>
        <v>1.0416650909733642</v>
      </c>
      <c r="BB78">
        <f t="shared" si="89"/>
        <v>0.2837889228724163</v>
      </c>
      <c r="BC78" s="41" t="str">
        <f t="shared" si="90"/>
        <v>-0,0871406560993587+0,300984109758462i</v>
      </c>
      <c r="BD78">
        <f t="shared" si="91"/>
        <v>-10.079551728081119</v>
      </c>
      <c r="BE78" s="43">
        <f t="shared" si="92"/>
        <v>106.14674101910835</v>
      </c>
      <c r="BF78" s="41" t="str">
        <f t="shared" si="93"/>
        <v>6,26230910512782+5,81947231964499i</v>
      </c>
      <c r="BG78" s="20">
        <f t="shared" si="94"/>
        <v>18.638150199698231</v>
      </c>
      <c r="BH78" s="43">
        <f t="shared" si="95"/>
        <v>42.900862077472425</v>
      </c>
      <c r="BI78" s="41" t="str">
        <f t="shared" si="101"/>
        <v>42,487414793239+40,334586645955i</v>
      </c>
      <c r="BJ78" s="20">
        <f t="shared" si="97"/>
        <v>35.355547825503301</v>
      </c>
      <c r="BK78" s="43">
        <f t="shared" si="102"/>
        <v>43.511021279368961</v>
      </c>
      <c r="BL78">
        <f t="shared" si="99"/>
        <v>18.638150199698231</v>
      </c>
      <c r="BM78" s="43">
        <f t="shared" si="100"/>
        <v>42.900862077472425</v>
      </c>
    </row>
    <row r="79" spans="1:65" x14ac:dyDescent="0.35">
      <c r="N79" s="9">
        <v>61</v>
      </c>
      <c r="O79" s="34">
        <f t="shared" si="62"/>
        <v>40.738027780411279</v>
      </c>
      <c r="P79" s="33" t="str">
        <f t="shared" si="50"/>
        <v>59,1053597814893</v>
      </c>
      <c r="Q79" s="4" t="str">
        <f t="shared" si="63"/>
        <v>1+1,96675419849637i</v>
      </c>
      <c r="R79" s="4">
        <f t="shared" si="64"/>
        <v>2.2063821240444952</v>
      </c>
      <c r="S79" s="4">
        <f t="shared" si="65"/>
        <v>1.1004100451093588</v>
      </c>
      <c r="T79" s="4" t="str">
        <f t="shared" si="51"/>
        <v>1+0,00033275395087136i</v>
      </c>
      <c r="U79" s="4">
        <f t="shared" si="66"/>
        <v>1.0000000553625945</v>
      </c>
      <c r="V79" s="4">
        <f t="shared" si="67"/>
        <v>3.3275393858994576E-4</v>
      </c>
      <c r="W79" t="str">
        <f t="shared" si="52"/>
        <v>1-0,012286299724481i</v>
      </c>
      <c r="X79" s="4">
        <f t="shared" si="68"/>
        <v>1.0000754737323179</v>
      </c>
      <c r="Y79" s="4">
        <f t="shared" si="69"/>
        <v>-1.2285681561875055E-2</v>
      </c>
      <c r="Z79" t="str">
        <f t="shared" si="53"/>
        <v>0,999999965711014+0,0011495136484647i</v>
      </c>
      <c r="AA79" s="4">
        <f t="shared" si="70"/>
        <v>1.0000006264016323</v>
      </c>
      <c r="AB79" s="4">
        <f t="shared" si="71"/>
        <v>1.1495131815653025E-3</v>
      </c>
      <c r="AC79" s="47" t="str">
        <f t="shared" si="72"/>
        <v>11,8282859770648-24,0377914310854i</v>
      </c>
      <c r="AD79" s="20">
        <f t="shared" si="73"/>
        <v>28.559573272953806</v>
      </c>
      <c r="AE79" s="43">
        <f t="shared" si="74"/>
        <v>-63.799565878004792</v>
      </c>
      <c r="AF79" t="str">
        <f t="shared" si="54"/>
        <v>405,634542683733</v>
      </c>
      <c r="AG79" t="str">
        <f t="shared" si="55"/>
        <v>1+1,97025365647516i</v>
      </c>
      <c r="AH79">
        <f t="shared" si="75"/>
        <v>2.2095020866371087</v>
      </c>
      <c r="AI79">
        <f t="shared" si="76"/>
        <v>1.1011278818353221</v>
      </c>
      <c r="AJ79" t="str">
        <f t="shared" si="56"/>
        <v>1+0,00033275395087136i</v>
      </c>
      <c r="AK79">
        <f t="shared" si="77"/>
        <v>1.0000000553625945</v>
      </c>
      <c r="AL79">
        <f t="shared" si="78"/>
        <v>3.3275393858994576E-4</v>
      </c>
      <c r="AM79" t="str">
        <f t="shared" si="57"/>
        <v>1-0,00179341338059258i</v>
      </c>
      <c r="AN79">
        <f t="shared" si="79"/>
        <v>1.0000016081644838</v>
      </c>
      <c r="AO79">
        <f t="shared" si="80"/>
        <v>-1.7934114578589421E-3</v>
      </c>
      <c r="AP79" s="41" t="str">
        <f t="shared" si="81"/>
        <v>82,8504199759252-163,828836817861i</v>
      </c>
      <c r="AQ79">
        <f t="shared" si="82"/>
        <v>45.276824751996408</v>
      </c>
      <c r="AR79" s="43">
        <f t="shared" si="83"/>
        <v>-63.173669844512141</v>
      </c>
      <c r="AS79" t="str">
        <f t="shared" si="58"/>
        <v>-0,0000166666666666667</v>
      </c>
      <c r="AT79" t="str">
        <f t="shared" si="59"/>
        <v>0,0000566961539369279i</v>
      </c>
      <c r="AU79">
        <f t="shared" si="84"/>
        <v>5.6696153936927903E-5</v>
      </c>
      <c r="AV79">
        <f t="shared" si="85"/>
        <v>1.5707963267948966</v>
      </c>
      <c r="AW79" t="str">
        <f t="shared" si="60"/>
        <v>1+0,00202113790614346i</v>
      </c>
      <c r="AX79">
        <f t="shared" si="86"/>
        <v>1.0000020424971319</v>
      </c>
      <c r="AY79">
        <f t="shared" si="87"/>
        <v>2.0211351540351434E-3</v>
      </c>
      <c r="AZ79" t="str">
        <f t="shared" si="61"/>
        <v>1+0,298454697473851i</v>
      </c>
      <c r="BA79">
        <f t="shared" si="88"/>
        <v>1.0435876611211001</v>
      </c>
      <c r="BB79">
        <f t="shared" si="89"/>
        <v>0.29003848346332861</v>
      </c>
      <c r="BC79" s="41" t="str">
        <f t="shared" si="90"/>
        <v>-0,0871406400781602+0,294140801793356i</v>
      </c>
      <c r="BD79">
        <f t="shared" si="91"/>
        <v>-10.263536015516856</v>
      </c>
      <c r="BE79" s="43">
        <f t="shared" si="92"/>
        <v>106.5021784846719</v>
      </c>
      <c r="BF79" s="41" t="str">
        <f t="shared" si="93"/>
        <v>6,03977083381197+5,57385005250505i</v>
      </c>
      <c r="BG79" s="20">
        <f t="shared" si="94"/>
        <v>18.296037257436954</v>
      </c>
      <c r="BH79" s="43">
        <f t="shared" si="95"/>
        <v>42.702612606667145</v>
      </c>
      <c r="BI79" s="41" t="str">
        <f t="shared" si="101"/>
        <v>40,969106791032+38,6458386642038i</v>
      </c>
      <c r="BJ79" s="20">
        <f t="shared" si="97"/>
        <v>35.013288736479552</v>
      </c>
      <c r="BK79" s="43">
        <f t="shared" si="102"/>
        <v>43.328508640159789</v>
      </c>
      <c r="BL79">
        <f t="shared" si="99"/>
        <v>18.296037257436954</v>
      </c>
      <c r="BM79" s="43">
        <f t="shared" si="100"/>
        <v>42.702612606667145</v>
      </c>
    </row>
    <row r="80" spans="1:65" x14ac:dyDescent="0.35">
      <c r="N80" s="9">
        <v>62</v>
      </c>
      <c r="O80" s="34">
        <f t="shared" si="62"/>
        <v>41.686938347033561</v>
      </c>
      <c r="P80" s="33" t="str">
        <f t="shared" si="50"/>
        <v>59,1053597814893</v>
      </c>
      <c r="Q80" s="4" t="str">
        <f t="shared" si="63"/>
        <v>1+2,01256578886009i</v>
      </c>
      <c r="R80" s="4">
        <f t="shared" si="64"/>
        <v>2.2473141868661886</v>
      </c>
      <c r="S80" s="4">
        <f t="shared" si="65"/>
        <v>1.1096493016046391</v>
      </c>
      <c r="T80" s="4" t="str">
        <f t="shared" si="51"/>
        <v>1+0,000340504786080398i</v>
      </c>
      <c r="U80" s="4">
        <f t="shared" si="66"/>
        <v>1.000000057971753</v>
      </c>
      <c r="V80" s="4">
        <f t="shared" si="67"/>
        <v>3.4050477292062561E-4</v>
      </c>
      <c r="W80" t="str">
        <f t="shared" si="52"/>
        <v>1-0,0125724844091224i</v>
      </c>
      <c r="X80" s="4">
        <f t="shared" si="68"/>
        <v>1.0000790305591942</v>
      </c>
      <c r="Y80" s="4">
        <f t="shared" si="69"/>
        <v>-1.2571822038783339E-2</v>
      </c>
      <c r="Z80" t="str">
        <f t="shared" si="53"/>
        <v>0,999999964095024+0,00117628926100501i</v>
      </c>
      <c r="AA80" s="4">
        <f t="shared" si="70"/>
        <v>1.0000006559230223</v>
      </c>
      <c r="AB80" s="4">
        <f t="shared" si="71"/>
        <v>1.1762887607133098E-3</v>
      </c>
      <c r="AC80" s="47" t="str">
        <f t="shared" si="72"/>
        <v>11,3871148844259-23,709817638693i</v>
      </c>
      <c r="AD80" s="20">
        <f t="shared" si="73"/>
        <v>28.399942667106963</v>
      </c>
      <c r="AE80" s="43">
        <f t="shared" si="74"/>
        <v>-64.346420960282117</v>
      </c>
      <c r="AF80" t="str">
        <f t="shared" si="54"/>
        <v>405,634542683733</v>
      </c>
      <c r="AG80" t="str">
        <f t="shared" si="55"/>
        <v>1+2,01614675968657i</v>
      </c>
      <c r="AH80">
        <f t="shared" si="75"/>
        <v>2.2505216632138105</v>
      </c>
      <c r="AI80">
        <f t="shared" si="76"/>
        <v>1.1103573351398119</v>
      </c>
      <c r="AJ80" t="str">
        <f t="shared" si="56"/>
        <v>1+0,000340504786080398i</v>
      </c>
      <c r="AK80">
        <f t="shared" si="77"/>
        <v>1.000000057971753</v>
      </c>
      <c r="AL80">
        <f t="shared" si="78"/>
        <v>3.4050477292062561E-4</v>
      </c>
      <c r="AM80" t="str">
        <f t="shared" si="57"/>
        <v>1-0,00183518734462293i</v>
      </c>
      <c r="AN80">
        <f t="shared" si="79"/>
        <v>1.0000016839548771</v>
      </c>
      <c r="AO80">
        <f t="shared" si="80"/>
        <v>-1.8351852843769057E-3</v>
      </c>
      <c r="AP80" s="41" t="str">
        <f t="shared" si="81"/>
        <v>79,8469048125528-161,589373284922i</v>
      </c>
      <c r="AQ80">
        <f t="shared" si="82"/>
        <v>45.117049798745583</v>
      </c>
      <c r="AR80" s="43">
        <f t="shared" si="83"/>
        <v>-63.704427939931215</v>
      </c>
      <c r="AS80" t="str">
        <f t="shared" si="58"/>
        <v>-0,0000166666666666667</v>
      </c>
      <c r="AT80" t="str">
        <f t="shared" si="59"/>
        <v>0,0000580167770129292i</v>
      </c>
      <c r="AU80">
        <f t="shared" si="84"/>
        <v>5.8016777012929199E-5</v>
      </c>
      <c r="AV80">
        <f t="shared" si="85"/>
        <v>1.5707963267948966</v>
      </c>
      <c r="AW80" t="str">
        <f t="shared" si="60"/>
        <v>1+0,00206821625578961i</v>
      </c>
      <c r="AX80">
        <f t="shared" si="86"/>
        <v>1.0000021387569533</v>
      </c>
      <c r="AY80">
        <f t="shared" si="87"/>
        <v>2.0682133068527595E-3</v>
      </c>
      <c r="AZ80" t="str">
        <f t="shared" si="61"/>
        <v>1+0,305406600438265i</v>
      </c>
      <c r="BA80">
        <f t="shared" si="88"/>
        <v>1.0455970502977034</v>
      </c>
      <c r="BB80">
        <f t="shared" si="89"/>
        <v>0.29640956780846406</v>
      </c>
      <c r="BC80" s="41" t="str">
        <f t="shared" si="90"/>
        <v>-0,0871406233019122+0,287453451171721i</v>
      </c>
      <c r="BD80">
        <f t="shared" si="91"/>
        <v>-10.446828575020833</v>
      </c>
      <c r="BE80" s="43">
        <f t="shared" si="92"/>
        <v>106.86451734910634</v>
      </c>
      <c r="BF80" s="41" t="str">
        <f t="shared" si="93"/>
        <v>5,82318861825509+5,33935375982748i</v>
      </c>
      <c r="BG80" s="20">
        <f t="shared" si="94"/>
        <v>17.953114092086125</v>
      </c>
      <c r="BH80" s="43">
        <f t="shared" si="95"/>
        <v>42.518096388824262</v>
      </c>
      <c r="BI80" s="41" t="str">
        <f t="shared" si="101"/>
        <v>39,491513969332+37,0332670607617i</v>
      </c>
      <c r="BJ80" s="20">
        <f t="shared" si="97"/>
        <v>34.670221223724752</v>
      </c>
      <c r="BK80" s="43">
        <f t="shared" si="102"/>
        <v>43.160089409175171</v>
      </c>
      <c r="BL80">
        <f t="shared" si="99"/>
        <v>17.953114092086125</v>
      </c>
      <c r="BM80" s="43">
        <f t="shared" si="100"/>
        <v>42.518096388824262</v>
      </c>
    </row>
    <row r="81" spans="14:65" x14ac:dyDescent="0.35">
      <c r="N81" s="9">
        <v>63</v>
      </c>
      <c r="O81" s="34">
        <f t="shared" si="62"/>
        <v>42.657951880159267</v>
      </c>
      <c r="P81" s="33" t="str">
        <f t="shared" si="50"/>
        <v>59,1053597814893</v>
      </c>
      <c r="Q81" s="4" t="str">
        <f t="shared" si="63"/>
        <v>1+2,05944446824452i</v>
      </c>
      <c r="R81" s="4">
        <f t="shared" si="64"/>
        <v>2.2893910801309052</v>
      </c>
      <c r="S81" s="4">
        <f t="shared" si="65"/>
        <v>1.1187609635456717</v>
      </c>
      <c r="T81" s="4" t="str">
        <f t="shared" si="51"/>
        <v>1+0,000348436161434128i</v>
      </c>
      <c r="U81" s="4">
        <f t="shared" si="66"/>
        <v>1.0000000607038775</v>
      </c>
      <c r="V81" s="4">
        <f t="shared" si="67"/>
        <v>3.4843614733317787E-4</v>
      </c>
      <c r="W81" t="str">
        <f t="shared" si="52"/>
        <v>1-0,012865335191414i</v>
      </c>
      <c r="X81" s="4">
        <f t="shared" si="68"/>
        <v>1.0000827550005986</v>
      </c>
      <c r="Y81" s="4">
        <f t="shared" si="69"/>
        <v>-1.2864625451980378E-2</v>
      </c>
      <c r="Z81" t="str">
        <f t="shared" si="53"/>
        <v>0,999999962402875+0,00120368855768153i</v>
      </c>
      <c r="AA81" s="4">
        <f t="shared" si="70"/>
        <v>1.0000006868357116</v>
      </c>
      <c r="AB81" s="4">
        <f t="shared" si="71"/>
        <v>1.2036880216093342E-3</v>
      </c>
      <c r="AC81" s="47" t="str">
        <f t="shared" si="72"/>
        <v>10,9580445050773-23,3784435816563i</v>
      </c>
      <c r="AD81" s="20">
        <f t="shared" si="73"/>
        <v>28.238850910175678</v>
      </c>
      <c r="AE81" s="43">
        <f t="shared" si="74"/>
        <v>-64.886372561388015</v>
      </c>
      <c r="AF81" t="str">
        <f t="shared" si="54"/>
        <v>405,634542683733</v>
      </c>
      <c r="AG81" t="str">
        <f t="shared" si="55"/>
        <v>1+2,06310885059681i</v>
      </c>
      <c r="AH81">
        <f t="shared" si="75"/>
        <v>2.2926879703550784</v>
      </c>
      <c r="AI81">
        <f t="shared" si="76"/>
        <v>1.1194590928683452</v>
      </c>
      <c r="AJ81" t="str">
        <f t="shared" si="56"/>
        <v>1+0,000348436161434128i</v>
      </c>
      <c r="AK81">
        <f t="shared" si="77"/>
        <v>1.0000000607038775</v>
      </c>
      <c r="AL81">
        <f t="shared" si="78"/>
        <v>3.4843614733317787E-4</v>
      </c>
      <c r="AM81" t="str">
        <f t="shared" si="57"/>
        <v>1-0,00187793434927497i</v>
      </c>
      <c r="AN81">
        <f t="shared" si="79"/>
        <v>1.0000017633171554</v>
      </c>
      <c r="AO81">
        <f t="shared" si="80"/>
        <v>-1.8779321416817916E-3</v>
      </c>
      <c r="AP81" s="41" t="str">
        <f t="shared" si="81"/>
        <v>76,9259236486134-159,326971217749i</v>
      </c>
      <c r="AQ81">
        <f t="shared" si="82"/>
        <v>44.955815421777103</v>
      </c>
      <c r="AR81" s="43">
        <f t="shared" si="83"/>
        <v>-64.227915024158165</v>
      </c>
      <c r="AS81" t="str">
        <f t="shared" si="58"/>
        <v>-0,0000166666666666667</v>
      </c>
      <c r="AT81" t="str">
        <f t="shared" si="59"/>
        <v>0,0000593681613520456i</v>
      </c>
      <c r="AU81">
        <f t="shared" si="84"/>
        <v>5.9368161352045601E-5</v>
      </c>
      <c r="AV81">
        <f t="shared" si="85"/>
        <v>1.5707963267948966</v>
      </c>
      <c r="AW81" t="str">
        <f t="shared" si="60"/>
        <v>1+0,00211639120107064i</v>
      </c>
      <c r="AX81">
        <f t="shared" si="86"/>
        <v>1.0000022395533501</v>
      </c>
      <c r="AY81">
        <f t="shared" si="87"/>
        <v>2.1163880412282572E-3</v>
      </c>
      <c r="AZ81" t="str">
        <f t="shared" si="61"/>
        <v>1+0,312520434024764i</v>
      </c>
      <c r="BA81">
        <f t="shared" si="88"/>
        <v>1.0476970085301509</v>
      </c>
      <c r="BB81">
        <f t="shared" si="89"/>
        <v>0.30290348431770125</v>
      </c>
      <c r="BC81" s="41" t="str">
        <f t="shared" si="90"/>
        <v>-0,0871406057350304+0,280918512171522i</v>
      </c>
      <c r="BD81">
        <f t="shared" si="91"/>
        <v>-10.629402360916531</v>
      </c>
      <c r="BE81" s="43">
        <f t="shared" si="92"/>
        <v>107.23383114863709</v>
      </c>
      <c r="BF81" s="41" t="str">
        <f t="shared" si="93"/>
        <v>5,6125469520009+5,1155292935234i</v>
      </c>
      <c r="BG81" s="20">
        <f t="shared" si="94"/>
        <v>17.609448549259149</v>
      </c>
      <c r="BH81" s="43">
        <f t="shared" si="95"/>
        <v>42.347458587249065</v>
      </c>
      <c r="BI81" s="41" t="str">
        <f t="shared" si="101"/>
        <v>38,0545241198181+35,493764800631i</v>
      </c>
      <c r="BJ81" s="20">
        <f t="shared" si="97"/>
        <v>34.326413060860574</v>
      </c>
      <c r="BK81" s="43">
        <f t="shared" si="102"/>
        <v>43.005916124478929</v>
      </c>
      <c r="BL81">
        <f t="shared" si="99"/>
        <v>17.609448549259149</v>
      </c>
      <c r="BM81" s="43">
        <f t="shared" si="100"/>
        <v>42.347458587249065</v>
      </c>
    </row>
    <row r="82" spans="14:65" x14ac:dyDescent="0.35">
      <c r="N82" s="9">
        <v>64</v>
      </c>
      <c r="O82" s="34">
        <f t="shared" si="62"/>
        <v>43.651583224016633</v>
      </c>
      <c r="P82" s="33" t="str">
        <f t="shared" si="50"/>
        <v>59,1053597814893</v>
      </c>
      <c r="Q82" s="4" t="str">
        <f t="shared" si="63"/>
        <v>1+2,10741509234597i</v>
      </c>
      <c r="R82" s="4">
        <f t="shared" si="64"/>
        <v>2.3326376425513615</v>
      </c>
      <c r="S82" s="4">
        <f t="shared" si="65"/>
        <v>1.1277438093176606</v>
      </c>
      <c r="T82" s="4" t="str">
        <f t="shared" si="51"/>
        <v>1+0,000356552282252749i</v>
      </c>
      <c r="U82" s="4">
        <f t="shared" si="66"/>
        <v>1.000000063564763</v>
      </c>
      <c r="V82" s="4">
        <f t="shared" si="67"/>
        <v>3.5655226714330883E-4</v>
      </c>
      <c r="W82" t="str">
        <f t="shared" si="52"/>
        <v>1-0,0131650073447169i</v>
      </c>
      <c r="X82" s="4">
        <f t="shared" si="68"/>
        <v>1.0000866549546525</v>
      </c>
      <c r="Y82" s="4">
        <f t="shared" si="69"/>
        <v>-1.3164246848770975E-2</v>
      </c>
      <c r="Z82" t="str">
        <f t="shared" si="53"/>
        <v>0,999999960630977+0,00123172606596404i</v>
      </c>
      <c r="AA82" s="4">
        <f t="shared" si="70"/>
        <v>1.00000071920527</v>
      </c>
      <c r="AB82" s="4">
        <f t="shared" si="71"/>
        <v>1.2317254915523558E-3</v>
      </c>
      <c r="AC82" s="47" t="str">
        <f t="shared" si="72"/>
        <v>10,5410200147089-23,044153742975i</v>
      </c>
      <c r="AD82" s="20">
        <f t="shared" si="73"/>
        <v>28.07633865952495</v>
      </c>
      <c r="AE82" s="43">
        <f t="shared" si="74"/>
        <v>-65.419360162912781</v>
      </c>
      <c r="AF82" t="str">
        <f t="shared" si="54"/>
        <v>405,634542683733</v>
      </c>
      <c r="AG82" t="str">
        <f t="shared" si="55"/>
        <v>1+2,11116482912811i</v>
      </c>
      <c r="AH82">
        <f t="shared" si="75"/>
        <v>2.3360258850765163</v>
      </c>
      <c r="AI82">
        <f t="shared" si="76"/>
        <v>1.1284319478655533</v>
      </c>
      <c r="AJ82" t="str">
        <f t="shared" si="56"/>
        <v>1+0,000356552282252749i</v>
      </c>
      <c r="AK82">
        <f t="shared" si="77"/>
        <v>1.000000063564763</v>
      </c>
      <c r="AL82">
        <f t="shared" si="78"/>
        <v>3.5655226714330883E-4</v>
      </c>
      <c r="AM82" t="str">
        <f t="shared" si="57"/>
        <v>1-0,00192167705957639i</v>
      </c>
      <c r="AN82">
        <f t="shared" si="79"/>
        <v>1.0000018464196561</v>
      </c>
      <c r="AO82">
        <f t="shared" si="80"/>
        <v>-1.9216746940979171E-3</v>
      </c>
      <c r="AP82" s="41" t="str">
        <f t="shared" si="81"/>
        <v>74,0870906141294-157,04492867027i</v>
      </c>
      <c r="AQ82">
        <f t="shared" si="82"/>
        <v>44.793162197454457</v>
      </c>
      <c r="AR82" s="43">
        <f t="shared" si="83"/>
        <v>-64.744062989908542</v>
      </c>
      <c r="AS82" t="str">
        <f t="shared" si="58"/>
        <v>-0,0000166666666666667</v>
      </c>
      <c r="AT82" t="str">
        <f t="shared" si="59"/>
        <v>0,0000607510234761414i</v>
      </c>
      <c r="AU82">
        <f t="shared" si="84"/>
        <v>6.0751023476141402E-5</v>
      </c>
      <c r="AV82">
        <f t="shared" si="85"/>
        <v>1.5707963267948966</v>
      </c>
      <c r="AW82" t="str">
        <f t="shared" si="60"/>
        <v>1+0,00216568828498023i</v>
      </c>
      <c r="AX82">
        <f t="shared" si="86"/>
        <v>1.0000023451001241</v>
      </c>
      <c r="AY82">
        <f t="shared" si="87"/>
        <v>2.1656848991485444E-3</v>
      </c>
      <c r="AZ82" t="str">
        <f t="shared" si="61"/>
        <v>1+0,319799970082081i</v>
      </c>
      <c r="BA82">
        <f t="shared" si="88"/>
        <v>1.0498914328941349</v>
      </c>
      <c r="BB82">
        <f t="shared" si="89"/>
        <v>0.30952148451805278</v>
      </c>
      <c r="BC82" s="41" t="str">
        <f t="shared" si="90"/>
        <v>-0,0871405873402548+0,274532519881369i</v>
      </c>
      <c r="BD82">
        <f t="shared" si="91"/>
        <v>-10.811229517356205</v>
      </c>
      <c r="BE82" s="43">
        <f t="shared" si="92"/>
        <v>107.61019012703179</v>
      </c>
      <c r="BF82" s="41" t="str">
        <f t="shared" si="93"/>
        <v>5,40781892034549+4,90193387867995i</v>
      </c>
      <c r="BG82" s="20">
        <f t="shared" si="94"/>
        <v>17.265109142168743</v>
      </c>
      <c r="BH82" s="43">
        <f t="shared" si="95"/>
        <v>42.190829964119004</v>
      </c>
      <c r="BI82" s="41" t="str">
        <f t="shared" si="101"/>
        <v>36,6579474119932+34,024303000112i</v>
      </c>
      <c r="BJ82" s="20">
        <f t="shared" si="97"/>
        <v>33.981932680098261</v>
      </c>
      <c r="BK82" s="43">
        <f t="shared" si="102"/>
        <v>42.866127137123222</v>
      </c>
      <c r="BL82">
        <f t="shared" si="99"/>
        <v>17.265109142168743</v>
      </c>
      <c r="BM82" s="43">
        <f t="shared" si="100"/>
        <v>42.190829964119004</v>
      </c>
    </row>
    <row r="83" spans="14:65" x14ac:dyDescent="0.35">
      <c r="N83" s="9">
        <v>65</v>
      </c>
      <c r="O83" s="34">
        <f t="shared" si="62"/>
        <v>44.668359215096324</v>
      </c>
      <c r="P83" s="33" t="str">
        <f t="shared" ref="P83:P146" si="103">COMPLEX(Adc,0)</f>
        <v>59,1053597814893</v>
      </c>
      <c r="Q83" s="4" t="str">
        <f t="shared" ref="Q83:Q146" si="104">IMSUM(COMPLEX(1,0),IMDIV(COMPLEX(0,2*PI()*O83),COMPLEX(wp_lf,0)))</f>
        <v>1+2,15650309582433i</v>
      </c>
      <c r="R83" s="4">
        <f t="shared" si="64"/>
        <v>2.3770792166648382</v>
      </c>
      <c r="S83" s="4">
        <f t="shared" si="65"/>
        <v>1.1365968020379089</v>
      </c>
      <c r="T83" s="4" t="str">
        <f t="shared" ref="T83:T146" si="105">IMSUM(COMPLEX(1,0),IMDIV(COMPLEX(0,2*PI()*O83),COMPLEX(wz_esr,0)))</f>
        <v>1+0,000364857451810947i</v>
      </c>
      <c r="U83" s="4">
        <f t="shared" si="66"/>
        <v>1.0000000665604778</v>
      </c>
      <c r="V83" s="4">
        <f t="shared" si="67"/>
        <v>3.6485743562089022E-4</v>
      </c>
      <c r="W83" t="str">
        <f t="shared" ref="W83:W146" si="106">IMSUB(COMPLEX(1,0),IMDIV(COMPLEX(0,2*PI()*O83),COMPLEX(wz_rhp,0)))</f>
        <v>1-0,0134716597591734i</v>
      </c>
      <c r="X83" s="4">
        <f t="shared" si="68"/>
        <v>1.0000907386915783</v>
      </c>
      <c r="Y83" s="4">
        <f t="shared" si="69"/>
        <v>-1.3470844877078881E-2</v>
      </c>
      <c r="Z83" t="str">
        <f t="shared" ref="Z83:Z146" si="107">IMSUM(COMPLEX(1,0),IMDIV(COMPLEX(0,2*PI()*O83),COMPLEX(Q*(wsl/2),0)),IMDIV(IMPOWER(COMPLEX(0,2*PI()*O83),2),IMPOWER(COMPLEX(wsl/2,0),2)))</f>
        <v>0,999999958775572+0,00126041665171054i</v>
      </c>
      <c r="AA83" s="4">
        <f t="shared" si="70"/>
        <v>1.0000007531003572</v>
      </c>
      <c r="AB83" s="4">
        <f t="shared" si="71"/>
        <v>1.2604160362173563E-3</v>
      </c>
      <c r="AC83" s="47" t="str">
        <f t="shared" si="72"/>
        <v>10,1359648055655-22,707418183206i</v>
      </c>
      <c r="AD83" s="20">
        <f t="shared" si="73"/>
        <v>27.912446354417465</v>
      </c>
      <c r="AE83" s="43">
        <f t="shared" si="74"/>
        <v>-65.945334050891191</v>
      </c>
      <c r="AF83" t="str">
        <f t="shared" ref="AF83:AF146" si="108">COMPLEX($B$72,0)</f>
        <v>405,634542683733</v>
      </c>
      <c r="AG83" t="str">
        <f t="shared" ref="AG83:AG146" si="109">IMSUM(COMPLEX(1,0),IMDIV(COMPLEX(0,2*PI()*O83),COMPLEX(wp_lf_DCM,0)))</f>
        <v>1+2,16034017519639i</v>
      </c>
      <c r="AH83">
        <f t="shared" si="75"/>
        <v>2.3805607895131704</v>
      </c>
      <c r="AI83">
        <f t="shared" si="76"/>
        <v>1.1372748772762002</v>
      </c>
      <c r="AJ83" t="str">
        <f t="shared" ref="AJ83:AJ146" si="110">IMSUM(COMPLEX(1,0),IMDIV(COMPLEX(0,2*PI()*O83),COMPLEX(wz1_dcm,0)))</f>
        <v>1+0,000364857451810947i</v>
      </c>
      <c r="AK83">
        <f t="shared" si="77"/>
        <v>1.0000000665604778</v>
      </c>
      <c r="AL83">
        <f t="shared" si="78"/>
        <v>3.6485743562089022E-4</v>
      </c>
      <c r="AM83" t="str">
        <f t="shared" ref="AM83:AM146" si="111">IMSUB(COMPLEX(1,0),IMDIV(COMPLEX(0,2*PI()*O83),COMPLEX(wz2_dcm,0)))</f>
        <v>1-0,0019664386684912i</v>
      </c>
      <c r="AN83">
        <f t="shared" si="79"/>
        <v>1.0000019334386494</v>
      </c>
      <c r="AO83">
        <f t="shared" si="80"/>
        <v>-1.9664361338356147E-3</v>
      </c>
      <c r="AP83" s="41" t="str">
        <f t="shared" si="81"/>
        <v>71,329871993428-154,746444823417i</v>
      </c>
      <c r="AQ83">
        <f t="shared" si="82"/>
        <v>44.629130475266344</v>
      </c>
      <c r="AR83" s="43">
        <f t="shared" si="83"/>
        <v>-65.25281431415064</v>
      </c>
      <c r="AS83" t="str">
        <f t="shared" ref="AS83:AS146" si="112">COMPLEX(Adc_ea,0)</f>
        <v>-0,0000166666666666667</v>
      </c>
      <c r="AT83" t="str">
        <f t="shared" ref="AT83:AT146" si="113">COMPLEX(0,2*PI()*O83*wp0_ea)</f>
        <v>0,0000621660965970191i</v>
      </c>
      <c r="AU83">
        <f t="shared" si="84"/>
        <v>6.2166096597019094E-5</v>
      </c>
      <c r="AV83">
        <f t="shared" si="85"/>
        <v>1.5707963267948966</v>
      </c>
      <c r="AW83" t="str">
        <f t="shared" ref="AW83:AW146" si="114">IMSUM(COMPLEX(1,0),IMDIV(COMPLEX(0,2*PI()*O83),COMPLEX(wp1_ea,0)))</f>
        <v>1+0,0022161336454848i</v>
      </c>
      <c r="AX83">
        <f t="shared" si="86"/>
        <v>1.0000024556211522</v>
      </c>
      <c r="AY83">
        <f t="shared" si="87"/>
        <v>2.2161300175012654E-3</v>
      </c>
      <c r="AZ83" t="str">
        <f t="shared" ref="AZ83:AZ146" si="115">IMSUM(COMPLEX(1,0),IMDIV(COMPLEX(0,2*PI()*O83),COMPLEX(wz_ea,0)))</f>
        <v>1+0,327249068316588i</v>
      </c>
      <c r="BA83">
        <f t="shared" si="88"/>
        <v>1.0521843720157009</v>
      </c>
      <c r="BB83">
        <f t="shared" si="89"/>
        <v>0.31626475769929951</v>
      </c>
      <c r="BC83" s="41" t="str">
        <f t="shared" si="90"/>
        <v>-0,0871405680785685+0,268292088363367i</v>
      </c>
      <c r="BD83">
        <f t="shared" si="91"/>
        <v>-10.992281375673427</v>
      </c>
      <c r="BE83" s="43">
        <f t="shared" si="92"/>
        <v>107.99366092804236</v>
      </c>
      <c r="BF83" s="41" t="str">
        <f t="shared" si="93"/>
        <v>5,20896691453128+4,69813648534494i</v>
      </c>
      <c r="BG83" s="20">
        <f t="shared" si="94"/>
        <v>16.92016497874404</v>
      </c>
      <c r="BH83" s="43">
        <f t="shared" si="95"/>
        <v>42.048326877151119</v>
      </c>
      <c r="BI83" s="41" t="str">
        <f t="shared" si="101"/>
        <v>35,3015212820022+32,6219334298599i</v>
      </c>
      <c r="BJ83" s="20">
        <f t="shared" si="97"/>
        <v>33.636849099592922</v>
      </c>
      <c r="BK83" s="43">
        <f t="shared" si="102"/>
        <v>42.740846613891762</v>
      </c>
      <c r="BL83">
        <f t="shared" si="99"/>
        <v>16.92016497874404</v>
      </c>
      <c r="BM83" s="43">
        <f t="shared" si="100"/>
        <v>42.048326877151119</v>
      </c>
    </row>
    <row r="84" spans="14:65" x14ac:dyDescent="0.35">
      <c r="N84" s="9">
        <v>66</v>
      </c>
      <c r="O84" s="34">
        <f t="shared" ref="O84:O118" si="116">10^(1+(N84/100))</f>
        <v>45.70881896148753</v>
      </c>
      <c r="P84" s="33" t="str">
        <f t="shared" si="103"/>
        <v>59,1053597814893</v>
      </c>
      <c r="Q84" s="4" t="str">
        <f t="shared" si="104"/>
        <v>1+2,20673450578879i</v>
      </c>
      <c r="R84" s="4">
        <f t="shared" ref="R84:R147" si="117">IMABS(Q84)</f>
        <v>2.4227416657660585</v>
      </c>
      <c r="S84" s="4">
        <f t="shared" ref="S84:S147" si="118">IMARGUMENT(Q84)</f>
        <v>1.1453190838072358</v>
      </c>
      <c r="T84" s="4" t="str">
        <f t="shared" si="105"/>
        <v>1+0,000373356073619555i</v>
      </c>
      <c r="U84" s="4">
        <f t="shared" ref="U84:U147" si="119">IMABS(T84)</f>
        <v>1.0000000696973765</v>
      </c>
      <c r="V84" s="4">
        <f t="shared" ref="V84:V147" si="120">IMARGUMENT(T84)</f>
        <v>3.7335605627159663E-4</v>
      </c>
      <c r="W84" t="str">
        <f t="shared" si="106"/>
        <v>1-0,0137854550259528i</v>
      </c>
      <c r="X84" s="4">
        <f t="shared" ref="X84:X147" si="121">IMABS(W84)</f>
        <v>1.0000950148712233</v>
      </c>
      <c r="Y84" s="4">
        <f t="shared" ref="Y84:Y147" si="122">IMARGUMENT(W84)</f>
        <v>-1.37845818685373E-2</v>
      </c>
      <c r="Z84" t="str">
        <f t="shared" si="107"/>
        <v>0,999999956832725+0,00128977552704937i</v>
      </c>
      <c r="AA84" s="4">
        <f t="shared" ref="AA84:AA147" si="123">IMABS(Z84)</f>
        <v>1.0000007885928701</v>
      </c>
      <c r="AB84" s="4">
        <f t="shared" ref="AB84:AB147" si="124">IMARGUMENT(Z84)</f>
        <v>1.2897748675365689E-3</v>
      </c>
      <c r="AC84" s="47" t="str">
        <f t="shared" ref="AC84:AC147" si="125">(IMDIV(IMPRODUCT(P84,T84,W84),IMPRODUCT(Q84,Z84)))</f>
        <v>9,74278195868197-22,3686916987972i</v>
      </c>
      <c r="AD84" s="20">
        <f t="shared" ref="AD84:AD147" si="126">20*LOG(IMABS(AC84))</f>
        <v>27.747214145413469</v>
      </c>
      <c r="AE84" s="43">
        <f t="shared" ref="AE84:AE147" si="127">(180/PI())*IMARGUMENT(AC84)</f>
        <v>-66.464254991516384</v>
      </c>
      <c r="AF84" t="str">
        <f t="shared" si="108"/>
        <v>405,634542683733</v>
      </c>
      <c r="AG84" t="str">
        <f t="shared" si="109"/>
        <v>1+2,21066096222105i</v>
      </c>
      <c r="AH84">
        <f t="shared" ref="AH84:AH147" si="128">IMABS(AG84)</f>
        <v>2.4263185878791966</v>
      </c>
      <c r="AI84">
        <f t="shared" ref="AI84:AI147" si="129">IMARGUMENT(AG84)</f>
        <v>1.1459870367716234</v>
      </c>
      <c r="AJ84" t="str">
        <f t="shared" si="110"/>
        <v>1+0,000373356073619555i</v>
      </c>
      <c r="AK84">
        <f t="shared" ref="AK84:AK147" si="130">IMABS(AJ84)</f>
        <v>1.0000000696973765</v>
      </c>
      <c r="AL84">
        <f t="shared" ref="AL84:AL147" si="131">IMARGUMENT(AJ84)</f>
        <v>3.7335605627159663E-4</v>
      </c>
      <c r="AM84" t="str">
        <f t="shared" si="111"/>
        <v>1-0,00201224290921695i</v>
      </c>
      <c r="AN84">
        <f t="shared" ref="AN84:AN147" si="132">IMABS(AM84)</f>
        <v>1.0000020245587133</v>
      </c>
      <c r="AO84">
        <f t="shared" ref="AO84:AO147" si="133">IMARGUMENT(AM84)</f>
        <v>-2.0122401932848553E-3</v>
      </c>
      <c r="AP84" s="41" t="str">
        <f t="shared" ref="AP84:AP147" si="134">(IMDIV(IMPRODUCT(AF84,AJ84,AM84),IMPRODUCT(AG84)))</f>
        <v>68,6535962752532-152,434614313855i</v>
      </c>
      <c r="AQ84">
        <f t="shared" ref="AQ84:AQ147" si="135">20*LOG(IMABS(AP84))</f>
        <v>44.463760307461044</v>
      </c>
      <c r="AR84" s="43">
        <f t="shared" ref="AR84:AR147" si="136">(180/PI())*IMARGUMENT(AP84)</f>
        <v>-65.754121727879351</v>
      </c>
      <c r="AS84" t="str">
        <f t="shared" si="112"/>
        <v>-0,0000166666666666667</v>
      </c>
      <c r="AT84" t="str">
        <f t="shared" si="113"/>
        <v>0,0000636141310051781i</v>
      </c>
      <c r="AU84">
        <f t="shared" ref="AU84:AU147" si="137">IMABS(AT84)</f>
        <v>6.3614131005178105E-5</v>
      </c>
      <c r="AV84">
        <f t="shared" ref="AV84:AV147" si="138">IMARGUMENT(AT84)</f>
        <v>1.5707963267948966</v>
      </c>
      <c r="AW84" t="str">
        <f t="shared" si="114"/>
        <v>1+0,00226775402938219i</v>
      </c>
      <c r="AX84">
        <f t="shared" ref="AX84:AX147" si="139">IMABS(AW84)</f>
        <v>1.0000025713508629</v>
      </c>
      <c r="AY84">
        <f t="shared" ref="AY84:AY147" si="140">IMARGUMENT(AW84)</f>
        <v>2.2677501419283339E-3</v>
      </c>
      <c r="AZ84" t="str">
        <f t="shared" si="115"/>
        <v>1+0,33487167833877i</v>
      </c>
      <c r="BA84">
        <f t="shared" ref="BA84:BA147" si="141">IMABS(AZ84)</f>
        <v>1.0545800306062241</v>
      </c>
      <c r="BB84">
        <f t="shared" ref="BB84:BB147" si="142">IMARGUMENT(AZ84)</f>
        <v>0.32313442535641651</v>
      </c>
      <c r="BC84" s="41" t="str">
        <f t="shared" ref="BC84:BC147" si="143">IMPRODUCT(AS84,IMDIV(AZ84,IMPRODUCT(AT84,AW84)))</f>
        <v>-0,087140547909116+0,262193908857856i</v>
      </c>
      <c r="BD84">
        <f t="shared" ref="BD84:BD147" si="144">20*LOG(IMABS(BC84))</f>
        <v>-11.172528453897039</v>
      </c>
      <c r="BE84" s="43">
        <f t="shared" ref="BE84:BE147" si="145">(180/PI())*IMARGUMENT(BC84)</f>
        <v>108.38430627618513</v>
      </c>
      <c r="BF84" s="41" t="str">
        <f t="shared" ref="BF84:BF147" si="146">IMPRODUCT(AC84,BC84)</f>
        <v>5,01594335450532+4,50371813553991i</v>
      </c>
      <c r="BG84" s="20">
        <f t="shared" ref="BG84:BG147" si="147">20*LOG(IMABS(BF84))</f>
        <v>16.574685691516436</v>
      </c>
      <c r="BH84" s="43">
        <f t="shared" ref="BH84:BH147" si="148">(180/PI())*IMARGUMENT(BF84)</f>
        <v>41.920051284668745</v>
      </c>
      <c r="BI84" s="41" t="str">
        <f t="shared" si="101"/>
        <v>33,9849153768325+31,2837905761819i</v>
      </c>
      <c r="BJ84" s="20">
        <f t="shared" ref="BJ84:BJ147" si="149">20*LOG(IMABS(BI84))</f>
        <v>33.291231853564</v>
      </c>
      <c r="BK84" s="43">
        <f t="shared" si="102"/>
        <v>42.630184548305827</v>
      </c>
      <c r="BL84">
        <f t="shared" ref="BL84:BL147" si="150">IF($B$31=0,BJ84,BG84)</f>
        <v>16.574685691516436</v>
      </c>
      <c r="BM84" s="43">
        <f t="shared" ref="BM84:BM147" si="151">IF($B$31=0,BK84,BH84)</f>
        <v>41.920051284668745</v>
      </c>
    </row>
    <row r="85" spans="14:65" x14ac:dyDescent="0.35">
      <c r="N85" s="9">
        <v>67</v>
      </c>
      <c r="O85" s="34">
        <f t="shared" si="116"/>
        <v>46.773514128719818</v>
      </c>
      <c r="P85" s="33" t="str">
        <f t="shared" si="103"/>
        <v>59,1053597814893</v>
      </c>
      <c r="Q85" s="4" t="str">
        <f t="shared" si="104"/>
        <v>1+2,2581359555978i</v>
      </c>
      <c r="R85" s="4">
        <f t="shared" si="117"/>
        <v>2.4696513911812712</v>
      </c>
      <c r="S85" s="4">
        <f t="shared" si="118"/>
        <v>1.1539099696615167</v>
      </c>
      <c r="T85" s="4" t="str">
        <f t="shared" si="105"/>
        <v>1+0,000382052653760348i</v>
      </c>
      <c r="U85" s="4">
        <f t="shared" si="119"/>
        <v>1.0000000729821126</v>
      </c>
      <c r="V85" s="4">
        <f t="shared" si="120"/>
        <v>3.820526351716758E-4</v>
      </c>
      <c r="W85" t="str">
        <f t="shared" si="106"/>
        <v>1-0,014106559523459i</v>
      </c>
      <c r="X85" s="4">
        <f t="shared" si="121"/>
        <v>1.0000994925614095</v>
      </c>
      <c r="Y85" s="4">
        <f t="shared" si="122"/>
        <v>-1.4105623923458667E-2</v>
      </c>
      <c r="Z85" t="str">
        <f t="shared" si="107"/>
        <v>0,999999954798314+0,00131981825844484i</v>
      </c>
      <c r="AA85" s="4">
        <f t="shared" si="123"/>
        <v>1.0000008257580919</v>
      </c>
      <c r="AB85" s="4">
        <f t="shared" si="124"/>
        <v>1.319817551764173E-3</v>
      </c>
      <c r="AC85" s="47" t="str">
        <f t="shared" si="125"/>
        <v>9,36135572176451-22,0284131130535i</v>
      </c>
      <c r="AD85" s="20">
        <f t="shared" si="126"/>
        <v>27.580681828738665</v>
      </c>
      <c r="AE85" s="43">
        <f t="shared" si="127"/>
        <v>-66.976093889782916</v>
      </c>
      <c r="AF85" t="str">
        <f t="shared" si="108"/>
        <v>405,634542683733</v>
      </c>
      <c r="AG85" t="str">
        <f t="shared" si="109"/>
        <v>1+2,26215387094943i</v>
      </c>
      <c r="AH85">
        <f t="shared" si="128"/>
        <v>2.4733257237677955</v>
      </c>
      <c r="AI85">
        <f t="shared" si="129"/>
        <v>1.1545677544802293</v>
      </c>
      <c r="AJ85" t="str">
        <f t="shared" si="110"/>
        <v>1+0,000382052653760348i</v>
      </c>
      <c r="AK85">
        <f t="shared" si="130"/>
        <v>1.0000000729821126</v>
      </c>
      <c r="AL85">
        <f t="shared" si="131"/>
        <v>3.820526351716758E-4</v>
      </c>
      <c r="AM85" t="str">
        <f t="shared" si="111"/>
        <v>1-0,00205911406776834i</v>
      </c>
      <c r="AN85">
        <f t="shared" si="132"/>
        <v>1.0000021199731248</v>
      </c>
      <c r="AO85">
        <f t="shared" si="133"/>
        <v>-2.0591111575950019E-3</v>
      </c>
      <c r="AP85" s="41" t="str">
        <f t="shared" si="134"/>
        <v>66,0574642354515-150,112422465054i</v>
      </c>
      <c r="AQ85">
        <f t="shared" si="135"/>
        <v>44.297091383643348</v>
      </c>
      <c r="AR85" s="43">
        <f t="shared" si="136"/>
        <v>-66.247947868945118</v>
      </c>
      <c r="AS85" t="str">
        <f t="shared" si="112"/>
        <v>-0,0000166666666666667</v>
      </c>
      <c r="AT85" t="str">
        <f t="shared" si="113"/>
        <v>0,0000650958944676285i</v>
      </c>
      <c r="AU85">
        <f t="shared" si="137"/>
        <v>6.5095894467628504E-5</v>
      </c>
      <c r="AV85">
        <f t="shared" si="138"/>
        <v>1.5707963267948966</v>
      </c>
      <c r="AW85" t="str">
        <f t="shared" si="114"/>
        <v>1+0,00232057680648324i</v>
      </c>
      <c r="AX85">
        <f t="shared" si="139"/>
        <v>1.0000026925347325</v>
      </c>
      <c r="AY85">
        <f t="shared" si="140"/>
        <v>2.3205726410019905E-3</v>
      </c>
      <c r="AZ85" t="str">
        <f t="shared" si="115"/>
        <v>1+0,342671841757358i</v>
      </c>
      <c r="BA85">
        <f t="shared" si="141"/>
        <v>1.0570827740216846</v>
      </c>
      <c r="BB85">
        <f t="shared" si="142"/>
        <v>0.33013153543532181</v>
      </c>
      <c r="BC85" s="41" t="str">
        <f t="shared" si="143"/>
        <v>-0,0871405267891167+0,256234748029057i</v>
      </c>
      <c r="BD85">
        <f t="shared" si="144"/>
        <v>-11.351940458620682</v>
      </c>
      <c r="BE85" s="43">
        <f t="shared" si="145"/>
        <v>108.78218464623458</v>
      </c>
      <c r="BF85" s="41" t="str">
        <f t="shared" si="146"/>
        <v>4,82869141444837+4,31827214757647i</v>
      </c>
      <c r="BG85" s="20">
        <f t="shared" si="147"/>
        <v>16.228741370117987</v>
      </c>
      <c r="BH85" s="43">
        <f t="shared" si="148"/>
        <v>41.806090756451681</v>
      </c>
      <c r="BI85" s="41" t="str">
        <f t="shared" si="101"/>
        <v>32,707736514534+30,0070932750046i</v>
      </c>
      <c r="BJ85" s="20">
        <f t="shared" si="149"/>
        <v>32.945150925022666</v>
      </c>
      <c r="BK85" s="43">
        <f t="shared" si="102"/>
        <v>42.534236777289472</v>
      </c>
      <c r="BL85">
        <f t="shared" si="150"/>
        <v>16.228741370117987</v>
      </c>
      <c r="BM85" s="43">
        <f t="shared" si="151"/>
        <v>41.806090756451681</v>
      </c>
    </row>
    <row r="86" spans="14:65" x14ac:dyDescent="0.35">
      <c r="N86" s="9">
        <v>68</v>
      </c>
      <c r="O86" s="34">
        <f t="shared" si="116"/>
        <v>47.863009232263877</v>
      </c>
      <c r="P86" s="33" t="str">
        <f t="shared" si="103"/>
        <v>59,1053597814893</v>
      </c>
      <c r="Q86" s="4" t="str">
        <f t="shared" si="104"/>
        <v>1+2,31073469898044i</v>
      </c>
      <c r="R86" s="4">
        <f t="shared" si="117"/>
        <v>2.5178353498734234</v>
      </c>
      <c r="S86" s="4">
        <f t="shared" si="118"/>
        <v>1.1623689412736631</v>
      </c>
      <c r="T86" s="4" t="str">
        <f t="shared" si="105"/>
        <v>1+0,000390951803275229i</v>
      </c>
      <c r="U86" s="4">
        <f t="shared" si="119"/>
        <v>1.0000000764216532</v>
      </c>
      <c r="V86" s="4">
        <f t="shared" si="120"/>
        <v>3.9095178335710797E-4</v>
      </c>
      <c r="W86" t="str">
        <f t="shared" si="106"/>
        <v>1-0,014435143505547i</v>
      </c>
      <c r="X86" s="4">
        <f t="shared" si="121"/>
        <v>1.0001041812571458</v>
      </c>
      <c r="Y86" s="4">
        <f t="shared" si="122"/>
        <v>-1.4434140997724845E-2</v>
      </c>
      <c r="Z86" t="str">
        <f t="shared" si="107"/>
        <v>0,999999952668024+0,00135056077495079i</v>
      </c>
      <c r="AA86" s="4">
        <f t="shared" si="123"/>
        <v>1.0000008646748548</v>
      </c>
      <c r="AB86" s="4">
        <f t="shared" si="124"/>
        <v>1.3505600177288483E-3</v>
      </c>
      <c r="AC86" s="47" t="str">
        <f t="shared" si="125"/>
        <v>8,99155298188805-21,6870046945281i</v>
      </c>
      <c r="AD86" s="20">
        <f t="shared" si="126"/>
        <v>27.412888785621309</v>
      </c>
      <c r="AE86" s="43">
        <f t="shared" si="127"/>
        <v>-67.480831433952616</v>
      </c>
      <c r="AF86" t="str">
        <f t="shared" si="108"/>
        <v>405,634542683733</v>
      </c>
      <c r="AG86" t="str">
        <f t="shared" si="109"/>
        <v>1+2,31484620360333i</v>
      </c>
      <c r="AH86">
        <f t="shared" si="128"/>
        <v>2.5216091977815975</v>
      </c>
      <c r="AI86">
        <f t="shared" si="129"/>
        <v>1.1630165246722439</v>
      </c>
      <c r="AJ86" t="str">
        <f t="shared" si="110"/>
        <v>1+0,000390951803275229i</v>
      </c>
      <c r="AK86">
        <f t="shared" si="130"/>
        <v>1.0000000764216532</v>
      </c>
      <c r="AL86">
        <f t="shared" si="131"/>
        <v>3.9095178335710797E-4</v>
      </c>
      <c r="AM86" t="str">
        <f t="shared" si="111"/>
        <v>1-0,00210707699585406i</v>
      </c>
      <c r="AN86">
        <f t="shared" si="132"/>
        <v>1.0000022198842693</v>
      </c>
      <c r="AO86">
        <f t="shared" si="133"/>
        <v>-2.1070738775475209E-3</v>
      </c>
      <c r="AP86" s="41" t="str">
        <f t="shared" si="134"/>
        <v>63,5405589788769-147,782741384766i</v>
      </c>
      <c r="AQ86">
        <f t="shared" si="135"/>
        <v>44.129162970332338</v>
      </c>
      <c r="AR86" s="43">
        <f t="shared" si="136"/>
        <v>-66.734264920818347</v>
      </c>
      <c r="AS86" t="str">
        <f t="shared" si="112"/>
        <v>-0,0000166666666666667</v>
      </c>
      <c r="AT86" t="str">
        <f t="shared" si="113"/>
        <v>0,0000666121726349718i</v>
      </c>
      <c r="AU86">
        <f t="shared" si="137"/>
        <v>6.6612172634971794E-5</v>
      </c>
      <c r="AV86">
        <f t="shared" si="138"/>
        <v>1.5707963267948966</v>
      </c>
      <c r="AW86" t="str">
        <f t="shared" si="114"/>
        <v>1+0,00237462998412355i</v>
      </c>
      <c r="AX86">
        <f t="shared" si="139"/>
        <v>1.0000028194298063</v>
      </c>
      <c r="AY86">
        <f t="shared" si="140"/>
        <v>2.3746255207306552E-3</v>
      </c>
      <c r="AZ86" t="str">
        <f t="shared" si="115"/>
        <v>1+0,350653694322244i</v>
      </c>
      <c r="BA86">
        <f t="shared" si="141"/>
        <v>1.0596971328364713</v>
      </c>
      <c r="BB86">
        <f t="shared" si="142"/>
        <v>0.3372570563903961</v>
      </c>
      <c r="BC86" s="41" t="str">
        <f t="shared" si="143"/>
        <v>-0,0871405046737734+0,250411446250709i</v>
      </c>
      <c r="BD86">
        <f t="shared" si="144"/>
        <v>-11.530486289425747</v>
      </c>
      <c r="BE86" s="43">
        <f t="shared" si="145"/>
        <v>109.18734992191345</v>
      </c>
      <c r="BF86" s="41" t="str">
        <f t="shared" si="146"/>
        <v>4,64714574576+4,14140432017813i</v>
      </c>
      <c r="BG86" s="20">
        <f t="shared" si="147"/>
        <v>15.882402496195558</v>
      </c>
      <c r="BH86" s="43">
        <f t="shared" si="148"/>
        <v>41.706518487960821</v>
      </c>
      <c r="BI86" s="41" t="str">
        <f t="shared" si="101"/>
        <v>31,4695336243808+28,7891459358213i</v>
      </c>
      <c r="BJ86" s="20">
        <f t="shared" si="149"/>
        <v>32.598676680906593</v>
      </c>
      <c r="BK86" s="43">
        <f t="shared" si="102"/>
        <v>42.453085001095083</v>
      </c>
      <c r="BL86">
        <f t="shared" si="150"/>
        <v>15.882402496195558</v>
      </c>
      <c r="BM86" s="43">
        <f t="shared" si="151"/>
        <v>41.706518487960821</v>
      </c>
    </row>
    <row r="87" spans="14:65" x14ac:dyDescent="0.35">
      <c r="N87" s="9">
        <v>69</v>
      </c>
      <c r="O87" s="34">
        <f t="shared" si="116"/>
        <v>48.977881936844632</v>
      </c>
      <c r="P87" s="33" t="str">
        <f t="shared" si="103"/>
        <v>59,1053597814893</v>
      </c>
      <c r="Q87" s="4" t="str">
        <f t="shared" si="104"/>
        <v>1+2,36455862448666i</v>
      </c>
      <c r="R87" s="4">
        <f t="shared" si="117"/>
        <v>2.5673210723698436</v>
      </c>
      <c r="S87" s="4">
        <f t="shared" si="118"/>
        <v>1.1706956404542259</v>
      </c>
      <c r="T87" s="4" t="str">
        <f t="shared" si="105"/>
        <v>1+0,000400058240611067i</v>
      </c>
      <c r="U87" s="4">
        <f t="shared" si="119"/>
        <v>1.0000000800232949</v>
      </c>
      <c r="V87" s="4">
        <f t="shared" si="120"/>
        <v>4.0005821926841588E-4</v>
      </c>
      <c r="W87" t="str">
        <f t="shared" si="106"/>
        <v>1-0,0147713811917933i</v>
      </c>
      <c r="X87" s="4">
        <f t="shared" si="121"/>
        <v>1.0001090909007444</v>
      </c>
      <c r="Y87" s="4">
        <f t="shared" si="122"/>
        <v>-1.4770306991636513E-2</v>
      </c>
      <c r="Z87" t="str">
        <f t="shared" si="107"/>
        <v>0,999999950437336+0,00138201937665641i</v>
      </c>
      <c r="AA87" s="4">
        <f t="shared" si="123"/>
        <v>1.0000009054257062</v>
      </c>
      <c r="AB87" s="4">
        <f t="shared" si="124"/>
        <v>1.3820185652785217E-3</v>
      </c>
      <c r="AC87" s="47" t="str">
        <f t="shared" si="125"/>
        <v>8,63322472318946-21,3448716969114i</v>
      </c>
      <c r="AD87" s="20">
        <f t="shared" si="126"/>
        <v>27.243873926565488</v>
      </c>
      <c r="AE87" s="43">
        <f t="shared" si="127"/>
        <v>-67.978457728600972</v>
      </c>
      <c r="AF87" t="str">
        <f t="shared" si="108"/>
        <v>405,634542683733</v>
      </c>
      <c r="AG87" t="str">
        <f t="shared" si="109"/>
        <v>1+2,368765898355i</v>
      </c>
      <c r="AH87">
        <f t="shared" si="128"/>
        <v>2.5711965854849703</v>
      </c>
      <c r="AI87">
        <f t="shared" si="129"/>
        <v>1.17133300124671</v>
      </c>
      <c r="AJ87" t="str">
        <f t="shared" si="110"/>
        <v>1+0,000400058240611067i</v>
      </c>
      <c r="AK87">
        <f t="shared" si="130"/>
        <v>1.0000000800232949</v>
      </c>
      <c r="AL87">
        <f t="shared" si="131"/>
        <v>4.0005821926841588E-4</v>
      </c>
      <c r="AM87" t="str">
        <f t="shared" si="111"/>
        <v>1-0,00215615712405344i</v>
      </c>
      <c r="AN87">
        <f t="shared" si="132"/>
        <v>1.0000023245040701</v>
      </c>
      <c r="AO87">
        <f t="shared" si="133"/>
        <v>-2.1561537827282031E-3</v>
      </c>
      <c r="AP87" s="41" t="str">
        <f t="shared" si="134"/>
        <v>61,1018558740374-145,448326888115i</v>
      </c>
      <c r="AQ87">
        <f t="shared" si="135"/>
        <v>43.960013855443087</v>
      </c>
      <c r="AR87" s="43">
        <f t="shared" si="136"/>
        <v>-67.213054240036442</v>
      </c>
      <c r="AS87" t="str">
        <f t="shared" si="112"/>
        <v>-0,0000166666666666667</v>
      </c>
      <c r="AT87" t="str">
        <f t="shared" si="113"/>
        <v>0,0000681637694579625i</v>
      </c>
      <c r="AU87">
        <f t="shared" si="137"/>
        <v>6.8163769457962506E-5</v>
      </c>
      <c r="AV87">
        <f t="shared" si="138"/>
        <v>1.5707963267948966</v>
      </c>
      <c r="AW87" t="str">
        <f t="shared" si="114"/>
        <v>1+0,00242994222201339i</v>
      </c>
      <c r="AX87">
        <f t="shared" si="139"/>
        <v>1.0000029523052432</v>
      </c>
      <c r="AY87">
        <f t="shared" si="140"/>
        <v>2.4299374394024988E-3</v>
      </c>
      <c r="AZ87" t="str">
        <f t="shared" si="115"/>
        <v>1+0,358821468117311i</v>
      </c>
      <c r="BA87">
        <f t="shared" si="141"/>
        <v>1.0624278074212208</v>
      </c>
      <c r="BB87">
        <f t="shared" si="142"/>
        <v>0.34451187106424425</v>
      </c>
      <c r="BC87" s="41" t="str">
        <f t="shared" si="143"/>
        <v>-0,087140481516178+0,244720915930801i</v>
      </c>
      <c r="BD87">
        <f t="shared" si="144"/>
        <v>-11.708134046059861</v>
      </c>
      <c r="BE87" s="43">
        <f t="shared" si="145"/>
        <v>109.5998510443777</v>
      </c>
      <c r="BF87" s="41" t="str">
        <f t="shared" si="146"/>
        <v>4,47123319267749+3,97273305926526i</v>
      </c>
      <c r="BG87" s="20">
        <f t="shared" si="147"/>
        <v>15.535739880505627</v>
      </c>
      <c r="BH87" s="43">
        <f t="shared" si="148"/>
        <v>41.621393315776729</v>
      </c>
      <c r="BI87" s="41" t="str">
        <f t="shared" si="101"/>
        <v>30,2698026342663+27,627339375319i</v>
      </c>
      <c r="BJ87" s="20">
        <f t="shared" si="149"/>
        <v>32.251879809383212</v>
      </c>
      <c r="BK87" s="43">
        <f t="shared" si="102"/>
        <v>42.386796804341259</v>
      </c>
      <c r="BL87">
        <f t="shared" si="150"/>
        <v>15.535739880505627</v>
      </c>
      <c r="BM87" s="43">
        <f t="shared" si="151"/>
        <v>41.621393315776729</v>
      </c>
    </row>
    <row r="88" spans="14:65" x14ac:dyDescent="0.35">
      <c r="N88" s="9">
        <v>70</v>
      </c>
      <c r="O88" s="34">
        <f t="shared" si="116"/>
        <v>50.118723362727238</v>
      </c>
      <c r="P88" s="33" t="str">
        <f t="shared" si="103"/>
        <v>59,1053597814893</v>
      </c>
      <c r="Q88" s="4" t="str">
        <f t="shared" si="104"/>
        <v>1+2,41963627027422i</v>
      </c>
      <c r="R88" s="4">
        <f t="shared" si="117"/>
        <v>2.6181366810055082</v>
      </c>
      <c r="S88" s="4">
        <f t="shared" si="118"/>
        <v>1.1788898624964241</v>
      </c>
      <c r="T88" s="4" t="str">
        <f t="shared" si="105"/>
        <v>1+0,000409376794121472i</v>
      </c>
      <c r="U88" s="4">
        <f t="shared" si="119"/>
        <v>1.0000000837946763</v>
      </c>
      <c r="V88" s="4">
        <f t="shared" si="120"/>
        <v>4.0937677125240941E-4</v>
      </c>
      <c r="W88" t="str">
        <f t="shared" si="106"/>
        <v>1-0,0151154508598698i</v>
      </c>
      <c r="X88" s="4">
        <f t="shared" si="121"/>
        <v>1.0001142319028848</v>
      </c>
      <c r="Y88" s="4">
        <f t="shared" si="122"/>
        <v>-1.5114299840764484E-2</v>
      </c>
      <c r="Z88" t="str">
        <f t="shared" si="107"/>
        <v>0,99999994810152+0,00141421074332872i</v>
      </c>
      <c r="AA88" s="4">
        <f t="shared" si="123"/>
        <v>1.0000009480970851</v>
      </c>
      <c r="AB88" s="4">
        <f t="shared" si="124"/>
        <v>1.4142098739216926E-3</v>
      </c>
      <c r="AC88" s="47" t="str">
        <f t="shared" si="125"/>
        <v>8,28620746075032-21,0024020139071i</v>
      </c>
      <c r="AD88" s="20">
        <f t="shared" si="126"/>
        <v>27.073675640493708</v>
      </c>
      <c r="AE88" s="43">
        <f t="shared" si="127"/>
        <v>-68.468971918872043</v>
      </c>
      <c r="AF88" t="str">
        <f t="shared" si="108"/>
        <v>405,634542683733</v>
      </c>
      <c r="AG88" t="str">
        <f t="shared" si="109"/>
        <v>1+2,42394154414029i</v>
      </c>
      <c r="AH88">
        <f t="shared" si="128"/>
        <v>2.6221160556712992</v>
      </c>
      <c r="AI88">
        <f t="shared" si="129"/>
        <v>1.179516991066319</v>
      </c>
      <c r="AJ88" t="str">
        <f t="shared" si="110"/>
        <v>1+0,000409376794121472i</v>
      </c>
      <c r="AK88">
        <f t="shared" si="130"/>
        <v>1.0000000837946763</v>
      </c>
      <c r="AL88">
        <f t="shared" si="131"/>
        <v>4.0937677125240941E-4</v>
      </c>
      <c r="AM88" t="str">
        <f t="shared" si="111"/>
        <v>1-0,00220638047530011i</v>
      </c>
      <c r="AN88">
        <f t="shared" si="132"/>
        <v>1.0000024340544384</v>
      </c>
      <c r="AO88">
        <f t="shared" si="133"/>
        <v>-2.2063768950060843E-3</v>
      </c>
      <c r="AP88" s="41" t="str">
        <f t="shared" si="134"/>
        <v>58,7402323209567-143,111816201635i</v>
      </c>
      <c r="AQ88">
        <f t="shared" si="135"/>
        <v>43.789682297624296</v>
      </c>
      <c r="AR88" s="43">
        <f t="shared" si="136"/>
        <v>-67.684305974945673</v>
      </c>
      <c r="AS88" t="str">
        <f t="shared" si="112"/>
        <v>-0,0000166666666666667</v>
      </c>
      <c r="AT88" t="str">
        <f t="shared" si="113"/>
        <v>0,0000697515076137739i</v>
      </c>
      <c r="AU88">
        <f t="shared" si="137"/>
        <v>6.9751507613773894E-5</v>
      </c>
      <c r="AV88">
        <f t="shared" si="138"/>
        <v>1.5707963267948966</v>
      </c>
      <c r="AW88" t="str">
        <f t="shared" si="114"/>
        <v>1+0,00248654284743343i</v>
      </c>
      <c r="AX88">
        <f t="shared" si="139"/>
        <v>1.0000030914428877</v>
      </c>
      <c r="AY88">
        <f t="shared" si="140"/>
        <v>2.486537722774386E-3</v>
      </c>
      <c r="AZ88" t="str">
        <f t="shared" si="115"/>
        <v>1+0,367179493804336i</v>
      </c>
      <c r="BA88">
        <f t="shared" si="141"/>
        <v>1.0652796725134712</v>
      </c>
      <c r="BB88">
        <f t="shared" si="142"/>
        <v>0.35189677040234912</v>
      </c>
      <c r="BC88" s="41" t="str">
        <f t="shared" si="143"/>
        <v>-0,087140457267212+0,239160139874477i</v>
      </c>
      <c r="BD88">
        <f t="shared" si="144"/>
        <v>-11.884851038577208</v>
      </c>
      <c r="BE88" s="43">
        <f t="shared" si="145"/>
        <v>110.01973165122364</v>
      </c>
      <c r="BF88" s="41" t="str">
        <f t="shared" si="146"/>
        <v>4,30087349620525+3,81188945054366i</v>
      </c>
      <c r="BG88" s="20">
        <f t="shared" si="147"/>
        <v>15.188824601916497</v>
      </c>
      <c r="BH88" s="43">
        <f t="shared" si="148"/>
        <v>41.550759732351644</v>
      </c>
      <c r="BI88" s="41" t="str">
        <f t="shared" si="101"/>
        <v>29,107991276043+26,519151282291i</v>
      </c>
      <c r="BJ88" s="20">
        <f t="shared" si="149"/>
        <v>31.904831259047089</v>
      </c>
      <c r="BK88" s="43">
        <f t="shared" si="102"/>
        <v>42.335425676278071</v>
      </c>
      <c r="BL88">
        <f t="shared" si="150"/>
        <v>15.188824601916497</v>
      </c>
      <c r="BM88" s="43">
        <f t="shared" si="151"/>
        <v>41.550759732351644</v>
      </c>
    </row>
    <row r="89" spans="14:65" x14ac:dyDescent="0.35">
      <c r="N89" s="9">
        <v>71</v>
      </c>
      <c r="O89" s="34">
        <f t="shared" si="116"/>
        <v>51.28613839913649</v>
      </c>
      <c r="P89" s="33" t="str">
        <f t="shared" si="103"/>
        <v>59,1053597814893</v>
      </c>
      <c r="Q89" s="4" t="str">
        <f t="shared" si="104"/>
        <v>1+2,47599683923995i</v>
      </c>
      <c r="R89" s="4">
        <f t="shared" si="117"/>
        <v>2.6703109084760568</v>
      </c>
      <c r="S89" s="4">
        <f t="shared" si="118"/>
        <v>1.1869515494087326</v>
      </c>
      <c r="T89" s="4" t="str">
        <f t="shared" si="105"/>
        <v>1+0,000418912404626863i</v>
      </c>
      <c r="U89" s="4">
        <f t="shared" si="119"/>
        <v>1.0000000877437976</v>
      </c>
      <c r="V89" s="4">
        <f t="shared" si="120"/>
        <v>4.1891238012222104E-4</v>
      </c>
      <c r="W89" t="str">
        <f t="shared" si="106"/>
        <v>1-0,0154675349400688i</v>
      </c>
      <c r="X89" s="4">
        <f t="shared" si="121"/>
        <v>1.0001196151646674</v>
      </c>
      <c r="Y89" s="4">
        <f t="shared" si="122"/>
        <v>-1.5466301608843385E-2</v>
      </c>
      <c r="Z89" t="str">
        <f t="shared" si="107"/>
        <v>0,99999994565562+0,00144715194325644i</v>
      </c>
      <c r="AA89" s="4">
        <f t="shared" si="123"/>
        <v>1.0000009927795019</v>
      </c>
      <c r="AB89" s="4">
        <f t="shared" si="124"/>
        <v>1.4471510116700762E-3</v>
      </c>
      <c r="AC89" s="47" t="str">
        <f t="shared" si="125"/>
        <v>7,95032464288699-20,6599659421489i</v>
      </c>
      <c r="AD89" s="20">
        <f t="shared" si="126"/>
        <v>26.902331748667741</v>
      </c>
      <c r="AE89" s="43">
        <f t="shared" si="127"/>
        <v>-68.952381808417286</v>
      </c>
      <c r="AF89" t="str">
        <f t="shared" si="108"/>
        <v>405,634542683733</v>
      </c>
      <c r="AG89" t="str">
        <f t="shared" si="109"/>
        <v>1+2,48040239581695i</v>
      </c>
      <c r="AH89">
        <f t="shared" si="128"/>
        <v>2.6743963889398419</v>
      </c>
      <c r="AI89">
        <f t="shared" si="129"/>
        <v>1.1875684471830514</v>
      </c>
      <c r="AJ89" t="str">
        <f t="shared" si="110"/>
        <v>1+0,000418912404626863i</v>
      </c>
      <c r="AK89">
        <f t="shared" si="130"/>
        <v>1.0000000877437976</v>
      </c>
      <c r="AL89">
        <f t="shared" si="131"/>
        <v>4.1891238012222104E-4</v>
      </c>
      <c r="AM89" t="str">
        <f t="shared" si="111"/>
        <v>1-0,00225777367867968i</v>
      </c>
      <c r="AN89">
        <f t="shared" si="132"/>
        <v>1.000002548767744</v>
      </c>
      <c r="AO89">
        <f t="shared" si="133"/>
        <v>-2.2577698423260411E-3</v>
      </c>
      <c r="AP89" s="41" t="str">
        <f t="shared" si="134"/>
        <v>56,4544772996661-140,775726400645i</v>
      </c>
      <c r="AQ89">
        <f t="shared" si="135"/>
        <v>43.618205980356706</v>
      </c>
      <c r="AR89" s="43">
        <f t="shared" si="136"/>
        <v>-68.148018678204124</v>
      </c>
      <c r="AS89" t="str">
        <f t="shared" si="112"/>
        <v>-0,0000166666666666667</v>
      </c>
      <c r="AT89" t="str">
        <f t="shared" si="113"/>
        <v>0,0000713762289421924i</v>
      </c>
      <c r="AU89">
        <f t="shared" si="137"/>
        <v>7.1376228942192396E-5</v>
      </c>
      <c r="AV89">
        <f t="shared" si="138"/>
        <v>1.5707963267948966</v>
      </c>
      <c r="AW89" t="str">
        <f t="shared" si="114"/>
        <v>1+0,00254446187078446i</v>
      </c>
      <c r="AX89">
        <f t="shared" si="139"/>
        <v>1.0000032371378664</v>
      </c>
      <c r="AY89">
        <f t="shared" si="140"/>
        <v>2.5444563796143222E-3</v>
      </c>
      <c r="AZ89" t="str">
        <f t="shared" si="115"/>
        <v>1+0,375732202919171i</v>
      </c>
      <c r="BA89">
        <f t="shared" si="141"/>
        <v>1.0682577817692194</v>
      </c>
      <c r="BB89">
        <f t="shared" si="142"/>
        <v>0.35941244701761194</v>
      </c>
      <c r="BC89" s="41" t="str">
        <f t="shared" si="143"/>
        <v>-0,0871404318754418+0,233726169684289i</v>
      </c>
      <c r="BD89">
        <f t="shared" si="144"/>
        <v>-12.060603800646215</v>
      </c>
      <c r="BE89" s="43">
        <f t="shared" si="145"/>
        <v>110.44702970687135</v>
      </c>
      <c r="BF89" s="41" t="str">
        <f t="shared" si="146"/>
        <v>4,13597998253519+3,65851728125936i</v>
      </c>
      <c r="BG89" s="20">
        <f t="shared" si="147"/>
        <v>14.841727948021529</v>
      </c>
      <c r="BH89" s="43">
        <f t="shared" si="148"/>
        <v>41.494647898454026</v>
      </c>
      <c r="BI89" s="41" t="str">
        <f t="shared" si="101"/>
        <v>27,983503782951+25,4621463369108i</v>
      </c>
      <c r="BJ89" s="20">
        <f t="shared" si="149"/>
        <v>31.557602179710496</v>
      </c>
      <c r="BK89" s="43">
        <f t="shared" si="102"/>
        <v>42.299011028667145</v>
      </c>
      <c r="BL89">
        <f t="shared" si="150"/>
        <v>14.841727948021529</v>
      </c>
      <c r="BM89" s="43">
        <f t="shared" si="151"/>
        <v>41.494647898454026</v>
      </c>
    </row>
    <row r="90" spans="14:65" x14ac:dyDescent="0.35">
      <c r="N90" s="9">
        <v>72</v>
      </c>
      <c r="O90" s="34">
        <f t="shared" si="116"/>
        <v>52.480746024977286</v>
      </c>
      <c r="P90" s="33" t="str">
        <f t="shared" si="103"/>
        <v>59,1053597814893</v>
      </c>
      <c r="Q90" s="4" t="str">
        <f t="shared" si="104"/>
        <v>1+2,53367021450354i</v>
      </c>
      <c r="R90" s="4">
        <f t="shared" si="117"/>
        <v>2.7238731166965939</v>
      </c>
      <c r="S90" s="4">
        <f t="shared" si="118"/>
        <v>1.1948807830754689</v>
      </c>
      <c r="T90" s="4" t="str">
        <f t="shared" si="105"/>
        <v>1+0,000428670128034149i</v>
      </c>
      <c r="U90" s="4">
        <f t="shared" si="119"/>
        <v>1.000000091879035</v>
      </c>
      <c r="V90" s="4">
        <f t="shared" si="120"/>
        <v>4.2867010177695218E-4</v>
      </c>
      <c r="W90" t="str">
        <f t="shared" si="106"/>
        <v>1-0,0158278201120302i</v>
      </c>
      <c r="X90" s="4">
        <f t="shared" si="121"/>
        <v>1.0001252521007051</v>
      </c>
      <c r="Y90" s="4">
        <f t="shared" si="122"/>
        <v>-1.5826498582750977E-2</v>
      </c>
      <c r="Z90" t="str">
        <f t="shared" si="107"/>
        <v>0,999999943094448+0,00148086044229979i</v>
      </c>
      <c r="AA90" s="4">
        <f t="shared" si="123"/>
        <v>1.0000010395677339</v>
      </c>
      <c r="AB90" s="4">
        <f t="shared" si="124"/>
        <v>1.4808594440870733E-3</v>
      </c>
      <c r="AC90" s="47" t="str">
        <f t="shared" si="125"/>
        <v>7,62538801506532-20,3179160448832i</v>
      </c>
      <c r="AD90" s="20">
        <f t="shared" si="126"/>
        <v>26.729879463268453</v>
      </c>
      <c r="AE90" s="43">
        <f t="shared" si="127"/>
        <v>-69.428703473335659</v>
      </c>
      <c r="AF90" t="str">
        <f t="shared" si="108"/>
        <v>405,634542683733</v>
      </c>
      <c r="AG90" t="str">
        <f t="shared" si="109"/>
        <v>1+2,53817838967588i</v>
      </c>
      <c r="AH90">
        <f t="shared" si="128"/>
        <v>2.7280669965779145</v>
      </c>
      <c r="AI90">
        <f t="shared" si="129"/>
        <v>1.1954874619947902</v>
      </c>
      <c r="AJ90" t="str">
        <f t="shared" si="110"/>
        <v>1+0,000428670128034149i</v>
      </c>
      <c r="AK90">
        <f t="shared" si="130"/>
        <v>1.000000091879035</v>
      </c>
      <c r="AL90">
        <f t="shared" si="131"/>
        <v>4.2867010177695218E-4</v>
      </c>
      <c r="AM90" t="str">
        <f t="shared" si="111"/>
        <v>1-0,00231036398354886i</v>
      </c>
      <c r="AN90">
        <f t="shared" si="132"/>
        <v>1.0000026688873067</v>
      </c>
      <c r="AO90">
        <f t="shared" si="133"/>
        <v>-2.3103598728224668E-3</v>
      </c>
      <c r="AP90" s="41" t="str">
        <f t="shared" si="134"/>
        <v>54,2433006536019-138,442453530216i</v>
      </c>
      <c r="AQ90">
        <f t="shared" si="135"/>
        <v>43.445621970692592</v>
      </c>
      <c r="AR90" s="43">
        <f t="shared" si="136"/>
        <v>-68.604198915341669</v>
      </c>
      <c r="AS90" t="str">
        <f t="shared" si="112"/>
        <v>-0,0000166666666666667</v>
      </c>
      <c r="AT90" t="str">
        <f t="shared" si="113"/>
        <v>0,0000730387948919723i</v>
      </c>
      <c r="AU90">
        <f t="shared" si="137"/>
        <v>7.30387948919723E-5</v>
      </c>
      <c r="AV90">
        <f t="shared" si="138"/>
        <v>1.5707963267948966</v>
      </c>
      <c r="AW90" t="str">
        <f t="shared" si="114"/>
        <v>1+0,00260373000149932i</v>
      </c>
      <c r="AX90">
        <f t="shared" si="139"/>
        <v>1.0000033896992153</v>
      </c>
      <c r="AY90">
        <f t="shared" si="140"/>
        <v>2.6037241176055858E-3</v>
      </c>
      <c r="AZ90" t="str">
        <f t="shared" si="115"/>
        <v>1+0,384484130221399i</v>
      </c>
      <c r="BA90">
        <f t="shared" si="141"/>
        <v>1.0713673722827786</v>
      </c>
      <c r="BB90">
        <f t="shared" si="142"/>
        <v>0.36705948862220372</v>
      </c>
      <c r="BC90" s="41" t="str">
        <f t="shared" si="143"/>
        <v>-0,0871404052870105+0,228416124196905i</v>
      </c>
      <c r="BD90">
        <f t="shared" si="144"/>
        <v>-12.235358106232555</v>
      </c>
      <c r="BE90" s="43">
        <f t="shared" si="145"/>
        <v>110.8817771253274</v>
      </c>
      <c r="BF90" s="41" t="str">
        <f t="shared" si="146"/>
        <v>3,97646023262683+3,51227301463733i</v>
      </c>
      <c r="BG90" s="20">
        <f t="shared" si="147"/>
        <v>14.494521357035911</v>
      </c>
      <c r="BH90" s="43">
        <f t="shared" si="148"/>
        <v>41.453073651991751</v>
      </c>
      <c r="BI90" s="41" t="str">
        <f t="shared" si="101"/>
        <v>26,895705456622+24,4539760084943i</v>
      </c>
      <c r="BJ90" s="20">
        <f t="shared" si="149"/>
        <v>31.210263864460032</v>
      </c>
      <c r="BK90" s="43">
        <f t="shared" si="102"/>
        <v>42.277578209985748</v>
      </c>
      <c r="BL90">
        <f t="shared" si="150"/>
        <v>14.494521357035911</v>
      </c>
      <c r="BM90" s="43">
        <f t="shared" si="151"/>
        <v>41.453073651991751</v>
      </c>
    </row>
    <row r="91" spans="14:65" x14ac:dyDescent="0.35">
      <c r="N91" s="9">
        <v>73</v>
      </c>
      <c r="O91" s="34">
        <f t="shared" si="116"/>
        <v>53.703179637025293</v>
      </c>
      <c r="P91" s="33" t="str">
        <f t="shared" si="103"/>
        <v>59,1053597814893</v>
      </c>
      <c r="Q91" s="4" t="str">
        <f t="shared" si="104"/>
        <v>1+2,59268697525194i</v>
      </c>
      <c r="R91" s="4">
        <f t="shared" si="117"/>
        <v>2.7788533159634485</v>
      </c>
      <c r="S91" s="4">
        <f t="shared" si="118"/>
        <v>1.2026777783829146</v>
      </c>
      <c r="T91" s="4" t="str">
        <f t="shared" si="105"/>
        <v>1+0,000438655138017438i</v>
      </c>
      <c r="U91" s="4">
        <f t="shared" si="119"/>
        <v>1.0000000962091604</v>
      </c>
      <c r="V91" s="4">
        <f t="shared" si="120"/>
        <v>4.3865510988234485E-4</v>
      </c>
      <c r="W91" t="str">
        <f t="shared" si="106"/>
        <v>1-0,0161964974037208i</v>
      </c>
      <c r="X91" s="4">
        <f t="shared" si="121"/>
        <v>1.0001311546633016</v>
      </c>
      <c r="Y91" s="4">
        <f t="shared" si="122"/>
        <v>-1.6195081369614742E-2</v>
      </c>
      <c r="Z91" t="str">
        <f t="shared" si="107"/>
        <v>0,999999940412572+0,00151535411315115i</v>
      </c>
      <c r="AA91" s="4">
        <f t="shared" si="123"/>
        <v>1.0000010885610253</v>
      </c>
      <c r="AB91" s="4">
        <f t="shared" si="124"/>
        <v>1.5153530435470157E-3</v>
      </c>
      <c r="AC91" s="47" t="str">
        <f t="shared" si="125"/>
        <v>7,31119893963544-19,9765871089479i</v>
      </c>
      <c r="AD91" s="20">
        <f t="shared" si="126"/>
        <v>26.556355350497537</v>
      </c>
      <c r="AE91" s="43">
        <f t="shared" si="127"/>
        <v>-69.89796087427041</v>
      </c>
      <c r="AF91" t="str">
        <f t="shared" si="108"/>
        <v>405,634542683733</v>
      </c>
      <c r="AG91" t="str">
        <f t="shared" si="109"/>
        <v>1+2,59730015931378i</v>
      </c>
      <c r="AH91">
        <f t="shared" si="128"/>
        <v>2.783157939746034</v>
      </c>
      <c r="AI91">
        <f t="shared" si="129"/>
        <v>1.2032742603702675</v>
      </c>
      <c r="AJ91" t="str">
        <f t="shared" si="110"/>
        <v>1+0,000438655138017438i</v>
      </c>
      <c r="AK91">
        <f t="shared" si="130"/>
        <v>1.0000000962091604</v>
      </c>
      <c r="AL91">
        <f t="shared" si="131"/>
        <v>4.3865510988234485E-4</v>
      </c>
      <c r="AM91" t="str">
        <f t="shared" si="111"/>
        <v>1-0,00236417927398339i</v>
      </c>
      <c r="AN91">
        <f t="shared" si="132"/>
        <v>1.0000027946679146</v>
      </c>
      <c r="AO91">
        <f t="shared" si="133"/>
        <v>-2.3641748692613657E-3</v>
      </c>
      <c r="AP91" s="41" t="str">
        <f t="shared" si="134"/>
        <v>52,1053420687845-136,114272358672i</v>
      </c>
      <c r="AQ91">
        <f t="shared" si="135"/>
        <v>43.271966682495915</v>
      </c>
      <c r="AR91" s="43">
        <f t="shared" si="136"/>
        <v>-69.052860871523521</v>
      </c>
      <c r="AS91" t="str">
        <f t="shared" si="112"/>
        <v>-0,0000166666666666667</v>
      </c>
      <c r="AT91" t="str">
        <f t="shared" si="113"/>
        <v>0,0000747400869775866i</v>
      </c>
      <c r="AU91">
        <f t="shared" si="137"/>
        <v>7.4740086977586597E-5</v>
      </c>
      <c r="AV91">
        <f t="shared" si="138"/>
        <v>1.5707963267948966</v>
      </c>
      <c r="AW91" t="str">
        <f t="shared" si="114"/>
        <v>1+0,0026643786643254i</v>
      </c>
      <c r="AX91">
        <f t="shared" si="139"/>
        <v>1.0000035494505342</v>
      </c>
      <c r="AY91">
        <f t="shared" si="140"/>
        <v>2.6643723596208825E-3</v>
      </c>
      <c r="AZ91" t="str">
        <f t="shared" si="115"/>
        <v>1+0,393439916098718i</v>
      </c>
      <c r="BA91">
        <f t="shared" si="141"/>
        <v>1.0746138690617044</v>
      </c>
      <c r="BB91">
        <f t="shared" si="142"/>
        <v>0.3748383713467639</v>
      </c>
      <c r="BC91" s="41" t="str">
        <f t="shared" si="143"/>
        <v>-0,087140377445522+0,223227187955492i</v>
      </c>
      <c r="BD91">
        <f t="shared" si="144"/>
        <v>-12.409078989860484</v>
      </c>
      <c r="BE91" s="43">
        <f t="shared" si="145"/>
        <v>111.32399938646941</v>
      </c>
      <c r="BF91" s="41" t="str">
        <f t="shared" si="146"/>
        <v>3,82221673009924+3,37282572062506i</v>
      </c>
      <c r="BG91" s="20">
        <f t="shared" si="147"/>
        <v>14.147276360637049</v>
      </c>
      <c r="BH91" s="43">
        <f t="shared" si="148"/>
        <v>41.426038512198964</v>
      </c>
      <c r="BI91" s="41" t="str">
        <f t="shared" si="101"/>
        <v>25,8439270844324+23,492378056531i</v>
      </c>
      <c r="BJ91" s="20">
        <f t="shared" si="149"/>
        <v>30.862887692635429</v>
      </c>
      <c r="BK91" s="43">
        <f t="shared" si="102"/>
        <v>42.271138514945847</v>
      </c>
      <c r="BL91">
        <f t="shared" si="150"/>
        <v>14.147276360637049</v>
      </c>
      <c r="BM91" s="43">
        <f t="shared" si="151"/>
        <v>41.426038512198964</v>
      </c>
    </row>
    <row r="92" spans="14:65" x14ac:dyDescent="0.35">
      <c r="N92" s="9">
        <v>74</v>
      </c>
      <c r="O92" s="34">
        <f t="shared" si="116"/>
        <v>54.95408738576247</v>
      </c>
      <c r="P92" s="33" t="str">
        <f t="shared" si="103"/>
        <v>59,1053597814893</v>
      </c>
      <c r="Q92" s="4" t="str">
        <f t="shared" si="104"/>
        <v>1+2,6530784129529i</v>
      </c>
      <c r="R92" s="4">
        <f t="shared" si="117"/>
        <v>2.8352821844177485</v>
      </c>
      <c r="S92" s="4">
        <f t="shared" si="118"/>
        <v>1.2103428763456312</v>
      </c>
      <c r="T92" s="4" t="str">
        <f t="shared" si="105"/>
        <v>1+0,000448872728761192i</v>
      </c>
      <c r="U92" s="4">
        <f t="shared" si="119"/>
        <v>1.0000001007433583</v>
      </c>
      <c r="V92" s="4">
        <f t="shared" si="120"/>
        <v>4.4887269861389672E-4</v>
      </c>
      <c r="W92" t="str">
        <f t="shared" si="106"/>
        <v>1-0,016573762292721i</v>
      </c>
      <c r="X92" s="4">
        <f t="shared" si="121"/>
        <v>1.0001373353677661</v>
      </c>
      <c r="Y92" s="4">
        <f t="shared" si="122"/>
        <v>-1.6572244996092087E-2</v>
      </c>
      <c r="Z92" t="str">
        <f t="shared" si="107"/>
        <v>0,999999937604303+0,00155065124481139i</v>
      </c>
      <c r="AA92" s="4">
        <f t="shared" si="123"/>
        <v>1.0000011398632966</v>
      </c>
      <c r="AB92" s="4">
        <f t="shared" si="124"/>
        <v>1.550650098709982E-3</v>
      </c>
      <c r="AC92" s="47" t="str">
        <f t="shared" si="125"/>
        <v>7,00754966651691-19,6362961874718i</v>
      </c>
      <c r="AD92" s="20">
        <f t="shared" si="126"/>
        <v>26.38179529804335</v>
      </c>
      <c r="AE92" s="43">
        <f t="shared" si="127"/>
        <v>-70.360185468650414</v>
      </c>
      <c r="AF92" t="str">
        <f t="shared" si="108"/>
        <v>405,634542683733</v>
      </c>
      <c r="AG92" t="str">
        <f t="shared" si="109"/>
        <v>1+2,65779905187548i</v>
      </c>
      <c r="AH92">
        <f t="shared" si="128"/>
        <v>2.8396999489647143</v>
      </c>
      <c r="AI92">
        <f t="shared" si="129"/>
        <v>1.210929192776744</v>
      </c>
      <c r="AJ92" t="str">
        <f t="shared" si="110"/>
        <v>1+0,000448872728761192i</v>
      </c>
      <c r="AK92">
        <f t="shared" si="130"/>
        <v>1.0000001007433583</v>
      </c>
      <c r="AL92">
        <f t="shared" si="131"/>
        <v>4.4887269861389672E-4</v>
      </c>
      <c r="AM92" t="str">
        <f t="shared" si="111"/>
        <v>1-0,00241924808356261i</v>
      </c>
      <c r="AN92">
        <f t="shared" si="132"/>
        <v>1.000002926376363</v>
      </c>
      <c r="AO92">
        <f t="shared" si="133"/>
        <v>-2.4192433638186728E-3</v>
      </c>
      <c r="AP92" s="41" t="str">
        <f t="shared" si="134"/>
        <v>50,0391797160582-133,793336711926i</v>
      </c>
      <c r="AQ92">
        <f t="shared" si="135"/>
        <v>43.097275844024537</v>
      </c>
      <c r="AR92" s="43">
        <f t="shared" si="136"/>
        <v>-69.494025958483647</v>
      </c>
      <c r="AS92" t="str">
        <f t="shared" si="112"/>
        <v>-0,0000166666666666667</v>
      </c>
      <c r="AT92" t="str">
        <f t="shared" si="113"/>
        <v>0,0000764810072466184i</v>
      </c>
      <c r="AU92">
        <f t="shared" si="137"/>
        <v>7.64810072466184E-5</v>
      </c>
      <c r="AV92">
        <f t="shared" si="138"/>
        <v>1.5707963267948966</v>
      </c>
      <c r="AW92" t="str">
        <f t="shared" si="114"/>
        <v>1+0,00272644001598655i</v>
      </c>
      <c r="AX92">
        <f t="shared" si="139"/>
        <v>1.0000037167306732</v>
      </c>
      <c r="AY92">
        <f t="shared" si="140"/>
        <v>2.7264332603753015E-3</v>
      </c>
      <c r="AZ92" t="str">
        <f t="shared" si="115"/>
        <v>1+0,402604309027346i</v>
      </c>
      <c r="BA92">
        <f t="shared" si="141"/>
        <v>1.0780028894429674</v>
      </c>
      <c r="BB92">
        <f t="shared" si="142"/>
        <v>0.38274945296969132</v>
      </c>
      <c r="BC92" s="41" t="str">
        <f t="shared" si="143"/>
        <v>-0,087140348291924+0,218156609716899i</v>
      </c>
      <c r="BD92">
        <f t="shared" si="144"/>
        <v>-12.581730770655046</v>
      </c>
      <c r="BE92" s="43">
        <f t="shared" si="145"/>
        <v>111.77371514716064</v>
      </c>
      <c r="BF92" s="41" t="str">
        <f t="shared" si="146"/>
        <v>3,67314748504248+3,23985696660979i</v>
      </c>
      <c r="BG92" s="20">
        <f t="shared" si="147"/>
        <v>13.800064527388313</v>
      </c>
      <c r="BH92" s="43">
        <f t="shared" si="148"/>
        <v>41.413529678510244</v>
      </c>
      <c r="BI92" s="41" t="str">
        <f t="shared" si="101"/>
        <v>24,8274691910858+22,5751757600858i</v>
      </c>
      <c r="BJ92" s="20">
        <f t="shared" si="149"/>
        <v>30.515545073369495</v>
      </c>
      <c r="BK92" s="43">
        <f t="shared" si="102"/>
        <v>42.279689188677047</v>
      </c>
      <c r="BL92">
        <f t="shared" si="150"/>
        <v>13.800064527388313</v>
      </c>
      <c r="BM92" s="43">
        <f t="shared" si="151"/>
        <v>41.413529678510244</v>
      </c>
    </row>
    <row r="93" spans="14:65" x14ac:dyDescent="0.35">
      <c r="N93" s="9">
        <v>75</v>
      </c>
      <c r="O93" s="34">
        <f t="shared" si="116"/>
        <v>56.234132519034915</v>
      </c>
      <c r="P93" s="33" t="str">
        <f t="shared" si="103"/>
        <v>59,1053597814893</v>
      </c>
      <c r="Q93" s="4" t="str">
        <f t="shared" si="104"/>
        <v>1+2,71487654794605i</v>
      </c>
      <c r="R93" s="4">
        <f t="shared" si="117"/>
        <v>2.893191087810735</v>
      </c>
      <c r="S93" s="4">
        <f t="shared" si="118"/>
        <v>1.2178765372646503</v>
      </c>
      <c r="T93" s="4" t="str">
        <f t="shared" si="105"/>
        <v>1+0,000459328317767267i</v>
      </c>
      <c r="U93" s="4">
        <f t="shared" si="119"/>
        <v>1.0000001054912462</v>
      </c>
      <c r="V93" s="4">
        <f t="shared" si="120"/>
        <v>4.5932828546385828E-4</v>
      </c>
      <c r="W93" t="str">
        <f t="shared" si="106"/>
        <v>1-0,0169598148098683i</v>
      </c>
      <c r="X93" s="4">
        <f t="shared" si="121"/>
        <v>1.0001438073189199</v>
      </c>
      <c r="Y93" s="4">
        <f t="shared" si="122"/>
        <v>-1.6958189009864053E-2</v>
      </c>
      <c r="Z93" t="str">
        <f t="shared" si="107"/>
        <v>0,999999934663685+0,00158677055228692i</v>
      </c>
      <c r="AA93" s="4">
        <f t="shared" si="123"/>
        <v>1.0000011935833677</v>
      </c>
      <c r="AB93" s="4">
        <f t="shared" si="124"/>
        <v>1.5867693242172136E-3</v>
      </c>
      <c r="AC93" s="47" t="str">
        <f t="shared" si="125"/>
        <v>6,71422455085811-19,2973427207195i</v>
      </c>
      <c r="AD93" s="20">
        <f t="shared" si="126"/>
        <v>26.206234486740499</v>
      </c>
      <c r="AE93" s="43">
        <f t="shared" si="127"/>
        <v>-70.815415824892355</v>
      </c>
      <c r="AF93" t="str">
        <f t="shared" si="108"/>
        <v>405,634542683733</v>
      </c>
      <c r="AG93" t="str">
        <f t="shared" si="109"/>
        <v>1+2,71970714467461i</v>
      </c>
      <c r="AH93">
        <f t="shared" si="128"/>
        <v>2.8977244439032019</v>
      </c>
      <c r="AI93">
        <f t="shared" si="129"/>
        <v>1.2184527284419024</v>
      </c>
      <c r="AJ93" t="str">
        <f t="shared" si="110"/>
        <v>1+0,000459328317767267i</v>
      </c>
      <c r="AK93">
        <f t="shared" si="130"/>
        <v>1.0000001054912462</v>
      </c>
      <c r="AL93">
        <f t="shared" si="131"/>
        <v>4.5932828546385828E-4</v>
      </c>
      <c r="AM93" t="str">
        <f t="shared" si="111"/>
        <v>1-0,00247559961049826i</v>
      </c>
      <c r="AN93">
        <f t="shared" si="132"/>
        <v>1.0000030642920208</v>
      </c>
      <c r="AO93">
        <f t="shared" si="133"/>
        <v>-2.4755945532023522E-3</v>
      </c>
      <c r="AP93" s="41" t="str">
        <f t="shared" si="134"/>
        <v>48,0433385296984-131,481680336995i</v>
      </c>
      <c r="AQ93">
        <f t="shared" si="135"/>
        <v>42.921584469682479</v>
      </c>
      <c r="AR93" s="43">
        <f t="shared" si="136"/>
        <v>-69.927722423436819</v>
      </c>
      <c r="AS93" t="str">
        <f t="shared" si="112"/>
        <v>-0,0000166666666666667</v>
      </c>
      <c r="AT93" t="str">
        <f t="shared" si="113"/>
        <v>0,0000782624787580382i</v>
      </c>
      <c r="AU93">
        <f t="shared" si="137"/>
        <v>7.8262478758038195E-5</v>
      </c>
      <c r="AV93">
        <f t="shared" si="138"/>
        <v>1.5707963267948966</v>
      </c>
      <c r="AW93" t="str">
        <f t="shared" si="114"/>
        <v>1+0,00278994696223286i</v>
      </c>
      <c r="AX93">
        <f t="shared" si="139"/>
        <v>1.0000038918944525</v>
      </c>
      <c r="AY93">
        <f t="shared" si="140"/>
        <v>2.7899397234665106E-3</v>
      </c>
      <c r="AZ93" t="str">
        <f t="shared" si="115"/>
        <v>1+0,411982168089718i</v>
      </c>
      <c r="BA93">
        <f t="shared" si="141"/>
        <v>1.081540247435991</v>
      </c>
      <c r="BB93">
        <f t="shared" si="142"/>
        <v>0.39079296608201936</v>
      </c>
      <c r="BC93" s="41" t="str">
        <f t="shared" si="143"/>
        <v>-0,0871403177643799+0,213201700992927i</v>
      </c>
      <c r="BD93">
        <f t="shared" si="144"/>
        <v>-12.753277080356666</v>
      </c>
      <c r="BE93" s="43">
        <f t="shared" si="145"/>
        <v>112.2309358486483</v>
      </c>
      <c r="BF93" s="41" t="str">
        <f t="shared" si="146"/>
        <v>3,5291466317977+3,11306067178306i</v>
      </c>
      <c r="BG93" s="20">
        <f t="shared" si="147"/>
        <v>13.452957406383831</v>
      </c>
      <c r="BH93" s="43">
        <f t="shared" si="148"/>
        <v>41.415520023755917</v>
      </c>
      <c r="BI93" s="41" t="str">
        <f t="shared" si="101"/>
        <v>23,845606111316+21,7002769006711i</v>
      </c>
      <c r="BJ93" s="20">
        <f t="shared" si="149"/>
        <v>30.168307389325811</v>
      </c>
      <c r="BK93" s="43">
        <f t="shared" si="102"/>
        <v>42.303213425211517</v>
      </c>
      <c r="BL93">
        <f t="shared" si="150"/>
        <v>13.452957406383831</v>
      </c>
      <c r="BM93" s="43">
        <f t="shared" si="151"/>
        <v>41.415520023755917</v>
      </c>
    </row>
    <row r="94" spans="14:65" x14ac:dyDescent="0.35">
      <c r="N94" s="9">
        <v>76</v>
      </c>
      <c r="O94" s="34">
        <f t="shared" si="116"/>
        <v>57.543993733715695</v>
      </c>
      <c r="P94" s="33" t="str">
        <f t="shared" si="103"/>
        <v>59,1053597814893</v>
      </c>
      <c r="Q94" s="4" t="str">
        <f t="shared" si="104"/>
        <v>1+2,77811414642056i</v>
      </c>
      <c r="R94" s="4">
        <f t="shared" si="117"/>
        <v>2.9526120995725185</v>
      </c>
      <c r="S94" s="4">
        <f t="shared" si="118"/>
        <v>1.2252793339463552</v>
      </c>
      <c r="T94" s="4" t="str">
        <f t="shared" si="105"/>
        <v>1+0,000470027448727352i</v>
      </c>
      <c r="U94" s="4">
        <f t="shared" si="119"/>
        <v>1.0000001104628953</v>
      </c>
      <c r="V94" s="4">
        <f t="shared" si="120"/>
        <v>4.7002741411362618E-4</v>
      </c>
      <c r="W94" t="str">
        <f t="shared" si="106"/>
        <v>1-0,0173548596453176i</v>
      </c>
      <c r="X94" s="4">
        <f t="shared" si="121"/>
        <v>1.0001505842388478</v>
      </c>
      <c r="Y94" s="4">
        <f t="shared" si="122"/>
        <v>-1.7353117583392256E-2</v>
      </c>
      <c r="Z94" t="str">
        <f t="shared" si="107"/>
        <v>0,999999931584479+0,00162373118651267i</v>
      </c>
      <c r="AA94" s="4">
        <f t="shared" si="123"/>
        <v>1.0000012498351833</v>
      </c>
      <c r="AB94" s="4">
        <f t="shared" si="124"/>
        <v>1.6237298706123606E-3</v>
      </c>
      <c r="AC94" s="47" t="str">
        <f t="shared" si="125"/>
        <v>6,43100121452713-18,9600087275827i</v>
      </c>
      <c r="AD94" s="20">
        <f t="shared" si="126"/>
        <v>26.029707366239556</v>
      </c>
      <c r="AE94" s="43">
        <f t="shared" si="127"/>
        <v>-71.263697240220608</v>
      </c>
      <c r="AF94" t="str">
        <f t="shared" si="108"/>
        <v>405,634542683733</v>
      </c>
      <c r="AG94" t="str">
        <f t="shared" si="109"/>
        <v>1+2,78305726220143i</v>
      </c>
      <c r="AH94">
        <f t="shared" si="128"/>
        <v>2.9572635534717087</v>
      </c>
      <c r="AI94">
        <f t="shared" si="129"/>
        <v>1.2258454485785244</v>
      </c>
      <c r="AJ94" t="str">
        <f t="shared" si="110"/>
        <v>1+0,000470027448727352i</v>
      </c>
      <c r="AK94">
        <f t="shared" si="130"/>
        <v>1.0000001104628953</v>
      </c>
      <c r="AL94">
        <f t="shared" si="131"/>
        <v>4.7002741411362618E-4</v>
      </c>
      <c r="AM94" t="str">
        <f t="shared" si="111"/>
        <v>1-0,00253326373311584i</v>
      </c>
      <c r="AN94">
        <f t="shared" si="132"/>
        <v>1.0000032087074229</v>
      </c>
      <c r="AO94">
        <f t="shared" si="133"/>
        <v>-2.533258314126582E-3</v>
      </c>
      <c r="AP94" s="41" t="str">
        <f t="shared" si="134"/>
        <v>46,1162981013864-129,181218243576i</v>
      </c>
      <c r="AQ94">
        <f t="shared" si="135"/>
        <v>42.74492683575663</v>
      </c>
      <c r="AR94" s="43">
        <f t="shared" si="136"/>
        <v>-70.353984961602379</v>
      </c>
      <c r="AS94" t="str">
        <f t="shared" si="112"/>
        <v>-0,0000166666666666667</v>
      </c>
      <c r="AT94" t="str">
        <f t="shared" si="113"/>
        <v>0,0000800854460716218i</v>
      </c>
      <c r="AU94">
        <f t="shared" si="137"/>
        <v>8.0085446071621796E-5</v>
      </c>
      <c r="AV94">
        <f t="shared" si="138"/>
        <v>1.5707963267948966</v>
      </c>
      <c r="AW94" t="str">
        <f t="shared" si="114"/>
        <v>1+0,00285493317528786i</v>
      </c>
      <c r="AX94">
        <f t="shared" si="139"/>
        <v>1.0000040753134136</v>
      </c>
      <c r="AY94">
        <f t="shared" si="140"/>
        <v>2.8549254188116775E-3</v>
      </c>
      <c r="AZ94" t="str">
        <f t="shared" si="115"/>
        <v>1+0,421578465550841i</v>
      </c>
      <c r="BA94">
        <f t="shared" si="141"/>
        <v>1.0852319579777412</v>
      </c>
      <c r="BB94">
        <f t="shared" si="142"/>
        <v>0.39896901121629313</v>
      </c>
      <c r="BC94" s="41" t="str">
        <f t="shared" si="143"/>
        <v>-0,0871402857981403+0,20835983462485i</v>
      </c>
      <c r="BD94">
        <f t="shared" si="144"/>
        <v>-12.923680895495306</v>
      </c>
      <c r="BE94" s="43">
        <f t="shared" si="145"/>
        <v>112.69566532187871</v>
      </c>
      <c r="BF94" s="41" t="str">
        <f t="shared" si="146"/>
        <v>3,39010499916276+2,99214292878787i</v>
      </c>
      <c r="BG94" s="20">
        <f t="shared" si="147"/>
        <v>13.106026470744238</v>
      </c>
      <c r="BH94" s="43">
        <f t="shared" si="148"/>
        <v>41.431968081658098</v>
      </c>
      <c r="BI94" s="41" t="str">
        <f t="shared" si="101"/>
        <v>22,8975898733611+20,8656725234123i</v>
      </c>
      <c r="BJ94" s="20">
        <f t="shared" si="149"/>
        <v>29.821245940261324</v>
      </c>
      <c r="BK94" s="43">
        <f t="shared" si="102"/>
        <v>42.341680360276349</v>
      </c>
      <c r="BL94">
        <f t="shared" si="150"/>
        <v>13.106026470744238</v>
      </c>
      <c r="BM94" s="43">
        <f t="shared" si="151"/>
        <v>41.431968081658098</v>
      </c>
    </row>
    <row r="95" spans="14:65" x14ac:dyDescent="0.35">
      <c r="N95" s="9">
        <v>77</v>
      </c>
      <c r="O95" s="34">
        <f t="shared" si="116"/>
        <v>58.884365535558949</v>
      </c>
      <c r="P95" s="33" t="str">
        <f t="shared" si="103"/>
        <v>59,1053597814893</v>
      </c>
      <c r="Q95" s="4" t="str">
        <f t="shared" si="104"/>
        <v>1+2,84282473778818i</v>
      </c>
      <c r="R95" s="4">
        <f t="shared" si="117"/>
        <v>3.0135780211868477</v>
      </c>
      <c r="S95" s="4">
        <f t="shared" si="118"/>
        <v>1.2325519450079427</v>
      </c>
      <c r="T95" s="4" t="str">
        <f t="shared" si="105"/>
        <v>1+0,000480975794462301i</v>
      </c>
      <c r="U95" s="4">
        <f t="shared" si="119"/>
        <v>1.0000001156688507</v>
      </c>
      <c r="V95" s="4">
        <f t="shared" si="120"/>
        <v>4.8097575737302575E-4</v>
      </c>
      <c r="W95" t="str">
        <f t="shared" si="106"/>
        <v>1-0,0177591062570696i</v>
      </c>
      <c r="X95" s="4">
        <f t="shared" si="121"/>
        <v>1.0001576804959555</v>
      </c>
      <c r="Y95" s="4">
        <f t="shared" si="122"/>
        <v>-1.7757239619979492E-2</v>
      </c>
      <c r="Z95" t="str">
        <f t="shared" si="107"/>
        <v>0,999999928360155+0,00166155274450613i</v>
      </c>
      <c r="AA95" s="4">
        <f t="shared" si="123"/>
        <v>1.0000013087380626</v>
      </c>
      <c r="AB95" s="4">
        <f t="shared" si="124"/>
        <v>1.6615513344936442E-3</v>
      </c>
      <c r="AC95" s="47" t="str">
        <f t="shared" si="125"/>
        <v>6,15765164907327-18,6245590603674i</v>
      </c>
      <c r="AD95" s="20">
        <f t="shared" si="126"/>
        <v>25.85224763449396</v>
      </c>
      <c r="AE95" s="43">
        <f t="shared" si="127"/>
        <v>-71.705081363588391</v>
      </c>
      <c r="AF95" t="str">
        <f t="shared" si="108"/>
        <v>405,634542683733</v>
      </c>
      <c r="AG95" t="str">
        <f t="shared" si="109"/>
        <v>1+2,84788299352678i</v>
      </c>
      <c r="AH95">
        <f t="shared" si="128"/>
        <v>3.018350136219961</v>
      </c>
      <c r="AI95">
        <f t="shared" si="129"/>
        <v>1.2331080396976324</v>
      </c>
      <c r="AJ95" t="str">
        <f t="shared" si="110"/>
        <v>1+0,000480975794462301i</v>
      </c>
      <c r="AK95">
        <f t="shared" si="130"/>
        <v>1.0000001156688507</v>
      </c>
      <c r="AL95">
        <f t="shared" si="131"/>
        <v>4.8097575737302575E-4</v>
      </c>
      <c r="AM95" t="str">
        <f t="shared" si="111"/>
        <v>1-0,00259227102569642i</v>
      </c>
      <c r="AN95">
        <f t="shared" si="132"/>
        <v>1.0000033599288909</v>
      </c>
      <c r="AO95">
        <f t="shared" si="133"/>
        <v>-2.5922652191458688E-3</v>
      </c>
      <c r="AP95" s="41" t="str">
        <f t="shared" si="134"/>
        <v>44,2565001738316-126,893748473662i</v>
      </c>
      <c r="AQ95">
        <f t="shared" si="135"/>
        <v>42.567336459945565</v>
      </c>
      <c r="AR95" s="43">
        <f t="shared" si="136"/>
        <v>-70.772854333814749</v>
      </c>
      <c r="AS95" t="str">
        <f t="shared" si="112"/>
        <v>-0,0000166666666666667</v>
      </c>
      <c r="AT95" t="str">
        <f t="shared" si="113"/>
        <v>0,000081950875748769i</v>
      </c>
      <c r="AU95">
        <f t="shared" si="137"/>
        <v>8.1950875748768994E-5</v>
      </c>
      <c r="AV95">
        <f t="shared" si="138"/>
        <v>1.5707963267948966</v>
      </c>
      <c r="AW95" t="str">
        <f t="shared" si="114"/>
        <v>1+0,00292143311170191i</v>
      </c>
      <c r="AX95">
        <f t="shared" si="139"/>
        <v>1.0000042673766079</v>
      </c>
      <c r="AY95">
        <f t="shared" si="140"/>
        <v>2.9214248004898555E-3</v>
      </c>
      <c r="AZ95" t="str">
        <f t="shared" si="115"/>
        <v>1+0,431398289494648i</v>
      </c>
      <c r="BA95">
        <f t="shared" si="141"/>
        <v>1.0890842410846409</v>
      </c>
      <c r="BB95">
        <f t="shared" si="142"/>
        <v>0.40727754997073029</v>
      </c>
      <c r="BC95" s="41" t="str">
        <f t="shared" si="143"/>
        <v>-0,0871402523254027+0,203628443390455i</v>
      </c>
      <c r="BD95">
        <f t="shared" si="144"/>
        <v>-13.09290457389714</v>
      </c>
      <c r="BE95" s="43">
        <f t="shared" si="145"/>
        <v>113.16789939251846</v>
      </c>
      <c r="BF95" s="41" t="str">
        <f t="shared" si="146"/>
        <v>3,25591065186403+2,87682179621124i</v>
      </c>
      <c r="BG95" s="20">
        <f t="shared" si="147"/>
        <v>12.759343060596821</v>
      </c>
      <c r="BH95" s="43">
        <f t="shared" si="148"/>
        <v>41.462818028930108</v>
      </c>
      <c r="BI95" s="41" t="str">
        <f t="shared" si="101"/>
        <v>21,9826538854848+20,0694355008178i</v>
      </c>
      <c r="BJ95" s="20">
        <f t="shared" si="149"/>
        <v>29.474431886048418</v>
      </c>
      <c r="BK95" s="43">
        <f t="shared" si="102"/>
        <v>42.395045058703701</v>
      </c>
      <c r="BL95">
        <f t="shared" si="150"/>
        <v>12.759343060596821</v>
      </c>
      <c r="BM95" s="43">
        <f t="shared" si="151"/>
        <v>41.462818028930108</v>
      </c>
    </row>
    <row r="96" spans="14:65" x14ac:dyDescent="0.35">
      <c r="N96" s="9">
        <v>78</v>
      </c>
      <c r="O96" s="34">
        <f t="shared" si="116"/>
        <v>60.255958607435822</v>
      </c>
      <c r="P96" s="33" t="str">
        <f t="shared" si="103"/>
        <v>59,1053597814893</v>
      </c>
      <c r="Q96" s="4" t="str">
        <f t="shared" si="104"/>
        <v>1+2,90904263246102i</v>
      </c>
      <c r="R96" s="4">
        <f t="shared" si="117"/>
        <v>3.0761224028760203</v>
      </c>
      <c r="S96" s="4">
        <f t="shared" si="118"/>
        <v>1.2396951482925869</v>
      </c>
      <c r="T96" s="4" t="str">
        <f t="shared" si="105"/>
        <v>1+0,000492179159929941i</v>
      </c>
      <c r="U96" s="4">
        <f t="shared" si="119"/>
        <v>1.0000001211201555</v>
      </c>
      <c r="V96" s="4">
        <f t="shared" si="120"/>
        <v>4.9217912018806678E-4</v>
      </c>
      <c r="W96" t="str">
        <f t="shared" si="106"/>
        <v>1-0,0181727689820286i</v>
      </c>
      <c r="X96" s="4">
        <f t="shared" si="121"/>
        <v>1.0001651111353935</v>
      </c>
      <c r="Y96" s="4">
        <f t="shared" si="122"/>
        <v>-1.8170768862183471E-2</v>
      </c>
      <c r="Z96" t="str">
        <f t="shared" si="107"/>
        <v>0,999999924983873+0,00170025527975798i</v>
      </c>
      <c r="AA96" s="4">
        <f t="shared" si="123"/>
        <v>1.000001370416945</v>
      </c>
      <c r="AB96" s="4">
        <f t="shared" si="124"/>
        <v>1.7002537689024926E-3</v>
      </c>
      <c r="AC96" s="47" t="str">
        <f t="shared" si="125"/>
        <v>5,89394325851511-18,2912417157407i</v>
      </c>
      <c r="AD96" s="20">
        <f t="shared" si="126"/>
        <v>25.673888220865532</v>
      </c>
      <c r="AE96" s="43">
        <f t="shared" si="127"/>
        <v>-72.139625825028887</v>
      </c>
      <c r="AF96" t="str">
        <f t="shared" si="108"/>
        <v>405,634542683733</v>
      </c>
      <c r="AG96" t="str">
        <f t="shared" si="109"/>
        <v>1+2,91421871011149i</v>
      </c>
      <c r="AH96">
        <f t="shared" si="128"/>
        <v>3.0810178010462512</v>
      </c>
      <c r="AI96">
        <f t="shared" si="129"/>
        <v>1.2402412870330048</v>
      </c>
      <c r="AJ96" t="str">
        <f t="shared" si="110"/>
        <v>1+0,000492179159929941i</v>
      </c>
      <c r="AK96">
        <f t="shared" si="130"/>
        <v>1.0000001211201555</v>
      </c>
      <c r="AL96">
        <f t="shared" si="131"/>
        <v>4.9217912018806678E-4</v>
      </c>
      <c r="AM96" t="str">
        <f t="shared" si="111"/>
        <v>1-0,00265265277468759i</v>
      </c>
      <c r="AN96">
        <f t="shared" si="132"/>
        <v>1.0000035182771825</v>
      </c>
      <c r="AO96">
        <f t="shared" si="133"/>
        <v>-2.6526465528577594E-3</v>
      </c>
      <c r="AP96" s="41" t="str">
        <f t="shared" si="134"/>
        <v>42,4623557231811-124,620954250607i</v>
      </c>
      <c r="AQ96">
        <f t="shared" si="135"/>
        <v>42.388846084479013</v>
      </c>
      <c r="AR96" s="43">
        <f t="shared" si="136"/>
        <v>-71.184376990531987</v>
      </c>
      <c r="AS96" t="str">
        <f t="shared" si="112"/>
        <v>-0,0000166666666666667</v>
      </c>
      <c r="AT96" t="str">
        <f t="shared" si="113"/>
        <v>0,0000838597568649861i</v>
      </c>
      <c r="AU96">
        <f t="shared" si="137"/>
        <v>8.3859756864986101E-5</v>
      </c>
      <c r="AV96">
        <f t="shared" si="138"/>
        <v>1.5707963267948966</v>
      </c>
      <c r="AW96" t="str">
        <f t="shared" si="114"/>
        <v>1+0,00298948203062152i</v>
      </c>
      <c r="AX96">
        <f t="shared" si="139"/>
        <v>1.000004468491422</v>
      </c>
      <c r="AY96">
        <f t="shared" si="140"/>
        <v>2.9894731249995028E-3</v>
      </c>
      <c r="AZ96" t="str">
        <f t="shared" si="115"/>
        <v>1+0,441446846521778i</v>
      </c>
      <c r="BA96">
        <f t="shared" si="141"/>
        <v>1.0931035258858248</v>
      </c>
      <c r="BB96">
        <f t="shared" si="142"/>
        <v>0.4157183981629296</v>
      </c>
      <c r="BC96" s="41" t="str">
        <f t="shared" si="143"/>
        <v>-0,0871402172751717+0,199005018642869i</v>
      </c>
      <c r="BD96">
        <f t="shared" si="144"/>
        <v>-13.260909895682513</v>
      </c>
      <c r="BE96" s="43">
        <f t="shared" si="145"/>
        <v>113.64762548764465</v>
      </c>
      <c r="BF96" s="41" t="str">
        <f t="shared" si="146"/>
        <v>3,12644940248766+2,76682706538314i</v>
      </c>
      <c r="BG96" s="20">
        <f t="shared" si="147"/>
        <v>12.412978325183015</v>
      </c>
      <c r="BH96" s="43">
        <f t="shared" si="148"/>
        <v>41.507999662615767</v>
      </c>
      <c r="BI96" s="41" t="str">
        <f t="shared" si="101"/>
        <v>21,1000164202005+19,3097189227489i</v>
      </c>
      <c r="BJ96" s="20">
        <f t="shared" si="149"/>
        <v>29.12793618879649</v>
      </c>
      <c r="BK96" s="43">
        <f t="shared" si="102"/>
        <v>42.46324849711268</v>
      </c>
      <c r="BL96">
        <f t="shared" si="150"/>
        <v>12.412978325183015</v>
      </c>
      <c r="BM96" s="43">
        <f t="shared" si="151"/>
        <v>41.507999662615767</v>
      </c>
    </row>
    <row r="97" spans="14:65" x14ac:dyDescent="0.35">
      <c r="N97" s="9">
        <v>79</v>
      </c>
      <c r="O97" s="34">
        <f t="shared" si="116"/>
        <v>61.659500186148257</v>
      </c>
      <c r="P97" s="33" t="str">
        <f t="shared" si="103"/>
        <v>59,1053597814893</v>
      </c>
      <c r="Q97" s="4" t="str">
        <f t="shared" si="104"/>
        <v>1+2,97680294004332i</v>
      </c>
      <c r="R97" s="4">
        <f t="shared" si="117"/>
        <v>3.1402795646009851</v>
      </c>
      <c r="S97" s="4">
        <f t="shared" si="118"/>
        <v>1.2467098144146807</v>
      </c>
      <c r="T97" s="4" t="str">
        <f t="shared" si="105"/>
        <v>1+0,000503643485302937i</v>
      </c>
      <c r="U97" s="4">
        <f t="shared" si="119"/>
        <v>1.000000126828372</v>
      </c>
      <c r="V97" s="4">
        <f t="shared" si="120"/>
        <v>5.0364344271875187E-4</v>
      </c>
      <c r="W97" t="str">
        <f t="shared" si="106"/>
        <v>1-0,0185960671496469i</v>
      </c>
      <c r="X97" s="4">
        <f t="shared" si="121"/>
        <v>1.0001728919109107</v>
      </c>
      <c r="Y97" s="4">
        <f t="shared" si="122"/>
        <v>-1.8593924002628343E-2</v>
      </c>
      <c r="Z97" t="str">
        <f t="shared" si="107"/>
        <v>0,999999921448472+0,00173985931286469i</v>
      </c>
      <c r="AA97" s="4">
        <f t="shared" si="123"/>
        <v>1.0000014350026598</v>
      </c>
      <c r="AB97" s="4">
        <f t="shared" si="124"/>
        <v>1.739857693953993E-3</v>
      </c>
      <c r="AC97" s="47" t="str">
        <f t="shared" si="125"/>
        <v>5,63963984096626-17,9602881949622i</v>
      </c>
      <c r="AD97" s="20">
        <f t="shared" si="126"/>
        <v>25.494661272645342</v>
      </c>
      <c r="AE97" s="43">
        <f t="shared" si="127"/>
        <v>-72.567393872606615</v>
      </c>
      <c r="AF97" t="str">
        <f t="shared" si="108"/>
        <v>405,634542683733</v>
      </c>
      <c r="AG97" t="str">
        <f t="shared" si="109"/>
        <v>1+2,98209958403055i</v>
      </c>
      <c r="AH97">
        <f t="shared" si="128"/>
        <v>3.1453009282221593</v>
      </c>
      <c r="AI97">
        <f t="shared" si="129"/>
        <v>1.2472460680972366</v>
      </c>
      <c r="AJ97" t="str">
        <f t="shared" si="110"/>
        <v>1+0,000503643485302937i</v>
      </c>
      <c r="AK97">
        <f t="shared" si="130"/>
        <v>1.000000126828372</v>
      </c>
      <c r="AL97">
        <f t="shared" si="131"/>
        <v>5.0364344271875187E-4</v>
      </c>
      <c r="AM97" t="str">
        <f t="shared" si="111"/>
        <v>1-0,00271444099529191i</v>
      </c>
      <c r="AN97">
        <f t="shared" si="132"/>
        <v>1.0000036840881721</v>
      </c>
      <c r="AO97">
        <f t="shared" si="133"/>
        <v>-2.7144343284824595E-3</v>
      </c>
      <c r="AP97" s="41" t="str">
        <f t="shared" si="134"/>
        <v>40,7322516238013-122,364406460896i</v>
      </c>
      <c r="AQ97">
        <f t="shared" si="135"/>
        <v>42.209487662624916</v>
      </c>
      <c r="AR97" s="43">
        <f t="shared" si="136"/>
        <v>-71.588604703398346</v>
      </c>
      <c r="AS97" t="str">
        <f t="shared" si="112"/>
        <v>-0,0000166666666666667</v>
      </c>
      <c r="AT97" t="str">
        <f t="shared" si="113"/>
        <v>0,0000858131015343081i</v>
      </c>
      <c r="AU97">
        <f t="shared" si="137"/>
        <v>8.5813101534308101E-5</v>
      </c>
      <c r="AV97">
        <f t="shared" si="138"/>
        <v>1.5707963267948966</v>
      </c>
      <c r="AW97" t="str">
        <f t="shared" si="114"/>
        <v>1+0,00305911601248425i</v>
      </c>
      <c r="AX97">
        <f t="shared" si="139"/>
        <v>1.0000046790844419</v>
      </c>
      <c r="AY97">
        <f t="shared" si="140"/>
        <v>3.059106469940745E-3</v>
      </c>
      <c r="AZ97" t="str">
        <f t="shared" si="115"/>
        <v>1+0,451729464510173i</v>
      </c>
      <c r="BA97">
        <f t="shared" si="141"/>
        <v>1.0972964545220438</v>
      </c>
      <c r="BB97">
        <f t="shared" si="142"/>
        <v>0.42429121905025147</v>
      </c>
      <c r="BC97" s="41" t="str">
        <f t="shared" si="143"/>
        <v>-0,0871401805731042+0,194487108980429i</v>
      </c>
      <c r="BD97">
        <f t="shared" si="144"/>
        <v>-13.427658108897891</v>
      </c>
      <c r="BE97" s="43">
        <f t="shared" si="145"/>
        <v>114.13482224623137</v>
      </c>
      <c r="BF97" s="41" t="str">
        <f t="shared" si="146"/>
        <v>3,00160529338445+2,66190000481437i</v>
      </c>
      <c r="BG97" s="20">
        <f t="shared" si="147"/>
        <v>12.067003163747444</v>
      </c>
      <c r="BH97" s="43">
        <f t="shared" si="148"/>
        <v>41.567428373624757</v>
      </c>
      <c r="BI97" s="41" t="str">
        <f t="shared" si="101"/>
        <v>20,2488838930386+18,5847543352997i</v>
      </c>
      <c r="BJ97" s="20">
        <f t="shared" si="149"/>
        <v>28.781829553727011</v>
      </c>
      <c r="BK97" s="43">
        <f t="shared" si="102"/>
        <v>42.546217542833084</v>
      </c>
      <c r="BL97">
        <f t="shared" si="150"/>
        <v>12.067003163747444</v>
      </c>
      <c r="BM97" s="43">
        <f t="shared" si="151"/>
        <v>41.567428373624757</v>
      </c>
    </row>
    <row r="98" spans="14:65" x14ac:dyDescent="0.35">
      <c r="N98" s="9">
        <v>80</v>
      </c>
      <c r="O98" s="34">
        <f t="shared" si="116"/>
        <v>63.095734448019364</v>
      </c>
      <c r="P98" s="33" t="str">
        <f t="shared" si="103"/>
        <v>59,1053597814893</v>
      </c>
      <c r="Q98" s="4" t="str">
        <f t="shared" si="104"/>
        <v>1+3,04614158794707i</v>
      </c>
      <c r="R98" s="4">
        <f t="shared" si="117"/>
        <v>3.2060846173831252</v>
      </c>
      <c r="S98" s="4">
        <f t="shared" si="118"/>
        <v>1.2535969004529677</v>
      </c>
      <c r="T98" s="4" t="str">
        <f t="shared" si="105"/>
        <v>1+0,00051537484911835i</v>
      </c>
      <c r="U98" s="4">
        <f t="shared" si="119"/>
        <v>1.0000001328056087</v>
      </c>
      <c r="V98" s="4">
        <f t="shared" si="120"/>
        <v>5.1537480348857394E-4</v>
      </c>
      <c r="W98" t="str">
        <f t="shared" si="106"/>
        <v>1-0,019029225198216i</v>
      </c>
      <c r="X98" s="4">
        <f t="shared" si="121"/>
        <v>1.0001810393182049</v>
      </c>
      <c r="Y98" s="4">
        <f t="shared" si="122"/>
        <v>-1.9026928797260808E-2</v>
      </c>
      <c r="Z98" t="str">
        <f t="shared" si="107"/>
        <v>0,999999917746452+0,00178038584240884i</v>
      </c>
      <c r="AA98" s="4">
        <f t="shared" si="123"/>
        <v>1.0000015026322004</v>
      </c>
      <c r="AB98" s="4">
        <f t="shared" si="124"/>
        <v>1.7803841077149163E-3</v>
      </c>
      <c r="AC98" s="47" t="str">
        <f t="shared" si="125"/>
        <v>5,39450250869895-17,6319139068244i</v>
      </c>
      <c r="AD98" s="20">
        <f t="shared" si="126"/>
        <v>25.314598144782906</v>
      </c>
      <c r="AE98" s="43">
        <f t="shared" si="127"/>
        <v>-72.988454017992552</v>
      </c>
      <c r="AF98" t="str">
        <f t="shared" si="108"/>
        <v>405,634542683733</v>
      </c>
      <c r="AG98" t="str">
        <f t="shared" si="109"/>
        <v>1+3,05156160662181i</v>
      </c>
      <c r="AH98">
        <f t="shared" si="128"/>
        <v>3.2112346907394174</v>
      </c>
      <c r="AI98">
        <f t="shared" si="129"/>
        <v>1.2541233463869517</v>
      </c>
      <c r="AJ98" t="str">
        <f t="shared" si="110"/>
        <v>1+0,00051537484911835i</v>
      </c>
      <c r="AK98">
        <f t="shared" si="130"/>
        <v>1.0000001328056087</v>
      </c>
      <c r="AL98">
        <f t="shared" si="131"/>
        <v>5.1537480348857394E-4</v>
      </c>
      <c r="AM98" t="str">
        <f t="shared" si="111"/>
        <v>1-0,0027776684484418i</v>
      </c>
      <c r="AN98">
        <f t="shared" si="132"/>
        <v>1.0000038577135637</v>
      </c>
      <c r="AO98">
        <f t="shared" si="133"/>
        <v>-2.7776613048282575E-3</v>
      </c>
      <c r="AP98" s="41" t="str">
        <f t="shared" si="134"/>
        <v>39,0645568929969-120,125566423941i</v>
      </c>
      <c r="AQ98">
        <f t="shared" si="135"/>
        <v>42.02929234837675</v>
      </c>
      <c r="AR98" s="43">
        <f t="shared" si="136"/>
        <v>-71.985594205371982</v>
      </c>
      <c r="AS98" t="str">
        <f t="shared" si="112"/>
        <v>-0,0000166666666666667</v>
      </c>
      <c r="AT98" t="str">
        <f t="shared" si="113"/>
        <v>0,0000878119454459343i</v>
      </c>
      <c r="AU98">
        <f t="shared" si="137"/>
        <v>8.78119454459343E-5</v>
      </c>
      <c r="AV98">
        <f t="shared" si="138"/>
        <v>1.5707963267948966</v>
      </c>
      <c r="AW98" t="str">
        <f t="shared" si="114"/>
        <v>1+0,00313037197814897i</v>
      </c>
      <c r="AX98">
        <f t="shared" si="139"/>
        <v>1.0000048996023578</v>
      </c>
      <c r="AY98">
        <f t="shared" si="140"/>
        <v>3.1303617531320892E-3</v>
      </c>
      <c r="AZ98" t="str">
        <f t="shared" si="115"/>
        <v>1+0,462251595439997i</v>
      </c>
      <c r="BA98">
        <f t="shared" si="141"/>
        <v>1.10166988589451</v>
      </c>
      <c r="BB98">
        <f t="shared" si="142"/>
        <v>0.4329955166569317</v>
      </c>
      <c r="BC98" s="41" t="str">
        <f t="shared" si="143"/>
        <v>-0,0871401421413547+0,190072318946927i</v>
      </c>
      <c r="BD98">
        <f t="shared" si="144"/>
        <v>-13.593109979901181</v>
      </c>
      <c r="BE98" s="43">
        <f t="shared" si="145"/>
        <v>114.62945913572513</v>
      </c>
      <c r="BF98" s="41" t="str">
        <f t="shared" si="146"/>
        <v>2,88126104835276+2,56179308545823i</v>
      </c>
      <c r="BG98" s="20">
        <f t="shared" si="147"/>
        <v>11.721488164881711</v>
      </c>
      <c r="BH98" s="43">
        <f t="shared" si="148"/>
        <v>41.641005117732597</v>
      </c>
      <c r="BI98" s="41" t="str">
        <f t="shared" si="101"/>
        <v>19,4284539346668+17,892849850279i</v>
      </c>
      <c r="BJ98" s="20">
        <f t="shared" si="149"/>
        <v>28.436182368475556</v>
      </c>
      <c r="BK98" s="43">
        <f t="shared" si="102"/>
        <v>42.643864930353061</v>
      </c>
      <c r="BL98">
        <f t="shared" si="150"/>
        <v>11.721488164881711</v>
      </c>
      <c r="BM98" s="43">
        <f t="shared" si="151"/>
        <v>41.641005117732597</v>
      </c>
    </row>
    <row r="99" spans="14:65" x14ac:dyDescent="0.35">
      <c r="N99" s="9">
        <v>81</v>
      </c>
      <c r="O99" s="34">
        <f t="shared" si="116"/>
        <v>64.565422903465588</v>
      </c>
      <c r="P99" s="33" t="str">
        <f t="shared" si="103"/>
        <v>59,1053597814893</v>
      </c>
      <c r="Q99" s="4" t="str">
        <f t="shared" si="104"/>
        <v>1+3,11709534044121i</v>
      </c>
      <c r="R99" s="4">
        <f t="shared" si="117"/>
        <v>3.2735734849549818</v>
      </c>
      <c r="S99" s="4">
        <f t="shared" si="118"/>
        <v>1.2603574438068614</v>
      </c>
      <c r="T99" s="4" t="str">
        <f t="shared" si="105"/>
        <v>1+0,000527379471500558i</v>
      </c>
      <c r="U99" s="4">
        <f t="shared" si="119"/>
        <v>1.0000001390645437</v>
      </c>
      <c r="V99" s="4">
        <f t="shared" si="120"/>
        <v>5.273794226073724E-4</v>
      </c>
      <c r="W99" t="str">
        <f t="shared" si="106"/>
        <v>1-0,0194724727938668i</v>
      </c>
      <c r="X99" s="4">
        <f t="shared" si="121"/>
        <v>1.000189570629842</v>
      </c>
      <c r="Y99" s="4">
        <f t="shared" si="122"/>
        <v>-1.9470012181098513E-2</v>
      </c>
      <c r="Z99" t="str">
        <f t="shared" si="107"/>
        <v>0,999999913869962+0,00182185635609284i</v>
      </c>
      <c r="AA99" s="4">
        <f t="shared" si="123"/>
        <v>1.0000015734490189</v>
      </c>
      <c r="AB99" s="4">
        <f t="shared" si="124"/>
        <v>1.8218544973349696E-3</v>
      </c>
      <c r="AC99" s="47" t="str">
        <f t="shared" si="125"/>
        <v>5,15829054677573-17,3063186070672i</v>
      </c>
      <c r="AD99" s="20">
        <f t="shared" si="126"/>
        <v>25.133729392618392</v>
      </c>
      <c r="AE99" s="43">
        <f t="shared" si="127"/>
        <v>-73.40287969154204</v>
      </c>
      <c r="AF99" t="str">
        <f t="shared" si="108"/>
        <v>405,634542683733</v>
      </c>
      <c r="AG99" t="str">
        <f t="shared" si="109"/>
        <v>1+3,12264160756909i</v>
      </c>
      <c r="AH99">
        <f t="shared" si="128"/>
        <v>3.278855075986383</v>
      </c>
      <c r="AI99">
        <f t="shared" si="129"/>
        <v>1.2608741652522906</v>
      </c>
      <c r="AJ99" t="str">
        <f t="shared" si="110"/>
        <v>1+0,000527379471500558i</v>
      </c>
      <c r="AK99">
        <f t="shared" si="130"/>
        <v>1.0000001390645437</v>
      </c>
      <c r="AL99">
        <f t="shared" si="131"/>
        <v>5.273794226073724E-4</v>
      </c>
      <c r="AM99" t="str">
        <f t="shared" si="111"/>
        <v>1-0,00284236865816985i</v>
      </c>
      <c r="AN99">
        <f t="shared" si="132"/>
        <v>1.0000040395216356</v>
      </c>
      <c r="AO99">
        <f t="shared" si="133"/>
        <v>-2.8423610036517003E-3</v>
      </c>
      <c r="AP99" s="41" t="str">
        <f t="shared" si="134"/>
        <v>37,4576285168143-117,905788907523i</v>
      </c>
      <c r="AQ99">
        <f t="shared" si="135"/>
        <v>41.84829048911417</v>
      </c>
      <c r="AR99" s="43">
        <f t="shared" si="136"/>
        <v>-72.3754068402813</v>
      </c>
      <c r="AS99" t="str">
        <f t="shared" si="112"/>
        <v>-0,0000166666666666667</v>
      </c>
      <c r="AT99" t="str">
        <f t="shared" si="113"/>
        <v>0,0000898573484133644i</v>
      </c>
      <c r="AU99">
        <f t="shared" si="137"/>
        <v>8.9857348413364407E-5</v>
      </c>
      <c r="AV99">
        <f t="shared" si="138"/>
        <v>1.5707963267948966</v>
      </c>
      <c r="AW99" t="str">
        <f t="shared" si="114"/>
        <v>1+0,00320328770847188i</v>
      </c>
      <c r="AX99">
        <f t="shared" si="139"/>
        <v>1.0000051305129105</v>
      </c>
      <c r="AY99">
        <f t="shared" si="140"/>
        <v>3.2032767521719316E-3</v>
      </c>
      <c r="AZ99" t="str">
        <f t="shared" si="115"/>
        <v>1+0,473018818284347i</v>
      </c>
      <c r="BA99">
        <f t="shared" si="141"/>
        <v>1.1062308992480367</v>
      </c>
      <c r="BB99">
        <f t="shared" si="142"/>
        <v>0.44183062925069949</v>
      </c>
      <c r="BC99" s="41" t="str">
        <f t="shared" si="143"/>
        <v>-0,087140101898409+0,185758307761494i</v>
      </c>
      <c r="BD99">
        <f t="shared" si="144"/>
        <v>-13.757225848599292</v>
      </c>
      <c r="BE99" s="43">
        <f t="shared" si="145"/>
        <v>115.13149607716257</v>
      </c>
      <c r="BF99" s="41" t="str">
        <f t="shared" si="146"/>
        <v>2,76529849416242+2,46626968981734i</v>
      </c>
      <c r="BG99" s="20">
        <f t="shared" si="147"/>
        <v>11.376503544019101</v>
      </c>
      <c r="BH99" s="43">
        <f t="shared" si="148"/>
        <v>41.728616385620583</v>
      </c>
      <c r="BI99" s="41" t="str">
        <f t="shared" si="101"/>
        <v>18,6379182569175+17,232388145856i</v>
      </c>
      <c r="BJ99" s="20">
        <f t="shared" si="149"/>
        <v>28.091064640514901</v>
      </c>
      <c r="BK99" s="43">
        <f t="shared" si="102"/>
        <v>42.756089236881266</v>
      </c>
      <c r="BL99">
        <f t="shared" si="150"/>
        <v>11.376503544019101</v>
      </c>
      <c r="BM99" s="43">
        <f t="shared" si="151"/>
        <v>41.728616385620583</v>
      </c>
    </row>
    <row r="100" spans="14:65" x14ac:dyDescent="0.35">
      <c r="N100" s="9">
        <v>82</v>
      </c>
      <c r="O100" s="34">
        <f t="shared" si="116"/>
        <v>66.069344800759623</v>
      </c>
      <c r="P100" s="33" t="str">
        <f t="shared" si="103"/>
        <v>59,1053597814893</v>
      </c>
      <c r="Q100" s="4" t="str">
        <f t="shared" si="104"/>
        <v>1+3,18970181814448i</v>
      </c>
      <c r="R100" s="4">
        <f t="shared" si="117"/>
        <v>3.342782925748276</v>
      </c>
      <c r="S100" s="4">
        <f t="shared" si="118"/>
        <v>1.2669925562289133</v>
      </c>
      <c r="T100" s="4" t="str">
        <f t="shared" si="105"/>
        <v>1+0,00053966371745925i</v>
      </c>
      <c r="U100" s="4">
        <f t="shared" si="119"/>
        <v>1.0000001456184533</v>
      </c>
      <c r="V100" s="4">
        <f t="shared" si="120"/>
        <v>5.3966366506925814E-4</v>
      </c>
      <c r="W100" t="str">
        <f t="shared" si="106"/>
        <v>1-0,0199260449523416i</v>
      </c>
      <c r="X100" s="4">
        <f t="shared" si="121"/>
        <v>1.000198503931816</v>
      </c>
      <c r="Y100" s="4">
        <f t="shared" si="122"/>
        <v>-1.9923408386518099E-2</v>
      </c>
      <c r="Z100" t="str">
        <f t="shared" si="107"/>
        <v>0,999999909810778+0,00186429284213195i</v>
      </c>
      <c r="AA100" s="4">
        <f t="shared" si="123"/>
        <v>1.0000016476033255</v>
      </c>
      <c r="AB100" s="4">
        <f t="shared" si="124"/>
        <v>1.8642908504371857E-3</v>
      </c>
      <c r="AC100" s="47" t="str">
        <f t="shared" si="125"/>
        <v>4,93076221084379-16,9836868683876i</v>
      </c>
      <c r="AD100" s="20">
        <f t="shared" si="126"/>
        <v>24.95208476741276</v>
      </c>
      <c r="AE100" s="43">
        <f t="shared" si="127"/>
        <v>-73.810748907621289</v>
      </c>
      <c r="AF100" t="str">
        <f t="shared" si="108"/>
        <v>405,634542683733</v>
      </c>
      <c r="AG100" t="str">
        <f t="shared" si="109"/>
        <v>1+3,19537727442976i</v>
      </c>
      <c r="AH100">
        <f t="shared" si="128"/>
        <v>3.3481989077625243</v>
      </c>
      <c r="AI100">
        <f t="shared" si="129"/>
        <v>1.2674996419434579</v>
      </c>
      <c r="AJ100" t="str">
        <f t="shared" si="110"/>
        <v>1+0,00053966371745925i</v>
      </c>
      <c r="AK100">
        <f t="shared" si="130"/>
        <v>1.0000001456184533</v>
      </c>
      <c r="AL100">
        <f t="shared" si="131"/>
        <v>5.3966366506925814E-4</v>
      </c>
      <c r="AM100" t="str">
        <f t="shared" si="111"/>
        <v>1-0,00290857592938366i</v>
      </c>
      <c r="AN100">
        <f t="shared" si="132"/>
        <v>1.0000042298980225</v>
      </c>
      <c r="AO100">
        <f t="shared" si="133"/>
        <v>-2.9085677274215639E-3</v>
      </c>
      <c r="AP100" s="41" t="str">
        <f t="shared" si="134"/>
        <v>35,9098168612127-115,706325348996i</v>
      </c>
      <c r="AQ100">
        <f t="shared" si="135"/>
        <v>41.666511621032797</v>
      </c>
      <c r="AR100" s="43">
        <f t="shared" si="136"/>
        <v>-72.758108222547406</v>
      </c>
      <c r="AS100" t="str">
        <f t="shared" si="112"/>
        <v>-0,0000166666666666667</v>
      </c>
      <c r="AT100" t="str">
        <f t="shared" si="113"/>
        <v>0,0000919503949363259i</v>
      </c>
      <c r="AU100">
        <f t="shared" si="137"/>
        <v>9.1950394936325897E-5</v>
      </c>
      <c r="AV100">
        <f t="shared" si="138"/>
        <v>1.5707963267948966</v>
      </c>
      <c r="AW100" t="str">
        <f t="shared" si="114"/>
        <v>1+0,00327790186433835i</v>
      </c>
      <c r="AX100">
        <f t="shared" si="139"/>
        <v>1.0000053723058853</v>
      </c>
      <c r="AY100">
        <f t="shared" si="140"/>
        <v>3.2778901244548478E-3</v>
      </c>
      <c r="AZ100" t="str">
        <f t="shared" si="115"/>
        <v>1+0,484036841967296i</v>
      </c>
      <c r="BA100">
        <f t="shared" si="141"/>
        <v>1.1109867975730734</v>
      </c>
      <c r="BB100">
        <f t="shared" si="142"/>
        <v>0.4507957230143374</v>
      </c>
      <c r="BC100" s="41" t="str">
        <f t="shared" si="143"/>
        <v>-0,0871400597589117+0,181542788077482i</v>
      </c>
      <c r="BD100">
        <f t="shared" si="144"/>
        <v>-13.919965688606236</v>
      </c>
      <c r="BE100" s="43">
        <f t="shared" si="145"/>
        <v>115.6408830814312</v>
      </c>
      <c r="BF100" s="41" t="str">
        <f t="shared" si="146"/>
        <v>2,65359895221209+2,37510380774161i</v>
      </c>
      <c r="BG100" s="20">
        <f t="shared" si="147"/>
        <v>11.03211907880652</v>
      </c>
      <c r="BH100" s="43">
        <f t="shared" si="148"/>
        <v>41.830134173809931</v>
      </c>
      <c r="BI100" s="41" t="str">
        <f t="shared" si="101"/>
        <v>17,8764653148393+16,6018243777319i</v>
      </c>
      <c r="BJ100" s="20">
        <f t="shared" si="149"/>
        <v>27.746545932426553</v>
      </c>
      <c r="BK100" s="43">
        <f t="shared" si="102"/>
        <v>42.882774858883778</v>
      </c>
      <c r="BL100">
        <f t="shared" si="150"/>
        <v>11.03211907880652</v>
      </c>
      <c r="BM100" s="43">
        <f t="shared" si="151"/>
        <v>41.830134173809931</v>
      </c>
    </row>
    <row r="101" spans="14:65" x14ac:dyDescent="0.35">
      <c r="N101" s="9">
        <v>83</v>
      </c>
      <c r="O101" s="34">
        <f t="shared" si="116"/>
        <v>67.60829753919819</v>
      </c>
      <c r="P101" s="33" t="str">
        <f t="shared" si="103"/>
        <v>59,1053597814893</v>
      </c>
      <c r="Q101" s="4" t="str">
        <f t="shared" si="104"/>
        <v>1+3,26399951797243i</v>
      </c>
      <c r="R101" s="4">
        <f t="shared" si="117"/>
        <v>3.4137505552286997</v>
      </c>
      <c r="S101" s="4">
        <f t="shared" si="118"/>
        <v>1.2735034180442084</v>
      </c>
      <c r="T101" s="4" t="str">
        <f t="shared" si="105"/>
        <v>1+0,000552234100264231i</v>
      </c>
      <c r="U101" s="4">
        <f t="shared" si="119"/>
        <v>1.0000001524812392</v>
      </c>
      <c r="V101" s="4">
        <f t="shared" si="120"/>
        <v>5.5223404412734379E-4</v>
      </c>
      <c r="W101" t="str">
        <f t="shared" si="106"/>
        <v>1-0,0203901821636024i</v>
      </c>
      <c r="X101" s="4">
        <f t="shared" si="121"/>
        <v>1.0002078581618248</v>
      </c>
      <c r="Y101" s="4">
        <f t="shared" si="122"/>
        <v>-2.038735706413089E-2</v>
      </c>
      <c r="Z101" t="str">
        <f t="shared" si="107"/>
        <v>0,999999905560291+0,0019077178009128i</v>
      </c>
      <c r="AA101" s="4">
        <f t="shared" si="123"/>
        <v>1.0000017252524112</v>
      </c>
      <c r="AB101" s="4">
        <f t="shared" si="124"/>
        <v>1.9077156667736087E-3</v>
      </c>
      <c r="AC101" s="47" t="str">
        <f t="shared" si="125"/>
        <v>4,71167546509226-16,6641885755428i</v>
      </c>
      <c r="AD101" s="20">
        <f t="shared" si="126"/>
        <v>24.769693214473527</v>
      </c>
      <c r="AE101" s="43">
        <f t="shared" si="127"/>
        <v>-74.212143940803784</v>
      </c>
      <c r="AF101" t="str">
        <f t="shared" si="108"/>
        <v>405,634542683733</v>
      </c>
      <c r="AG101" t="str">
        <f t="shared" si="109"/>
        <v>1+3,26980717261715i</v>
      </c>
      <c r="AH101">
        <f t="shared" si="128"/>
        <v>3.4193038686403061</v>
      </c>
      <c r="AI101">
        <f t="shared" si="129"/>
        <v>1.2740009618449288</v>
      </c>
      <c r="AJ101" t="str">
        <f t="shared" si="110"/>
        <v>1+0,000552234100264231i</v>
      </c>
      <c r="AK101">
        <f t="shared" si="130"/>
        <v>1.0000001524812392</v>
      </c>
      <c r="AL101">
        <f t="shared" si="131"/>
        <v>5.5223404412734379E-4</v>
      </c>
      <c r="AM101" t="str">
        <f t="shared" si="111"/>
        <v>1-0,00297632536605478i</v>
      </c>
      <c r="AN101">
        <f t="shared" si="132"/>
        <v>1.0000044292465333</v>
      </c>
      <c r="AO101">
        <f t="shared" si="133"/>
        <v>-2.9763165774961556E-3</v>
      </c>
      <c r="AP101" s="41" t="str">
        <f t="shared" si="134"/>
        <v>34,4194706756296-113,528327244882i</v>
      </c>
      <c r="AQ101">
        <f t="shared" si="135"/>
        <v>41.483984467138583</v>
      </c>
      <c r="AR101" s="43">
        <f t="shared" si="136"/>
        <v>-73.133767907675292</v>
      </c>
      <c r="AS101" t="str">
        <f t="shared" si="112"/>
        <v>-0,0000166666666666667</v>
      </c>
      <c r="AT101" t="str">
        <f t="shared" si="113"/>
        <v>0,0000940921947757901i</v>
      </c>
      <c r="AU101">
        <f t="shared" si="137"/>
        <v>9.4092194775790094E-5</v>
      </c>
      <c r="AV101">
        <f t="shared" si="138"/>
        <v>1.5707963267948966</v>
      </c>
      <c r="AW101" t="str">
        <f t="shared" si="114"/>
        <v>1+0,00335425400716146i</v>
      </c>
      <c r="AX101">
        <f t="shared" si="139"/>
        <v>1.0000056254941492</v>
      </c>
      <c r="AY101">
        <f t="shared" si="140"/>
        <v>3.3542414276534678E-3</v>
      </c>
      <c r="AZ101" t="str">
        <f t="shared" si="115"/>
        <v>1+0,495311508390841i</v>
      </c>
      <c r="BA101">
        <f t="shared" si="141"/>
        <v>1.1159451108116429</v>
      </c>
      <c r="BB101">
        <f t="shared" si="142"/>
        <v>0.45988978596005398</v>
      </c>
      <c r="BC101" s="41" t="str">
        <f t="shared" si="143"/>
        <v>-0,0871400156334845+0,17742352476969i</v>
      </c>
      <c r="BD101">
        <f t="shared" si="144"/>
        <v>-14.081289172360368</v>
      </c>
      <c r="BE101" s="43">
        <f t="shared" si="145"/>
        <v>116.15755989941337</v>
      </c>
      <c r="BF101" s="41" t="str">
        <f t="shared" si="146"/>
        <v>2,54604360081156+2,28807972157967i</v>
      </c>
      <c r="BG101" s="20">
        <f t="shared" si="147"/>
        <v>10.688404042113163</v>
      </c>
      <c r="BH101" s="43">
        <f t="shared" si="148"/>
        <v>41.945415958609559</v>
      </c>
      <c r="BI101" s="41" t="str">
        <f t="shared" si="101"/>
        <v>17,1432827682232+15,9996840189396i</v>
      </c>
      <c r="BJ101" s="20">
        <f t="shared" si="149"/>
        <v>27.402695294778233</v>
      </c>
      <c r="BK101" s="43">
        <f t="shared" si="102"/>
        <v>43.023791991738143</v>
      </c>
      <c r="BL101">
        <f t="shared" si="150"/>
        <v>10.688404042113163</v>
      </c>
      <c r="BM101" s="43">
        <f t="shared" si="151"/>
        <v>41.945415958609559</v>
      </c>
    </row>
    <row r="102" spans="14:65" x14ac:dyDescent="0.35">
      <c r="N102" s="9">
        <v>84</v>
      </c>
      <c r="O102" s="34">
        <f t="shared" si="116"/>
        <v>69.183097091893657</v>
      </c>
      <c r="P102" s="33" t="str">
        <f t="shared" si="103"/>
        <v>59,1053597814893</v>
      </c>
      <c r="Q102" s="4" t="str">
        <f t="shared" si="104"/>
        <v>1+3,34002783354895i</v>
      </c>
      <c r="R102" s="4">
        <f t="shared" si="117"/>
        <v>3.4865148685874967</v>
      </c>
      <c r="S102" s="4">
        <f t="shared" si="118"/>
        <v>1.2798912725653822</v>
      </c>
      <c r="T102" s="4" t="str">
        <f t="shared" si="105"/>
        <v>1+0,000565097284898855i</v>
      </c>
      <c r="U102" s="4">
        <f t="shared" si="119"/>
        <v>1.0000001596674579</v>
      </c>
      <c r="V102" s="4">
        <f t="shared" si="120"/>
        <v>5.650972247470971E-4</v>
      </c>
      <c r="W102" t="str">
        <f t="shared" si="106"/>
        <v>1-0,0208651305193424i</v>
      </c>
      <c r="X102" s="4">
        <f t="shared" si="121"/>
        <v>1.0002176531493479</v>
      </c>
      <c r="Y102" s="4">
        <f t="shared" si="122"/>
        <v>-2.0862103406295341E-2</v>
      </c>
      <c r="Z102" t="str">
        <f t="shared" si="107"/>
        <v>0,999999901109485+0,00195215425692332i</v>
      </c>
      <c r="AA102" s="4">
        <f t="shared" si="123"/>
        <v>1.0000018065609795</v>
      </c>
      <c r="AB102" s="4">
        <f t="shared" si="124"/>
        <v>1.9521519701521987E-3</v>
      </c>
      <c r="AC102" s="47" t="str">
        <f t="shared" si="125"/>
        <v>4,50078866172235-16,3479794404276i</v>
      </c>
      <c r="AD102" s="20">
        <f t="shared" si="126"/>
        <v>24.586582873677155</v>
      </c>
      <c r="AE102" s="43">
        <f t="shared" si="127"/>
        <v>-74.607151013436024</v>
      </c>
      <c r="AF102" t="str">
        <f t="shared" si="108"/>
        <v>405,634542683733</v>
      </c>
      <c r="AG102" t="str">
        <f t="shared" si="109"/>
        <v>1+3,34597076584848i</v>
      </c>
      <c r="AH102">
        <f t="shared" si="128"/>
        <v>3.4922085226848449</v>
      </c>
      <c r="AI102">
        <f t="shared" si="129"/>
        <v>1.2803793729058819</v>
      </c>
      <c r="AJ102" t="str">
        <f t="shared" si="110"/>
        <v>1+0,000565097284898855i</v>
      </c>
      <c r="AK102">
        <f t="shared" si="130"/>
        <v>1.0000001596674579</v>
      </c>
      <c r="AL102">
        <f t="shared" si="131"/>
        <v>5.650972247470971E-4</v>
      </c>
      <c r="AM102" t="str">
        <f t="shared" si="111"/>
        <v>1-0,00304565288983131i</v>
      </c>
      <c r="AN102">
        <f t="shared" si="132"/>
        <v>1.0000046379900072</v>
      </c>
      <c r="AO102">
        <f t="shared" si="133"/>
        <v>-3.0456434727234379E-3</v>
      </c>
      <c r="AP102" s="41" t="str">
        <f t="shared" si="134"/>
        <v>32,9849416983133-111,372849674181i</v>
      </c>
      <c r="AQ102">
        <f t="shared" si="135"/>
        <v>41.300736937610097</v>
      </c>
      <c r="AR102" s="43">
        <f t="shared" si="136"/>
        <v>-73.502459074010062</v>
      </c>
      <c r="AS102" t="str">
        <f t="shared" si="112"/>
        <v>-0,0000166666666666667</v>
      </c>
      <c r="AT102" t="str">
        <f t="shared" si="113"/>
        <v>0,0000962838835423818i</v>
      </c>
      <c r="AU102">
        <f t="shared" si="137"/>
        <v>9.6283883542381795E-5</v>
      </c>
      <c r="AV102">
        <f t="shared" si="138"/>
        <v>1.5707963267948966</v>
      </c>
      <c r="AW102" t="str">
        <f t="shared" si="114"/>
        <v>1+0,00343238461985796i</v>
      </c>
      <c r="AX102">
        <f t="shared" si="139"/>
        <v>1.0000058906147398</v>
      </c>
      <c r="AY102">
        <f t="shared" si="140"/>
        <v>3.4323711406765841E-3</v>
      </c>
      <c r="AZ102" t="str">
        <f t="shared" si="115"/>
        <v>1+0,506848795532357i</v>
      </c>
      <c r="BA102">
        <f t="shared" si="141"/>
        <v>1.1211135988527661</v>
      </c>
      <c r="BB102">
        <f t="shared" si="142"/>
        <v>0.46911162213673457</v>
      </c>
      <c r="BC102" s="41" t="str">
        <f t="shared" si="143"/>
        <v>-0,087139969428538+0,173398333749254i</v>
      </c>
      <c r="BD102">
        <f t="shared" si="144"/>
        <v>-14.241155741206555</v>
      </c>
      <c r="BE102" s="43">
        <f t="shared" si="145"/>
        <v>116.68145568888748</v>
      </c>
      <c r="BF102" s="41" t="str">
        <f t="shared" si="146"/>
        <v>2,44251380875041+2,20499168315742i</v>
      </c>
      <c r="BG102" s="20">
        <f t="shared" si="147"/>
        <v>10.345427132470601</v>
      </c>
      <c r="BH102" s="43">
        <f t="shared" si="148"/>
        <v>42.074304675451508</v>
      </c>
      <c r="BI102" s="41" t="str">
        <f t="shared" si="101"/>
        <v>16,437559747216+15,4245606450811i</v>
      </c>
      <c r="BJ102" s="20">
        <f t="shared" si="149"/>
        <v>27.059581196403542</v>
      </c>
      <c r="BK102" s="43">
        <f t="shared" si="102"/>
        <v>43.178996614877441</v>
      </c>
      <c r="BL102">
        <f t="shared" si="150"/>
        <v>10.345427132470601</v>
      </c>
      <c r="BM102" s="43">
        <f t="shared" si="151"/>
        <v>42.074304675451508</v>
      </c>
    </row>
    <row r="103" spans="14:65" x14ac:dyDescent="0.35">
      <c r="N103" s="9">
        <v>85</v>
      </c>
      <c r="O103" s="34">
        <f t="shared" si="116"/>
        <v>70.794578438413865</v>
      </c>
      <c r="P103" s="33" t="str">
        <f t="shared" si="103"/>
        <v>59,1053597814893</v>
      </c>
      <c r="Q103" s="4" t="str">
        <f t="shared" si="104"/>
        <v>1+3,41782707609331i</v>
      </c>
      <c r="R103" s="4">
        <f t="shared" si="117"/>
        <v>3.5611152638010113</v>
      </c>
      <c r="S103" s="4">
        <f t="shared" si="118"/>
        <v>1.2861574207100688</v>
      </c>
      <c r="T103" s="4" t="str">
        <f t="shared" si="105"/>
        <v>1+0,00057826009159388i</v>
      </c>
      <c r="U103" s="4">
        <f t="shared" si="119"/>
        <v>1.0000001671923529</v>
      </c>
      <c r="V103" s="4">
        <f t="shared" si="120"/>
        <v>5.7826002714011073E-4</v>
      </c>
      <c r="W103" t="str">
        <f t="shared" si="106"/>
        <v>1-0,0213511418434664i</v>
      </c>
      <c r="X103" s="4">
        <f t="shared" si="121"/>
        <v>1.0002279096576039</v>
      </c>
      <c r="Y103" s="4">
        <f t="shared" si="122"/>
        <v>-2.1347898273312987E-2</v>
      </c>
      <c r="Z103" t="str">
        <f t="shared" si="107"/>
        <v>0,999999896448919+0,00199762577096067i</v>
      </c>
      <c r="AA103" s="4">
        <f t="shared" si="123"/>
        <v>1.0000018917014957</v>
      </c>
      <c r="AB103" s="4">
        <f t="shared" si="124"/>
        <v>1.997623320641516E-3</v>
      </c>
      <c r="AC103" s="47" t="str">
        <f t="shared" si="125"/>
        <v>4,29786116357496-16,0352015324016i</v>
      </c>
      <c r="AD103" s="20">
        <f t="shared" si="126"/>
        <v>24.402781082196213</v>
      </c>
      <c r="AE103" s="43">
        <f t="shared" si="127"/>
        <v>-74.995859994967589</v>
      </c>
      <c r="AF103" t="str">
        <f t="shared" si="108"/>
        <v>405,634542683733</v>
      </c>
      <c r="AG103" t="str">
        <f t="shared" si="109"/>
        <v>1+3,42390843706902i</v>
      </c>
      <c r="AH103">
        <f t="shared" si="128"/>
        <v>3.566952338542305</v>
      </c>
      <c r="AI103">
        <f t="shared" si="129"/>
        <v>1.286636180273504</v>
      </c>
      <c r="AJ103" t="str">
        <f t="shared" si="110"/>
        <v>1+0,00057826009159388i</v>
      </c>
      <c r="AK103">
        <f t="shared" si="130"/>
        <v>1.0000001671923529</v>
      </c>
      <c r="AL103">
        <f t="shared" si="131"/>
        <v>5.7826002714011073E-4</v>
      </c>
      <c r="AM103" t="str">
        <f t="shared" si="111"/>
        <v>1-0,00311659525908401i</v>
      </c>
      <c r="AN103">
        <f t="shared" si="132"/>
        <v>1.0000048565712112</v>
      </c>
      <c r="AO103">
        <f t="shared" si="133"/>
        <v>-3.1165851684737725E-3</v>
      </c>
      <c r="AP103" s="41" t="str">
        <f t="shared" si="134"/>
        <v>31,6045888747867-109,240854923323i</v>
      </c>
      <c r="AQ103">
        <f t="shared" si="135"/>
        <v>41.116796132333761</v>
      </c>
      <c r="AR103" s="43">
        <f t="shared" si="136"/>
        <v>-73.864258216135525</v>
      </c>
      <c r="AS103" t="str">
        <f t="shared" si="112"/>
        <v>-0,0000166666666666667</v>
      </c>
      <c r="AT103" t="str">
        <f t="shared" si="113"/>
        <v>0,0000985266232984956i</v>
      </c>
      <c r="AU103">
        <f t="shared" si="137"/>
        <v>9.8526623298495606E-5</v>
      </c>
      <c r="AV103">
        <f t="shared" si="138"/>
        <v>1.5707963267948966</v>
      </c>
      <c r="AW103" t="str">
        <f t="shared" si="114"/>
        <v>1+0,00351233512831289i</v>
      </c>
      <c r="AX103">
        <f t="shared" si="139"/>
        <v>1.0000061682300032</v>
      </c>
      <c r="AY103">
        <f t="shared" si="140"/>
        <v>3.5123206851146388E-3</v>
      </c>
      <c r="AZ103" t="str">
        <f t="shared" si="115"/>
        <v>1+0,518654820614203i</v>
      </c>
      <c r="BA103">
        <f t="shared" si="141"/>
        <v>1.1265002543037224</v>
      </c>
      <c r="BB103">
        <f t="shared" si="142"/>
        <v>0.47845984618203669</v>
      </c>
      <c r="BC103" s="41" t="str">
        <f t="shared" si="143"/>
        <v>-0,0871399210460722+0,169465080805619i</v>
      </c>
      <c r="BD103">
        <f t="shared" si="144"/>
        <v>-14.399524680408541</v>
      </c>
      <c r="BE103" s="43">
        <f t="shared" si="145"/>
        <v>117.21248870115559</v>
      </c>
      <c r="BF103" s="41" t="str">
        <f t="shared" si="146"/>
        <v>2,34289144096192+2,12564358486789i</v>
      </c>
      <c r="BG103" s="20">
        <f t="shared" si="147"/>
        <v>10.003256401787661</v>
      </c>
      <c r="BH103" s="43">
        <f t="shared" si="148"/>
        <v>42.216628706187969</v>
      </c>
      <c r="BI103" s="41" t="str">
        <f t="shared" si="101"/>
        <v>15,7584889276133+14,8751136805179i</v>
      </c>
      <c r="BJ103" s="20">
        <f t="shared" si="149"/>
        <v>26.717271451925203</v>
      </c>
      <c r="BK103" s="43">
        <f t="shared" si="102"/>
        <v>43.348230485020188</v>
      </c>
      <c r="BL103">
        <f t="shared" si="150"/>
        <v>10.003256401787661</v>
      </c>
      <c r="BM103" s="43">
        <f t="shared" si="151"/>
        <v>42.216628706187969</v>
      </c>
    </row>
    <row r="104" spans="14:65" x14ac:dyDescent="0.35">
      <c r="N104" s="9">
        <v>86</v>
      </c>
      <c r="O104" s="34">
        <f t="shared" si="116"/>
        <v>72.443596007499011</v>
      </c>
      <c r="P104" s="33" t="str">
        <f t="shared" si="103"/>
        <v>59,1053597814893</v>
      </c>
      <c r="Q104" s="4" t="str">
        <f t="shared" si="104"/>
        <v>1+3,49743849579369i</v>
      </c>
      <c r="R104" s="4">
        <f t="shared" si="117"/>
        <v>3.6375920650699176</v>
      </c>
      <c r="S104" s="4">
        <f t="shared" si="118"/>
        <v>1.2923032158258287</v>
      </c>
      <c r="T104" s="4" t="str">
        <f t="shared" si="105"/>
        <v>1+0,000591729499443642i</v>
      </c>
      <c r="U104" s="4">
        <f t="shared" si="119"/>
        <v>1.000000175071885</v>
      </c>
      <c r="V104" s="4">
        <f t="shared" si="120"/>
        <v>5.9172943038018455E-4</v>
      </c>
      <c r="W104" t="str">
        <f t="shared" si="106"/>
        <v>1-0,0218484738256114i</v>
      </c>
      <c r="X104" s="4">
        <f t="shared" si="121"/>
        <v>1.0002386494274795</v>
      </c>
      <c r="Y104" s="4">
        <f t="shared" si="122"/>
        <v>-2.1844998322358873E-2</v>
      </c>
      <c r="Z104" t="str">
        <f t="shared" si="107"/>
        <v>0,999999891568707+0,00204415645262349i</v>
      </c>
      <c r="AA104" s="4">
        <f t="shared" si="123"/>
        <v>1.0000019808545524</v>
      </c>
      <c r="AB104" s="4">
        <f t="shared" si="124"/>
        <v>2.0441538270594929E-3</v>
      </c>
      <c r="AC104" s="47" t="str">
        <f t="shared" si="125"/>
        <v>4,10265391180486-15,7259838195244i</v>
      </c>
      <c r="AD104" s="20">
        <f t="shared" si="126"/>
        <v>24.218314379243019</v>
      </c>
      <c r="AE104" s="43">
        <f t="shared" si="127"/>
        <v>-75.378364113336957</v>
      </c>
      <c r="AF104" t="str">
        <f t="shared" si="108"/>
        <v>405,634542683733</v>
      </c>
      <c r="AG104" t="str">
        <f t="shared" si="109"/>
        <v>1+3,50366150986367i</v>
      </c>
      <c r="AH104">
        <f t="shared" si="128"/>
        <v>3.6435757129089787</v>
      </c>
      <c r="AI104">
        <f t="shared" si="129"/>
        <v>1.2927727411341017</v>
      </c>
      <c r="AJ104" t="str">
        <f t="shared" si="110"/>
        <v>1+0,000591729499443642i</v>
      </c>
      <c r="AK104">
        <f t="shared" si="130"/>
        <v>1.000000175071885</v>
      </c>
      <c r="AL104">
        <f t="shared" si="131"/>
        <v>5.9172943038018455E-4</v>
      </c>
      <c r="AM104" t="str">
        <f t="shared" si="111"/>
        <v>1-0,00318919008839608i</v>
      </c>
      <c r="AN104">
        <f t="shared" si="132"/>
        <v>1.000005085453779</v>
      </c>
      <c r="AO104">
        <f t="shared" si="133"/>
        <v>-3.1891792761153783E-3</v>
      </c>
      <c r="AP104" s="41" t="str">
        <f t="shared" si="134"/>
        <v>30,2767822024457-107,133216183373i</v>
      </c>
      <c r="AQ104">
        <f t="shared" si="135"/>
        <v>40.932188345425331</v>
      </c>
      <c r="AR104" s="43">
        <f t="shared" si="136"/>
        <v>-74.219244850200056</v>
      </c>
      <c r="AS104" t="str">
        <f t="shared" si="112"/>
        <v>-0,0000166666666666667</v>
      </c>
      <c r="AT104" t="str">
        <f t="shared" si="113"/>
        <v>0,000100821603174436i</v>
      </c>
      <c r="AU104">
        <f t="shared" si="137"/>
        <v>1.0082160317443601E-4</v>
      </c>
      <c r="AV104">
        <f t="shared" si="138"/>
        <v>1.5707963267948966</v>
      </c>
      <c r="AW104" t="str">
        <f t="shared" si="114"/>
        <v>1+0,00359414792334409i</v>
      </c>
      <c r="AX104">
        <f t="shared" si="139"/>
        <v>1.0000064589287885</v>
      </c>
      <c r="AY104">
        <f t="shared" si="140"/>
        <v>3.5941324471837335E-3</v>
      </c>
      <c r="AZ104" t="str">
        <f t="shared" si="115"/>
        <v>1+0,530735843347144i</v>
      </c>
      <c r="BA104">
        <f t="shared" si="141"/>
        <v>1.1321133050244592</v>
      </c>
      <c r="BB104">
        <f t="shared" si="142"/>
        <v>0.48793287827282555</v>
      </c>
      <c r="BC104" s="41" t="str">
        <f t="shared" si="143"/>
        <v>-0,0871398703834682+0,16562168047494i</v>
      </c>
      <c r="BD104">
        <f t="shared" si="144"/>
        <v>-14.556355199019018</v>
      </c>
      <c r="BE104" s="43">
        <f t="shared" si="145"/>
        <v>117.75056599046871</v>
      </c>
      <c r="BF104" s="41" t="str">
        <f t="shared" si="146"/>
        <v>2,24705913720844+2,04984862696608i</v>
      </c>
      <c r="BG104" s="20">
        <f t="shared" si="147"/>
        <v>9.6619591802239917</v>
      </c>
      <c r="BH104" s="43">
        <f t="shared" si="148"/>
        <v>42.372201877131779</v>
      </c>
      <c r="BI104" s="41" t="str">
        <f t="shared" si="101"/>
        <v>15,1052684222257+14,350066119726i</v>
      </c>
      <c r="BJ104" s="20">
        <f t="shared" si="149"/>
        <v>26.375833146406322</v>
      </c>
      <c r="BK104" s="43">
        <f t="shared" si="102"/>
        <v>43.531321140268581</v>
      </c>
      <c r="BL104">
        <f t="shared" si="150"/>
        <v>9.6619591802239917</v>
      </c>
      <c r="BM104" s="43">
        <f t="shared" si="151"/>
        <v>42.372201877131779</v>
      </c>
    </row>
    <row r="105" spans="14:65" x14ac:dyDescent="0.35">
      <c r="N105" s="9">
        <v>87</v>
      </c>
      <c r="O105" s="34">
        <f t="shared" si="116"/>
        <v>74.131024130091816</v>
      </c>
      <c r="P105" s="33" t="str">
        <f t="shared" si="103"/>
        <v>59,1053597814893</v>
      </c>
      <c r="Q105" s="4" t="str">
        <f t="shared" si="104"/>
        <v>1+3,57890430367863i</v>
      </c>
      <c r="R105" s="4">
        <f t="shared" si="117"/>
        <v>3.7159865466507571</v>
      </c>
      <c r="S105" s="4">
        <f t="shared" si="118"/>
        <v>1.2983300587260025</v>
      </c>
      <c r="T105" s="4" t="str">
        <f t="shared" si="105"/>
        <v>1+0,000605512650106479i</v>
      </c>
      <c r="U105" s="4">
        <f t="shared" si="119"/>
        <v>1.0000001833227679</v>
      </c>
      <c r="V105" s="4">
        <f t="shared" si="120"/>
        <v>6.0551257610365176E-4</v>
      </c>
      <c r="W105" t="str">
        <f t="shared" si="106"/>
        <v>1-0,0223573901577777i</v>
      </c>
      <c r="X105" s="4">
        <f t="shared" si="121"/>
        <v>1.0002498952235221</v>
      </c>
      <c r="Y105" s="4">
        <f t="shared" si="122"/>
        <v>-2.2353666139194938E-2</v>
      </c>
      <c r="Z105" t="str">
        <f t="shared" si="107"/>
        <v>0,999999886458497+0,00209177097309511i</v>
      </c>
      <c r="AA105" s="4">
        <f t="shared" si="123"/>
        <v>1.0000020742092544</v>
      </c>
      <c r="AB105" s="4">
        <f t="shared" si="124"/>
        <v>2.0917681597529161E-3</v>
      </c>
      <c r="AC105" s="47" t="str">
        <f t="shared" si="125"/>
        <v>3,91492994068858-15,4204427167423i</v>
      </c>
      <c r="AD105" s="20">
        <f t="shared" si="126"/>
        <v>24.033208512649495</v>
      </c>
      <c r="AE105" s="43">
        <f t="shared" si="127"/>
        <v>-75.754759678613453</v>
      </c>
      <c r="AF105" t="str">
        <f t="shared" si="108"/>
        <v>405,634542683733</v>
      </c>
      <c r="AG105" t="str">
        <f t="shared" si="109"/>
        <v>1+3,5852722703673i</v>
      </c>
      <c r="AH105">
        <f t="shared" si="128"/>
        <v>3.7221199943936112</v>
      </c>
      <c r="AI105">
        <f t="shared" si="129"/>
        <v>1.2987904597653359</v>
      </c>
      <c r="AJ105" t="str">
        <f t="shared" si="110"/>
        <v>1+0,000605512650106479i</v>
      </c>
      <c r="AK105">
        <f t="shared" si="130"/>
        <v>1.0000001833227679</v>
      </c>
      <c r="AL105">
        <f t="shared" si="131"/>
        <v>6.0551257610365176E-4</v>
      </c>
      <c r="AM105" t="str">
        <f t="shared" si="111"/>
        <v>1-0,00326347586850695i</v>
      </c>
      <c r="AN105">
        <f t="shared" si="132"/>
        <v>1.0000053251231937</v>
      </c>
      <c r="AO105">
        <f t="shared" si="133"/>
        <v>-3.2634642829427766E-3</v>
      </c>
      <c r="AP105" s="41" t="str">
        <f t="shared" si="134"/>
        <v>28,9999062156225-105,05072129269i</v>
      </c>
      <c r="AQ105">
        <f t="shared" si="135"/>
        <v>40.746939071557051</v>
      </c>
      <c r="AR105" s="43">
        <f t="shared" si="136"/>
        <v>-74.567501231361021</v>
      </c>
      <c r="AS105" t="str">
        <f t="shared" si="112"/>
        <v>-0,0000166666666666667</v>
      </c>
      <c r="AT105" t="str">
        <f t="shared" si="113"/>
        <v>0,000103170039998912i</v>
      </c>
      <c r="AU105">
        <f t="shared" si="137"/>
        <v>1.03170039998912E-4</v>
      </c>
      <c r="AV105">
        <f t="shared" si="138"/>
        <v>1.5707963267948966</v>
      </c>
      <c r="AW105" t="str">
        <f t="shared" si="114"/>
        <v>1+0,00367786638317844i</v>
      </c>
      <c r="AX105">
        <f t="shared" si="139"/>
        <v>1.000006763327695</v>
      </c>
      <c r="AY105">
        <f t="shared" si="140"/>
        <v>3.6778498001799041E-3</v>
      </c>
      <c r="AZ105" t="str">
        <f t="shared" si="115"/>
        <v>1+0,543098269249349i</v>
      </c>
      <c r="BA105">
        <f t="shared" si="141"/>
        <v>1.1379612164136519</v>
      </c>
      <c r="BB105">
        <f t="shared" si="142"/>
        <v>0.49752893952861788</v>
      </c>
      <c r="BC105" s="41" t="str">
        <f t="shared" si="143"/>
        <v>-0,0871398173332722+0,161866094934342i</v>
      </c>
      <c r="BD105">
        <f t="shared" si="144"/>
        <v>-14.711606514488484</v>
      </c>
      <c r="BE105" s="43">
        <f t="shared" si="145"/>
        <v>118.29558314937603</v>
      </c>
      <c r="BF105" s="41" t="str">
        <f t="shared" si="146"/>
        <v>2,15490056481363+1,97742898297591i</v>
      </c>
      <c r="BG105" s="20">
        <f t="shared" si="147"/>
        <v>9.3216019981610145</v>
      </c>
      <c r="BH105" s="43">
        <f t="shared" si="148"/>
        <v>42.540823470762653</v>
      </c>
      <c r="BI105" s="41" t="str">
        <f t="shared" si="101"/>
        <v>14,4771034953723+13,8482022367585i</v>
      </c>
      <c r="BJ105" s="20">
        <f t="shared" si="149"/>
        <v>26.035332557068578</v>
      </c>
      <c r="BK105" s="43">
        <f t="shared" si="102"/>
        <v>43.728081918015093</v>
      </c>
      <c r="BL105">
        <f t="shared" si="150"/>
        <v>9.3216019981610145</v>
      </c>
      <c r="BM105" s="43">
        <f t="shared" si="151"/>
        <v>42.540823470762653</v>
      </c>
    </row>
    <row r="106" spans="14:65" x14ac:dyDescent="0.35">
      <c r="N106" s="9">
        <v>88</v>
      </c>
      <c r="O106" s="34">
        <f t="shared" si="116"/>
        <v>75.857757502918361</v>
      </c>
      <c r="P106" s="33" t="str">
        <f t="shared" si="103"/>
        <v>59,1053597814893</v>
      </c>
      <c r="Q106" s="4" t="str">
        <f t="shared" si="104"/>
        <v>1+3,66226769399778i</v>
      </c>
      <c r="R106" s="4">
        <f t="shared" si="117"/>
        <v>3.7963409570927391</v>
      </c>
      <c r="S106" s="4">
        <f t="shared" si="118"/>
        <v>1.304239392938461</v>
      </c>
      <c r="T106" s="4" t="str">
        <f t="shared" si="105"/>
        <v>1+0,000619616851591308i</v>
      </c>
      <c r="U106" s="4">
        <f t="shared" si="119"/>
        <v>1.000000191962503</v>
      </c>
      <c r="V106" s="4">
        <f t="shared" si="120"/>
        <v>6.1961677229585089E-4</v>
      </c>
      <c r="W106" t="str">
        <f t="shared" si="106"/>
        <v>1-0,0228781606741406i</v>
      </c>
      <c r="X106" s="4">
        <f t="shared" si="121"/>
        <v>1.0002616708820906</v>
      </c>
      <c r="Y106" s="4">
        <f t="shared" si="122"/>
        <v>-2.2874170372713141E-2</v>
      </c>
      <c r="Z106" t="str">
        <f t="shared" si="107"/>
        <v>0,999999881107451+0,00214049457822452i</v>
      </c>
      <c r="AA106" s="4">
        <f t="shared" si="123"/>
        <v>1.0000021719636192</v>
      </c>
      <c r="AB106" s="4">
        <f t="shared" si="124"/>
        <v>2.1404915636744006E-3</v>
      </c>
      <c r="AC106" s="47" t="str">
        <f t="shared" si="125"/>
        <v>3,73445484180883-15,1186826374442i</v>
      </c>
      <c r="AD106" s="20">
        <f t="shared" si="126"/>
        <v>23.847488447110795</v>
      </c>
      <c r="AE106" s="43">
        <f t="shared" si="127"/>
        <v>-76.125145819011905</v>
      </c>
      <c r="AF106" t="str">
        <f t="shared" si="108"/>
        <v>405,634542683733</v>
      </c>
      <c r="AG106" t="str">
        <f t="shared" si="109"/>
        <v>1+3,66878398968537i</v>
      </c>
      <c r="AH106">
        <f t="shared" si="128"/>
        <v>3.8026275077861227</v>
      </c>
      <c r="AI106">
        <f t="shared" si="129"/>
        <v>1.3046907828014598</v>
      </c>
      <c r="AJ106" t="str">
        <f t="shared" si="110"/>
        <v>1+0,000619616851591308i</v>
      </c>
      <c r="AK106">
        <f t="shared" si="130"/>
        <v>1.000000191962503</v>
      </c>
      <c r="AL106">
        <f t="shared" si="131"/>
        <v>6.1961677229585089E-4</v>
      </c>
      <c r="AM106" t="str">
        <f t="shared" si="111"/>
        <v>1-0,00333949198672051i</v>
      </c>
      <c r="AN106">
        <f t="shared" si="132"/>
        <v>1.0000055760878184</v>
      </c>
      <c r="AO106">
        <f t="shared" si="133"/>
        <v>-3.3394795725685748E-3</v>
      </c>
      <c r="AP106" s="41" t="str">
        <f t="shared" si="134"/>
        <v>27,7723631264863-102,994076500776i</v>
      </c>
      <c r="AQ106">
        <f t="shared" si="135"/>
        <v>40.561073013916342</v>
      </c>
      <c r="AR106" s="43">
        <f t="shared" si="136"/>
        <v>-74.909112083453437</v>
      </c>
      <c r="AS106" t="str">
        <f t="shared" si="112"/>
        <v>-0,0000166666666666667</v>
      </c>
      <c r="AT106" t="str">
        <f t="shared" si="113"/>
        <v>0,000105573178944211i</v>
      </c>
      <c r="AU106">
        <f t="shared" si="137"/>
        <v>1.05573178944211E-4</v>
      </c>
      <c r="AV106">
        <f t="shared" si="138"/>
        <v>1.5707963267948966</v>
      </c>
      <c r="AW106" t="str">
        <f t="shared" si="114"/>
        <v>1+0,00376353489645146i</v>
      </c>
      <c r="AX106">
        <f t="shared" si="139"/>
        <v>1.0000070820723805</v>
      </c>
      <c r="AY106">
        <f t="shared" si="140"/>
        <v>3.7635171274551867E-3</v>
      </c>
      <c r="AZ106" t="str">
        <f t="shared" si="115"/>
        <v>1+0,555748653042665i</v>
      </c>
      <c r="BA106">
        <f t="shared" si="141"/>
        <v>1.1440526934362492</v>
      </c>
      <c r="BB106">
        <f t="shared" si="142"/>
        <v>0.50724604792327599</v>
      </c>
      <c r="BC106" s="41" t="str">
        <f t="shared" si="143"/>
        <v>-0,0871397617829677+0,158196332921437i</v>
      </c>
      <c r="BD106">
        <f t="shared" si="144"/>
        <v>-14.865237941849427</v>
      </c>
      <c r="BE106" s="43">
        <f t="shared" si="145"/>
        <v>118.847424073166</v>
      </c>
      <c r="BF106" s="41" t="str">
        <f t="shared" si="146"/>
        <v>2,0663006465422+1,90821546493404i</v>
      </c>
      <c r="BG106" s="20">
        <f t="shared" si="147"/>
        <v>8.9822505052613657</v>
      </c>
      <c r="BH106" s="43">
        <f t="shared" si="148"/>
        <v>42.722278254154105</v>
      </c>
      <c r="BI106" s="41" t="str">
        <f t="shared" si="101"/>
        <v>13,8732081080606+13,368365294507i</v>
      </c>
      <c r="BJ106" s="20">
        <f t="shared" si="149"/>
        <v>25.695835072066899</v>
      </c>
      <c r="BK106" s="43">
        <f t="shared" si="102"/>
        <v>43.93831198971251</v>
      </c>
      <c r="BL106">
        <f t="shared" si="150"/>
        <v>8.9822505052613657</v>
      </c>
      <c r="BM106" s="43">
        <f t="shared" si="151"/>
        <v>42.722278254154105</v>
      </c>
    </row>
    <row r="107" spans="14:65" x14ac:dyDescent="0.35">
      <c r="N107" s="9">
        <v>89</v>
      </c>
      <c r="O107" s="34">
        <f t="shared" si="116"/>
        <v>77.624711662869217</v>
      </c>
      <c r="P107" s="33" t="str">
        <f t="shared" si="103"/>
        <v>59,1053597814893</v>
      </c>
      <c r="Q107" s="4" t="str">
        <f t="shared" si="104"/>
        <v>1+3,74757286712413i</v>
      </c>
      <c r="R107" s="4">
        <f t="shared" si="117"/>
        <v>3.8786985438939405</v>
      </c>
      <c r="S107" s="4">
        <f t="shared" si="118"/>
        <v>1.3100327001679455</v>
      </c>
      <c r="T107" s="4" t="str">
        <f t="shared" si="105"/>
        <v>1+0,00063404958213245i</v>
      </c>
      <c r="U107" s="4">
        <f t="shared" si="119"/>
        <v>1.0000002010094162</v>
      </c>
      <c r="V107" s="4">
        <f t="shared" si="120"/>
        <v>6.3404949716583782E-4</v>
      </c>
      <c r="W107" t="str">
        <f t="shared" si="106"/>
        <v>1-0,0234110614941213i</v>
      </c>
      <c r="X107" s="4">
        <f t="shared" si="121"/>
        <v>1.0002740013617677</v>
      </c>
      <c r="Y107" s="4">
        <f t="shared" si="122"/>
        <v>-2.3406785872361956E-2</v>
      </c>
      <c r="Z107" t="str">
        <f t="shared" si="107"/>
        <v>0,999999875504218+0,0021903531019121i</v>
      </c>
      <c r="AA107" s="4">
        <f t="shared" si="123"/>
        <v>1.000002274324995</v>
      </c>
      <c r="AB107" s="4">
        <f t="shared" si="124"/>
        <v>2.1903498717638463E-3</v>
      </c>
      <c r="AC107" s="47" t="str">
        <f t="shared" si="125"/>
        <v>3,56099717997322-14,8207965451617i</v>
      </c>
      <c r="AD107" s="20">
        <f t="shared" si="126"/>
        <v>23.661178373925988</v>
      </c>
      <c r="AE107" s="43">
        <f t="shared" si="127"/>
        <v>-76.489624229322359</v>
      </c>
      <c r="AF107" t="str">
        <f t="shared" si="108"/>
        <v>405,634542683733</v>
      </c>
      <c r="AG107" t="str">
        <f t="shared" si="109"/>
        <v>1+3,75424094683687i</v>
      </c>
      <c r="AH107">
        <f t="shared" si="128"/>
        <v>3.8851415787467256</v>
      </c>
      <c r="AI107">
        <f t="shared" si="129"/>
        <v>1.3104751947121347</v>
      </c>
      <c r="AJ107" t="str">
        <f t="shared" si="110"/>
        <v>1+0,00063404958213245i</v>
      </c>
      <c r="AK107">
        <f t="shared" si="130"/>
        <v>1.0000002010094162</v>
      </c>
      <c r="AL107">
        <f t="shared" si="131"/>
        <v>6.3404949716583782E-4</v>
      </c>
      <c r="AM107" t="str">
        <f t="shared" si="111"/>
        <v>1-0,00341727874778884i</v>
      </c>
      <c r="AN107">
        <f t="shared" si="132"/>
        <v>1.0000058388799737</v>
      </c>
      <c r="AO107">
        <f t="shared" si="133"/>
        <v>-3.4172654457895781E-3</v>
      </c>
      <c r="AP107" s="41" t="str">
        <f t="shared" si="134"/>
        <v>26,5925756379202-100,963910231532i</v>
      </c>
      <c r="AQ107">
        <f t="shared" si="135"/>
        <v>40.374614093631791</v>
      </c>
      <c r="AR107" s="43">
        <f t="shared" si="136"/>
        <v>-75.244164340919781</v>
      </c>
      <c r="AS107" t="str">
        <f t="shared" si="112"/>
        <v>-0,0000166666666666667</v>
      </c>
      <c r="AT107" t="str">
        <f t="shared" si="113"/>
        <v>0,000108032294186413i</v>
      </c>
      <c r="AU107">
        <f t="shared" si="137"/>
        <v>1.0803229418641299E-4</v>
      </c>
      <c r="AV107">
        <f t="shared" si="138"/>
        <v>1.5707963267948966</v>
      </c>
      <c r="AW107" t="str">
        <f t="shared" si="114"/>
        <v>1+0,00385119888574286i</v>
      </c>
      <c r="AX107">
        <f t="shared" si="139"/>
        <v>1.0000074158389316</v>
      </c>
      <c r="AY107">
        <f t="shared" si="140"/>
        <v>3.8511798459279442E-3</v>
      </c>
      <c r="AZ107" t="str">
        <f t="shared" si="115"/>
        <v>1+0,568693702128028i</v>
      </c>
      <c r="BA107">
        <f t="shared" si="141"/>
        <v>1.1503966823839862</v>
      </c>
      <c r="BB107">
        <f t="shared" si="142"/>
        <v>0.51708201476042082</v>
      </c>
      <c r="BC107" s="41" t="str">
        <f t="shared" si="143"/>
        <v>-0,0871397036147335+0,154610448678511i</v>
      </c>
      <c r="BD107">
        <f t="shared" si="144"/>
        <v>-15.017208987263437</v>
      </c>
      <c r="BE107" s="43">
        <f t="shared" si="145"/>
        <v>119.40596075657585</v>
      </c>
      <c r="BF107" s="41" t="str">
        <f t="shared" si="146"/>
        <v>1,98114576478461+1,84204719001823i</v>
      </c>
      <c r="BG107" s="20">
        <f t="shared" si="147"/>
        <v>8.6439693866625582</v>
      </c>
      <c r="BH107" s="43">
        <f t="shared" si="148"/>
        <v>42.916336527253506</v>
      </c>
      <c r="BI107" s="41" t="str">
        <f t="shared" si="101"/>
        <v>13,2928063017933+12,9094552642563i</v>
      </c>
      <c r="BJ107" s="20">
        <f t="shared" si="149"/>
        <v>25.357405106368333</v>
      </c>
      <c r="BK107" s="43">
        <f t="shared" si="102"/>
        <v>44.161796415656042</v>
      </c>
      <c r="BL107">
        <f t="shared" si="150"/>
        <v>8.6439693866625582</v>
      </c>
      <c r="BM107" s="43">
        <f t="shared" si="151"/>
        <v>42.916336527253506</v>
      </c>
    </row>
    <row r="108" spans="14:65" x14ac:dyDescent="0.35">
      <c r="N108" s="9">
        <v>90</v>
      </c>
      <c r="O108" s="34">
        <f t="shared" si="116"/>
        <v>79.432823472428197</v>
      </c>
      <c r="P108" s="33" t="str">
        <f t="shared" si="103"/>
        <v>59,1053597814893</v>
      </c>
      <c r="Q108" s="4" t="str">
        <f t="shared" si="104"/>
        <v>1+3,83486505298961i</v>
      </c>
      <c r="R108" s="4">
        <f t="shared" si="117"/>
        <v>3.9631035785910269</v>
      </c>
      <c r="S108" s="4">
        <f t="shared" si="118"/>
        <v>1.3157114959714644</v>
      </c>
      <c r="T108" s="4" t="str">
        <f t="shared" si="105"/>
        <v>1+0,000648818494154676i</v>
      </c>
      <c r="U108" s="4">
        <f t="shared" si="119"/>
        <v>1.000000210482697</v>
      </c>
      <c r="V108" s="4">
        <f t="shared" si="120"/>
        <v>6.488184031113117E-4</v>
      </c>
      <c r="W108" t="str">
        <f t="shared" si="106"/>
        <v>1-0,0239563751687881i</v>
      </c>
      <c r="X108" s="4">
        <f t="shared" si="121"/>
        <v>1.0002869127961376</v>
      </c>
      <c r="Y108" s="4">
        <f t="shared" si="122"/>
        <v>-2.3951793828500552E-2</v>
      </c>
      <c r="Z108" t="str">
        <f t="shared" si="107"/>
        <v>0,999999869636912+0,00224137297980706i</v>
      </c>
      <c r="AA108" s="4">
        <f t="shared" si="123"/>
        <v>1.0000023815105021</v>
      </c>
      <c r="AB108" s="4">
        <f t="shared" si="124"/>
        <v>2.2413695186412931E-3</v>
      </c>
      <c r="AC108" s="47" t="str">
        <f t="shared" si="125"/>
        <v>3,39432886330785-14,5268665025402i</v>
      </c>
      <c r="AD108" s="20">
        <f t="shared" si="126"/>
        <v>23.474301722080302</v>
      </c>
      <c r="AE108" s="43">
        <f t="shared" si="127"/>
        <v>-76.848298931728067</v>
      </c>
      <c r="AF108" t="str">
        <f t="shared" si="108"/>
        <v>405,634542683733</v>
      </c>
      <c r="AG108" t="str">
        <f t="shared" si="109"/>
        <v>1+3,84168845223163i</v>
      </c>
      <c r="AH108">
        <f t="shared" si="128"/>
        <v>3.9697065589297473</v>
      </c>
      <c r="AI108">
        <f t="shared" si="129"/>
        <v>1.3161452134942282</v>
      </c>
      <c r="AJ108" t="str">
        <f t="shared" si="110"/>
        <v>1+0,000648818494154676i</v>
      </c>
      <c r="AK108">
        <f t="shared" si="130"/>
        <v>1.000000210482697</v>
      </c>
      <c r="AL108">
        <f t="shared" si="131"/>
        <v>6.488184031113117E-4</v>
      </c>
      <c r="AM108" t="str">
        <f t="shared" si="111"/>
        <v>1-0,00349687739528227i</v>
      </c>
      <c r="AN108">
        <f t="shared" si="132"/>
        <v>1.000006114057068</v>
      </c>
      <c r="AO108">
        <f t="shared" si="133"/>
        <v>-3.496863141937969E-3</v>
      </c>
      <c r="AP108" s="41" t="str">
        <f t="shared" si="134"/>
        <v>25,4589894450545-98,9607768264482i</v>
      </c>
      <c r="AQ108">
        <f t="shared" si="135"/>
        <v>40.187585460506781</v>
      </c>
      <c r="AR108" s="43">
        <f t="shared" si="136"/>
        <v>-75.572746902963189</v>
      </c>
      <c r="AS108" t="str">
        <f t="shared" si="112"/>
        <v>-0,0000166666666666667</v>
      </c>
      <c r="AT108" t="str">
        <f t="shared" si="113"/>
        <v>0,00011054868958097i</v>
      </c>
      <c r="AU108">
        <f t="shared" si="137"/>
        <v>1.1054868958097E-4</v>
      </c>
      <c r="AV108">
        <f t="shared" si="138"/>
        <v>1.5707963267948966</v>
      </c>
      <c r="AW108" t="str">
        <f t="shared" si="114"/>
        <v>1+0,00394090483166012i</v>
      </c>
      <c r="AX108">
        <f t="shared" si="139"/>
        <v>1.0000077653352959</v>
      </c>
      <c r="AY108">
        <f t="shared" si="140"/>
        <v>3.9408844301394262E-3</v>
      </c>
      <c r="AZ108" t="str">
        <f t="shared" si="115"/>
        <v>1+0,58194028014181i</v>
      </c>
      <c r="BA108">
        <f t="shared" si="141"/>
        <v>1.1570023723621004</v>
      </c>
      <c r="BB108">
        <f t="shared" si="142"/>
        <v>0.52703444176749137</v>
      </c>
      <c r="BC108" s="41" t="str">
        <f t="shared" si="143"/>
        <v>-0,0871396427051975+0,151106540920863i</v>
      </c>
      <c r="BD108">
        <f t="shared" si="144"/>
        <v>-15.167479445665503</v>
      </c>
      <c r="BE108" s="43">
        <f t="shared" si="145"/>
        <v>119.97105312591486</v>
      </c>
      <c r="BF108" s="41" t="str">
        <f t="shared" si="146"/>
        <v>1,89932394324542+1,77877124993975i</v>
      </c>
      <c r="BG108" s="20">
        <f t="shared" si="147"/>
        <v>8.306822276414799</v>
      </c>
      <c r="BH108" s="43">
        <f t="shared" si="148"/>
        <v>43.122754194186811</v>
      </c>
      <c r="BI108" s="41" t="str">
        <f t="shared" si="101"/>
        <v>12,7351334292086+12,4704265648684i</v>
      </c>
      <c r="BJ108" s="20">
        <f t="shared" si="149"/>
        <v>25.02010601484125</v>
      </c>
      <c r="BK108" s="43">
        <f t="shared" si="102"/>
        <v>44.398306222951696</v>
      </c>
      <c r="BL108">
        <f t="shared" si="150"/>
        <v>8.306822276414799</v>
      </c>
      <c r="BM108" s="43">
        <f t="shared" si="151"/>
        <v>43.122754194186811</v>
      </c>
    </row>
    <row r="109" spans="14:65" x14ac:dyDescent="0.35">
      <c r="N109" s="9">
        <v>91</v>
      </c>
      <c r="O109" s="34">
        <f t="shared" si="116"/>
        <v>81.283051616409963</v>
      </c>
      <c r="P109" s="33" t="str">
        <f t="shared" si="103"/>
        <v>59,1053597814893</v>
      </c>
      <c r="Q109" s="4" t="str">
        <f t="shared" si="104"/>
        <v>1+3,92419053506663i</v>
      </c>
      <c r="R109" s="4">
        <f t="shared" si="117"/>
        <v>4.0496013822975865</v>
      </c>
      <c r="S109" s="4">
        <f t="shared" si="118"/>
        <v>1.3212773256452004</v>
      </c>
      <c r="T109" s="4" t="str">
        <f t="shared" si="105"/>
        <v>1+0,000663931418330631i</v>
      </c>
      <c r="U109" s="4">
        <f t="shared" si="119"/>
        <v>1.0000002204024399</v>
      </c>
      <c r="V109" s="4">
        <f t="shared" si="120"/>
        <v>6.6393132077590972E-4</v>
      </c>
      <c r="W109" t="str">
        <f t="shared" si="106"/>
        <v>1-0,0245143908306695i</v>
      </c>
      <c r="X109" s="4">
        <f t="shared" si="121"/>
        <v>1.0003004325490412</v>
      </c>
      <c r="Y109" s="4">
        <f t="shared" si="122"/>
        <v>-2.4509481915733586E-2</v>
      </c>
      <c r="Z109" t="str">
        <f t="shared" si="107"/>
        <v>0,999999863493089+0,002293581263324i</v>
      </c>
      <c r="AA109" s="4">
        <f t="shared" si="123"/>
        <v>1.0000024937474945</v>
      </c>
      <c r="AB109" s="4">
        <f t="shared" si="124"/>
        <v>2.2935775546185609E-3</v>
      </c>
      <c r="AC109" s="47" t="str">
        <f t="shared" si="125"/>
        <v>3,2342254700148-14,236964215031i</v>
      </c>
      <c r="AD109" s="20">
        <f t="shared" si="126"/>
        <v>23.286881170517816</v>
      </c>
      <c r="AE109" s="43">
        <f t="shared" si="127"/>
        <v>-77.201276048924782</v>
      </c>
      <c r="AF109" t="str">
        <f t="shared" si="108"/>
        <v>405,634542683733</v>
      </c>
      <c r="AG109" t="str">
        <f t="shared" si="109"/>
        <v>1+3,93117287169452i</v>
      </c>
      <c r="AH109">
        <f t="shared" si="128"/>
        <v>4.0563678515572201</v>
      </c>
      <c r="AI109">
        <f t="shared" si="129"/>
        <v>1.3217023865749562</v>
      </c>
      <c r="AJ109" t="str">
        <f t="shared" si="110"/>
        <v>1+0,000663931418330631i</v>
      </c>
      <c r="AK109">
        <f t="shared" si="130"/>
        <v>1.0000002204024399</v>
      </c>
      <c r="AL109">
        <f t="shared" si="131"/>
        <v>6.6393132077590972E-4</v>
      </c>
      <c r="AM109" t="str">
        <f t="shared" si="111"/>
        <v>1-0,00357833013345732i</v>
      </c>
      <c r="AN109">
        <f t="shared" si="132"/>
        <v>1.0000064022027779</v>
      </c>
      <c r="AO109">
        <f t="shared" si="133"/>
        <v>-3.5783148607290184E-3</v>
      </c>
      <c r="AP109" s="41" t="str">
        <f t="shared" si="134"/>
        <v>24,3700754424609-96,9851602505597i</v>
      </c>
      <c r="AQ109">
        <f t="shared" si="135"/>
        <v>40.000009504914324</v>
      </c>
      <c r="AR109" s="43">
        <f t="shared" si="136"/>
        <v>-75.89495039983511</v>
      </c>
      <c r="AS109" t="str">
        <f t="shared" si="112"/>
        <v>-0,0000166666666666667</v>
      </c>
      <c r="AT109" t="str">
        <f t="shared" si="113"/>
        <v>0,000113123699354027i</v>
      </c>
      <c r="AU109">
        <f t="shared" si="137"/>
        <v>1.1312369935402699E-4</v>
      </c>
      <c r="AV109">
        <f t="shared" si="138"/>
        <v>1.5707963267948966</v>
      </c>
      <c r="AW109" t="str">
        <f t="shared" si="114"/>
        <v>1+0,00403270029748316i</v>
      </c>
      <c r="AX109">
        <f t="shared" si="139"/>
        <v>1.0000081313027855</v>
      </c>
      <c r="AY109">
        <f t="shared" si="140"/>
        <v>4.0326784368694803E-3</v>
      </c>
      <c r="AZ109" t="str">
        <f t="shared" si="115"/>
        <v>1+0,595495410595012i</v>
      </c>
      <c r="BA109">
        <f t="shared" si="141"/>
        <v>1.1638791964975239</v>
      </c>
      <c r="BB109">
        <f t="shared" si="142"/>
        <v>0.537100718862347</v>
      </c>
      <c r="BC109" s="41" t="str">
        <f t="shared" si="143"/>
        <v>-0,087139578925175+0,147682751828714i</v>
      </c>
      <c r="BD109">
        <f t="shared" si="144"/>
        <v>-15.316009502191237</v>
      </c>
      <c r="BE109" s="43">
        <f t="shared" si="145"/>
        <v>120.54254890968897</v>
      </c>
      <c r="BF109" s="41" t="str">
        <f t="shared" si="146"/>
        <v>1,82072500735654+1,71824238431689i</v>
      </c>
      <c r="BG109" s="20">
        <f t="shared" si="147"/>
        <v>7.9708716683265894</v>
      </c>
      <c r="BH109" s="43">
        <f t="shared" si="148"/>
        <v>43.341272860764228</v>
      </c>
      <c r="BI109" s="41" t="str">
        <f t="shared" si="101"/>
        <v>12,1994372399207+12,0502858298404i</v>
      </c>
      <c r="BJ109" s="20">
        <f t="shared" si="149"/>
        <v>24.684000002723106</v>
      </c>
      <c r="BK109" s="43">
        <f t="shared" si="102"/>
        <v>44.647598509853843</v>
      </c>
      <c r="BL109">
        <f t="shared" si="150"/>
        <v>7.9708716683265894</v>
      </c>
      <c r="BM109" s="43">
        <f t="shared" si="151"/>
        <v>43.341272860764228</v>
      </c>
    </row>
    <row r="110" spans="14:65" x14ac:dyDescent="0.35">
      <c r="N110" s="9">
        <v>92</v>
      </c>
      <c r="O110" s="34">
        <f t="shared" si="116"/>
        <v>83.176377110267126</v>
      </c>
      <c r="P110" s="33" t="str">
        <f t="shared" si="103"/>
        <v>59,1053597814893</v>
      </c>
      <c r="Q110" s="4" t="str">
        <f t="shared" si="104"/>
        <v>1+4,01559667490815i</v>
      </c>
      <c r="R110" s="4">
        <f t="shared" si="117"/>
        <v>4.1382383517063621</v>
      </c>
      <c r="S110" s="4">
        <f t="shared" si="118"/>
        <v>1.3267317603204329</v>
      </c>
      <c r="T110" s="4" t="str">
        <f t="shared" si="105"/>
        <v>1+0,000679396367732757i</v>
      </c>
      <c r="U110" s="4">
        <f t="shared" si="119"/>
        <v>1.0000002307896856</v>
      </c>
      <c r="V110" s="4">
        <f t="shared" si="120"/>
        <v>6.7939626320099114E-4</v>
      </c>
      <c r="W110" t="str">
        <f t="shared" si="106"/>
        <v>1-0,0250854043470557i</v>
      </c>
      <c r="X110" s="4">
        <f t="shared" si="121"/>
        <v>1.0003145892724226</v>
      </c>
      <c r="Y110" s="4">
        <f t="shared" si="122"/>
        <v>-2.5080144439272478E-2</v>
      </c>
      <c r="Z110" t="str">
        <f t="shared" si="107"/>
        <v>0,999999857059717+0,00234700563398589i</v>
      </c>
      <c r="AA110" s="4">
        <f t="shared" si="123"/>
        <v>1.0000026112740408</v>
      </c>
      <c r="AB110" s="4">
        <f t="shared" si="124"/>
        <v>2.3470016600369739E-3</v>
      </c>
      <c r="AC110" s="47" t="str">
        <f t="shared" si="125"/>
        <v>3,08046653430581-13,9511515670742i</v>
      </c>
      <c r="AD110" s="20">
        <f t="shared" si="126"/>
        <v>23.098938661466647</v>
      </c>
      <c r="AE110" s="43">
        <f t="shared" si="127"/>
        <v>-77.548663589403915</v>
      </c>
      <c r="AF110" t="str">
        <f t="shared" si="108"/>
        <v>405,634542683733</v>
      </c>
      <c r="AG110" t="str">
        <f t="shared" si="109"/>
        <v>1+4,02274165104921i</v>
      </c>
      <c r="AH110">
        <f t="shared" si="128"/>
        <v>4.1451719374576159</v>
      </c>
      <c r="AI110">
        <f t="shared" si="129"/>
        <v>1.3271482869238183</v>
      </c>
      <c r="AJ110" t="str">
        <f t="shared" si="110"/>
        <v>1+0,000679396367732757i</v>
      </c>
      <c r="AK110">
        <f t="shared" si="130"/>
        <v>1.0000002307896856</v>
      </c>
      <c r="AL110">
        <f t="shared" si="131"/>
        <v>6.7939626320099114E-4</v>
      </c>
      <c r="AM110" t="str">
        <f t="shared" si="111"/>
        <v>1-0,00366168014963393i</v>
      </c>
      <c r="AN110">
        <f t="shared" si="132"/>
        <v>1.0000067039282878</v>
      </c>
      <c r="AO110">
        <f t="shared" si="133"/>
        <v>-3.6616637846166363E-3</v>
      </c>
      <c r="AP110" s="41" t="str">
        <f t="shared" si="134"/>
        <v>23,3243316541476-95,0374777460497i</v>
      </c>
      <c r="AQ110">
        <f t="shared" si="135"/>
        <v>39.811907870709689</v>
      </c>
      <c r="AR110" s="43">
        <f t="shared" si="136"/>
        <v>-76.210866971108075</v>
      </c>
      <c r="AS110" t="str">
        <f t="shared" si="112"/>
        <v>-0,0000166666666666667</v>
      </c>
      <c r="AT110" t="str">
        <f t="shared" si="113"/>
        <v>0,00011575868880985i</v>
      </c>
      <c r="AU110">
        <f t="shared" si="137"/>
        <v>1.1575868880985E-4</v>
      </c>
      <c r="AV110">
        <f t="shared" si="138"/>
        <v>1.5707963267948966</v>
      </c>
      <c r="AW110" t="str">
        <f t="shared" si="114"/>
        <v>1+0,00412663395438303i</v>
      </c>
      <c r="AX110">
        <f t="shared" si="139"/>
        <v>1.0000085145176483</v>
      </c>
      <c r="AY110">
        <f t="shared" si="140"/>
        <v>4.1266105303242196E-3</v>
      </c>
      <c r="AZ110" t="str">
        <f t="shared" si="115"/>
        <v>1+0,609366280597227i</v>
      </c>
      <c r="BA110">
        <f t="shared" si="141"/>
        <v>1.1710368328660283</v>
      </c>
      <c r="BB110">
        <f t="shared" si="142"/>
        <v>0.54727802264452463</v>
      </c>
      <c r="BC110" s="41" t="str">
        <f t="shared" si="143"/>
        <v>-0,0871395121393935+0,144337266062147i</v>
      </c>
      <c r="BD110">
        <f t="shared" si="144"/>
        <v>-15.46275983701835</v>
      </c>
      <c r="BE110" s="43">
        <f t="shared" si="145"/>
        <v>121.12028355071459</v>
      </c>
      <c r="BF110" s="41" t="str">
        <f t="shared" si="146"/>
        <v>1,74524072464899+1,66032265909522i</v>
      </c>
      <c r="BG110" s="20">
        <f t="shared" si="147"/>
        <v>7.6361788244482964</v>
      </c>
      <c r="BH110" s="43">
        <f t="shared" si="148"/>
        <v>43.571619961310759</v>
      </c>
      <c r="BI110" s="41" t="str">
        <f t="shared" si="101"/>
        <v>11,6849788299871+11,6480897094357i</v>
      </c>
      <c r="BJ110" s="20">
        <f t="shared" si="149"/>
        <v>24.349148033691336</v>
      </c>
      <c r="BK110" s="43">
        <f t="shared" si="102"/>
        <v>44.909416579606592</v>
      </c>
      <c r="BL110">
        <f t="shared" si="150"/>
        <v>7.6361788244482964</v>
      </c>
      <c r="BM110" s="43">
        <f t="shared" si="151"/>
        <v>43.571619961310759</v>
      </c>
    </row>
    <row r="111" spans="14:65" x14ac:dyDescent="0.35">
      <c r="N111" s="9">
        <v>93</v>
      </c>
      <c r="O111" s="34">
        <f t="shared" si="116"/>
        <v>85.113803820237734</v>
      </c>
      <c r="P111" s="33" t="str">
        <f t="shared" si="103"/>
        <v>59,1053597814893</v>
      </c>
      <c r="Q111" s="4" t="str">
        <f t="shared" si="104"/>
        <v>1+4,10913193725941i</v>
      </c>
      <c r="R111" s="4">
        <f t="shared" si="117"/>
        <v>4.2290619855714198</v>
      </c>
      <c r="S111" s="4">
        <f t="shared" si="118"/>
        <v>1.3320763932651956</v>
      </c>
      <c r="T111" s="4" t="str">
        <f t="shared" si="105"/>
        <v>1+0,000695221542081929i</v>
      </c>
      <c r="U111" s="4">
        <f t="shared" si="119"/>
        <v>1.0000002416664671</v>
      </c>
      <c r="V111" s="4">
        <f t="shared" si="120"/>
        <v>6.9522143007412539E-4</v>
      </c>
      <c r="W111" t="str">
        <f t="shared" si="106"/>
        <v>1-0,0256697184768713i</v>
      </c>
      <c r="X111" s="4">
        <f t="shared" si="121"/>
        <v>1.0003294129668896</v>
      </c>
      <c r="Y111" s="4">
        <f t="shared" si="122"/>
        <v>-2.566408248437297E-2</v>
      </c>
      <c r="Z111" t="str">
        <f t="shared" si="107"/>
        <v>0,999999850323149+0,00240167441810121i</v>
      </c>
      <c r="AA111" s="4">
        <f t="shared" si="123"/>
        <v>1.0000027343394271</v>
      </c>
      <c r="AB111" s="4">
        <f t="shared" si="124"/>
        <v>2.4016701599388567E-3</v>
      </c>
      <c r="AC111" s="47" t="str">
        <f t="shared" si="125"/>
        <v>2,93283579402168-13,669481148827i</v>
      </c>
      <c r="AD111" s="20">
        <f t="shared" si="126"/>
        <v>22.910495414682174</v>
      </c>
      <c r="AE111" s="43">
        <f t="shared" si="127"/>
        <v>-77.890571244711509</v>
      </c>
      <c r="AF111" t="str">
        <f t="shared" si="108"/>
        <v>405,634542683733</v>
      </c>
      <c r="AG111" t="str">
        <f t="shared" si="109"/>
        <v>1+4,11644334127458i</v>
      </c>
      <c r="AH111">
        <f t="shared" si="128"/>
        <v>4.2361664015857334</v>
      </c>
      <c r="AI111">
        <f t="shared" si="129"/>
        <v>1.3324845093699786</v>
      </c>
      <c r="AJ111" t="str">
        <f t="shared" si="110"/>
        <v>1+0,000695221542081929i</v>
      </c>
      <c r="AK111">
        <f t="shared" si="130"/>
        <v>1.0000002416664671</v>
      </c>
      <c r="AL111">
        <f t="shared" si="131"/>
        <v>6.9522143007412539E-4</v>
      </c>
      <c r="AM111" t="str">
        <f t="shared" si="111"/>
        <v>1-0,00374697163709395i</v>
      </c>
      <c r="AN111">
        <f t="shared" si="132"/>
        <v>1.0000070198735853</v>
      </c>
      <c r="AO111">
        <f t="shared" si="133"/>
        <v>-3.7469541016686377E-3</v>
      </c>
      <c r="AP111" s="41" t="str">
        <f t="shared" si="134"/>
        <v>22,3202849034726-93,1180834204265i</v>
      </c>
      <c r="AQ111">
        <f t="shared" si="135"/>
        <v>39.623301469030267</v>
      </c>
      <c r="AR111" s="43">
        <f t="shared" si="136"/>
        <v>-76.52059005574452</v>
      </c>
      <c r="AS111" t="str">
        <f t="shared" si="112"/>
        <v>-0,0000166666666666667</v>
      </c>
      <c r="AT111" t="str">
        <f t="shared" si="113"/>
        <v>0,000118455055054729i</v>
      </c>
      <c r="AU111">
        <f t="shared" si="137"/>
        <v>1.1845505505472899E-4</v>
      </c>
      <c r="AV111">
        <f t="shared" si="138"/>
        <v>1.5707963267948966</v>
      </c>
      <c r="AW111" t="str">
        <f t="shared" si="114"/>
        <v>1+0,00422275560722798i</v>
      </c>
      <c r="AX111">
        <f t="shared" si="139"/>
        <v>1.0000089157927134</v>
      </c>
      <c r="AY111">
        <f t="shared" si="140"/>
        <v>4.2227305079088435E-3</v>
      </c>
      <c r="AZ111" t="str">
        <f t="shared" si="115"/>
        <v>1+0,623560244667331i</v>
      </c>
      <c r="BA111">
        <f t="shared" si="141"/>
        <v>1.1784852051381813</v>
      </c>
      <c r="BB111">
        <f t="shared" si="142"/>
        <v>0.55756331566078154</v>
      </c>
      <c r="BC111" s="41" t="str">
        <f t="shared" si="143"/>
        <v>-0,0871394422062037+0,141068309798591i</v>
      </c>
      <c r="BD111">
        <f t="shared" si="144"/>
        <v>-15.60769173319909</v>
      </c>
      <c r="BE111" s="43">
        <f t="shared" si="145"/>
        <v>121.70408016255898</v>
      </c>
      <c r="BF111" s="41" t="str">
        <f t="shared" si="146"/>
        <v>1,67276492631529+1,60488115093645i</v>
      </c>
      <c r="BG111" s="20">
        <f t="shared" si="147"/>
        <v>7.302803681483093</v>
      </c>
      <c r="BH111" s="43">
        <f t="shared" si="148"/>
        <v>43.813508917847514</v>
      </c>
      <c r="BI111" s="41" t="str">
        <f t="shared" si="101"/>
        <v>11,1910334634316+11,2629427141226i</v>
      </c>
      <c r="BJ111" s="20">
        <f t="shared" si="149"/>
        <v>24.01560973583117</v>
      </c>
      <c r="BK111" s="43">
        <f t="shared" si="102"/>
        <v>45.183490106814531</v>
      </c>
      <c r="BL111">
        <f t="shared" si="150"/>
        <v>7.302803681483093</v>
      </c>
      <c r="BM111" s="43">
        <f t="shared" si="151"/>
        <v>43.813508917847514</v>
      </c>
    </row>
    <row r="112" spans="14:65" x14ac:dyDescent="0.35">
      <c r="N112" s="9">
        <v>94</v>
      </c>
      <c r="O112" s="34">
        <f t="shared" si="116"/>
        <v>87.096358995608071</v>
      </c>
      <c r="P112" s="33" t="str">
        <f t="shared" si="103"/>
        <v>59,1053597814893</v>
      </c>
      <c r="Q112" s="4" t="str">
        <f t="shared" si="104"/>
        <v>1+4,20484591575458i</v>
      </c>
      <c r="R112" s="4">
        <f t="shared" si="117"/>
        <v>4.3221209116865271</v>
      </c>
      <c r="S112" s="4">
        <f t="shared" si="118"/>
        <v>1.3373128363876705</v>
      </c>
      <c r="T112" s="4" t="str">
        <f t="shared" si="105"/>
        <v>1+0,000711415332095056i</v>
      </c>
      <c r="U112" s="4">
        <f t="shared" si="119"/>
        <v>1.0000002530558554</v>
      </c>
      <c r="V112" s="4">
        <f t="shared" si="120"/>
        <v>7.114152120765336E-4</v>
      </c>
      <c r="W112" t="str">
        <f t="shared" si="106"/>
        <v>1-0,0262676430312021i</v>
      </c>
      <c r="X112" s="4">
        <f t="shared" si="121"/>
        <v>1.0003449350451146</v>
      </c>
      <c r="Y112" s="4">
        <f t="shared" si="122"/>
        <v>-2.6261604068896788E-2</v>
      </c>
      <c r="Z112" t="str">
        <f t="shared" si="107"/>
        <v>0,999999843269096+0,00245761660178292i</v>
      </c>
      <c r="AA112" s="4">
        <f t="shared" si="123"/>
        <v>1.00000286320469</v>
      </c>
      <c r="AB112" s="4">
        <f t="shared" si="124"/>
        <v>2.4576120390804594E-3</v>
      </c>
      <c r="AC112" s="47" t="str">
        <f t="shared" si="125"/>
        <v>2,79112140242438-13,3919967717733i</v>
      </c>
      <c r="AD112" s="20">
        <f t="shared" si="126"/>
        <v>22.721571942486808</v>
      </c>
      <c r="AE112" s="43">
        <f t="shared" si="127"/>
        <v>-78.227110198460494</v>
      </c>
      <c r="AF112" t="str">
        <f t="shared" si="108"/>
        <v>405,634542683733</v>
      </c>
      <c r="AG112" t="str">
        <f t="shared" si="109"/>
        <v>1+4,21232762424704i</v>
      </c>
      <c r="AH112">
        <f t="shared" si="128"/>
        <v>4.3293999600400417</v>
      </c>
      <c r="AI112">
        <f t="shared" si="129"/>
        <v>1.3377126671210524</v>
      </c>
      <c r="AJ112" t="str">
        <f t="shared" si="110"/>
        <v>1+0,000711415332095056i</v>
      </c>
      <c r="AK112">
        <f t="shared" si="130"/>
        <v>1.0000002530558554</v>
      </c>
      <c r="AL112">
        <f t="shared" si="131"/>
        <v>7.114152120765336E-4</v>
      </c>
      <c r="AM112" t="str">
        <f t="shared" si="111"/>
        <v>1-0,00383424981851297i</v>
      </c>
      <c r="AN112">
        <f t="shared" si="132"/>
        <v>1.000007350708819</v>
      </c>
      <c r="AO112">
        <f t="shared" si="133"/>
        <v>-3.8342310289736815E-3</v>
      </c>
      <c r="AP112" s="41" t="str">
        <f t="shared" si="134"/>
        <v>21,3564922399253-91,22727175803i</v>
      </c>
      <c r="AQ112">
        <f t="shared" si="135"/>
        <v>39.434210492858185</v>
      </c>
      <c r="AR112" s="43">
        <f t="shared" si="136"/>
        <v>-76.824214193730015</v>
      </c>
      <c r="AS112" t="str">
        <f t="shared" si="112"/>
        <v>-0,0000166666666666667</v>
      </c>
      <c r="AT112" t="str">
        <f t="shared" si="113"/>
        <v>0,000121214227737735i</v>
      </c>
      <c r="AU112">
        <f t="shared" si="137"/>
        <v>1.21214227737735E-4</v>
      </c>
      <c r="AV112">
        <f t="shared" si="138"/>
        <v>1.5707963267948966</v>
      </c>
      <c r="AW112" t="str">
        <f t="shared" si="114"/>
        <v>1+0,00432111622099064i</v>
      </c>
      <c r="AX112">
        <f t="shared" si="139"/>
        <v>1.0000093359791173</v>
      </c>
      <c r="AY112">
        <f t="shared" si="140"/>
        <v>4.3210893265991975E-3</v>
      </c>
      <c r="AZ112" t="str">
        <f t="shared" si="115"/>
        <v>1+0,63808482863295i</v>
      </c>
      <c r="BA112">
        <f t="shared" si="141"/>
        <v>1.1862344829465805</v>
      </c>
      <c r="BB112">
        <f t="shared" si="142"/>
        <v>0.56795334649137796</v>
      </c>
      <c r="BC112" s="41" t="str">
        <f t="shared" si="143"/>
        <v>-0,0871393689772848+0,137874149792309i</v>
      </c>
      <c r="BD112">
        <f t="shared" si="144"/>
        <v>-15.750767187010277</v>
      </c>
      <c r="BE112" s="43">
        <f t="shared" si="145"/>
        <v>122.29374953297413</v>
      </c>
      <c r="BF112" s="41" t="str">
        <f t="shared" si="146"/>
        <v>1,60319361118334+1,55179363836454i</v>
      </c>
      <c r="BG112" s="20">
        <f t="shared" si="147"/>
        <v>6.9708047554765438</v>
      </c>
      <c r="BH112" s="43">
        <f t="shared" si="148"/>
        <v>44.066639334513596</v>
      </c>
      <c r="BI112" s="41" t="str">
        <f t="shared" si="101"/>
        <v>10,7168912741549+10,8939951046398i</v>
      </c>
      <c r="BJ112" s="20">
        <f t="shared" si="149"/>
        <v>23.683443305847909</v>
      </c>
      <c r="BK112" s="43">
        <f t="shared" si="102"/>
        <v>45.469535339244352</v>
      </c>
      <c r="BL112">
        <f t="shared" si="150"/>
        <v>6.9708047554765438</v>
      </c>
      <c r="BM112" s="43">
        <f t="shared" si="151"/>
        <v>44.066639334513596</v>
      </c>
    </row>
    <row r="113" spans="14:65" x14ac:dyDescent="0.35">
      <c r="N113" s="9">
        <v>95</v>
      </c>
      <c r="O113" s="34">
        <f t="shared" si="116"/>
        <v>89.125093813374562</v>
      </c>
      <c r="P113" s="33" t="str">
        <f t="shared" si="103"/>
        <v>59,1053597814893</v>
      </c>
      <c r="Q113" s="4" t="str">
        <f t="shared" si="104"/>
        <v>1+4,30278935921201i</v>
      </c>
      <c r="R113" s="4">
        <f t="shared" si="117"/>
        <v>4.4174649143765814</v>
      </c>
      <c r="S113" s="4">
        <f t="shared" si="118"/>
        <v>1.3424427169367426</v>
      </c>
      <c r="T113" s="4" t="str">
        <f t="shared" si="105"/>
        <v>1+0,000727986323933956i</v>
      </c>
      <c r="U113" s="4">
        <f t="shared" si="119"/>
        <v>1.0000002649820088</v>
      </c>
      <c r="V113" s="4">
        <f t="shared" si="120"/>
        <v>7.2798619533179416E-4</v>
      </c>
      <c r="W113" t="str">
        <f t="shared" si="106"/>
        <v>1-0,0268794950375615i</v>
      </c>
      <c r="X113" s="4">
        <f t="shared" si="121"/>
        <v>1.0003611883982075</v>
      </c>
      <c r="Y113" s="4">
        <f t="shared" si="122"/>
        <v>-2.6873024299045149E-2</v>
      </c>
      <c r="Z113" t="str">
        <f t="shared" si="107"/>
        <v>0,999999835882596+0,0025148618463173i</v>
      </c>
      <c r="AA113" s="4">
        <f t="shared" si="123"/>
        <v>1.000002998143168</v>
      </c>
      <c r="AB113" s="4">
        <f t="shared" si="124"/>
        <v>2.5148569572943204E-3</v>
      </c>
      <c r="AC113" s="47" t="str">
        <f t="shared" si="125"/>
        <v>2,65511610660801-13,118733971799i</v>
      </c>
      <c r="AD113" s="20">
        <f t="shared" si="126"/>
        <v>22.532188065489748</v>
      </c>
      <c r="AE113" s="43">
        <f t="shared" si="127"/>
        <v>-78.558392946834346</v>
      </c>
      <c r="AF113" t="str">
        <f t="shared" si="108"/>
        <v>405,634542683733</v>
      </c>
      <c r="AG113" t="str">
        <f t="shared" si="109"/>
        <v>1+4,31044533908263i</v>
      </c>
      <c r="AH113">
        <f t="shared" si="128"/>
        <v>4.424922487594463</v>
      </c>
      <c r="AI113">
        <f t="shared" si="129"/>
        <v>1.3428343884786771</v>
      </c>
      <c r="AJ113" t="str">
        <f t="shared" si="110"/>
        <v>1+0,000727986323933956i</v>
      </c>
      <c r="AK113">
        <f t="shared" si="130"/>
        <v>1.0000002649820088</v>
      </c>
      <c r="AL113">
        <f t="shared" si="131"/>
        <v>7.2798619533179416E-4</v>
      </c>
      <c r="AM113" t="str">
        <f t="shared" si="111"/>
        <v>1-0,00392356096993808i</v>
      </c>
      <c r="AN113">
        <f t="shared" si="132"/>
        <v>1.0000076971357195</v>
      </c>
      <c r="AO113">
        <f t="shared" si="133"/>
        <v>-3.9235408365923654E-3</v>
      </c>
      <c r="AP113" s="41" t="str">
        <f t="shared" si="134"/>
        <v>20,4315421394362-89,3652810453469i</v>
      </c>
      <c r="AQ113">
        <f t="shared" si="135"/>
        <v>39.244654432229545</v>
      </c>
      <c r="AR113" s="43">
        <f t="shared" si="136"/>
        <v>-77.121834839006709</v>
      </c>
      <c r="AS113" t="str">
        <f t="shared" si="112"/>
        <v>-0,0000166666666666667</v>
      </c>
      <c r="AT113" t="str">
        <f t="shared" si="113"/>
        <v>0,000124037669808747i</v>
      </c>
      <c r="AU113">
        <f t="shared" si="137"/>
        <v>1.2403766980874701E-4</v>
      </c>
      <c r="AV113">
        <f t="shared" si="138"/>
        <v>1.5707963267948966</v>
      </c>
      <c r="AW113" t="str">
        <f t="shared" si="114"/>
        <v>1+0,00442176794777042i</v>
      </c>
      <c r="AX113">
        <f t="shared" si="139"/>
        <v>1.000009775968107</v>
      </c>
      <c r="AY113">
        <f t="shared" si="140"/>
        <v>4.4217391299260023E-3</v>
      </c>
      <c r="AZ113" t="str">
        <f t="shared" si="115"/>
        <v>1+0,652947733620764i</v>
      </c>
      <c r="BA113">
        <f t="shared" si="141"/>
        <v>1.1942950819795299</v>
      </c>
      <c r="BB113">
        <f t="shared" si="142"/>
        <v>0.57844465069956585</v>
      </c>
      <c r="BC113" s="41" t="str">
        <f t="shared" si="143"/>
        <v>-0,0871392922973259+0,134753092455395i</v>
      </c>
      <c r="BD113">
        <f t="shared" si="144"/>
        <v>-15.891949020296224</v>
      </c>
      <c r="BE113" s="43">
        <f t="shared" si="145"/>
        <v>122.88909017675159</v>
      </c>
      <c r="BF113" s="41" t="str">
        <f t="shared" si="146"/>
        <v>1,53642503330251+1,50094230033301i</v>
      </c>
      <c r="BG113" s="20">
        <f t="shared" si="147"/>
        <v>6.6402390451935256</v>
      </c>
      <c r="BH113" s="43">
        <f t="shared" si="148"/>
        <v>44.330697229917227</v>
      </c>
      <c r="BI113" s="41" t="str">
        <f t="shared" si="101"/>
        <v>10,2618578564325+10,5404408331649i</v>
      </c>
      <c r="BJ113" s="20">
        <f t="shared" si="149"/>
        <v>23.352705411933311</v>
      </c>
      <c r="BK113" s="43">
        <f t="shared" si="102"/>
        <v>45.767255337744949</v>
      </c>
      <c r="BL113">
        <f t="shared" si="150"/>
        <v>6.6402390451935256</v>
      </c>
      <c r="BM113" s="43">
        <f t="shared" si="151"/>
        <v>44.330697229917227</v>
      </c>
    </row>
    <row r="114" spans="14:65" x14ac:dyDescent="0.35">
      <c r="N114" s="9">
        <v>96</v>
      </c>
      <c r="O114" s="34">
        <f t="shared" si="116"/>
        <v>91.201083935590972</v>
      </c>
      <c r="P114" s="33" t="str">
        <f t="shared" si="103"/>
        <v>59,1053597814893</v>
      </c>
      <c r="Q114" s="4" t="str">
        <f t="shared" si="104"/>
        <v>1+4,40301419854185i</v>
      </c>
      <c r="R114" s="4">
        <f t="shared" si="117"/>
        <v>4.5151449625190478</v>
      </c>
      <c r="S114" s="4">
        <f t="shared" si="118"/>
        <v>1.347467674394617</v>
      </c>
      <c r="T114" s="4" t="str">
        <f t="shared" si="105"/>
        <v>1+0,000744943303757844i</v>
      </c>
      <c r="U114" s="4">
        <f t="shared" si="119"/>
        <v>1.0000002774702244</v>
      </c>
      <c r="V114" s="4">
        <f t="shared" si="120"/>
        <v>7.4494316595814705E-4</v>
      </c>
      <c r="W114" t="str">
        <f t="shared" si="106"/>
        <v>1-0,027505598907982i</v>
      </c>
      <c r="X114" s="4">
        <f t="shared" si="121"/>
        <v>1.0003782074651999</v>
      </c>
      <c r="Y114" s="4">
        <f t="shared" si="122"/>
        <v>-2.7498665528309225E-2</v>
      </c>
      <c r="Z114" t="str">
        <f t="shared" si="107"/>
        <v>0,999999828147981+0,00257344050389073i</v>
      </c>
      <c r="AA114" s="4">
        <f t="shared" si="123"/>
        <v>1.0000031394410813</v>
      </c>
      <c r="AB114" s="4">
        <f t="shared" si="124"/>
        <v>2.5734352652091114E-3</v>
      </c>
      <c r="AC114" s="47" t="str">
        <f t="shared" si="125"/>
        <v>2,52461739491913-12,8497204985552i</v>
      </c>
      <c r="AD114" s="20">
        <f t="shared" si="126"/>
        <v>22.342362928880451</v>
      </c>
      <c r="AE114" s="43">
        <f t="shared" si="127"/>
        <v>-78.884533130293917</v>
      </c>
      <c r="AF114" t="str">
        <f t="shared" si="108"/>
        <v>405,634542683733</v>
      </c>
      <c r="AG114" t="str">
        <f t="shared" si="109"/>
        <v>1+4,4108485090925i</v>
      </c>
      <c r="AH114">
        <f t="shared" si="128"/>
        <v>4.5227850457614647</v>
      </c>
      <c r="AI114">
        <f t="shared" si="129"/>
        <v>1.3478513137457346</v>
      </c>
      <c r="AJ114" t="str">
        <f t="shared" si="110"/>
        <v>1+0,000744943303757844i</v>
      </c>
      <c r="AK114">
        <f t="shared" si="130"/>
        <v>1.0000002774702244</v>
      </c>
      <c r="AL114">
        <f t="shared" si="131"/>
        <v>7.4494316595814705E-4</v>
      </c>
      <c r="AM114" t="str">
        <f t="shared" si="111"/>
        <v>1-0,00401495244532391i</v>
      </c>
      <c r="AN114">
        <f t="shared" si="132"/>
        <v>1.0000080598890884</v>
      </c>
      <c r="AO114">
        <f t="shared" si="133"/>
        <v>-4.0149308720646886E-3</v>
      </c>
      <c r="AP114" s="41" t="str">
        <f t="shared" si="134"/>
        <v>19,5440554944942-87,5322967022215i</v>
      </c>
      <c r="AQ114">
        <f t="shared" si="135"/>
        <v>39.054652089983676</v>
      </c>
      <c r="AR114" s="43">
        <f t="shared" si="136"/>
        <v>-77.413548183413511</v>
      </c>
      <c r="AS114" t="str">
        <f t="shared" si="112"/>
        <v>-0,0000166666666666667</v>
      </c>
      <c r="AT114" t="str">
        <f t="shared" si="113"/>
        <v>0,000126926878294125i</v>
      </c>
      <c r="AU114">
        <f t="shared" si="137"/>
        <v>1.2692687829412501E-4</v>
      </c>
      <c r="AV114">
        <f t="shared" si="138"/>
        <v>1.5707963267948966</v>
      </c>
      <c r="AW114" t="str">
        <f t="shared" si="114"/>
        <v>1+0,00452476415444512i</v>
      </c>
      <c r="AX114">
        <f t="shared" si="139"/>
        <v>1.0000102366929318</v>
      </c>
      <c r="AY114">
        <f t="shared" si="140"/>
        <v>4.5247332755855626E-3</v>
      </c>
      <c r="AZ114" t="str">
        <f t="shared" si="115"/>
        <v>1+0,668156840139728i</v>
      </c>
      <c r="BA114">
        <f t="shared" si="141"/>
        <v>1.2026776638091796</v>
      </c>
      <c r="BB114">
        <f t="shared" si="142"/>
        <v>0.58903355268200741</v>
      </c>
      <c r="BC114" s="41" t="str">
        <f t="shared" si="143"/>
        <v>-0,0871392120036959+0,131703482959801i</v>
      </c>
      <c r="BD114">
        <f t="shared" si="144"/>
        <v>-16.031200994229934</v>
      </c>
      <c r="BE114" s="43">
        <f t="shared" si="145"/>
        <v>123.48988844016232</v>
      </c>
      <c r="BF114" s="41" t="str">
        <f t="shared" si="146"/>
        <v>1,47235977431559+1,45221542276359i</v>
      </c>
      <c r="BG114" s="20">
        <f t="shared" si="147"/>
        <v>6.3111619346505083</v>
      </c>
      <c r="BH114" s="43">
        <f t="shared" si="148"/>
        <v>44.605355309868521</v>
      </c>
      <c r="BI114" s="41" t="str">
        <f t="shared" ref="BI114:BI177" si="152">IMPRODUCT(AP114,BC114)</f>
        <v>9,82525475200655+10,2015155392898i</v>
      </c>
      <c r="BJ114" s="20">
        <f t="shared" si="149"/>
        <v>23.023451095753739</v>
      </c>
      <c r="BK114" s="43">
        <f t="shared" ref="BK114:BK177" si="153">(180/PI())*IMARGUMENT(BI114)</f>
        <v>46.076340256748765</v>
      </c>
      <c r="BL114">
        <f t="shared" si="150"/>
        <v>6.3111619346505083</v>
      </c>
      <c r="BM114" s="43">
        <f t="shared" si="151"/>
        <v>44.605355309868521</v>
      </c>
    </row>
    <row r="115" spans="14:65" x14ac:dyDescent="0.35">
      <c r="N115" s="9">
        <v>97</v>
      </c>
      <c r="O115" s="34">
        <f t="shared" si="116"/>
        <v>93.325430079699174</v>
      </c>
      <c r="P115" s="33" t="str">
        <f t="shared" si="103"/>
        <v>59,1053597814893</v>
      </c>
      <c r="Q115" s="4" t="str">
        <f t="shared" si="104"/>
        <v>1+4,50557357428055i</v>
      </c>
      <c r="R115" s="4">
        <f t="shared" si="117"/>
        <v>4.6152132381131876</v>
      </c>
      <c r="S115" s="4">
        <f t="shared" si="118"/>
        <v>1.3523893575560126</v>
      </c>
      <c r="T115" s="4" t="str">
        <f t="shared" si="105"/>
        <v>1+0,000762295262381877i</v>
      </c>
      <c r="U115" s="4">
        <f t="shared" si="119"/>
        <v>1.0000002905469914</v>
      </c>
      <c r="V115" s="4">
        <f t="shared" si="120"/>
        <v>7.6229511472684377E-4</v>
      </c>
      <c r="W115" t="str">
        <f t="shared" si="106"/>
        <v>1-0,0281462866110232i</v>
      </c>
      <c r="X115" s="4">
        <f t="shared" si="121"/>
        <v>1.0003960283057853</v>
      </c>
      <c r="Y115" s="4">
        <f t="shared" si="122"/>
        <v>-2.8138857519685756E-2</v>
      </c>
      <c r="Z115" t="str">
        <f t="shared" si="107"/>
        <v>0,999999820048845+0,00263338363368285i</v>
      </c>
      <c r="AA115" s="4">
        <f t="shared" si="123"/>
        <v>1.0000032873981386</v>
      </c>
      <c r="AB115" s="4">
        <f t="shared" si="124"/>
        <v>2.6333780203353571E-3</v>
      </c>
      <c r="AC115" s="47" t="str">
        <f t="shared" si="125"/>
        <v>2,39942761570802-12,5849767901452i</v>
      </c>
      <c r="AD115" s="20">
        <f t="shared" si="126"/>
        <v>22.152115019196316</v>
      </c>
      <c r="AE115" s="43">
        <f t="shared" si="127"/>
        <v>-79.205645376176747</v>
      </c>
      <c r="AF115" t="str">
        <f t="shared" si="108"/>
        <v>405,634542683733</v>
      </c>
      <c r="AG115" t="str">
        <f t="shared" si="109"/>
        <v>1+4,51359036936637i</v>
      </c>
      <c r="AH115">
        <f t="shared" si="128"/>
        <v>4.6230399114042751</v>
      </c>
      <c r="AI115">
        <f t="shared" si="129"/>
        <v>1.3527650923197083</v>
      </c>
      <c r="AJ115" t="str">
        <f t="shared" si="110"/>
        <v>1+0,000762295262381877i</v>
      </c>
      <c r="AK115">
        <f t="shared" si="130"/>
        <v>1.0000002905469914</v>
      </c>
      <c r="AL115">
        <f t="shared" si="131"/>
        <v>7.6229511472684377E-4</v>
      </c>
      <c r="AM115" t="str">
        <f t="shared" si="111"/>
        <v>1-0,00410847270164045i</v>
      </c>
      <c r="AN115">
        <f t="shared" si="132"/>
        <v>1.0000084397383555</v>
      </c>
      <c r="AO115">
        <f t="shared" si="133"/>
        <v>-4.1084495854872543E-3</v>
      </c>
      <c r="AP115" s="41" t="str">
        <f t="shared" si="134"/>
        <v>18,69268640987-85,7284545124872i</v>
      </c>
      <c r="AQ115">
        <f t="shared" si="135"/>
        <v>38.864221597952067</v>
      </c>
      <c r="AR115" s="43">
        <f t="shared" si="136"/>
        <v>-77.699450991317875</v>
      </c>
      <c r="AS115" t="str">
        <f t="shared" si="112"/>
        <v>-0,0000166666666666667</v>
      </c>
      <c r="AT115" t="str">
        <f t="shared" si="113"/>
        <v>0,00012988338509045i</v>
      </c>
      <c r="AU115">
        <f t="shared" si="137"/>
        <v>1.2988338509045E-4</v>
      </c>
      <c r="AV115">
        <f t="shared" si="138"/>
        <v>1.5707963267948966</v>
      </c>
      <c r="AW115" t="str">
        <f t="shared" si="114"/>
        <v>1+0,00463015945096685i</v>
      </c>
      <c r="AX115">
        <f t="shared" si="139"/>
        <v>1.0000107191308207</v>
      </c>
      <c r="AY115">
        <f t="shared" si="140"/>
        <v>4.6301263636918657E-3</v>
      </c>
      <c r="AZ115" t="str">
        <f t="shared" si="115"/>
        <v>1+0,683720212259437i</v>
      </c>
      <c r="BA115">
        <f t="shared" si="141"/>
        <v>1.211393135465151</v>
      </c>
      <c r="BB115">
        <f t="shared" si="142"/>
        <v>0.59971616845244735</v>
      </c>
      <c r="BC115" s="41" t="str">
        <f t="shared" si="143"/>
        <v>-0,0871391279261029+0,128723704359921i</v>
      </c>
      <c r="BD115">
        <f t="shared" si="144"/>
        <v>-16.168487923873155</v>
      </c>
      <c r="BE115" s="43">
        <f t="shared" si="145"/>
        <v>124.09591865883019</v>
      </c>
      <c r="BF115" s="41" t="str">
        <f t="shared" si="146"/>
        <v>1,41090080175651+1,40550711350093i</v>
      </c>
      <c r="BG115" s="20">
        <f t="shared" si="147"/>
        <v>5.983627095323155</v>
      </c>
      <c r="BH115" s="43">
        <f t="shared" si="148"/>
        <v>44.890273282653553</v>
      </c>
      <c r="BI115" s="41" t="str">
        <f t="shared" si="152"/>
        <v>9,40641984154615+9,87649460378753i</v>
      </c>
      <c r="BJ115" s="20">
        <f t="shared" si="149"/>
        <v>22.695733674078905</v>
      </c>
      <c r="BK115" s="43">
        <f t="shared" si="153"/>
        <v>46.39646766751229</v>
      </c>
      <c r="BL115">
        <f t="shared" si="150"/>
        <v>5.983627095323155</v>
      </c>
      <c r="BM115" s="43">
        <f t="shared" si="151"/>
        <v>44.890273282653553</v>
      </c>
    </row>
    <row r="116" spans="14:65" x14ac:dyDescent="0.35">
      <c r="N116" s="9">
        <v>98</v>
      </c>
      <c r="O116" s="34">
        <f t="shared" si="116"/>
        <v>95.499258602143655</v>
      </c>
      <c r="P116" s="33" t="str">
        <f t="shared" si="103"/>
        <v>59,1053597814893</v>
      </c>
      <c r="Q116" s="4" t="str">
        <f t="shared" si="104"/>
        <v>1+4,61052186476663i</v>
      </c>
      <c r="R116" s="4">
        <f t="shared" si="117"/>
        <v>4.7177231654147711</v>
      </c>
      <c r="S116" s="4">
        <f t="shared" si="118"/>
        <v>1.3572094217880875</v>
      </c>
      <c r="T116" s="4" t="str">
        <f t="shared" si="105"/>
        <v>1+0,000780051400044193i</v>
      </c>
      <c r="U116" s="4">
        <f t="shared" si="119"/>
        <v>1.0000003042400472</v>
      </c>
      <c r="V116" s="4">
        <f t="shared" si="120"/>
        <v>7.800512418289769E-4</v>
      </c>
      <c r="W116" t="str">
        <f t="shared" si="106"/>
        <v>1-0,0288018978477856i</v>
      </c>
      <c r="X116" s="4">
        <f t="shared" si="121"/>
        <v>1.000414688676468</v>
      </c>
      <c r="Y116" s="4">
        <f t="shared" si="122"/>
        <v>-2.8793937611200839E-2</v>
      </c>
      <c r="Z116" t="str">
        <f t="shared" si="107"/>
        <v>0,999999811568008+0,00269472301833448i</v>
      </c>
      <c r="AA116" s="4">
        <f t="shared" si="123"/>
        <v>1.0000034423281736</v>
      </c>
      <c r="AB116" s="4">
        <f t="shared" si="124"/>
        <v>2.6947170035253932E-3</v>
      </c>
      <c r="AC116" s="47" t="str">
        <f t="shared" si="125"/>
        <v>2,27935406965502-12,3245164323694i</v>
      </c>
      <c r="AD116" s="20">
        <f t="shared" si="126"/>
        <v>21.961462181474147</v>
      </c>
      <c r="AE116" s="43">
        <f t="shared" si="127"/>
        <v>-79.521845151856411</v>
      </c>
      <c r="AF116" t="str">
        <f t="shared" si="108"/>
        <v>405,634542683733</v>
      </c>
      <c r="AG116" t="str">
        <f t="shared" si="109"/>
        <v>1+4,61872539499851i</v>
      </c>
      <c r="AH116">
        <f t="shared" si="128"/>
        <v>4.7257406059160862</v>
      </c>
      <c r="AI116">
        <f t="shared" si="129"/>
        <v>1.3575773799663164</v>
      </c>
      <c r="AJ116" t="str">
        <f t="shared" si="110"/>
        <v>1+0,000780051400044193i</v>
      </c>
      <c r="AK116">
        <f t="shared" si="130"/>
        <v>1.0000003042400472</v>
      </c>
      <c r="AL116">
        <f t="shared" si="131"/>
        <v>7.800512418289769E-4</v>
      </c>
      <c r="AM116" t="str">
        <f t="shared" si="111"/>
        <v>1-0,00420417132456545i</v>
      </c>
      <c r="AN116">
        <f t="shared" si="132"/>
        <v>1.0000088374892127</v>
      </c>
      <c r="AO116">
        <f t="shared" si="133"/>
        <v>-4.2041465551728597E-3</v>
      </c>
      <c r="AP116" s="41" t="str">
        <f t="shared" si="134"/>
        <v>17,8761228192127-83,9538437488875i</v>
      </c>
      <c r="AQ116">
        <f t="shared" si="135"/>
        <v>38.673380433495296</v>
      </c>
      <c r="AR116" s="43">
        <f t="shared" si="136"/>
        <v>-77.979640444603177</v>
      </c>
      <c r="AS116" t="str">
        <f t="shared" si="112"/>
        <v>-0,0000166666666666667</v>
      </c>
      <c r="AT116" t="str">
        <f t="shared" si="113"/>
        <v>0,00013290875777676i</v>
      </c>
      <c r="AU116">
        <f t="shared" si="137"/>
        <v>1.3290875777676001E-4</v>
      </c>
      <c r="AV116">
        <f t="shared" si="138"/>
        <v>1.5707963267948966</v>
      </c>
      <c r="AW116" t="str">
        <f t="shared" si="114"/>
        <v>1+0,00473800971931688i</v>
      </c>
      <c r="AX116">
        <f t="shared" si="139"/>
        <v>1.0000112243050576</v>
      </c>
      <c r="AY116">
        <f t="shared" si="140"/>
        <v>4.737974265684469E-3</v>
      </c>
      <c r="AZ116" t="str">
        <f t="shared" si="115"/>
        <v>1+0,699646101885792i</v>
      </c>
      <c r="BA116">
        <f t="shared" si="141"/>
        <v>1.2204526487676546</v>
      </c>
      <c r="BB116">
        <f t="shared" si="142"/>
        <v>0.61048840938468607</v>
      </c>
      <c r="BC116" s="41" t="str">
        <f t="shared" si="143"/>
        <v>-0,0871390398862283+0,12581217673525i</v>
      </c>
      <c r="BD116">
        <f t="shared" si="144"/>
        <v>-16.303775792875811</v>
      </c>
      <c r="BE116" s="43">
        <f t="shared" si="145"/>
        <v>124.70694337053193</v>
      </c>
      <c r="BF116" s="41" t="str">
        <f t="shared" si="146"/>
        <v>1,35195351437525+1,36071702603236i</v>
      </c>
      <c r="BG116" s="20">
        <f t="shared" si="147"/>
        <v>5.6576863885983393</v>
      </c>
      <c r="BH116" s="43">
        <f t="shared" si="148"/>
        <v>45.1850982186754</v>
      </c>
      <c r="BI116" s="41" t="str">
        <f t="shared" si="152"/>
        <v>9,00470764798411+9,56469126250831i</v>
      </c>
      <c r="BJ116" s="20">
        <f t="shared" si="149"/>
        <v>22.369604640619485</v>
      </c>
      <c r="BK116" s="43">
        <f t="shared" si="153"/>
        <v>46.727302925928733</v>
      </c>
      <c r="BL116">
        <f t="shared" si="150"/>
        <v>5.6576863885983393</v>
      </c>
      <c r="BM116" s="43">
        <f t="shared" si="151"/>
        <v>45.1850982186754</v>
      </c>
    </row>
    <row r="117" spans="14:65" x14ac:dyDescent="0.35">
      <c r="N117" s="9">
        <v>99</v>
      </c>
      <c r="O117" s="34">
        <f t="shared" si="116"/>
        <v>97.723722095581124</v>
      </c>
      <c r="P117" s="33" t="str">
        <f t="shared" si="103"/>
        <v>59,1053597814893</v>
      </c>
      <c r="Q117" s="4" t="str">
        <f t="shared" si="104"/>
        <v>1+4,71791471497288i</v>
      </c>
      <c r="R117" s="4">
        <f t="shared" si="117"/>
        <v>4.8227294406547045</v>
      </c>
      <c r="S117" s="4">
        <f t="shared" si="118"/>
        <v>1.3619295264650111</v>
      </c>
      <c r="T117" s="4" t="str">
        <f t="shared" si="105"/>
        <v>1+0,000798221131284013i</v>
      </c>
      <c r="U117" s="4">
        <f t="shared" si="119"/>
        <v>1.0000003185784365</v>
      </c>
      <c r="V117" s="4">
        <f t="shared" si="120"/>
        <v>7.9822096175335749E-4</v>
      </c>
      <c r="W117" t="str">
        <f t="shared" si="106"/>
        <v>1-0,0294727802320251i</v>
      </c>
      <c r="X117" s="4">
        <f t="shared" si="121"/>
        <v>1.0004342281102767</v>
      </c>
      <c r="Y117" s="4">
        <f t="shared" si="122"/>
        <v>-2.9464250884787185E-2</v>
      </c>
      <c r="Z117" t="str">
        <f t="shared" si="107"/>
        <v>0,999999802687482+0,00275749118079932i</v>
      </c>
      <c r="AA117" s="4">
        <f t="shared" si="123"/>
        <v>1.0000036045598111</v>
      </c>
      <c r="AB117" s="4">
        <f t="shared" si="124"/>
        <v>2.757484735816519E-3</v>
      </c>
      <c r="AC117" s="47" t="str">
        <f t="shared" si="125"/>
        <v>2,16420907782896-12,0683466019372i</v>
      </c>
      <c r="AD117" s="20">
        <f t="shared" si="126"/>
        <v>21.770421636700156</v>
      </c>
      <c r="AE117" s="43">
        <f t="shared" si="127"/>
        <v>-79.833248628115527</v>
      </c>
      <c r="AF117" t="str">
        <f t="shared" si="108"/>
        <v>405,634542683733</v>
      </c>
      <c r="AG117" t="str">
        <f t="shared" si="109"/>
        <v>1+4,72630932997113i</v>
      </c>
      <c r="AH117">
        <f t="shared" si="128"/>
        <v>4.8309419249844172</v>
      </c>
      <c r="AI117">
        <f t="shared" si="129"/>
        <v>1.3622898362673015</v>
      </c>
      <c r="AJ117" t="str">
        <f t="shared" si="110"/>
        <v>1+0,000798221131284013i</v>
      </c>
      <c r="AK117">
        <f t="shared" si="130"/>
        <v>1.0000003185784365</v>
      </c>
      <c r="AL117">
        <f t="shared" si="131"/>
        <v>7.9822096175335749E-4</v>
      </c>
      <c r="AM117" t="str">
        <f t="shared" si="111"/>
        <v>1-0,00430209905477551i</v>
      </c>
      <c r="AN117">
        <f t="shared" si="132"/>
        <v>1.0000092539853205</v>
      </c>
      <c r="AO117">
        <f t="shared" si="133"/>
        <v>-4.3020725139064362E-3</v>
      </c>
      <c r="AP117" s="41" t="str">
        <f t="shared" si="134"/>
        <v>17,0930869371887-82,2085101883578i</v>
      </c>
      <c r="AQ117">
        <f t="shared" si="135"/>
        <v>38.482145436303419</v>
      </c>
      <c r="AR117" s="43">
        <f t="shared" si="136"/>
        <v>-78.254213997663072</v>
      </c>
      <c r="AS117" t="str">
        <f t="shared" si="112"/>
        <v>-0,0000166666666666667</v>
      </c>
      <c r="AT117" t="str">
        <f t="shared" si="113"/>
        <v>0,000136004600445699i</v>
      </c>
      <c r="AU117">
        <f t="shared" si="137"/>
        <v>1.36004600445699E-4</v>
      </c>
      <c r="AV117">
        <f t="shared" si="138"/>
        <v>1.5707963267948966</v>
      </c>
      <c r="AW117" t="str">
        <f t="shared" si="114"/>
        <v>1+0,00484837214313506i</v>
      </c>
      <c r="AX117">
        <f t="shared" si="139"/>
        <v>1.0000117532871493</v>
      </c>
      <c r="AY117">
        <f t="shared" si="140"/>
        <v>4.8483341539076056E-3</v>
      </c>
      <c r="AZ117" t="str">
        <f t="shared" si="115"/>
        <v>1+0,715942953136276i</v>
      </c>
      <c r="BA117">
        <f t="shared" si="141"/>
        <v>1.2298675994372288</v>
      </c>
      <c r="BB117">
        <f t="shared" si="142"/>
        <v>0.62134598693408949</v>
      </c>
      <c r="BC117" s="41" t="str">
        <f t="shared" si="143"/>
        <v>-0,0871389476973528+0,122967356352677i</v>
      </c>
      <c r="BD117">
        <f t="shared" si="144"/>
        <v>-16.437031867616746</v>
      </c>
      <c r="BE117" s="43">
        <f t="shared" si="145"/>
        <v>125.3227135840261</v>
      </c>
      <c r="BF117" s="41" t="str">
        <f t="shared" si="146"/>
        <v>1,29542577554896+1,31775009223482i</v>
      </c>
      <c r="BG117" s="20">
        <f t="shared" si="147"/>
        <v>5.3333897690834071</v>
      </c>
      <c r="BH117" s="43">
        <f t="shared" si="148"/>
        <v>45.489464955910449</v>
      </c>
      <c r="BI117" s="41" t="str">
        <f t="shared" si="152"/>
        <v>8,61948955894848+9,26545478215318i</v>
      </c>
      <c r="BJ117" s="20">
        <f t="shared" si="149"/>
        <v>22.045113568686677</v>
      </c>
      <c r="BK117" s="43">
        <f t="shared" si="153"/>
        <v>47.068499586363068</v>
      </c>
      <c r="BL117">
        <f t="shared" si="150"/>
        <v>5.3333897690834071</v>
      </c>
      <c r="BM117" s="43">
        <f t="shared" si="151"/>
        <v>45.489464955910449</v>
      </c>
    </row>
    <row r="118" spans="14:65" x14ac:dyDescent="0.35">
      <c r="N118" s="9">
        <v>100</v>
      </c>
      <c r="O118" s="34">
        <f t="shared" si="116"/>
        <v>100</v>
      </c>
      <c r="P118" s="33" t="str">
        <f t="shared" si="103"/>
        <v>59,1053597814893</v>
      </c>
      <c r="Q118" s="4" t="str">
        <f t="shared" si="104"/>
        <v>1+4,82780906601001i</v>
      </c>
      <c r="R118" s="4">
        <f t="shared" si="117"/>
        <v>4.9302880623598906</v>
      </c>
      <c r="S118" s="4">
        <f t="shared" si="118"/>
        <v>1.3665513325708794</v>
      </c>
      <c r="T118" s="4" t="str">
        <f t="shared" si="105"/>
        <v>1+0,000816814089933347i</v>
      </c>
      <c r="U118" s="4">
        <f t="shared" si="119"/>
        <v>1.0000003335925731</v>
      </c>
      <c r="V118" s="4">
        <f t="shared" si="120"/>
        <v>8.1681390827798006E-4</v>
      </c>
      <c r="W118" t="str">
        <f t="shared" si="106"/>
        <v>1-0,0301592894744621i</v>
      </c>
      <c r="X118" s="4">
        <f t="shared" si="121"/>
        <v>1.0004546880002134</v>
      </c>
      <c r="Y118" s="4">
        <f t="shared" si="122"/>
        <v>-3.0150150338555694E-2</v>
      </c>
      <c r="Z118" t="str">
        <f t="shared" si="107"/>
        <v>0,99999979338843+0,00282172140158792i</v>
      </c>
      <c r="AA118" s="4">
        <f t="shared" si="123"/>
        <v>1.0000037744371622</v>
      </c>
      <c r="AB118" s="4">
        <f t="shared" si="124"/>
        <v>2.8217144956658321E-3</v>
      </c>
      <c r="AC118" s="47" t="str">
        <f t="shared" si="125"/>
        <v>2,05381002754299-11,8164684932196i</v>
      </c>
      <c r="AD118" s="20">
        <f t="shared" si="126"/>
        <v>21.57900999948291</v>
      </c>
      <c r="AE118" s="43">
        <f t="shared" si="127"/>
        <v>-80.139972552374729</v>
      </c>
      <c r="AF118" t="str">
        <f t="shared" si="108"/>
        <v>405,634542683733</v>
      </c>
      <c r="AG118" t="str">
        <f t="shared" si="109"/>
        <v>1+4,8363992167106i</v>
      </c>
      <c r="AH118">
        <f t="shared" si="128"/>
        <v>4.9386999689593312</v>
      </c>
      <c r="AI118">
        <f t="shared" si="129"/>
        <v>1.3669041222360809</v>
      </c>
      <c r="AJ118" t="str">
        <f t="shared" si="110"/>
        <v>1+0,000816814089933347i</v>
      </c>
      <c r="AK118">
        <f t="shared" si="130"/>
        <v>1.0000003335925731</v>
      </c>
      <c r="AL118">
        <f t="shared" si="131"/>
        <v>8.1681390827798006E-4</v>
      </c>
      <c r="AM118" t="str">
        <f t="shared" si="111"/>
        <v>1-0,00440230781484944i</v>
      </c>
      <c r="AN118">
        <f t="shared" si="132"/>
        <v>1.0000096901100992</v>
      </c>
      <c r="AO118">
        <f t="shared" si="133"/>
        <v>-4.4022793758107326E-3</v>
      </c>
      <c r="AP118" s="41" t="str">
        <f t="shared" si="134"/>
        <v>16,3423355612032-80,4924590148265i</v>
      </c>
      <c r="AQ118">
        <f t="shared" si="135"/>
        <v>38.290532825382058</v>
      </c>
      <c r="AR118" s="43">
        <f t="shared" si="136"/>
        <v>-78.523269242041323</v>
      </c>
      <c r="AS118" t="str">
        <f t="shared" si="112"/>
        <v>-0,0000166666666666667</v>
      </c>
      <c r="AT118" t="str">
        <f t="shared" si="113"/>
        <v>0,000139172554554028i</v>
      </c>
      <c r="AU118">
        <f t="shared" si="137"/>
        <v>1.3917255455402801E-4</v>
      </c>
      <c r="AV118">
        <f t="shared" si="138"/>
        <v>1.5707963267948966</v>
      </c>
      <c r="AW118" t="str">
        <f t="shared" si="114"/>
        <v>1+0,00496130523803933i</v>
      </c>
      <c r="AX118">
        <f t="shared" si="139"/>
        <v>1.0000123071990989</v>
      </c>
      <c r="AY118">
        <f t="shared" si="140"/>
        <v>4.9612645318757777E-3</v>
      </c>
      <c r="AZ118" t="str">
        <f t="shared" si="115"/>
        <v>1+0,73261940681714i</v>
      </c>
      <c r="BA118">
        <f t="shared" si="141"/>
        <v>1.2396496260012737</v>
      </c>
      <c r="BB118">
        <f t="shared" si="142"/>
        <v>0.63228441834932247</v>
      </c>
      <c r="BC118" s="41" t="str">
        <f t="shared" si="143"/>
        <v>-0,0871388511639587+0,120187734847968i</v>
      </c>
      <c r="BD118">
        <f t="shared" si="144"/>
        <v>-16.568224810058783</v>
      </c>
      <c r="BE118" s="43">
        <f t="shared" si="145"/>
        <v>125.94296910457591</v>
      </c>
      <c r="BF118" s="41" t="str">
        <f t="shared" si="146"/>
        <v>1,24122793579333+1,2765162643327i</v>
      </c>
      <c r="BG118" s="20">
        <f t="shared" si="147"/>
        <v>5.0107851894241087</v>
      </c>
      <c r="BH118" s="43">
        <f t="shared" si="148"/>
        <v>45.802996552201094</v>
      </c>
      <c r="BI118" s="41" t="str">
        <f t="shared" si="152"/>
        <v>8,25015397519574+8,97816869914042i</v>
      </c>
      <c r="BJ118" s="20">
        <f t="shared" si="149"/>
        <v>21.722308015323279</v>
      </c>
      <c r="BK118" s="43">
        <f t="shared" si="153"/>
        <v>47.419699862534607</v>
      </c>
      <c r="BL118">
        <f t="shared" si="150"/>
        <v>5.0107851894241087</v>
      </c>
      <c r="BM118" s="43">
        <f t="shared" si="151"/>
        <v>45.802996552201094</v>
      </c>
    </row>
    <row r="119" spans="14:65" x14ac:dyDescent="0.35">
      <c r="N119" s="9">
        <v>1</v>
      </c>
      <c r="O119" s="34">
        <f>10^(2+(N119/100))</f>
        <v>102.32929922807544</v>
      </c>
      <c r="P119" s="33" t="str">
        <f t="shared" si="103"/>
        <v>59,1053597814893</v>
      </c>
      <c r="Q119" s="4" t="str">
        <f t="shared" si="104"/>
        <v>1+4,94026318531753i</v>
      </c>
      <c r="R119" s="4">
        <f t="shared" si="117"/>
        <v>5.0404563622953527</v>
      </c>
      <c r="S119" s="4">
        <f t="shared" si="118"/>
        <v>1.3710765004645487</v>
      </c>
      <c r="T119" s="4" t="str">
        <f t="shared" si="105"/>
        <v>1+0,000835840134224975i</v>
      </c>
      <c r="U119" s="4">
        <f t="shared" si="119"/>
        <v>1.0000003493143039</v>
      </c>
      <c r="V119" s="4">
        <f t="shared" si="120"/>
        <v>8.3583993957774612E-4</v>
      </c>
      <c r="W119" t="str">
        <f t="shared" si="106"/>
        <v>1-0,0308617895713837i</v>
      </c>
      <c r="X119" s="4">
        <f t="shared" si="121"/>
        <v>1.0004761116866052</v>
      </c>
      <c r="Y119" s="4">
        <f t="shared" si="122"/>
        <v>-3.0851997062503033E-2</v>
      </c>
      <c r="Z119" t="str">
        <f t="shared" si="107"/>
        <v>0,999999783651126+0,00288744773641355i</v>
      </c>
      <c r="AA119" s="4">
        <f t="shared" si="123"/>
        <v>1.0000039523205544</v>
      </c>
      <c r="AB119" s="4">
        <f t="shared" si="124"/>
        <v>2.8874403365862929E-3</v>
      </c>
      <c r="AC119" s="47" t="str">
        <f t="shared" si="125"/>
        <v>1,94797939797608-11,5688777282589i</v>
      </c>
      <c r="AD119" s="20">
        <f t="shared" si="126"/>
        <v>21.387243295879532</v>
      </c>
      <c r="AE119" s="43">
        <f t="shared" si="127"/>
        <v>-80.442134131412672</v>
      </c>
      <c r="AF119" t="str">
        <f t="shared" si="108"/>
        <v>405,634542683733</v>
      </c>
      <c r="AG119" t="str">
        <f t="shared" si="109"/>
        <v>1+4,94905342633209i</v>
      </c>
      <c r="AH119">
        <f t="shared" si="128"/>
        <v>5.0490721738443591</v>
      </c>
      <c r="AI119">
        <f t="shared" si="129"/>
        <v>1.3714218980948145</v>
      </c>
      <c r="AJ119" t="str">
        <f t="shared" si="110"/>
        <v>1+0,000835840134224975i</v>
      </c>
      <c r="AK119">
        <f t="shared" si="130"/>
        <v>1.0000003493143039</v>
      </c>
      <c r="AL119">
        <f t="shared" si="131"/>
        <v>8.3583993957774612E-4</v>
      </c>
      <c r="AM119" t="str">
        <f t="shared" si="111"/>
        <v>1-0,00450485073679823i</v>
      </c>
      <c r="AN119">
        <f t="shared" si="132"/>
        <v>1.0000101467886018</v>
      </c>
      <c r="AO119">
        <f t="shared" si="133"/>
        <v>-4.5048202638359328E-3</v>
      </c>
      <c r="AP119" s="41" t="str">
        <f t="shared" si="134"/>
        <v>15,6226602360807-78,8056576076738i</v>
      </c>
      <c r="AQ119">
        <f t="shared" si="135"/>
        <v>38.098558216153776</v>
      </c>
      <c r="AR119" s="43">
        <f t="shared" si="136"/>
        <v>-78.786903780349874</v>
      </c>
      <c r="AS119" t="str">
        <f t="shared" si="112"/>
        <v>-0,0000166666666666667</v>
      </c>
      <c r="AT119" t="str">
        <f t="shared" si="113"/>
        <v>0,000142414299792948i</v>
      </c>
      <c r="AU119">
        <f t="shared" si="137"/>
        <v>1.42414299792948E-4</v>
      </c>
      <c r="AV119">
        <f t="shared" si="138"/>
        <v>1.5707963267948966</v>
      </c>
      <c r="AW119" t="str">
        <f t="shared" si="114"/>
        <v>1+0,00507686888265145i</v>
      </c>
      <c r="AX119">
        <f t="shared" si="139"/>
        <v>1.0000128872157856</v>
      </c>
      <c r="AY119">
        <f t="shared" si="140"/>
        <v>5.076825265241721E-3</v>
      </c>
      <c r="AZ119" t="str">
        <f t="shared" si="115"/>
        <v>1+0,749684305004862i</v>
      </c>
      <c r="BA119">
        <f t="shared" si="141"/>
        <v>1.2498106085205962</v>
      </c>
      <c r="BB119">
        <f t="shared" si="142"/>
        <v>0.6432990333779316</v>
      </c>
      <c r="BC119" s="41" t="str">
        <f t="shared" si="143"/>
        <v>-0,087138750081315+0,117471838425995i</v>
      </c>
      <c r="BD119">
        <f t="shared" si="144"/>
        <v>-16.697324788567165</v>
      </c>
      <c r="BE119" s="43">
        <f t="shared" si="145"/>
        <v>126.5674389163772</v>
      </c>
      <c r="BF119" s="41" t="str">
        <f t="shared" si="146"/>
        <v>1,18927284534033+1,23693026618026i</v>
      </c>
      <c r="BG119" s="20">
        <f t="shared" si="147"/>
        <v>4.6899185073123633</v>
      </c>
      <c r="BH119" s="43">
        <f t="shared" si="148"/>
        <v>46.125304784964705</v>
      </c>
      <c r="BI119" s="41" t="str">
        <f t="shared" si="152"/>
        <v>7,89610639162581+8,70224912230585i</v>
      </c>
      <c r="BJ119" s="20">
        <f t="shared" si="149"/>
        <v>21.401233427586611</v>
      </c>
      <c r="BK119" s="43">
        <f t="shared" si="153"/>
        <v>47.780535136027304</v>
      </c>
      <c r="BL119">
        <f t="shared" si="150"/>
        <v>4.6899185073123633</v>
      </c>
      <c r="BM119" s="43">
        <f t="shared" si="151"/>
        <v>46.125304784964705</v>
      </c>
    </row>
    <row r="120" spans="14:65" x14ac:dyDescent="0.35">
      <c r="N120" s="9">
        <v>2</v>
      </c>
      <c r="O120" s="34">
        <f t="shared" ref="O120:O183" si="154">10^(2+(N120/100))</f>
        <v>104.71285480508998</v>
      </c>
      <c r="P120" s="33" t="str">
        <f t="shared" si="103"/>
        <v>59,1053597814893</v>
      </c>
      <c r="Q120" s="4" t="str">
        <f t="shared" si="104"/>
        <v>1+5,05533669755803i</v>
      </c>
      <c r="R120" s="4">
        <f t="shared" si="117"/>
        <v>5.1532930370469838</v>
      </c>
      <c r="S120" s="4">
        <f t="shared" si="118"/>
        <v>1.3755066877998843</v>
      </c>
      <c r="T120" s="4" t="str">
        <f t="shared" si="105"/>
        <v>1+0,000855309352019422i</v>
      </c>
      <c r="U120" s="4">
        <f t="shared" si="119"/>
        <v>1.0000003657769769</v>
      </c>
      <c r="V120" s="4">
        <f t="shared" si="120"/>
        <v>8.5530914345116268E-4</v>
      </c>
      <c r="W120" t="str">
        <f t="shared" si="106"/>
        <v>1-0,0315806529976403i</v>
      </c>
      <c r="X120" s="4">
        <f t="shared" si="121"/>
        <v>1.0004985445485453</v>
      </c>
      <c r="Y120" s="4">
        <f t="shared" si="122"/>
        <v>-3.1570160417695642E-2</v>
      </c>
      <c r="Z120" t="str">
        <f t="shared" si="107"/>
        <v>0,999999773454918+0,00295470503424891i</v>
      </c>
      <c r="AA120" s="4">
        <f t="shared" si="123"/>
        <v>1.0000041385872993</v>
      </c>
      <c r="AB120" s="4">
        <f t="shared" si="124"/>
        <v>2.9546971051929187E-3</v>
      </c>
      <c r="AC120" s="47" t="str">
        <f t="shared" si="125"/>
        <v>1,84654476742893-11,3255647498789i</v>
      </c>
      <c r="AD120" s="20">
        <f t="shared" si="126"/>
        <v>21.195136981310675</v>
      </c>
      <c r="AE120" s="43">
        <f t="shared" si="127"/>
        <v>-80.739850923205594</v>
      </c>
      <c r="AF120" t="str">
        <f t="shared" si="108"/>
        <v>405,634542683733</v>
      </c>
      <c r="AG120" t="str">
        <f t="shared" si="109"/>
        <v>1+5,06433168958868i</v>
      </c>
      <c r="AH120">
        <f t="shared" si="128"/>
        <v>5.1621173429293652</v>
      </c>
      <c r="AI120">
        <f t="shared" si="129"/>
        <v>1.375844821206371</v>
      </c>
      <c r="AJ120" t="str">
        <f t="shared" si="110"/>
        <v>1+0,000855309352019422i</v>
      </c>
      <c r="AK120">
        <f t="shared" si="130"/>
        <v>1.0000003657769769</v>
      </c>
      <c r="AL120">
        <f t="shared" si="131"/>
        <v>8.5530914345116268E-4</v>
      </c>
      <c r="AM120" t="str">
        <f t="shared" si="111"/>
        <v>1-0,00460978219023642i</v>
      </c>
      <c r="AN120">
        <f t="shared" si="132"/>
        <v>1.0000106249894756</v>
      </c>
      <c r="AO120">
        <f t="shared" si="133"/>
        <v>-4.609749537887768E-3</v>
      </c>
      <c r="AP120" s="41" t="str">
        <f t="shared" si="134"/>
        <v>14,9328872944035-77,1480382148522i</v>
      </c>
      <c r="AQ120">
        <f t="shared" si="135"/>
        <v>37.906236637610206</v>
      </c>
      <c r="AR120" s="43">
        <f t="shared" si="136"/>
        <v>-79.045215109091018</v>
      </c>
      <c r="AS120" t="str">
        <f t="shared" si="112"/>
        <v>-0,0000166666666666667</v>
      </c>
      <c r="AT120" t="str">
        <f t="shared" si="113"/>
        <v>0,000145731554978694i</v>
      </c>
      <c r="AU120">
        <f t="shared" si="137"/>
        <v>1.4573155497869399E-4</v>
      </c>
      <c r="AV120">
        <f t="shared" si="138"/>
        <v>1.5707963267948966</v>
      </c>
      <c r="AW120" t="str">
        <f t="shared" si="114"/>
        <v>1+0,00519512435034545i</v>
      </c>
      <c r="AX120">
        <f t="shared" si="139"/>
        <v>1.0000134945674561</v>
      </c>
      <c r="AY120">
        <f t="shared" si="140"/>
        <v>5.1950776134829435E-3</v>
      </c>
      <c r="AZ120" t="str">
        <f t="shared" si="115"/>
        <v>1+0,767146695734344i</v>
      </c>
      <c r="BA120">
        <f t="shared" si="141"/>
        <v>1.2603626671621633</v>
      </c>
      <c r="BB120">
        <f t="shared" si="142"/>
        <v>0.65438498196089023</v>
      </c>
      <c r="BC120" s="41" t="str">
        <f t="shared" si="143"/>
        <v>-0,0871386442350448+0,114818227079296i</v>
      </c>
      <c r="BD120">
        <f t="shared" si="144"/>
        <v>-16.824303585923552</v>
      </c>
      <c r="BE120" s="43">
        <f t="shared" si="145"/>
        <v>127.19584162160811</v>
      </c>
      <c r="BF120" s="41" t="str">
        <f t="shared" si="146"/>
        <v>1,13947585769979+1,1989113539194i</v>
      </c>
      <c r="BG120" s="20">
        <f t="shared" si="147"/>
        <v>4.3708333953871099</v>
      </c>
      <c r="BH120" s="43">
        <f t="shared" si="148"/>
        <v>46.45599069840253</v>
      </c>
      <c r="BI120" s="41" t="str">
        <f t="shared" si="152"/>
        <v>7,55676941712606+8,437143099754i</v>
      </c>
      <c r="BJ120" s="20">
        <f t="shared" si="149"/>
        <v>21.081933051686658</v>
      </c>
      <c r="BK120" s="43">
        <f t="shared" si="153"/>
        <v>48.150626512517093</v>
      </c>
      <c r="BL120">
        <f t="shared" si="150"/>
        <v>4.3708333953871099</v>
      </c>
      <c r="BM120" s="43">
        <f t="shared" si="151"/>
        <v>46.45599069840253</v>
      </c>
    </row>
    <row r="121" spans="14:65" x14ac:dyDescent="0.35">
      <c r="N121" s="9">
        <v>3</v>
      </c>
      <c r="O121" s="34">
        <f t="shared" si="154"/>
        <v>107.15193052376065</v>
      </c>
      <c r="P121" s="33" t="str">
        <f t="shared" si="103"/>
        <v>59,1053597814893</v>
      </c>
      <c r="Q121" s="4" t="str">
        <f t="shared" si="104"/>
        <v>1+5,17309061623086i</v>
      </c>
      <c r="R121" s="4">
        <f t="shared" si="117"/>
        <v>5.2688581802640861</v>
      </c>
      <c r="S121" s="4">
        <f t="shared" si="118"/>
        <v>1.3798435475948538</v>
      </c>
      <c r="T121" s="4" t="str">
        <f t="shared" si="105"/>
        <v>1+0,000875232066153668i</v>
      </c>
      <c r="U121" s="4">
        <f t="shared" si="119"/>
        <v>1.0000003830155115</v>
      </c>
      <c r="V121" s="4">
        <f t="shared" si="120"/>
        <v>8.7523184266875636E-4</v>
      </c>
      <c r="W121" t="str">
        <f t="shared" si="106"/>
        <v>1-0,0323162609041355i</v>
      </c>
      <c r="X121" s="4">
        <f t="shared" si="121"/>
        <v>1.0005220340996115</v>
      </c>
      <c r="Y121" s="4">
        <f t="shared" si="122"/>
        <v>-3.2305018218964046E-2</v>
      </c>
      <c r="Z121" t="str">
        <f t="shared" si="107"/>
        <v>0,999999762778177+0,00302352895580358i</v>
      </c>
      <c r="AA121" s="4">
        <f t="shared" si="123"/>
        <v>1.0000043336324882</v>
      </c>
      <c r="AB121" s="4">
        <f t="shared" si="124"/>
        <v>3.0235204596690004E-3</v>
      </c>
      <c r="AC121" s="47" t="str">
        <f t="shared" si="125"/>
        <v>1,74933880398241-11,0865151978558i</v>
      </c>
      <c r="AD121" s="20">
        <f t="shared" si="126"/>
        <v>21.002705958508322</v>
      </c>
      <c r="AE121" s="43">
        <f t="shared" si="127"/>
        <v>-81.033240737514063</v>
      </c>
      <c r="AF121" t="str">
        <f t="shared" si="108"/>
        <v>405,634542683733</v>
      </c>
      <c r="AG121" t="str">
        <f t="shared" si="109"/>
        <v>1+5,18229512854145i</v>
      </c>
      <c r="AH121">
        <f t="shared" si="128"/>
        <v>5.2778956790850318</v>
      </c>
      <c r="AI121">
        <f t="shared" si="129"/>
        <v>1.3801745441546498</v>
      </c>
      <c r="AJ121" t="str">
        <f t="shared" si="110"/>
        <v>1+0,000875232066153668i</v>
      </c>
      <c r="AK121">
        <f t="shared" si="130"/>
        <v>1.0000003830155115</v>
      </c>
      <c r="AL121">
        <f t="shared" si="131"/>
        <v>8.7523184266875636E-4</v>
      </c>
      <c r="AM121" t="str">
        <f t="shared" si="111"/>
        <v>1-0,00471715781120956i</v>
      </c>
      <c r="AN121">
        <f t="shared" si="132"/>
        <v>1.000011125727017</v>
      </c>
      <c r="AO121">
        <f t="shared" si="133"/>
        <v>-4.7171228236086412E-3</v>
      </c>
      <c r="AP121" s="41" t="str">
        <f t="shared" si="134"/>
        <v>14,2718777845132-75,5195005104421i</v>
      </c>
      <c r="AQ121">
        <f t="shared" si="135"/>
        <v>37.713582549456653</v>
      </c>
      <c r="AR121" s="43">
        <f t="shared" si="136"/>
        <v>-79.298300510010918</v>
      </c>
      <c r="AS121" t="str">
        <f t="shared" si="112"/>
        <v>-0,0000166666666666667</v>
      </c>
      <c r="AT121" t="str">
        <f t="shared" si="113"/>
        <v>0,000149126078963875i</v>
      </c>
      <c r="AU121">
        <f t="shared" si="137"/>
        <v>1.4912607896387501E-4</v>
      </c>
      <c r="AV121">
        <f t="shared" si="138"/>
        <v>1.5707963267948966</v>
      </c>
      <c r="AW121" t="str">
        <f t="shared" si="114"/>
        <v>1+0,0053161343417356i</v>
      </c>
      <c r="AX121">
        <f t="shared" si="139"/>
        <v>1.0000141305423336</v>
      </c>
      <c r="AY121">
        <f t="shared" si="140"/>
        <v>5.3160842623233761E-3</v>
      </c>
      <c r="AZ121" t="str">
        <f t="shared" si="115"/>
        <v>1+0,785015837796289i</v>
      </c>
      <c r="BA121">
        <f t="shared" si="141"/>
        <v>1.2713181606470545</v>
      </c>
      <c r="BB121">
        <f t="shared" si="142"/>
        <v>0.66553724290226268</v>
      </c>
      <c r="BC121" s="41" t="str">
        <f t="shared" si="143"/>
        <v>-0,087138533400669+0,112225493824551i</v>
      </c>
      <c r="BD121">
        <f t="shared" si="144"/>
        <v>-16.94913470376023</v>
      </c>
      <c r="BE121" s="43">
        <f t="shared" si="145"/>
        <v>127.82788593530576</v>
      </c>
      <c r="BF121" s="41" t="str">
        <f t="shared" si="146"/>
        <v>1,09175482507285+1,16238308600876i</v>
      </c>
      <c r="BG121" s="20">
        <f t="shared" si="147"/>
        <v>4.0535712547481042</v>
      </c>
      <c r="BH121" s="43">
        <f t="shared" si="148"/>
        <v>46.794645197791766</v>
      </c>
      <c r="BI121" s="41" t="str">
        <f t="shared" si="152"/>
        <v>7,23158273915173+8,18232704980163i</v>
      </c>
      <c r="BJ121" s="20">
        <f t="shared" si="149"/>
        <v>20.76444784569642</v>
      </c>
      <c r="BK121" s="43">
        <f t="shared" si="153"/>
        <v>48.52958542529484</v>
      </c>
      <c r="BL121">
        <f t="shared" si="150"/>
        <v>4.0535712547481042</v>
      </c>
      <c r="BM121" s="43">
        <f t="shared" si="151"/>
        <v>46.794645197791766</v>
      </c>
    </row>
    <row r="122" spans="14:65" x14ac:dyDescent="0.35">
      <c r="N122" s="9">
        <v>4</v>
      </c>
      <c r="O122" s="34">
        <f t="shared" si="154"/>
        <v>109.64781961431861</v>
      </c>
      <c r="P122" s="33" t="str">
        <f t="shared" si="103"/>
        <v>59,1053597814893</v>
      </c>
      <c r="Q122" s="4" t="str">
        <f t="shared" si="104"/>
        <v>1+5,29358737602236i</v>
      </c>
      <c r="R122" s="4">
        <f t="shared" si="117"/>
        <v>5.3872133155819339</v>
      </c>
      <c r="S122" s="4">
        <f t="shared" si="118"/>
        <v>1.3840887264429353</v>
      </c>
      <c r="T122" s="4" t="str">
        <f t="shared" si="105"/>
        <v>1+0,000895618839914453i</v>
      </c>
      <c r="U122" s="4">
        <f t="shared" si="119"/>
        <v>1.0000004010664727</v>
      </c>
      <c r="V122" s="4">
        <f t="shared" si="120"/>
        <v>8.9561860044606086E-4</v>
      </c>
      <c r="W122" t="str">
        <f t="shared" si="106"/>
        <v>1-0,0330690033199183i</v>
      </c>
      <c r="X122" s="4">
        <f t="shared" si="121"/>
        <v>1.0005466300880599</v>
      </c>
      <c r="Y122" s="4">
        <f t="shared" si="122"/>
        <v>-3.3056956921146526E-2</v>
      </c>
      <c r="Z122" t="str">
        <f t="shared" si="107"/>
        <v>0,999999751598257+0,00309395599243175i</v>
      </c>
      <c r="AA122" s="4">
        <f t="shared" si="123"/>
        <v>1.0000045378698335</v>
      </c>
      <c r="AB122" s="4">
        <f t="shared" si="124"/>
        <v>3.0939468886617568E-3</v>
      </c>
      <c r="AC122" s="47" t="str">
        <f t="shared" si="125"/>
        <v>1,6561992412247-10,8517102682078i</v>
      </c>
      <c r="AD122" s="20">
        <f t="shared" si="126"/>
        <v>20.809964595444352</v>
      </c>
      <c r="AE122" s="43">
        <f t="shared" si="127"/>
        <v>-81.322421544843777</v>
      </c>
      <c r="AF122" t="str">
        <f t="shared" si="108"/>
        <v>405,634542683733</v>
      </c>
      <c r="AG122" t="str">
        <f t="shared" si="109"/>
        <v>1+5,30300628896715i</v>
      </c>
      <c r="AH122">
        <f t="shared" si="128"/>
        <v>5.3964688177386089</v>
      </c>
      <c r="AI122">
        <f t="shared" si="129"/>
        <v>1.3844127129666994</v>
      </c>
      <c r="AJ122" t="str">
        <f t="shared" si="110"/>
        <v>1+0,000895618839914453i</v>
      </c>
      <c r="AK122">
        <f t="shared" si="130"/>
        <v>1.0000004010664727</v>
      </c>
      <c r="AL122">
        <f t="shared" si="131"/>
        <v>8.9561860044606086E-4</v>
      </c>
      <c r="AM122" t="str">
        <f t="shared" si="111"/>
        <v>1-0,00482703453169316i</v>
      </c>
      <c r="AN122">
        <f t="shared" si="132"/>
        <v>1.0000116500633232</v>
      </c>
      <c r="AO122">
        <f t="shared" si="133"/>
        <v>-4.8269970418269199E-3</v>
      </c>
      <c r="AP122" s="41" t="str">
        <f t="shared" si="134"/>
        <v>13,638527297494-73,919914037095i</v>
      </c>
      <c r="AQ122">
        <f t="shared" si="135"/>
        <v>37.520609859196867</v>
      </c>
      <c r="AR122" s="43">
        <f t="shared" si="136"/>
        <v>-79.546256949607951</v>
      </c>
      <c r="AS122" t="str">
        <f t="shared" si="112"/>
        <v>-0,0000166666666666667</v>
      </c>
      <c r="AT122" t="str">
        <f t="shared" si="113"/>
        <v>0,00015259967157004i</v>
      </c>
      <c r="AU122">
        <f t="shared" si="137"/>
        <v>1.5259967157004001E-4</v>
      </c>
      <c r="AV122">
        <f t="shared" si="138"/>
        <v>1.5707963267948966</v>
      </c>
      <c r="AW122" t="str">
        <f t="shared" si="114"/>
        <v>1+0,0054399630179211i</v>
      </c>
      <c r="AX122">
        <f t="shared" si="139"/>
        <v>1.0000147964893502</v>
      </c>
      <c r="AY122">
        <f t="shared" si="140"/>
        <v>5.4399093569069898E-3</v>
      </c>
      <c r="AZ122" t="str">
        <f t="shared" si="115"/>
        <v>1+0,803301205646348i</v>
      </c>
      <c r="BA122">
        <f t="shared" si="141"/>
        <v>1.2826896846053126</v>
      </c>
      <c r="BB122">
        <f t="shared" si="142"/>
        <v>0.67675063349102282</v>
      </c>
      <c r="BC122" s="41" t="str">
        <f t="shared" si="143"/>
        <v>-0,087138417343132+0,109692263956561i</v>
      </c>
      <c r="BD122">
        <f t="shared" si="144"/>
        <v>-17.07179346264002</v>
      </c>
      <c r="BE122" s="43">
        <f t="shared" si="145"/>
        <v>128.46327123475601</v>
      </c>
      <c r="BF122" s="41" t="str">
        <f t="shared" si="146"/>
        <v>1,04603008643516+1,12727310257092i</v>
      </c>
      <c r="BG122" s="20">
        <f t="shared" si="147"/>
        <v>3.738171132804351</v>
      </c>
      <c r="BH122" s="43">
        <f t="shared" si="148"/>
        <v>47.140849689912208</v>
      </c>
      <c r="BI122" s="41" t="str">
        <f t="shared" si="152"/>
        <v>6,92000303860859+7,9373052556283i</v>
      </c>
      <c r="BJ122" s="20">
        <f t="shared" si="149"/>
        <v>20.448816396556847</v>
      </c>
      <c r="BK122" s="43">
        <f t="shared" si="153"/>
        <v>48.91701428514807</v>
      </c>
      <c r="BL122">
        <f t="shared" si="150"/>
        <v>3.738171132804351</v>
      </c>
      <c r="BM122" s="43">
        <f t="shared" si="151"/>
        <v>47.140849689912208</v>
      </c>
    </row>
    <row r="123" spans="14:65" x14ac:dyDescent="0.35">
      <c r="N123" s="9">
        <v>5</v>
      </c>
      <c r="O123" s="34">
        <f t="shared" si="154"/>
        <v>112.20184543019634</v>
      </c>
      <c r="P123" s="33" t="str">
        <f t="shared" si="103"/>
        <v>59,1053597814893</v>
      </c>
      <c r="Q123" s="4" t="str">
        <f t="shared" si="104"/>
        <v>1+5,41689086590955i</v>
      </c>
      <c r="R123" s="4">
        <f t="shared" si="117"/>
        <v>5.508421430244268</v>
      </c>
      <c r="S123" s="4">
        <f t="shared" si="118"/>
        <v>1.3882438628603244</v>
      </c>
      <c r="T123" s="4" t="str">
        <f t="shared" si="105"/>
        <v>1+0,000916480482639079i</v>
      </c>
      <c r="U123" s="4">
        <f t="shared" si="119"/>
        <v>1.0000004199681494</v>
      </c>
      <c r="V123" s="4">
        <f t="shared" si="120"/>
        <v>9.1648022604407962E-4</v>
      </c>
      <c r="W123" t="str">
        <f t="shared" si="106"/>
        <v>1-0,0338392793589814i</v>
      </c>
      <c r="X123" s="4">
        <f t="shared" si="121"/>
        <v>1.0005723846017016</v>
      </c>
      <c r="Y123" s="4">
        <f t="shared" si="122"/>
        <v>-3.3826371808911605E-2</v>
      </c>
      <c r="Z123" t="str">
        <f t="shared" si="107"/>
        <v>0,999999739891444+0,00316602348548045i</v>
      </c>
      <c r="AA123" s="4">
        <f t="shared" si="123"/>
        <v>1.0000047517325437</v>
      </c>
      <c r="AB123" s="4">
        <f t="shared" si="124"/>
        <v>3.1660137306176524E-3</v>
      </c>
      <c r="AC123" s="47" t="str">
        <f t="shared" si="125"/>
        <v>1,56696884061259-10,6211270557499i</v>
      </c>
      <c r="AD123" s="20">
        <f t="shared" si="126"/>
        <v>20.616926743194448</v>
      </c>
      <c r="AE123" s="43">
        <f t="shared" si="127"/>
        <v>-81.607511393411116</v>
      </c>
      <c r="AF123" t="str">
        <f t="shared" si="108"/>
        <v>405,634542683733</v>
      </c>
      <c r="AG123" t="str">
        <f t="shared" si="109"/>
        <v>1+5,42652917352086i</v>
      </c>
      <c r="AH123">
        <f t="shared" si="128"/>
        <v>5.5178998605513847</v>
      </c>
      <c r="AI123">
        <f t="shared" si="129"/>
        <v>1.3885609654701423</v>
      </c>
      <c r="AJ123" t="str">
        <f t="shared" si="110"/>
        <v>1+0,000916480482639079i</v>
      </c>
      <c r="AK123">
        <f t="shared" si="130"/>
        <v>1.0000004199681494</v>
      </c>
      <c r="AL123">
        <f t="shared" si="131"/>
        <v>9.1648022604407962E-4</v>
      </c>
      <c r="AM123" t="str">
        <f t="shared" si="111"/>
        <v>1-0,00493947060977882i</v>
      </c>
      <c r="AN123">
        <f t="shared" si="132"/>
        <v>1.0000121991105433</v>
      </c>
      <c r="AO123">
        <f t="shared" si="133"/>
        <v>-4.9394304386898595E-3</v>
      </c>
      <c r="AP123" s="41" t="str">
        <f t="shared" si="134"/>
        <v>13,0317657037628-72,3491205344012i</v>
      </c>
      <c r="AQ123">
        <f t="shared" si="135"/>
        <v>37.327331939110636</v>
      </c>
      <c r="AR123" s="43">
        <f t="shared" si="136"/>
        <v>-79.78918098642589</v>
      </c>
      <c r="AS123" t="str">
        <f t="shared" si="112"/>
        <v>-0,0000166666666666667</v>
      </c>
      <c r="AT123" t="str">
        <f t="shared" si="113"/>
        <v>0,000156154174541966i</v>
      </c>
      <c r="AU123">
        <f t="shared" si="137"/>
        <v>1.5615417454196599E-4</v>
      </c>
      <c r="AV123">
        <f t="shared" si="138"/>
        <v>1.5707963267948966</v>
      </c>
      <c r="AW123" t="str">
        <f t="shared" si="114"/>
        <v>1+0,00556667603450513i</v>
      </c>
      <c r="AX123">
        <f t="shared" si="139"/>
        <v>1.0000154938210073</v>
      </c>
      <c r="AY123">
        <f t="shared" si="140"/>
        <v>5.5666185357406868E-3</v>
      </c>
      <c r="AZ123" t="str">
        <f t="shared" si="115"/>
        <v>1+0,822012494428589i</v>
      </c>
      <c r="BA123">
        <f t="shared" si="141"/>
        <v>1.2944900698718051</v>
      </c>
      <c r="BB123">
        <f t="shared" si="142"/>
        <v>0.68801982004271323</v>
      </c>
      <c r="BC123" s="41" t="str">
        <f t="shared" si="143"/>
        <v>-0,0871382958163037+0,107217194319348i</v>
      </c>
      <c r="BD123">
        <f t="shared" si="144"/>
        <v>-17.192257097016284</v>
      </c>
      <c r="BE123" s="43">
        <f t="shared" si="145"/>
        <v>129.10168816154052</v>
      </c>
      <c r="BF123" s="41" t="str">
        <f t="shared" si="146"/>
        <v>1,00222444905859+1,09351291396281i</v>
      </c>
      <c r="BG123" s="20">
        <f t="shared" si="147"/>
        <v>3.4246696461781765</v>
      </c>
      <c r="BH123" s="43">
        <f t="shared" si="148"/>
        <v>47.494176768129556</v>
      </c>
      <c r="BI123" s="41" t="str">
        <f t="shared" si="152"/>
        <v>6,62150386026758+7,70160842296061i</v>
      </c>
      <c r="BJ123" s="20">
        <f t="shared" si="149"/>
        <v>20.135074842094348</v>
      </c>
      <c r="BK123" s="43">
        <f t="shared" si="153"/>
        <v>49.312507175114611</v>
      </c>
      <c r="BL123">
        <f t="shared" si="150"/>
        <v>3.4246696461781765</v>
      </c>
      <c r="BM123" s="43">
        <f t="shared" si="151"/>
        <v>47.494176768129556</v>
      </c>
    </row>
    <row r="124" spans="14:65" x14ac:dyDescent="0.35">
      <c r="N124" s="9">
        <v>6</v>
      </c>
      <c r="O124" s="34">
        <f t="shared" si="154"/>
        <v>114.81536214968835</v>
      </c>
      <c r="P124" s="33" t="str">
        <f t="shared" si="103"/>
        <v>59,1053597814893</v>
      </c>
      <c r="Q124" s="4" t="str">
        <f t="shared" si="104"/>
        <v>1+5,54306646303487i</v>
      </c>
      <c r="R124" s="4">
        <f t="shared" si="117"/>
        <v>5.6325470094462498</v>
      </c>
      <c r="S124" s="4">
        <f t="shared" si="118"/>
        <v>1.3923105857625042</v>
      </c>
      <c r="T124" s="4" t="str">
        <f t="shared" si="105"/>
        <v>1+0,000937828055446653i</v>
      </c>
      <c r="U124" s="4">
        <f t="shared" si="119"/>
        <v>1.0000004397606341</v>
      </c>
      <c r="V124" s="4">
        <f t="shared" si="120"/>
        <v>9.3782778050016408E-4</v>
      </c>
      <c r="W124" t="str">
        <f t="shared" si="106"/>
        <v>1-0,0346274974318765i</v>
      </c>
      <c r="X124" s="4">
        <f t="shared" si="121"/>
        <v>1.0005993521776808</v>
      </c>
      <c r="Y124" s="4">
        <f t="shared" si="122"/>
        <v>-3.4613667190190107E-2</v>
      </c>
      <c r="Z124" t="str">
        <f t="shared" si="107"/>
        <v>0,999999727632905+0,00323976964608843i</v>
      </c>
      <c r="AA124" s="4">
        <f t="shared" si="123"/>
        <v>1.0000049756742433</v>
      </c>
      <c r="AB124" s="4">
        <f t="shared" si="124"/>
        <v>3.2397591935674304E-3</v>
      </c>
      <c r="AC124" s="47" t="str">
        <f t="shared" si="125"/>
        <v>1,48149534193331-10,3947388801355i</v>
      </c>
      <c r="AD124" s="20">
        <f t="shared" si="126"/>
        <v>20.423605753696677</v>
      </c>
      <c r="AE124" s="43">
        <f t="shared" si="127"/>
        <v>-81.888628333744634</v>
      </c>
      <c r="AF124" t="str">
        <f t="shared" si="108"/>
        <v>405,634542683733</v>
      </c>
      <c r="AG124" t="str">
        <f t="shared" si="109"/>
        <v>1+5,55292927567096i</v>
      </c>
      <c r="AH124">
        <f t="shared" si="128"/>
        <v>5.6422534098180668</v>
      </c>
      <c r="AI124">
        <f t="shared" si="129"/>
        <v>1.3926209297794678</v>
      </c>
      <c r="AJ124" t="str">
        <f t="shared" si="110"/>
        <v>1+0,000937828055446653i</v>
      </c>
      <c r="AK124">
        <f t="shared" si="130"/>
        <v>1.0000004397606341</v>
      </c>
      <c r="AL124">
        <f t="shared" si="131"/>
        <v>9.3782778050016408E-4</v>
      </c>
      <c r="AM124" t="str">
        <f t="shared" si="111"/>
        <v>1-0,00505452566056341i</v>
      </c>
      <c r="AN124">
        <f t="shared" si="132"/>
        <v>1.0000127740332387</v>
      </c>
      <c r="AO124">
        <f t="shared" si="133"/>
        <v>-5.0544826164957736E-3</v>
      </c>
      <c r="AP124" s="41" t="str">
        <f t="shared" si="134"/>
        <v>12,4505568092189-70,8069361547346i</v>
      </c>
      <c r="AQ124">
        <f t="shared" si="135"/>
        <v>37.133761643082615</v>
      </c>
      <c r="AR124" s="43">
        <f t="shared" si="136"/>
        <v>-80.027168685762717</v>
      </c>
      <c r="AS124" t="str">
        <f t="shared" si="112"/>
        <v>-0,0000166666666666667</v>
      </c>
      <c r="AT124" t="str">
        <f t="shared" si="113"/>
        <v>0,00015979147252418i</v>
      </c>
      <c r="AU124">
        <f t="shared" si="137"/>
        <v>1.5979147252418E-4</v>
      </c>
      <c r="AV124">
        <f t="shared" si="138"/>
        <v>1.5707963267948966</v>
      </c>
      <c r="AW124" t="str">
        <f t="shared" si="114"/>
        <v>1+0,00569634057640631i</v>
      </c>
      <c r="AX124">
        <f t="shared" si="139"/>
        <v>1.0000162240163719</v>
      </c>
      <c r="AY124">
        <f t="shared" si="140"/>
        <v>5.6962789654241668E-3</v>
      </c>
      <c r="AZ124" t="str">
        <f t="shared" si="115"/>
        <v>1+0,841159625115998i</v>
      </c>
      <c r="BA124">
        <f t="shared" si="141"/>
        <v>1.30673238075946</v>
      </c>
      <c r="BB124">
        <f t="shared" si="142"/>
        <v>0.69933932931938703</v>
      </c>
      <c r="BC124" s="41" t="str">
        <f t="shared" si="143"/>
        <v>-0,0871381685624552+0,104798972593969i</v>
      </c>
      <c r="BD124">
        <f t="shared" si="144"/>
        <v>-17.310504844328683</v>
      </c>
      <c r="BE124" s="43">
        <f t="shared" si="145"/>
        <v>129.74281927386244</v>
      </c>
      <c r="BF124" s="41" t="str">
        <f t="shared" si="146"/>
        <v>0,960263164190907+1,06103769843732i</v>
      </c>
      <c r="BG124" s="20">
        <f t="shared" si="147"/>
        <v>3.1131009093680162</v>
      </c>
      <c r="BH124" s="43">
        <f t="shared" si="148"/>
        <v>47.854190940117945</v>
      </c>
      <c r="BI124" s="41" t="str">
        <f t="shared" si="152"/>
        <v>6,3355754436048+7,47479229987125i</v>
      </c>
      <c r="BJ124" s="20">
        <f t="shared" si="149"/>
        <v>19.823256798753931</v>
      </c>
      <c r="BK124" s="43">
        <f t="shared" si="153"/>
        <v>49.715650588099734</v>
      </c>
      <c r="BL124">
        <f t="shared" si="150"/>
        <v>3.1131009093680162</v>
      </c>
      <c r="BM124" s="43">
        <f t="shared" si="151"/>
        <v>47.854190940117945</v>
      </c>
    </row>
    <row r="125" spans="14:65" x14ac:dyDescent="0.35">
      <c r="N125" s="9">
        <v>7</v>
      </c>
      <c r="O125" s="34">
        <f t="shared" si="154"/>
        <v>117.48975549395293</v>
      </c>
      <c r="P125" s="33" t="str">
        <f t="shared" si="103"/>
        <v>59,1053597814893</v>
      </c>
      <c r="Q125" s="4" t="str">
        <f t="shared" si="104"/>
        <v>1+5,67218106737004i</v>
      </c>
      <c r="R125" s="4">
        <f t="shared" si="117"/>
        <v>5.7596560714187728</v>
      </c>
      <c r="S125" s="4">
        <f t="shared" si="118"/>
        <v>1.3962905130638477</v>
      </c>
      <c r="T125" s="4" t="str">
        <f t="shared" si="105"/>
        <v>1+0,000959672877102845i</v>
      </c>
      <c r="U125" s="4">
        <f t="shared" si="119"/>
        <v>1.0000004604859096</v>
      </c>
      <c r="V125" s="4">
        <f t="shared" si="120"/>
        <v>9.5967258249238154E-4</v>
      </c>
      <c r="W125" t="str">
        <f t="shared" si="106"/>
        <v>1-0,0354340754622589i</v>
      </c>
      <c r="X125" s="4">
        <f t="shared" si="121"/>
        <v>1.0006275899173804</v>
      </c>
      <c r="Y125" s="4">
        <f t="shared" si="122"/>
        <v>-3.5419256593243624E-2</v>
      </c>
      <c r="Z125" t="str">
        <f t="shared" si="107"/>
        <v>0,99999971479664+0,00331523357544619i</v>
      </c>
      <c r="AA125" s="4">
        <f t="shared" si="123"/>
        <v>1.0000052101699377</v>
      </c>
      <c r="AB125" s="4">
        <f t="shared" si="124"/>
        <v>3.3152223753712975E-3</v>
      </c>
      <c r="AC125" s="47" t="str">
        <f t="shared" si="125"/>
        <v>1,39963140323496-10,1725155956708i</v>
      </c>
      <c r="AD125" s="20">
        <f t="shared" si="126"/>
        <v>20.230014497368785</v>
      </c>
      <c r="AE125" s="43">
        <f t="shared" si="127"/>
        <v>-82.165890350563487</v>
      </c>
      <c r="AF125" t="str">
        <f t="shared" si="108"/>
        <v>405,634542683733</v>
      </c>
      <c r="AG125" t="str">
        <f t="shared" si="109"/>
        <v>1+5,68227361442474i</v>
      </c>
      <c r="AH125">
        <f t="shared" si="128"/>
        <v>5.7695956036092859</v>
      </c>
      <c r="AI125">
        <f t="shared" si="129"/>
        <v>1.3965942229048725</v>
      </c>
      <c r="AJ125" t="str">
        <f t="shared" si="110"/>
        <v>1+0,000959672877102845i</v>
      </c>
      <c r="AK125">
        <f t="shared" si="130"/>
        <v>1.0000004604859096</v>
      </c>
      <c r="AL125">
        <f t="shared" si="131"/>
        <v>9.5967258249238154E-4</v>
      </c>
      <c r="AM125" t="str">
        <f t="shared" si="111"/>
        <v>1-0,00517226068775779i</v>
      </c>
      <c r="AN125">
        <f t="shared" si="132"/>
        <v>1.0000133760508516</v>
      </c>
      <c r="AO125">
        <f t="shared" si="133"/>
        <v>-5.1722145652416604E-3</v>
      </c>
      <c r="AP125" s="41" t="str">
        <f t="shared" si="134"/>
        <v>11,8938979402359-69,2931535685533i</v>
      </c>
      <c r="AQ125">
        <f t="shared" si="135"/>
        <v>36.939911323244445</v>
      </c>
      <c r="AR125" s="43">
        <f t="shared" si="136"/>
        <v>-80.260315541435318</v>
      </c>
      <c r="AS125" t="str">
        <f t="shared" si="112"/>
        <v>-0,0000166666666666667</v>
      </c>
      <c r="AT125" t="str">
        <f t="shared" si="113"/>
        <v>0,000163513494060216i</v>
      </c>
      <c r="AU125">
        <f t="shared" si="137"/>
        <v>1.63513494060216E-4</v>
      </c>
      <c r="AV125">
        <f t="shared" si="138"/>
        <v>1.5707963267948966</v>
      </c>
      <c r="AW125" t="str">
        <f t="shared" si="114"/>
        <v>1+0,00582902539348109i</v>
      </c>
      <c r="AX125">
        <f t="shared" si="139"/>
        <v>1.0000169886242123</v>
      </c>
      <c r="AY125">
        <f t="shared" si="140"/>
        <v>5.8289593761848809E-3</v>
      </c>
      <c r="AZ125" t="str">
        <f t="shared" si="115"/>
        <v>1+0,860752749770706i</v>
      </c>
      <c r="BA125">
        <f t="shared" si="141"/>
        <v>1.3194299133481215</v>
      </c>
      <c r="BB125">
        <f t="shared" si="142"/>
        <v>0.71070356077708829</v>
      </c>
      <c r="BC125" s="41" t="str">
        <f t="shared" si="143"/>
        <v>-0,087138035311716+0,102436316602697i</v>
      </c>
      <c r="BD125">
        <f t="shared" si="144"/>
        <v>-17.426518027516082</v>
      </c>
      <c r="BE125" s="43">
        <f t="shared" si="145"/>
        <v>130.38633974623789</v>
      </c>
      <c r="BF125" s="41" t="str">
        <f t="shared" si="146"/>
        <v>0,920073897565532+1,0297861087334i</v>
      </c>
      <c r="BG125" s="20">
        <f t="shared" si="147"/>
        <v>2.8034964698527212</v>
      </c>
      <c r="BH125" s="43">
        <f t="shared" si="148"/>
        <v>48.220449395674528</v>
      </c>
      <c r="BI125" s="41" t="str">
        <f t="shared" si="152"/>
        <v>6,06172451863741+7,25643635756293i</v>
      </c>
      <c r="BJ125" s="20">
        <f t="shared" si="149"/>
        <v>19.513393295728374</v>
      </c>
      <c r="BK125" s="43">
        <f t="shared" si="153"/>
        <v>50.126024204802597</v>
      </c>
      <c r="BL125">
        <f t="shared" si="150"/>
        <v>2.8034964698527212</v>
      </c>
      <c r="BM125" s="43">
        <f t="shared" si="151"/>
        <v>48.220449395674528</v>
      </c>
    </row>
    <row r="126" spans="14:65" x14ac:dyDescent="0.35">
      <c r="N126" s="9">
        <v>8</v>
      </c>
      <c r="O126" s="34">
        <f t="shared" si="154"/>
        <v>120.22644346174135</v>
      </c>
      <c r="P126" s="33" t="str">
        <f t="shared" si="103"/>
        <v>59,1053597814893</v>
      </c>
      <c r="Q126" s="4" t="str">
        <f t="shared" si="104"/>
        <v>1+5,80430313718734i</v>
      </c>
      <c r="R126" s="4">
        <f t="shared" si="117"/>
        <v>5.8898162032751742</v>
      </c>
      <c r="S126" s="4">
        <f t="shared" si="118"/>
        <v>1.4001852503940295</v>
      </c>
      <c r="T126" s="4" t="str">
        <f t="shared" si="105"/>
        <v>1+0,000982026530021253i</v>
      </c>
      <c r="U126" s="4">
        <f t="shared" si="119"/>
        <v>1.0000004821879365</v>
      </c>
      <c r="V126" s="4">
        <f t="shared" si="120"/>
        <v>9.8202621434046204E-4</v>
      </c>
      <c r="W126" t="str">
        <f t="shared" si="106"/>
        <v>1-0,0362594411084771i</v>
      </c>
      <c r="X126" s="4">
        <f t="shared" si="121"/>
        <v>1.0006571576066896</v>
      </c>
      <c r="Y126" s="4">
        <f t="shared" si="122"/>
        <v>-3.6243562967393658E-2</v>
      </c>
      <c r="Z126" t="str">
        <f t="shared" si="107"/>
        <v>0,999999701355419+0,00339245528552796i</v>
      </c>
      <c r="AA126" s="4">
        <f t="shared" si="123"/>
        <v>1.0000054557170133</v>
      </c>
      <c r="AB126" s="4">
        <f t="shared" si="124"/>
        <v>3.3924432844350282E-3</v>
      </c>
      <c r="AC126" s="47" t="str">
        <f t="shared" si="125"/>
        <v>1,32123453149956-9,95442388524303i</v>
      </c>
      <c r="AD126" s="20">
        <f t="shared" si="126"/>
        <v>20.036165380552848</v>
      </c>
      <c r="AE126" s="43">
        <f t="shared" si="127"/>
        <v>-82.439415301577256</v>
      </c>
      <c r="AF126" t="str">
        <f t="shared" si="108"/>
        <v>405,634542683733</v>
      </c>
      <c r="AG126" t="str">
        <f t="shared" si="109"/>
        <v>1+5,81463076986267i</v>
      </c>
      <c r="AH126">
        <f t="shared" si="128"/>
        <v>5.8999941516779266</v>
      </c>
      <c r="AI126">
        <f t="shared" si="129"/>
        <v>1.4004824494774353</v>
      </c>
      <c r="AJ126" t="str">
        <f t="shared" si="110"/>
        <v>1+0,000982026530021253i</v>
      </c>
      <c r="AK126">
        <f t="shared" si="130"/>
        <v>1.0000004821879365</v>
      </c>
      <c r="AL126">
        <f t="shared" si="131"/>
        <v>9.8202621434046204E-4</v>
      </c>
      <c r="AM126" t="str">
        <f t="shared" si="111"/>
        <v>1-0,00529273811603178i</v>
      </c>
      <c r="AN126">
        <f t="shared" si="132"/>
        <v>1.0000140064402923</v>
      </c>
      <c r="AO126">
        <f t="shared" si="133"/>
        <v>-5.2926886949027259E-3</v>
      </c>
      <c r="AP126" s="41" t="str">
        <f t="shared" si="134"/>
        <v>11,3608194661417-67,8075439615151i</v>
      </c>
      <c r="AQ126">
        <f t="shared" si="135"/>
        <v>36.745792846398203</v>
      </c>
      <c r="AR126" s="43">
        <f t="shared" si="136"/>
        <v>-80.488716404242183</v>
      </c>
      <c r="AS126" t="str">
        <f t="shared" si="112"/>
        <v>-0,0000166666666666667</v>
      </c>
      <c r="AT126" t="str">
        <f t="shared" si="113"/>
        <v>0,000167322212615159i</v>
      </c>
      <c r="AU126">
        <f t="shared" si="137"/>
        <v>1.6732221261515901E-4</v>
      </c>
      <c r="AV126">
        <f t="shared" si="138"/>
        <v>1.5707963267948966</v>
      </c>
      <c r="AW126" t="str">
        <f t="shared" si="114"/>
        <v>1+0,00596480083697577i</v>
      </c>
      <c r="AX126">
        <f t="shared" si="139"/>
        <v>1.0000177892662834</v>
      </c>
      <c r="AY126">
        <f t="shared" si="140"/>
        <v>5.9647300982363649E-3</v>
      </c>
      <c r="AZ126" t="str">
        <f t="shared" si="115"/>
        <v>1+0,880802256926754i</v>
      </c>
      <c r="BA126">
        <f t="shared" si="141"/>
        <v>1.332596193828897</v>
      </c>
      <c r="BB126">
        <f t="shared" si="142"/>
        <v>0.72210679958129742</v>
      </c>
      <c r="BC126" s="41" t="str">
        <f t="shared" si="143"/>
        <v>-0,0871378957815004+0,100127973629165i</v>
      </c>
      <c r="BD126">
        <f t="shared" si="144"/>
        <v>-17.540280130270666</v>
      </c>
      <c r="BE126" s="43">
        <f t="shared" si="145"/>
        <v>131.03191811314392</v>
      </c>
      <c r="BF126" s="41" t="str">
        <f t="shared" si="146"/>
        <v>0,881586695366416+0,999700087405116i</v>
      </c>
      <c r="BG126" s="20">
        <f t="shared" si="147"/>
        <v>2.4958852502821811</v>
      </c>
      <c r="BH126" s="43">
        <f t="shared" si="148"/>
        <v>48.592502811566696</v>
      </c>
      <c r="BI126" s="41" t="str">
        <f t="shared" si="152"/>
        <v>5,79947407100393+7,04614253082955i</v>
      </c>
      <c r="BJ126" s="20">
        <f t="shared" si="149"/>
        <v>19.20551271612754</v>
      </c>
      <c r="BK126" s="43">
        <f t="shared" si="153"/>
        <v>50.543201708901762</v>
      </c>
      <c r="BL126">
        <f t="shared" si="150"/>
        <v>2.4958852502821811</v>
      </c>
      <c r="BM126" s="43">
        <f t="shared" si="151"/>
        <v>48.592502811566696</v>
      </c>
    </row>
    <row r="127" spans="14:65" x14ac:dyDescent="0.35">
      <c r="N127" s="9">
        <v>9</v>
      </c>
      <c r="O127" s="34">
        <f t="shared" si="154"/>
        <v>123.02687708123821</v>
      </c>
      <c r="P127" s="33" t="str">
        <f t="shared" si="103"/>
        <v>59,1053597814893</v>
      </c>
      <c r="Q127" s="4" t="str">
        <f t="shared" si="104"/>
        <v>1+5,939502725357i</v>
      </c>
      <c r="R127" s="4">
        <f t="shared" si="117"/>
        <v>6.0230965976417181</v>
      </c>
      <c r="S127" s="4">
        <f t="shared" si="118"/>
        <v>1.4039963899251768</v>
      </c>
      <c r="T127" s="4" t="str">
        <f t="shared" si="105"/>
        <v>1+0,00100490086640453i</v>
      </c>
      <c r="U127" s="4">
        <f t="shared" si="119"/>
        <v>1.0000005049127481</v>
      </c>
      <c r="V127" s="4">
        <f t="shared" si="120"/>
        <v>1.0049005281464775E-3</v>
      </c>
      <c r="W127" t="str">
        <f t="shared" si="106"/>
        <v>1-0,0371040319903213i</v>
      </c>
      <c r="X127" s="4">
        <f t="shared" si="121"/>
        <v>1.0006881178418872</v>
      </c>
      <c r="Y127" s="4">
        <f t="shared" si="122"/>
        <v>-3.708701888742718E-2</v>
      </c>
      <c r="Z127" t="str">
        <f t="shared" si="107"/>
        <v>0,999999687280734+0,00347147572030657i</v>
      </c>
      <c r="AA127" s="4">
        <f t="shared" si="123"/>
        <v>1.0000057128363029</v>
      </c>
      <c r="AB127" s="4">
        <f t="shared" si="124"/>
        <v>3.4714628609077728E-3</v>
      </c>
      <c r="AC127" s="47" t="str">
        <f t="shared" si="125"/>
        <v>1,24616700524066-9,74042753874999i</v>
      </c>
      <c r="AD127" s="20">
        <f t="shared" si="126"/>
        <v>19.842070362761127</v>
      </c>
      <c r="AE127" s="43">
        <f t="shared" si="127"/>
        <v>-82.709320862861219</v>
      </c>
      <c r="AF127" t="str">
        <f t="shared" si="108"/>
        <v>405,634542683733</v>
      </c>
      <c r="AG127" t="str">
        <f t="shared" si="109"/>
        <v>1+5,95007091950052i</v>
      </c>
      <c r="AH127">
        <f t="shared" si="128"/>
        <v>6.0335183721511747</v>
      </c>
      <c r="AI127">
        <f t="shared" si="129"/>
        <v>1.4042872005845717</v>
      </c>
      <c r="AJ127" t="str">
        <f t="shared" si="110"/>
        <v>1+0,00100490086640453i</v>
      </c>
      <c r="AK127">
        <f t="shared" si="130"/>
        <v>1.0000005049127481</v>
      </c>
      <c r="AL127">
        <f t="shared" si="131"/>
        <v>1.0049005281464775E-3</v>
      </c>
      <c r="AM127" t="str">
        <f t="shared" si="111"/>
        <v>1-0,00541602182411256i</v>
      </c>
      <c r="AN127">
        <f t="shared" si="132"/>
        <v>1.000014666538646</v>
      </c>
      <c r="AO127">
        <f t="shared" si="133"/>
        <v>-5.4159688684606395E-3</v>
      </c>
      <c r="AP127" s="41" t="str">
        <f t="shared" si="134"/>
        <v>10,8503842671974-66,3498589260597i</v>
      </c>
      <c r="AQ127">
        <f t="shared" si="135"/>
        <v>36.551417610191372</v>
      </c>
      <c r="AR127" s="43">
        <f t="shared" si="136"/>
        <v>-80.712465416781001</v>
      </c>
      <c r="AS127" t="str">
        <f t="shared" si="112"/>
        <v>-0,0000166666666666667</v>
      </c>
      <c r="AT127" t="str">
        <f t="shared" si="113"/>
        <v>0,000171219647622003i</v>
      </c>
      <c r="AU127">
        <f t="shared" si="137"/>
        <v>1.71219647622003E-4</v>
      </c>
      <c r="AV127">
        <f t="shared" si="138"/>
        <v>1.5707963267948966</v>
      </c>
      <c r="AW127" t="str">
        <f t="shared" si="114"/>
        <v>1+0,00610373889682768i</v>
      </c>
      <c r="AX127">
        <f t="shared" si="139"/>
        <v>1.0000186276407659</v>
      </c>
      <c r="AY127">
        <f t="shared" si="140"/>
        <v>6.1036630989790347E-3</v>
      </c>
      <c r="AZ127" t="str">
        <f t="shared" si="115"/>
        <v>1+0,901318777098219i</v>
      </c>
      <c r="BA127">
        <f t="shared" si="141"/>
        <v>1.3462449769450688</v>
      </c>
      <c r="BB127">
        <f t="shared" si="142"/>
        <v>0.73354323032233304</v>
      </c>
      <c r="BC127" s="41" t="str">
        <f t="shared" si="143"/>
        <v>-0,0871377496759063+0,0978727197541355i</v>
      </c>
      <c r="BD127">
        <f t="shared" si="144"/>
        <v>-17.65177686440159</v>
      </c>
      <c r="BE127" s="43">
        <f t="shared" si="145"/>
        <v>131.67921705272133</v>
      </c>
      <c r="BF127" s="41" t="str">
        <f t="shared" si="146"/>
        <v>0,844733946228507+0,97072469067867i</v>
      </c>
      <c r="BG127" s="20">
        <f t="shared" si="147"/>
        <v>2.1902934983595319</v>
      </c>
      <c r="BH127" s="43">
        <f t="shared" si="148"/>
        <v>48.969896189860094</v>
      </c>
      <c r="BI127" s="41" t="str">
        <f t="shared" si="152"/>
        <v>5,54836308023423+6,84353401673878i</v>
      </c>
      <c r="BJ127" s="20">
        <f t="shared" si="149"/>
        <v>18.899640745789789</v>
      </c>
      <c r="BK127" s="43">
        <f t="shared" si="153"/>
        <v>50.966751635940305</v>
      </c>
      <c r="BL127">
        <f t="shared" si="150"/>
        <v>2.1902934983595319</v>
      </c>
      <c r="BM127" s="43">
        <f t="shared" si="151"/>
        <v>48.969896189860094</v>
      </c>
    </row>
    <row r="128" spans="14:65" x14ac:dyDescent="0.35">
      <c r="N128" s="9">
        <v>10</v>
      </c>
      <c r="O128" s="34">
        <f t="shared" si="154"/>
        <v>125.89254117941677</v>
      </c>
      <c r="P128" s="33" t="str">
        <f t="shared" si="103"/>
        <v>59,1053597814893</v>
      </c>
      <c r="Q128" s="4" t="str">
        <f t="shared" si="104"/>
        <v>1+6,07785151649026i</v>
      </c>
      <c r="R128" s="4">
        <f t="shared" si="117"/>
        <v>6.1595680900938943</v>
      </c>
      <c r="S128" s="4">
        <f t="shared" si="118"/>
        <v>1.4077255093038439</v>
      </c>
      <c r="T128" s="4" t="str">
        <f t="shared" si="105"/>
        <v>1+0,00102830801452862i</v>
      </c>
      <c r="U128" s="4">
        <f t="shared" si="119"/>
        <v>1.0000005287085467</v>
      </c>
      <c r="V128" s="4">
        <f t="shared" si="120"/>
        <v>1.0283076520785969E-3</v>
      </c>
      <c r="W128" t="str">
        <f t="shared" si="106"/>
        <v>1-0,0379682959210566i</v>
      </c>
      <c r="X128" s="4">
        <f t="shared" si="121"/>
        <v>1.0007205361613944</v>
      </c>
      <c r="Y128" s="4">
        <f t="shared" si="122"/>
        <v>-3.7950066761699736E-2</v>
      </c>
      <c r="Z128" t="str">
        <f t="shared" si="107"/>
        <v>0,999999672542729+0,00355233677746249i</v>
      </c>
      <c r="AA128" s="4">
        <f t="shared" si="123"/>
        <v>1.0000059820731804</v>
      </c>
      <c r="AB128" s="4">
        <f t="shared" si="124"/>
        <v>3.5523229983728732E-3</v>
      </c>
      <c r="AC128" s="47" t="str">
        <f t="shared" si="125"/>
        <v>1,17429579011889-9,53048771645306i</v>
      </c>
      <c r="AD128" s="20">
        <f t="shared" si="126"/>
        <v>19.647740973698269</v>
      </c>
      <c r="AE128" s="43">
        <f t="shared" si="127"/>
        <v>-82.975724480468557</v>
      </c>
      <c r="AF128" t="str">
        <f t="shared" si="108"/>
        <v>405,634542683733</v>
      </c>
      <c r="AG128" t="str">
        <f t="shared" si="109"/>
        <v>1+6,08866587549838i</v>
      </c>
      <c r="AH128">
        <f t="shared" si="128"/>
        <v>6.170239229029816</v>
      </c>
      <c r="AI128">
        <f t="shared" si="129"/>
        <v>1.4080100527098574</v>
      </c>
      <c r="AJ128" t="str">
        <f t="shared" si="110"/>
        <v>1+0,00102830801452862i</v>
      </c>
      <c r="AK128">
        <f t="shared" si="130"/>
        <v>1.0000005287085467</v>
      </c>
      <c r="AL128">
        <f t="shared" si="131"/>
        <v>1.0283076520785969E-3</v>
      </c>
      <c r="AM128" t="str">
        <f t="shared" si="111"/>
        <v>1-0,00554217717865401i</v>
      </c>
      <c r="AN128">
        <f t="shared" si="132"/>
        <v>1.0000153577460096</v>
      </c>
      <c r="AO128">
        <f t="shared" si="133"/>
        <v>-5.5421204356977203E-3</v>
      </c>
      <c r="AP128" s="41" t="str">
        <f t="shared" si="134"/>
        <v>10,3616871554951-64,9198322503769i</v>
      </c>
      <c r="AQ128">
        <f t="shared" si="135"/>
        <v>36.356796559019521</v>
      </c>
      <c r="AR128" s="43">
        <f t="shared" si="136"/>
        <v>-80.931655954280956</v>
      </c>
      <c r="AS128" t="str">
        <f t="shared" si="112"/>
        <v>-0,0000166666666666667</v>
      </c>
      <c r="AT128" t="str">
        <f t="shared" si="113"/>
        <v>0,000175207865552376i</v>
      </c>
      <c r="AU128">
        <f t="shared" si="137"/>
        <v>1.7520786555237601E-4</v>
      </c>
      <c r="AV128">
        <f t="shared" si="138"/>
        <v>1.5707963267948966</v>
      </c>
      <c r="AW128" t="str">
        <f t="shared" si="114"/>
        <v>1+0,00624591323983522i</v>
      </c>
      <c r="AX128">
        <f t="shared" si="139"/>
        <v>1.0000195055258669</v>
      </c>
      <c r="AY128">
        <f t="shared" si="140"/>
        <v>6.2458320210626609E-3</v>
      </c>
      <c r="AZ128" t="str">
        <f t="shared" si="115"/>
        <v>1+0,922313188415666i</v>
      </c>
      <c r="BA128">
        <f t="shared" si="141"/>
        <v>1.360390244571561</v>
      </c>
      <c r="BB128">
        <f t="shared" si="142"/>
        <v>0.74500695135490846</v>
      </c>
      <c r="BC128" s="41" t="str">
        <f t="shared" si="143"/>
        <v>-0,0871375966850932+0,095669359206542i</v>
      </c>
      <c r="BD128">
        <f t="shared" si="144"/>
        <v>-17.760996228734111</v>
      </c>
      <c r="BE128" s="43">
        <f t="shared" si="145"/>
        <v>132.32789420618994</v>
      </c>
      <c r="BF128" s="41" t="str">
        <f t="shared" si="146"/>
        <v>0,809450339810501+0,942807920608136i</v>
      </c>
      <c r="BG128" s="20">
        <f t="shared" si="147"/>
        <v>1.8867447449641614</v>
      </c>
      <c r="BH128" s="43">
        <f t="shared" si="148"/>
        <v>49.352169725721403</v>
      </c>
      <c r="BI128" s="41" t="str">
        <f t="shared" si="152"/>
        <v>5,30794623485711+6,64825412996212i</v>
      </c>
      <c r="BJ128" s="20">
        <f t="shared" si="149"/>
        <v>18.59580033028541</v>
      </c>
      <c r="BK128" s="43">
        <f t="shared" si="153"/>
        <v>51.396238251909011</v>
      </c>
      <c r="BL128">
        <f t="shared" si="150"/>
        <v>1.8867447449641614</v>
      </c>
      <c r="BM128" s="43">
        <f t="shared" si="151"/>
        <v>49.352169725721403</v>
      </c>
    </row>
    <row r="129" spans="14:65" x14ac:dyDescent="0.35">
      <c r="N129" s="9">
        <v>11</v>
      </c>
      <c r="O129" s="34">
        <f t="shared" si="154"/>
        <v>128.82495516931343</v>
      </c>
      <c r="P129" s="33" t="str">
        <f t="shared" si="103"/>
        <v>59,1053597814893</v>
      </c>
      <c r="Q129" s="4" t="str">
        <f t="shared" si="104"/>
        <v>1+6,21942286494744i</v>
      </c>
      <c r="R129" s="4">
        <f t="shared" si="117"/>
        <v>6.2993031974204117</v>
      </c>
      <c r="S129" s="4">
        <f t="shared" si="118"/>
        <v>1.4113741706820577</v>
      </c>
      <c r="T129" s="4" t="str">
        <f t="shared" si="105"/>
        <v>1+0,00105226038517327i</v>
      </c>
      <c r="U129" s="4">
        <f t="shared" si="119"/>
        <v>1.0000005536258059</v>
      </c>
      <c r="V129" s="4">
        <f t="shared" si="120"/>
        <v>1.0522599968010846E-3</v>
      </c>
      <c r="W129" t="str">
        <f t="shared" si="106"/>
        <v>1-0,0388526911448592i</v>
      </c>
      <c r="X129" s="4">
        <f t="shared" si="121"/>
        <v>1.0007544811836706</v>
      </c>
      <c r="Y129" s="4">
        <f t="shared" si="122"/>
        <v>-3.8833159043941995E-2</v>
      </c>
      <c r="Z129" t="str">
        <f t="shared" si="107"/>
        <v>0,999999657110143+0,00363508133059856i</v>
      </c>
      <c r="AA129" s="4">
        <f t="shared" si="123"/>
        <v>1.0000062639987231</v>
      </c>
      <c r="AB129" s="4">
        <f t="shared" si="124"/>
        <v>3.635066566043019E-3</v>
      </c>
      <c r="AC129" s="47" t="str">
        <f t="shared" si="125"/>
        <v>1,10549244858442-9,32456319771004i</v>
      </c>
      <c r="AD129" s="20">
        <f t="shared" si="126"/>
        <v>19.453188330042263</v>
      </c>
      <c r="AE129" s="43">
        <f t="shared" si="127"/>
        <v>-83.238743327952989</v>
      </c>
      <c r="AF129" t="str">
        <f t="shared" si="108"/>
        <v>405,634542683733</v>
      </c>
      <c r="AG129" t="str">
        <f t="shared" si="109"/>
        <v>1+6,23048912273646i</v>
      </c>
      <c r="AH129">
        <f t="shared" si="128"/>
        <v>6.3102293705171562</v>
      </c>
      <c r="AI129">
        <f t="shared" si="129"/>
        <v>1.4116525667714914</v>
      </c>
      <c r="AJ129" t="str">
        <f t="shared" si="110"/>
        <v>1+0,00105226038517327i</v>
      </c>
      <c r="AK129">
        <f t="shared" si="130"/>
        <v>1.0000005536258059</v>
      </c>
      <c r="AL129">
        <f t="shared" si="131"/>
        <v>1.0522599968010846E-3</v>
      </c>
      <c r="AM129" t="str">
        <f t="shared" si="111"/>
        <v>1-0,00567127106889497i</v>
      </c>
      <c r="AN129">
        <f t="shared" si="132"/>
        <v>1.0000160815284607</v>
      </c>
      <c r="AO129">
        <f t="shared" si="133"/>
        <v>-5.6712102677746769E-3</v>
      </c>
      <c r="AP129" s="41" t="str">
        <f t="shared" si="134"/>
        <v>9,89385425561057-63,5171816078642i</v>
      </c>
      <c r="AQ129">
        <f t="shared" si="135"/>
        <v>36.161940199634117</v>
      </c>
      <c r="AR129" s="43">
        <f t="shared" si="136"/>
        <v>-81.1463805711237</v>
      </c>
      <c r="AS129" t="str">
        <f t="shared" si="112"/>
        <v>-0,0000166666666666667</v>
      </c>
      <c r="AT129" t="str">
        <f t="shared" si="113"/>
        <v>0,000179288981012215i</v>
      </c>
      <c r="AU129">
        <f t="shared" si="137"/>
        <v>1.7928898101221501E-4</v>
      </c>
      <c r="AV129">
        <f t="shared" si="138"/>
        <v>1.5707963267948966</v>
      </c>
      <c r="AW129" t="str">
        <f t="shared" si="114"/>
        <v>1+0,00639139924871696i</v>
      </c>
      <c r="AX129">
        <f t="shared" si="139"/>
        <v>1.0000204247835924</v>
      </c>
      <c r="AY129">
        <f t="shared" si="140"/>
        <v>6.3913122213302151E-3</v>
      </c>
      <c r="AZ129" t="str">
        <f t="shared" si="115"/>
        <v>1+0,943796622393871i</v>
      </c>
      <c r="BA129">
        <f t="shared" si="141"/>
        <v>1.3750462044753549</v>
      </c>
      <c r="BB129">
        <f t="shared" si="142"/>
        <v>0.7564919896788912</v>
      </c>
      <c r="BC129" s="41" t="str">
        <f t="shared" si="143"/>
        <v>-0,087137436484621+0,0935167237294443i</v>
      </c>
      <c r="BD129">
        <f t="shared" si="144"/>
        <v>-17.867928559036898</v>
      </c>
      <c r="BE129" s="43">
        <f t="shared" si="145"/>
        <v>132.97760302822206</v>
      </c>
      <c r="BF129" s="41" t="str">
        <f t="shared" si="146"/>
        <v>0,775672822435241+0,915900565286549i</v>
      </c>
      <c r="BG129" s="20">
        <f t="shared" si="147"/>
        <v>1.5852597710053669</v>
      </c>
      <c r="BH129" s="43">
        <f t="shared" si="148"/>
        <v>49.738859700269053</v>
      </c>
      <c r="BI129" s="41" t="str">
        <f t="shared" si="152"/>
        <v>5,07779362770921+6,45996521307872i</v>
      </c>
      <c r="BJ129" s="20">
        <f t="shared" si="149"/>
        <v>18.294011640597208</v>
      </c>
      <c r="BK129" s="43">
        <f t="shared" si="153"/>
        <v>51.831222457098399</v>
      </c>
      <c r="BL129">
        <f t="shared" si="150"/>
        <v>1.5852597710053669</v>
      </c>
      <c r="BM129" s="43">
        <f t="shared" si="151"/>
        <v>49.738859700269053</v>
      </c>
    </row>
    <row r="130" spans="14:65" x14ac:dyDescent="0.35">
      <c r="N130" s="9">
        <v>12</v>
      </c>
      <c r="O130" s="34">
        <f t="shared" si="154"/>
        <v>131.82567385564084</v>
      </c>
      <c r="P130" s="33" t="str">
        <f t="shared" si="103"/>
        <v>59,1053597814893</v>
      </c>
      <c r="Q130" s="4" t="str">
        <f t="shared" si="104"/>
        <v>1+6,36429183373141i</v>
      </c>
      <c r="R130" s="4">
        <f t="shared" si="117"/>
        <v>6.4423761567375371</v>
      </c>
      <c r="S130" s="4">
        <f t="shared" si="118"/>
        <v>1.4149439198418736</v>
      </c>
      <c r="T130" s="4" t="str">
        <f t="shared" si="105"/>
        <v>1+0,00107677067820245i</v>
      </c>
      <c r="U130" s="4">
        <f t="shared" si="119"/>
        <v>1.0000005797173788</v>
      </c>
      <c r="V130" s="4">
        <f t="shared" si="120"/>
        <v>1.0767702620541688E-3</v>
      </c>
      <c r="W130" t="str">
        <f t="shared" si="106"/>
        <v>1-0,039757686579783i</v>
      </c>
      <c r="X130" s="4">
        <f t="shared" si="121"/>
        <v>1.000790024751534</v>
      </c>
      <c r="Y130" s="4">
        <f t="shared" si="122"/>
        <v>-3.9736758448777172E-2</v>
      </c>
      <c r="Z130" t="str">
        <f t="shared" si="107"/>
        <v>0,999999640950242+0,00371975325197211i</v>
      </c>
      <c r="AA130" s="4">
        <f t="shared" si="123"/>
        <v>1.0000065592109226</v>
      </c>
      <c r="AB130" s="4">
        <f t="shared" si="124"/>
        <v>3.7197374314714149E-3</v>
      </c>
      <c r="AC130" s="47" t="str">
        <f t="shared" si="125"/>
        <v>1,03963304447446-9,12261061556375i</v>
      </c>
      <c r="AD130" s="20">
        <f t="shared" si="126"/>
        <v>19.258423151966479</v>
      </c>
      <c r="AE130" s="43">
        <f t="shared" si="127"/>
        <v>-83.498494269481426</v>
      </c>
      <c r="AF130" t="str">
        <f t="shared" si="108"/>
        <v>405,634542683733</v>
      </c>
      <c r="AG130" t="str">
        <f t="shared" si="109"/>
        <v>1+6,37561585777769i</v>
      </c>
      <c r="AH130">
        <f t="shared" si="128"/>
        <v>6.4535631681999011</v>
      </c>
      <c r="AI130">
        <f t="shared" si="129"/>
        <v>1.4152162872538441</v>
      </c>
      <c r="AJ130" t="str">
        <f t="shared" si="110"/>
        <v>1+0,00107677067820245i</v>
      </c>
      <c r="AK130">
        <f t="shared" si="130"/>
        <v>1.0000005797173788</v>
      </c>
      <c r="AL130">
        <f t="shared" si="131"/>
        <v>1.0767702620541688E-3</v>
      </c>
      <c r="AM130" t="str">
        <f t="shared" si="111"/>
        <v>1-0,00580337194212481i</v>
      </c>
      <c r="AN130">
        <f t="shared" si="132"/>
        <v>1.0000168394211661</v>
      </c>
      <c r="AO130">
        <f t="shared" si="133"/>
        <v>-5.8033067926098877E-3</v>
      </c>
      <c r="AP130" s="41" t="str">
        <f t="shared" si="134"/>
        <v>9,44604235130388-62,1416101503521i</v>
      </c>
      <c r="AQ130">
        <f t="shared" si="135"/>
        <v>35.966858616438415</v>
      </c>
      <c r="AR130" s="43">
        <f t="shared" si="136"/>
        <v>-81.356730952734466</v>
      </c>
      <c r="AS130" t="str">
        <f t="shared" si="112"/>
        <v>-0,0000166666666666667</v>
      </c>
      <c r="AT130" t="str">
        <f t="shared" si="113"/>
        <v>0,000183465157862957i</v>
      </c>
      <c r="AU130">
        <f t="shared" si="137"/>
        <v>1.8346515786295701E-4</v>
      </c>
      <c r="AV130">
        <f t="shared" si="138"/>
        <v>1.5707963267948966</v>
      </c>
      <c r="AW130" t="str">
        <f t="shared" si="114"/>
        <v>1+0,00654027406208055i</v>
      </c>
      <c r="AX130">
        <f t="shared" si="139"/>
        <v>1.0000213873636938</v>
      </c>
      <c r="AY130">
        <f t="shared" si="140"/>
        <v>6.5401808106632818E-3</v>
      </c>
      <c r="AZ130" t="str">
        <f t="shared" si="115"/>
        <v>1+0,965780469833894i</v>
      </c>
      <c r="BA130">
        <f t="shared" si="141"/>
        <v>1.390227289299335</v>
      </c>
      <c r="BB130">
        <f t="shared" si="142"/>
        <v>0.76799231627209419</v>
      </c>
      <c r="BC130" s="41" t="str">
        <f t="shared" si="143"/>
        <v>-0,0871372687347645+0,0914136719605764i</v>
      </c>
      <c r="BD130">
        <f t="shared" si="144"/>
        <v>-17.972566568539566</v>
      </c>
      <c r="BE130" s="43">
        <f t="shared" si="145"/>
        <v>133.62799366316378</v>
      </c>
      <c r="BF130" s="41" t="str">
        <f t="shared" si="146"/>
        <v>0,743340550253304+0,889956046857957i</v>
      </c>
      <c r="BG130" s="20">
        <f t="shared" si="147"/>
        <v>1.285856583426912</v>
      </c>
      <c r="BH130" s="43">
        <f t="shared" si="148"/>
        <v>50.129499393682359</v>
      </c>
      <c r="BI130" s="41" t="str">
        <f t="shared" si="152"/>
        <v>4,85749043454078+6,27834760011001i</v>
      </c>
      <c r="BJ130" s="20">
        <f t="shared" si="149"/>
        <v>17.99429204789886</v>
      </c>
      <c r="BK130" s="43">
        <f t="shared" si="153"/>
        <v>52.271262710429326</v>
      </c>
      <c r="BL130">
        <f t="shared" si="150"/>
        <v>1.285856583426912</v>
      </c>
      <c r="BM130" s="43">
        <f t="shared" si="151"/>
        <v>50.129499393682359</v>
      </c>
    </row>
    <row r="131" spans="14:65" x14ac:dyDescent="0.35">
      <c r="N131" s="9">
        <v>13</v>
      </c>
      <c r="O131" s="34">
        <f t="shared" si="154"/>
        <v>134.89628825916537</v>
      </c>
      <c r="P131" s="33" t="str">
        <f t="shared" si="103"/>
        <v>59,1053597814893</v>
      </c>
      <c r="Q131" s="4" t="str">
        <f t="shared" si="104"/>
        <v>1+6,51253523428697i</v>
      </c>
      <c r="R131" s="4">
        <f t="shared" si="117"/>
        <v>6.5888629654766113</v>
      </c>
      <c r="S131" s="4">
        <f t="shared" si="118"/>
        <v>1.4184362854080597</v>
      </c>
      <c r="T131" s="4" t="str">
        <f t="shared" si="105"/>
        <v>1+0,00110185188929797i</v>
      </c>
      <c r="U131" s="4">
        <f t="shared" si="119"/>
        <v>1.0000006070386087</v>
      </c>
      <c r="V131" s="4">
        <f t="shared" si="120"/>
        <v>1.1018514433870676E-3</v>
      </c>
      <c r="W131" t="str">
        <f t="shared" si="106"/>
        <v>1-0,0406837620663865i</v>
      </c>
      <c r="X131" s="4">
        <f t="shared" si="121"/>
        <v>1.0008272420832049</v>
      </c>
      <c r="Y131" s="4">
        <f t="shared" si="122"/>
        <v>-4.0661338170950759E-2</v>
      </c>
      <c r="Z131" t="str">
        <f t="shared" si="107"/>
        <v>0,999999624028748+0,00380639743575661i</v>
      </c>
      <c r="AA131" s="4">
        <f t="shared" si="123"/>
        <v>1.0000068683359511</v>
      </c>
      <c r="AB131" s="4">
        <f t="shared" si="124"/>
        <v>3.8063804837909811E-3</v>
      </c>
      <c r="AC131" s="47" t="str">
        <f t="shared" si="125"/>
        <v>0,976598043416749-8,9245846776824i</v>
      </c>
      <c r="AD131" s="20">
        <f t="shared" si="126"/>
        <v>19.063455779390669</v>
      </c>
      <c r="AE131" s="43">
        <f t="shared" si="127"/>
        <v>-83.755093828231068</v>
      </c>
      <c r="AF131" t="str">
        <f t="shared" si="108"/>
        <v>405,634542683733</v>
      </c>
      <c r="AG131" t="str">
        <f t="shared" si="109"/>
        <v>1+6,52412302873795i</v>
      </c>
      <c r="AH131">
        <f t="shared" si="128"/>
        <v>6.600316757104074</v>
      </c>
      <c r="AI131">
        <f t="shared" si="129"/>
        <v>1.4187027414267273</v>
      </c>
      <c r="AJ131" t="str">
        <f t="shared" si="110"/>
        <v>1+0,00110185188929797i</v>
      </c>
      <c r="AK131">
        <f t="shared" si="130"/>
        <v>1.0000006070386087</v>
      </c>
      <c r="AL131">
        <f t="shared" si="131"/>
        <v>1.1018514433870676E-3</v>
      </c>
      <c r="AM131" t="str">
        <f t="shared" si="111"/>
        <v>1-0,00593854983997506i</v>
      </c>
      <c r="AN131">
        <f t="shared" si="132"/>
        <v>1.000017633031639</v>
      </c>
      <c r="AO131">
        <f t="shared" si="133"/>
        <v>-5.9384800310785741E-3</v>
      </c>
      <c r="AP131" s="41" t="str">
        <f t="shared" si="134"/>
        <v>9,01743820403266-60,7928080084731i</v>
      </c>
      <c r="AQ131">
        <f t="shared" si="135"/>
        <v>35.771561486455113</v>
      </c>
      <c r="AR131" s="43">
        <f t="shared" si="136"/>
        <v>-81.562797872538255</v>
      </c>
      <c r="AS131" t="str">
        <f t="shared" si="112"/>
        <v>-0,0000166666666666667</v>
      </c>
      <c r="AT131" t="str">
        <f t="shared" si="113"/>
        <v>0,000187738610368846i</v>
      </c>
      <c r="AU131">
        <f t="shared" si="137"/>
        <v>1.87738610368846E-4</v>
      </c>
      <c r="AV131">
        <f t="shared" si="138"/>
        <v>1.5707963267948966</v>
      </c>
      <c r="AW131" t="str">
        <f t="shared" si="114"/>
        <v>1+0,0066926166153226i</v>
      </c>
      <c r="AX131">
        <f t="shared" si="139"/>
        <v>1.0000223953078049</v>
      </c>
      <c r="AY131">
        <f t="shared" si="140"/>
        <v>6.6925166947496119E-3</v>
      </c>
      <c r="AZ131" t="str">
        <f t="shared" si="115"/>
        <v>1+0,988276386862637i</v>
      </c>
      <c r="BA131">
        <f t="shared" si="141"/>
        <v>1.4059481558116815</v>
      </c>
      <c r="BB131">
        <f t="shared" si="142"/>
        <v>0.77950186178062653</v>
      </c>
      <c r="BC131" s="41" t="str">
        <f t="shared" si="143"/>
        <v>-0,0871370930797932+0,0893590888271499i</v>
      </c>
      <c r="BD131">
        <f t="shared" si="144"/>
        <v>-18.074905378683624</v>
      </c>
      <c r="BE131" s="43">
        <f t="shared" si="145"/>
        <v>134.27871384168995</v>
      </c>
      <c r="BF131" s="41" t="str">
        <f t="shared" si="146"/>
        <v>0,712394840347693+0,864930277067806i</v>
      </c>
      <c r="BG131" s="20">
        <f t="shared" si="147"/>
        <v>0.98855040070704459</v>
      </c>
      <c r="BH131" s="43">
        <f t="shared" si="148"/>
        <v>50.52362001345891</v>
      </c>
      <c r="BI131" s="41" t="str">
        <f t="shared" si="152"/>
        <v>4,64663657875494+6,10309863148381i</v>
      </c>
      <c r="BJ131" s="20">
        <f t="shared" si="149"/>
        <v>17.696656107771489</v>
      </c>
      <c r="BK131" s="43">
        <f t="shared" si="153"/>
        <v>52.715915969151716</v>
      </c>
      <c r="BL131">
        <f t="shared" si="150"/>
        <v>0.98855040070704459</v>
      </c>
      <c r="BM131" s="43">
        <f t="shared" si="151"/>
        <v>50.52362001345891</v>
      </c>
    </row>
    <row r="132" spans="14:65" x14ac:dyDescent="0.35">
      <c r="N132" s="9">
        <v>14</v>
      </c>
      <c r="O132" s="34">
        <f t="shared" si="154"/>
        <v>138.0384264602886</v>
      </c>
      <c r="P132" s="33" t="str">
        <f t="shared" si="103"/>
        <v>59,1053597814893</v>
      </c>
      <c r="Q132" s="4" t="str">
        <f t="shared" si="104"/>
        <v>1+6,66423166722736i</v>
      </c>
      <c r="R132" s="4">
        <f t="shared" si="117"/>
        <v>6.738841422268071</v>
      </c>
      <c r="S132" s="4">
        <f t="shared" si="118"/>
        <v>1.4218527781437291</v>
      </c>
      <c r="T132" s="4" t="str">
        <f t="shared" si="105"/>
        <v>1+0,00112751731684992i</v>
      </c>
      <c r="U132" s="4">
        <f t="shared" si="119"/>
        <v>1.0000006356474478</v>
      </c>
      <c r="V132" s="4">
        <f t="shared" si="120"/>
        <v>1.1275168390477959E-3</v>
      </c>
      <c r="W132" t="str">
        <f t="shared" si="106"/>
        <v>1-0,0416314086221509i</v>
      </c>
      <c r="X132" s="4">
        <f t="shared" si="121"/>
        <v>1.0008662119303779</v>
      </c>
      <c r="Y132" s="4">
        <f t="shared" si="122"/>
        <v>-4.1607382108265818E-2</v>
      </c>
      <c r="Z132" t="str">
        <f t="shared" si="107"/>
        <v>0,999999606309769+0,00389505982184517i</v>
      </c>
      <c r="AA132" s="4">
        <f t="shared" si="123"/>
        <v>1.0000071920294917</v>
      </c>
      <c r="AB132" s="4">
        <f t="shared" si="124"/>
        <v>3.8950416574937857E-3</v>
      </c>
      <c r="AC132" s="47" t="str">
        <f t="shared" si="125"/>
        <v>0,916272209817563-8,73043837415857i</v>
      </c>
      <c r="AD132" s="20">
        <f t="shared" si="126"/>
        <v>18.868296187950079</v>
      </c>
      <c r="AE132" s="43">
        <f t="shared" si="127"/>
        <v>-84.008658159773077</v>
      </c>
      <c r="AF132" t="str">
        <f t="shared" si="108"/>
        <v>405,634542683733</v>
      </c>
      <c r="AG132" t="str">
        <f t="shared" si="109"/>
        <v>1+6,67608937608503i</v>
      </c>
      <c r="AH132">
        <f t="shared" si="128"/>
        <v>6.7505680766492091</v>
      </c>
      <c r="AI132">
        <f t="shared" si="129"/>
        <v>1.4221134386472205</v>
      </c>
      <c r="AJ132" t="str">
        <f t="shared" si="110"/>
        <v>1+0,00112751731684992i</v>
      </c>
      <c r="AK132">
        <f t="shared" si="130"/>
        <v>1.0000006356474478</v>
      </c>
      <c r="AL132">
        <f t="shared" si="131"/>
        <v>1.1275168390477959E-3</v>
      </c>
      <c r="AM132" t="str">
        <f t="shared" si="111"/>
        <v>1-0,00607687643555648i</v>
      </c>
      <c r="AN132">
        <f t="shared" si="132"/>
        <v>1.000018464043146</v>
      </c>
      <c r="AO132">
        <f t="shared" si="133"/>
        <v>-6.0768016340508098E-3</v>
      </c>
      <c r="AP132" s="41" t="str">
        <f t="shared" si="134"/>
        <v>8,60725784855383-59,4704537026488i</v>
      </c>
      <c r="AQ132">
        <f t="shared" si="135"/>
        <v>35.576058093954039</v>
      </c>
      <c r="AR132" s="43">
        <f t="shared" si="136"/>
        <v>-81.764671153684418</v>
      </c>
      <c r="AS132" t="str">
        <f t="shared" si="112"/>
        <v>-0,0000166666666666667</v>
      </c>
      <c r="AT132" t="str">
        <f t="shared" si="113"/>
        <v>0,000192111604370967i</v>
      </c>
      <c r="AU132">
        <f t="shared" si="137"/>
        <v>1.92111604370967E-4</v>
      </c>
      <c r="AV132">
        <f t="shared" si="138"/>
        <v>1.5707963267948966</v>
      </c>
      <c r="AW132" t="str">
        <f t="shared" si="114"/>
        <v>1+0,00684850768248137i</v>
      </c>
      <c r="AX132">
        <f t="shared" si="139"/>
        <v>1.0000234507537695</v>
      </c>
      <c r="AY132">
        <f t="shared" si="140"/>
        <v>6.8484006157940244E-3</v>
      </c>
      <c r="AZ132" t="str">
        <f t="shared" si="115"/>
        <v>1+1,01129630111308i</v>
      </c>
      <c r="BA132">
        <f t="shared" si="141"/>
        <v>1.4222236844621163</v>
      </c>
      <c r="BB132">
        <f t="shared" si="142"/>
        <v>0.79101453246810105</v>
      </c>
      <c r="BC132" s="41" t="str">
        <f t="shared" si="143"/>
        <v>-0,0871369091472172+0,087351884954595i</v>
      </c>
      <c r="BD132">
        <f t="shared" si="144"/>
        <v>-18.174942539833303</v>
      </c>
      <c r="BE132" s="43">
        <f t="shared" si="145"/>
        <v>134.92940979223641</v>
      </c>
      <c r="BF132" s="41" t="str">
        <f t="shared" si="146"/>
        <v>0,682779120161688+0,84078152008351i</v>
      </c>
      <c r="BG132" s="20">
        <f t="shared" si="147"/>
        <v>0.69335364811677613</v>
      </c>
      <c r="BH132" s="43">
        <f t="shared" si="148"/>
        <v>50.920751632463343</v>
      </c>
      <c r="BI132" s="41" t="str">
        <f t="shared" si="152"/>
        <v>4,44484638487524+5,9339317185929i</v>
      </c>
      <c r="BJ132" s="20">
        <f t="shared" si="149"/>
        <v>17.401115554120736</v>
      </c>
      <c r="BK132" s="43">
        <f t="shared" si="153"/>
        <v>53.164738638551995</v>
      </c>
      <c r="BL132">
        <f t="shared" si="150"/>
        <v>0.69335364811677613</v>
      </c>
      <c r="BM132" s="43">
        <f t="shared" si="151"/>
        <v>50.920751632463343</v>
      </c>
    </row>
    <row r="133" spans="14:65" x14ac:dyDescent="0.35">
      <c r="N133" s="9">
        <v>15</v>
      </c>
      <c r="O133" s="34">
        <f t="shared" si="154"/>
        <v>141.25375446227542</v>
      </c>
      <c r="P133" s="33" t="str">
        <f t="shared" si="103"/>
        <v>59,1053597814893</v>
      </c>
      <c r="Q133" s="4" t="str">
        <f t="shared" si="104"/>
        <v>1+6,81946156400924i</v>
      </c>
      <c r="R133" s="4">
        <f t="shared" si="117"/>
        <v>6.8923911687453838</v>
      </c>
      <c r="S133" s="4">
        <f t="shared" si="118"/>
        <v>1.425194890323928</v>
      </c>
      <c r="T133" s="4" t="str">
        <f t="shared" si="105"/>
        <v>1+0,00115378056900772i</v>
      </c>
      <c r="U133" s="4">
        <f t="shared" si="119"/>
        <v>1.0000006656045792</v>
      </c>
      <c r="V133" s="4">
        <f t="shared" si="120"/>
        <v>1.1537800570335383E-3</v>
      </c>
      <c r="W133" t="str">
        <f t="shared" si="106"/>
        <v>1-0,0426011287018235i</v>
      </c>
      <c r="X133" s="4">
        <f t="shared" si="121"/>
        <v>1.000907016743648</v>
      </c>
      <c r="Y133" s="4">
        <f t="shared" si="122"/>
        <v>-4.2575385088210946E-2</v>
      </c>
      <c r="Z133" t="str">
        <f t="shared" si="107"/>
        <v>0,99999958775572+0,00398578742020848i</v>
      </c>
      <c r="AA133" s="4">
        <f t="shared" si="123"/>
        <v>1.0000075309781267</v>
      </c>
      <c r="AB133" s="4">
        <f t="shared" si="124"/>
        <v>3.9857679567632158E-3</v>
      </c>
      <c r="AC133" s="47" t="str">
        <f t="shared" si="125"/>
        <v>0,85854450114387-8,54012317268217i</v>
      </c>
      <c r="AD133" s="20">
        <f t="shared" si="126"/>
        <v>18.672954004675518</v>
      </c>
      <c r="AE133" s="43">
        <f t="shared" si="127"/>
        <v>-84.259303030156659</v>
      </c>
      <c r="AF133" t="str">
        <f t="shared" si="108"/>
        <v>405,634542683733</v>
      </c>
      <c r="AG133" t="str">
        <f t="shared" si="109"/>
        <v>1+6,8315954743878i</v>
      </c>
      <c r="AH133">
        <f t="shared" si="128"/>
        <v>6.9043969125243576</v>
      </c>
      <c r="AI133">
        <f t="shared" si="129"/>
        <v>1.4254498697390776</v>
      </c>
      <c r="AJ133" t="str">
        <f t="shared" si="110"/>
        <v>1+0,00115378056900772i</v>
      </c>
      <c r="AK133">
        <f t="shared" si="130"/>
        <v>1.0000006656045792</v>
      </c>
      <c r="AL133">
        <f t="shared" si="131"/>
        <v>1.1537800570335383E-3</v>
      </c>
      <c r="AM133" t="str">
        <f t="shared" si="111"/>
        <v>1-0,00621842507146099i</v>
      </c>
      <c r="AN133">
        <f t="shared" si="132"/>
        <v>1.0000193342182786</v>
      </c>
      <c r="AO133">
        <f t="shared" si="133"/>
        <v>-6.2183449202872975E-3</v>
      </c>
      <c r="AP133" s="41" t="str">
        <f t="shared" si="134"/>
        <v>8,21474587041875-58,1742154682069i</v>
      </c>
      <c r="AQ133">
        <f t="shared" si="135"/>
        <v>35.380357344729568</v>
      </c>
      <c r="AR133" s="43">
        <f t="shared" si="136"/>
        <v>-81.9624396352568</v>
      </c>
      <c r="AS133" t="str">
        <f t="shared" si="112"/>
        <v>-0,0000166666666666667</v>
      </c>
      <c r="AT133" t="str">
        <f t="shared" si="113"/>
        <v>0,000196586458488623i</v>
      </c>
      <c r="AU133">
        <f t="shared" si="137"/>
        <v>1.9658645848862299E-4</v>
      </c>
      <c r="AV133">
        <f t="shared" si="138"/>
        <v>1.5707963267948966</v>
      </c>
      <c r="AW133" t="str">
        <f t="shared" si="114"/>
        <v>1+0,00700802991906408i</v>
      </c>
      <c r="AX133">
        <f t="shared" si="139"/>
        <v>1.0000245559401761</v>
      </c>
      <c r="AY133">
        <f t="shared" si="140"/>
        <v>7.0079151951937882E-3</v>
      </c>
      <c r="AZ133" t="str">
        <f t="shared" si="115"/>
        <v>1+1,03485241804846i</v>
      </c>
      <c r="BA133">
        <f t="shared" si="141"/>
        <v>1.4390689792851294</v>
      </c>
      <c r="BB133">
        <f t="shared" si="142"/>
        <v>0.80252422632191189</v>
      </c>
      <c r="BC133" s="41" t="str">
        <f t="shared" si="143"/>
        <v>-0,087136716546998+0,085390996088924i</v>
      </c>
      <c r="BD133">
        <f t="shared" si="144"/>
        <v>-18.272678041761253</v>
      </c>
      <c r="BE133" s="43">
        <f t="shared" si="145"/>
        <v>135.57972716137704</v>
      </c>
      <c r="BF133" s="41" t="str">
        <f t="shared" si="146"/>
        <v>0,654438875598275+0,817470262313799i</v>
      </c>
      <c r="BG133" s="20">
        <f t="shared" si="147"/>
        <v>0.40027596291426126</v>
      </c>
      <c r="BH133" s="43">
        <f t="shared" si="148"/>
        <v>51.320424131220413</v>
      </c>
      <c r="BI133" s="41" t="str">
        <f t="shared" si="152"/>
        <v>4,25174822310558+5,77057545608956i</v>
      </c>
      <c r="BJ133" s="20">
        <f t="shared" si="149"/>
        <v>17.107679302968307</v>
      </c>
      <c r="BK133" s="43">
        <f t="shared" si="153"/>
        <v>53.617287526120222</v>
      </c>
      <c r="BL133">
        <f t="shared" si="150"/>
        <v>0.40027596291426126</v>
      </c>
      <c r="BM133" s="43">
        <f t="shared" si="151"/>
        <v>51.320424131220413</v>
      </c>
    </row>
    <row r="134" spans="14:65" x14ac:dyDescent="0.35">
      <c r="N134" s="9">
        <v>16</v>
      </c>
      <c r="O134" s="34">
        <f t="shared" si="154"/>
        <v>144.54397707459285</v>
      </c>
      <c r="P134" s="33" t="str">
        <f t="shared" si="103"/>
        <v>59,1053597814893</v>
      </c>
      <c r="Q134" s="4" t="str">
        <f t="shared" si="104"/>
        <v>1+6,97830722957862i</v>
      </c>
      <c r="R134" s="4">
        <f t="shared" si="117"/>
        <v>7.0495937322933182</v>
      </c>
      <c r="S134" s="4">
        <f t="shared" si="118"/>
        <v>1.4284640951824019</v>
      </c>
      <c r="T134" s="4" t="str">
        <f t="shared" si="105"/>
        <v>1+0,0011806555708953i</v>
      </c>
      <c r="U134" s="4">
        <f t="shared" si="119"/>
        <v>1.0000006969735458</v>
      </c>
      <c r="V134" s="4">
        <f t="shared" si="120"/>
        <v>1.1806550223051014E-3</v>
      </c>
      <c r="W134" t="str">
        <f t="shared" si="106"/>
        <v>1-0,0435934364638266i</v>
      </c>
      <c r="X134" s="4">
        <f t="shared" si="121"/>
        <v>1.0009497428456264</v>
      </c>
      <c r="Y134" s="4">
        <f t="shared" si="122"/>
        <v>-4.3565853098263801E-2</v>
      </c>
      <c r="Z134" t="str">
        <f t="shared" si="107"/>
        <v>0,999999568327246+0,00407862833582013i</v>
      </c>
      <c r="AA134" s="4">
        <f t="shared" si="123"/>
        <v>1.0000078859007964</v>
      </c>
      <c r="AB134" s="4">
        <f t="shared" si="124"/>
        <v>4.0786074803716571E-3</v>
      </c>
      <c r="AC134" s="47" t="str">
        <f t="shared" si="125"/>
        <v>0,803307960144453-8,35358920160554i</v>
      </c>
      <c r="AD134" s="20">
        <f t="shared" si="126"/>
        <v>18.477438523378723</v>
      </c>
      <c r="AE134" s="43">
        <f t="shared" si="127"/>
        <v>-84.507143798419776</v>
      </c>
      <c r="AF134" t="str">
        <f t="shared" si="108"/>
        <v>405,634542683733</v>
      </c>
      <c r="AG134" t="str">
        <f t="shared" si="109"/>
        <v>1+6,99072377503796i</v>
      </c>
      <c r="AH134">
        <f t="shared" si="128"/>
        <v>7.0618849395102004</v>
      </c>
      <c r="AI134">
        <f t="shared" si="129"/>
        <v>1.4287135064449472</v>
      </c>
      <c r="AJ134" t="str">
        <f t="shared" si="110"/>
        <v>1+0,0011806555708953i</v>
      </c>
      <c r="AK134">
        <f t="shared" si="130"/>
        <v>1.0000006969735458</v>
      </c>
      <c r="AL134">
        <f t="shared" si="131"/>
        <v>1.1806550223051014E-3</v>
      </c>
      <c r="AM134" t="str">
        <f t="shared" si="111"/>
        <v>1-0,00636327079864898i</v>
      </c>
      <c r="AN134">
        <f t="shared" si="132"/>
        <v>1.0000202454026903</v>
      </c>
      <c r="AO134">
        <f t="shared" si="133"/>
        <v>-6.3631849152129367E-3</v>
      </c>
      <c r="AP134" s="41" t="str">
        <f t="shared" si="134"/>
        <v>7,83917466972936-56,903752498168i</v>
      </c>
      <c r="AQ134">
        <f t="shared" si="135"/>
        <v>35.184467780019929</v>
      </c>
      <c r="AR134" s="43">
        <f t="shared" si="136"/>
        <v>-82.156191142696414</v>
      </c>
      <c r="AS134" t="str">
        <f t="shared" si="112"/>
        <v>-0,0000166666666666667</v>
      </c>
      <c r="AT134" t="str">
        <f t="shared" si="113"/>
        <v>0,000201165545348699i</v>
      </c>
      <c r="AU134">
        <f t="shared" si="137"/>
        <v>2.0116554534869901E-4</v>
      </c>
      <c r="AV134">
        <f t="shared" si="138"/>
        <v>1.5707963267948966</v>
      </c>
      <c r="AW134" t="str">
        <f t="shared" si="114"/>
        <v>1+0,00717126790587214i</v>
      </c>
      <c r="AX134">
        <f t="shared" si="139"/>
        <v>1.0000257132111043</v>
      </c>
      <c r="AY134">
        <f t="shared" si="140"/>
        <v>7.1711449772010622E-3</v>
      </c>
      <c r="AZ134" t="str">
        <f t="shared" si="115"/>
        <v>1+1,05895722743379i</v>
      </c>
      <c r="BA134">
        <f t="shared" si="141"/>
        <v>1.4564993681887608</v>
      </c>
      <c r="BB134">
        <f t="shared" si="142"/>
        <v>0.81402484921294416</v>
      </c>
      <c r="BC134" s="41" t="str">
        <f t="shared" si="143"/>
        <v>-0,0871365148707235+0,0834753825324124i</v>
      </c>
      <c r="BD134">
        <f t="shared" si="144"/>
        <v>-18.368114313815362</v>
      </c>
      <c r="BE134" s="43">
        <f t="shared" si="145"/>
        <v>136.22931193720487</v>
      </c>
      <c r="BF134" s="41" t="str">
        <f t="shared" si="146"/>
        <v>0,627321598107754+0,794959088954007i</v>
      </c>
      <c r="BG134" s="20">
        <f t="shared" si="147"/>
        <v>0.10932420956336483</v>
      </c>
      <c r="BH134" s="43">
        <f t="shared" si="148"/>
        <v>51.722168138785115</v>
      </c>
      <c r="BI134" s="41" t="str">
        <f t="shared" si="152"/>
        <v>4,06698414713122+5,61277278005064i</v>
      </c>
      <c r="BJ134" s="20">
        <f t="shared" si="149"/>
        <v>16.816353466204568</v>
      </c>
      <c r="BK134" s="43">
        <f t="shared" si="153"/>
        <v>54.073120794508448</v>
      </c>
      <c r="BL134">
        <f t="shared" si="150"/>
        <v>0.10932420956336483</v>
      </c>
      <c r="BM134" s="43">
        <f t="shared" si="151"/>
        <v>51.722168138785115</v>
      </c>
    </row>
    <row r="135" spans="14:65" x14ac:dyDescent="0.35">
      <c r="N135" s="9">
        <v>17</v>
      </c>
      <c r="O135" s="34">
        <f t="shared" si="154"/>
        <v>147.91083881682084</v>
      </c>
      <c r="P135" s="33" t="str">
        <f t="shared" si="103"/>
        <v>59,1053597814893</v>
      </c>
      <c r="Q135" s="4" t="str">
        <f t="shared" si="104"/>
        <v>1+7,14085288600992i</v>
      </c>
      <c r="R135" s="4">
        <f t="shared" si="117"/>
        <v>7.2105325697646085</v>
      </c>
      <c r="S135" s="4">
        <f t="shared" si="118"/>
        <v>1.4316618464269468</v>
      </c>
      <c r="T135" s="4" t="str">
        <f t="shared" si="105"/>
        <v>1+0,00120815657199439i</v>
      </c>
      <c r="U135" s="4">
        <f t="shared" si="119"/>
        <v>1.0000007298208848</v>
      </c>
      <c r="V135" s="4">
        <f t="shared" si="120"/>
        <v>1.2081559841694246E-3</v>
      </c>
      <c r="W135" t="str">
        <f t="shared" si="106"/>
        <v>1-0,04460885804287i</v>
      </c>
      <c r="X135" s="4">
        <f t="shared" si="121"/>
        <v>1.0009944806121005</v>
      </c>
      <c r="Y135" s="4">
        <f t="shared" si="122"/>
        <v>-4.4579303519839734E-2</v>
      </c>
      <c r="Z135" t="str">
        <f t="shared" si="107"/>
        <v>0,999999547983136+0,00417363179416245i</v>
      </c>
      <c r="AA135" s="4">
        <f t="shared" si="123"/>
        <v>1.0000082575503211</v>
      </c>
      <c r="AB135" s="4">
        <f t="shared" si="124"/>
        <v>4.1736094471567491E-3</v>
      </c>
      <c r="AC135" s="47" t="str">
        <f t="shared" si="125"/>
        <v>0,750459605594375-8,17078542141953i</v>
      </c>
      <c r="AD135" s="20">
        <f t="shared" si="126"/>
        <v>18.281758719740356</v>
      </c>
      <c r="AE135" s="43">
        <f t="shared" si="127"/>
        <v>-84.752295403261797</v>
      </c>
      <c r="AF135" t="str">
        <f t="shared" si="108"/>
        <v>405,634542683733</v>
      </c>
      <c r="AG135" t="str">
        <f t="shared" si="109"/>
        <v>1+7,1535586499668i</v>
      </c>
      <c r="AH135">
        <f t="shared" si="128"/>
        <v>7.2231157652715794</v>
      </c>
      <c r="AI135">
        <f t="shared" si="129"/>
        <v>1.4319058009468364</v>
      </c>
      <c r="AJ135" t="str">
        <f t="shared" si="110"/>
        <v>1+0,00120815657199439i</v>
      </c>
      <c r="AK135">
        <f t="shared" si="130"/>
        <v>1.0000007298208848</v>
      </c>
      <c r="AL135">
        <f t="shared" si="131"/>
        <v>1.2081559841694246E-3</v>
      </c>
      <c r="AM135" t="str">
        <f t="shared" si="111"/>
        <v>1-0,00651149041624226i</v>
      </c>
      <c r="AN135">
        <f t="shared" si="132"/>
        <v>1.0000211995290105</v>
      </c>
      <c r="AO135">
        <f t="shared" si="133"/>
        <v>-6.511398390587903E-3</v>
      </c>
      <c r="AP135" s="41" t="str">
        <f t="shared" si="134"/>
        <v>7,47984371511039-55,6587161072384i</v>
      </c>
      <c r="AQ135">
        <f t="shared" si="135"/>
        <v>34.988397590062881</v>
      </c>
      <c r="AR135" s="43">
        <f t="shared" si="136"/>
        <v>-82.346012462176063</v>
      </c>
      <c r="AS135" t="str">
        <f t="shared" si="112"/>
        <v>-0,0000166666666666667</v>
      </c>
      <c r="AT135" t="str">
        <f t="shared" si="113"/>
        <v>0,00020585129284366i</v>
      </c>
      <c r="AU135">
        <f t="shared" si="137"/>
        <v>2.0585129284366E-4</v>
      </c>
      <c r="AV135">
        <f t="shared" si="138"/>
        <v>1.5707963267948966</v>
      </c>
      <c r="AW135" t="str">
        <f t="shared" si="114"/>
        <v>1+0,00733830819384684i</v>
      </c>
      <c r="AX135">
        <f t="shared" si="139"/>
        <v>1.0000269250210956</v>
      </c>
      <c r="AY135">
        <f t="shared" si="140"/>
        <v>7.3381764735941536E-3</v>
      </c>
      <c r="AZ135" t="str">
        <f t="shared" si="115"/>
        <v>1+1,08362350995805i</v>
      </c>
      <c r="BA135">
        <f t="shared" si="141"/>
        <v>1.474530403665453</v>
      </c>
      <c r="BB135">
        <f t="shared" si="142"/>
        <v>0.8255103310043681</v>
      </c>
      <c r="BC135" s="41" t="str">
        <f t="shared" si="143"/>
        <v>-0,0871363036907384+0,0816040285922962i</v>
      </c>
      <c r="BD135">
        <f t="shared" si="144"/>
        <v>-18.461256214766021</v>
      </c>
      <c r="BE135" s="43">
        <f t="shared" si="145"/>
        <v>136.87781136973871</v>
      </c>
      <c r="BF135" s="41" t="str">
        <f t="shared" si="146"/>
        <v>0,601376731050333+0,773212566984957i</v>
      </c>
      <c r="BG135" s="20">
        <f t="shared" si="147"/>
        <v>-0.17949749502566756</v>
      </c>
      <c r="BH135" s="43">
        <f t="shared" si="148"/>
        <v>52.125515966476911</v>
      </c>
      <c r="BI135" s="41" t="str">
        <f t="shared" si="152"/>
        <v>3,89020952710646+5,46028017015069i</v>
      </c>
      <c r="BJ135" s="20">
        <f t="shared" si="149"/>
        <v>16.527141375296857</v>
      </c>
      <c r="BK135" s="43">
        <f t="shared" si="153"/>
        <v>54.531798907562624</v>
      </c>
      <c r="BL135">
        <f t="shared" si="150"/>
        <v>-0.17949749502566756</v>
      </c>
      <c r="BM135" s="43">
        <f t="shared" si="151"/>
        <v>52.125515966476911</v>
      </c>
    </row>
    <row r="136" spans="14:65" x14ac:dyDescent="0.35">
      <c r="N136" s="9">
        <v>18</v>
      </c>
      <c r="O136" s="34">
        <f t="shared" si="154"/>
        <v>151.3561248436209</v>
      </c>
      <c r="P136" s="33" t="str">
        <f t="shared" si="103"/>
        <v>59,1053597814893</v>
      </c>
      <c r="Q136" s="4" t="str">
        <f t="shared" si="104"/>
        <v>1+7,30718471716175i</v>
      </c>
      <c r="R136" s="4">
        <f t="shared" si="117"/>
        <v>7.375293112190338</v>
      </c>
      <c r="S136" s="4">
        <f t="shared" si="118"/>
        <v>1.4347895778189672</v>
      </c>
      <c r="T136" s="4" t="str">
        <f t="shared" si="105"/>
        <v>1+0,0012362981536998i</v>
      </c>
      <c r="U136" s="4">
        <f t="shared" si="119"/>
        <v>1.0000007642162703</v>
      </c>
      <c r="V136" s="4">
        <f t="shared" si="120"/>
        <v>1.2362975238340277E-3</v>
      </c>
      <c r="W136" t="str">
        <f t="shared" si="106"/>
        <v>1-0,0456479318289158i</v>
      </c>
      <c r="X136" s="4">
        <f t="shared" si="121"/>
        <v>1.0010413246616032</v>
      </c>
      <c r="Y136" s="4">
        <f t="shared" si="122"/>
        <v>-4.5616265365854364E-2</v>
      </c>
      <c r="Z136" t="str">
        <f t="shared" si="107"/>
        <v>0,999999526680237+0,00427084816732659i</v>
      </c>
      <c r="AA136" s="4">
        <f t="shared" si="123"/>
        <v>1.0000086467150002</v>
      </c>
      <c r="AB136" s="4">
        <f t="shared" si="124"/>
        <v>4.2708242220897436E-3</v>
      </c>
      <c r="AC136" s="47" t="str">
        <f t="shared" si="125"/>
        <v>0,699900322090071-7,99165978515558i</v>
      </c>
      <c r="AD136" s="20">
        <f t="shared" si="126"/>
        <v>18.085923266099059</v>
      </c>
      <c r="AE136" s="43">
        <f t="shared" si="127"/>
        <v>-84.994872353626079</v>
      </c>
      <c r="AF136" t="str">
        <f t="shared" si="108"/>
        <v>405,634542683733</v>
      </c>
      <c r="AG136" t="str">
        <f t="shared" si="109"/>
        <v>1+7,3201864363804i</v>
      </c>
      <c r="AH136">
        <f t="shared" si="128"/>
        <v>7.388174975145593</v>
      </c>
      <c r="AI136">
        <f t="shared" si="129"/>
        <v>1.4350281854504474</v>
      </c>
      <c r="AJ136" t="str">
        <f t="shared" si="110"/>
        <v>1+0,0012362981536998i</v>
      </c>
      <c r="AK136">
        <f t="shared" si="130"/>
        <v>1.0000007642162703</v>
      </c>
      <c r="AL136">
        <f t="shared" si="131"/>
        <v>1.2362975238340277E-3</v>
      </c>
      <c r="AM136" t="str">
        <f t="shared" si="111"/>
        <v>1-0,00666316251224399i</v>
      </c>
      <c r="AN136">
        <f t="shared" si="132"/>
        <v>1.0000221986209428</v>
      </c>
      <c r="AO136">
        <f t="shared" si="133"/>
        <v>-6.6630639050969881E-3</v>
      </c>
      <c r="AP136" s="41" t="str">
        <f t="shared" si="134"/>
        <v>7,13607879146709-54,438750820524i</v>
      </c>
      <c r="AQ136">
        <f t="shared" si="135"/>
        <v>34.792154627283807</v>
      </c>
      <c r="AR136" s="43">
        <f t="shared" si="136"/>
        <v>-82.531989318677319</v>
      </c>
      <c r="AS136" t="str">
        <f t="shared" si="112"/>
        <v>-0,0000166666666666667</v>
      </c>
      <c r="AT136" t="str">
        <f t="shared" si="113"/>
        <v>0,000210646185418851i</v>
      </c>
      <c r="AU136">
        <f t="shared" si="137"/>
        <v>2.10646185418851E-4</v>
      </c>
      <c r="AV136">
        <f t="shared" si="138"/>
        <v>1.5707963267948966</v>
      </c>
      <c r="AW136" t="str">
        <f t="shared" si="114"/>
        <v>1+0,00750923934995991i</v>
      </c>
      <c r="AX136">
        <f t="shared" si="139"/>
        <v>1.0000281939403584</v>
      </c>
      <c r="AY136">
        <f t="shared" si="140"/>
        <v>7.509098209381177E-3</v>
      </c>
      <c r="AZ136" t="str">
        <f t="shared" si="115"/>
        <v>1+1,10886434401075i</v>
      </c>
      <c r="BA136">
        <f t="shared" si="141"/>
        <v>1.4931778639594115</v>
      </c>
      <c r="BB136">
        <f t="shared" si="142"/>
        <v>0.83697464150591538</v>
      </c>
      <c r="BC136" s="41" t="str">
        <f t="shared" si="143"/>
        <v>-0,087136082559245+0,0797759420421953i</v>
      </c>
      <c r="BD136">
        <f t="shared" si="144"/>
        <v>-18.552111012424607</v>
      </c>
      <c r="BE136" s="43">
        <f t="shared" si="145"/>
        <v>137.52487488241729</v>
      </c>
      <c r="BF136" s="41" t="str">
        <f t="shared" si="146"/>
        <v>0,576555615592632+0,752197134355086i</v>
      </c>
      <c r="BG136" s="20">
        <f t="shared" si="147"/>
        <v>-0.46618774632554921</v>
      </c>
      <c r="BH136" s="43">
        <f t="shared" si="148"/>
        <v>52.530002528791215</v>
      </c>
      <c r="BI136" s="41" t="str">
        <f t="shared" si="152"/>
        <v>3,72109267958508+5,31286689399596i</v>
      </c>
      <c r="BJ136" s="20">
        <f t="shared" si="149"/>
        <v>16.240043614859193</v>
      </c>
      <c r="BK136" s="43">
        <f t="shared" si="153"/>
        <v>54.992885563739989</v>
      </c>
      <c r="BL136">
        <f t="shared" si="150"/>
        <v>-0.46618774632554921</v>
      </c>
      <c r="BM136" s="43">
        <f t="shared" si="151"/>
        <v>52.530002528791215</v>
      </c>
    </row>
    <row r="137" spans="14:65" x14ac:dyDescent="0.35">
      <c r="N137" s="9">
        <v>19</v>
      </c>
      <c r="O137" s="34">
        <f t="shared" si="154"/>
        <v>154.8816618912482</v>
      </c>
      <c r="P137" s="33" t="str">
        <f t="shared" si="103"/>
        <v>59,1053597814893</v>
      </c>
      <c r="Q137" s="4" t="str">
        <f t="shared" si="104"/>
        <v>1+7,47739091437264i</v>
      </c>
      <c r="R137" s="4">
        <f t="shared" si="117"/>
        <v>7.5439628105089769</v>
      </c>
      <c r="S137" s="4">
        <f t="shared" si="118"/>
        <v>1.4378487028130489</v>
      </c>
      <c r="T137" s="4" t="str">
        <f t="shared" si="105"/>
        <v>1+0,00126509523705064i</v>
      </c>
      <c r="U137" s="4">
        <f t="shared" si="119"/>
        <v>1.0000008002326592</v>
      </c>
      <c r="V137" s="4">
        <f t="shared" si="120"/>
        <v>1.2650945621373341E-3</v>
      </c>
      <c r="W137" t="str">
        <f t="shared" si="106"/>
        <v>1-0,0467112087526391i</v>
      </c>
      <c r="X137" s="4">
        <f t="shared" si="121"/>
        <v>1.0010903740537778</v>
      </c>
      <c r="Y137" s="4">
        <f t="shared" si="122"/>
        <v>-4.6677279521850967E-2</v>
      </c>
      <c r="Z137" t="str">
        <f t="shared" si="107"/>
        <v>0,999999504373364+0,0043703290007204i</v>
      </c>
      <c r="AA137" s="4">
        <f t="shared" si="123"/>
        <v>1.0000090542202849</v>
      </c>
      <c r="AB137" s="4">
        <f t="shared" si="124"/>
        <v>4.3703033429493866E-3</v>
      </c>
      <c r="AC137" s="47" t="str">
        <f t="shared" si="125"/>
        <v>0,651534749369666-7,81615938822406i</v>
      </c>
      <c r="AD137" s="20">
        <f t="shared" si="126"/>
        <v>17.889940545942945</v>
      </c>
      <c r="AE137" s="43">
        <f t="shared" si="127"/>
        <v>-85.234988722949865</v>
      </c>
      <c r="AF137" t="str">
        <f t="shared" si="108"/>
        <v>405,634542683733</v>
      </c>
      <c r="AG137" t="str">
        <f t="shared" si="109"/>
        <v>1+7,49069548253669i</v>
      </c>
      <c r="AH137">
        <f t="shared" si="128"/>
        <v>7.5571501779503869</v>
      </c>
      <c r="AI137">
        <f t="shared" si="129"/>
        <v>1.4380820718292173</v>
      </c>
      <c r="AJ137" t="str">
        <f t="shared" si="110"/>
        <v>1+0,00126509523705064i</v>
      </c>
      <c r="AK137">
        <f t="shared" si="130"/>
        <v>1.0000008002326592</v>
      </c>
      <c r="AL137">
        <f t="shared" si="131"/>
        <v>1.2650945621373341E-3</v>
      </c>
      <c r="AM137" t="str">
        <f t="shared" si="111"/>
        <v>1-0,0068183675052071i</v>
      </c>
      <c r="AN137">
        <f t="shared" si="132"/>
        <v>1.0000232447975577</v>
      </c>
      <c r="AO137">
        <f t="shared" si="133"/>
        <v>-6.8182618458780975E-3</v>
      </c>
      <c r="AP137" s="41" t="str">
        <f t="shared" si="134"/>
        <v>6,80723124473847-53,243495390437i</v>
      </c>
      <c r="AQ137">
        <f t="shared" si="135"/>
        <v>34.595746419113908</v>
      </c>
      <c r="AR137" s="43">
        <f t="shared" si="136"/>
        <v>-82.714206357531921</v>
      </c>
      <c r="AS137" t="str">
        <f t="shared" si="112"/>
        <v>-0,0000166666666666667</v>
      </c>
      <c r="AT137" t="str">
        <f t="shared" si="113"/>
        <v>0,000215552765389782i</v>
      </c>
      <c r="AU137">
        <f t="shared" si="137"/>
        <v>2.15552765389782E-4</v>
      </c>
      <c r="AV137">
        <f t="shared" si="138"/>
        <v>1.5707963267948966</v>
      </c>
      <c r="AW137" t="str">
        <f t="shared" si="114"/>
        <v>1+0,00768415200417286i</v>
      </c>
      <c r="AX137">
        <f t="shared" si="139"/>
        <v>1.0000295226602178</v>
      </c>
      <c r="AY137">
        <f t="shared" si="140"/>
        <v>7.684000769559129E-3</v>
      </c>
      <c r="AZ137" t="str">
        <f t="shared" si="115"/>
        <v>1+1,13469311261619i</v>
      </c>
      <c r="BA137">
        <f t="shared" si="141"/>
        <v>1.5124577547219684</v>
      </c>
      <c r="BB137">
        <f t="shared" si="142"/>
        <v>0.84841180617167367</v>
      </c>
      <c r="BC137" s="41" t="str">
        <f t="shared" si="143"/>
        <v>-0,0871358510073479+0,0779901535959762i</v>
      </c>
      <c r="BD137">
        <f t="shared" si="144"/>
        <v>-18.640688353217335</v>
      </c>
      <c r="BE137" s="43">
        <f t="shared" si="145"/>
        <v>138.17015496883715</v>
      </c>
      <c r="BF137" s="41" t="str">
        <f t="shared" si="146"/>
        <v>0,552811436371041+0,731880995078431i</v>
      </c>
      <c r="BG137" s="20">
        <f t="shared" si="147"/>
        <v>-0.75074780727438994</v>
      </c>
      <c r="BH137" s="43">
        <f t="shared" si="148"/>
        <v>52.935166245887274</v>
      </c>
      <c r="BI137" s="41" t="str">
        <f t="shared" si="152"/>
        <v>3,55931449597274+5,17031429179201i</v>
      </c>
      <c r="BJ137" s="20">
        <f t="shared" si="149"/>
        <v>15.955058065896573</v>
      </c>
      <c r="BK137" s="43">
        <f t="shared" si="153"/>
        <v>55.455948611305196</v>
      </c>
      <c r="BL137">
        <f t="shared" si="150"/>
        <v>-0.75074780727438994</v>
      </c>
      <c r="BM137" s="43">
        <f t="shared" si="151"/>
        <v>52.935166245887274</v>
      </c>
    </row>
    <row r="138" spans="14:65" x14ac:dyDescent="0.35">
      <c r="N138" s="9">
        <v>20</v>
      </c>
      <c r="O138" s="34">
        <f t="shared" si="154"/>
        <v>158.48931924611153</v>
      </c>
      <c r="P138" s="33" t="str">
        <f t="shared" si="103"/>
        <v>59,1053597814893</v>
      </c>
      <c r="Q138" s="4" t="str">
        <f t="shared" si="104"/>
        <v>1+7,65156172322131i</v>
      </c>
      <c r="R138" s="4">
        <f t="shared" si="117"/>
        <v>7.7166311823402234</v>
      </c>
      <c r="S138" s="4">
        <f t="shared" si="118"/>
        <v>1.4408406142525603</v>
      </c>
      <c r="T138" s="4" t="str">
        <f t="shared" si="105"/>
        <v>1+0,00129456309064168i</v>
      </c>
      <c r="U138" s="4">
        <f t="shared" si="119"/>
        <v>1.0000008379464467</v>
      </c>
      <c r="V138" s="4">
        <f t="shared" si="120"/>
        <v>1.2945623674590764E-3</v>
      </c>
      <c r="W138" t="str">
        <f t="shared" si="106"/>
        <v>1-0,0477992525775391i</v>
      </c>
      <c r="X138" s="4">
        <f t="shared" si="121"/>
        <v>1.0011417324969385</v>
      </c>
      <c r="Y138" s="4">
        <f t="shared" si="122"/>
        <v>-4.7762898990641199E-2</v>
      </c>
      <c r="Z138" t="str">
        <f t="shared" si="107"/>
        <v>0,9999994810152+0,00447212704039854i</v>
      </c>
      <c r="AA138" s="4">
        <f t="shared" si="123"/>
        <v>1.0000094809305233</v>
      </c>
      <c r="AB138" s="4">
        <f t="shared" si="124"/>
        <v>4.4720995476156379E-3</v>
      </c>
      <c r="AC138" s="47" t="str">
        <f t="shared" si="125"/>
        <v>0,605271171583444-7,64423060819001i</v>
      </c>
      <c r="AD138" s="20">
        <f t="shared" si="126"/>
        <v>17.693818668105198</v>
      </c>
      <c r="AE138" s="43">
        <f t="shared" si="127"/>
        <v>-85.472758146851064</v>
      </c>
      <c r="AF138" t="str">
        <f t="shared" si="108"/>
        <v>405,634542683733</v>
      </c>
      <c r="AG138" t="str">
        <f t="shared" si="109"/>
        <v>1+7,6651761945889i</v>
      </c>
      <c r="AH138">
        <f t="shared" si="128"/>
        <v>7.7301310528407194</v>
      </c>
      <c r="AI138">
        <f t="shared" si="129"/>
        <v>1.4410688513240819</v>
      </c>
      <c r="AJ138" t="str">
        <f t="shared" si="110"/>
        <v>1+0,00129456309064168i</v>
      </c>
      <c r="AK138">
        <f t="shared" si="130"/>
        <v>1.0000008379464467</v>
      </c>
      <c r="AL138">
        <f t="shared" si="131"/>
        <v>1.2945623674590764E-3</v>
      </c>
      <c r="AM138" t="str">
        <f t="shared" si="111"/>
        <v>1-0,00697718768687324i</v>
      </c>
      <c r="AN138">
        <f t="shared" si="132"/>
        <v>1.0000243402777844</v>
      </c>
      <c r="AO138">
        <f t="shared" si="133"/>
        <v>-6.9770744710112636E-3</v>
      </c>
      <c r="AP138" s="41" t="str">
        <f t="shared" si="134"/>
        <v>6,49267722652135-52,0725837452167i</v>
      </c>
      <c r="AQ138">
        <f t="shared" si="135"/>
        <v>34.399180180438243</v>
      </c>
      <c r="AR138" s="43">
        <f t="shared" si="136"/>
        <v>-82.892747129200956</v>
      </c>
      <c r="AS138" t="str">
        <f t="shared" si="112"/>
        <v>-0,0000166666666666667</v>
      </c>
      <c r="AT138" t="str">
        <f t="shared" si="113"/>
        <v>0,000220573634290102i</v>
      </c>
      <c r="AU138">
        <f t="shared" si="137"/>
        <v>2.20573634290102E-4</v>
      </c>
      <c r="AV138">
        <f t="shared" si="138"/>
        <v>1.5707963267948966</v>
      </c>
      <c r="AW138" t="str">
        <f t="shared" si="114"/>
        <v>1+0,00786313889749021i</v>
      </c>
      <c r="AX138">
        <f t="shared" si="139"/>
        <v>1.0000309139988228</v>
      </c>
      <c r="AY138">
        <f t="shared" si="140"/>
        <v>7.8629768469525314E-3</v>
      </c>
      <c r="AZ138" t="str">
        <f t="shared" si="115"/>
        <v>1+1,16112351052939i</v>
      </c>
      <c r="BA138">
        <f t="shared" si="141"/>
        <v>1.5323863111839957</v>
      </c>
      <c r="BB138">
        <f t="shared" si="142"/>
        <v>0.85981592144274566</v>
      </c>
      <c r="BC138" s="41" t="str">
        <f t="shared" si="143"/>
        <v>-0,0871356085440655+0,0762457163937712i</v>
      </c>
      <c r="BD138">
        <f t="shared" si="144"/>
        <v>-18.727000221984898</v>
      </c>
      <c r="BE138" s="43">
        <f t="shared" si="145"/>
        <v>138.81330806908176</v>
      </c>
      <c r="BF138" s="41" t="str">
        <f t="shared" si="146"/>
        <v>0,530099167130538+0,712234019985685i</v>
      </c>
      <c r="BG138" s="20">
        <f t="shared" si="147"/>
        <v>-1.0331815538796996</v>
      </c>
      <c r="BH138" s="43">
        <f t="shared" si="148"/>
        <v>53.3405499222307</v>
      </c>
      <c r="BI138" s="41" t="str">
        <f t="shared" si="152"/>
        <v>3,40456807091556+5,03241509955091i</v>
      </c>
      <c r="BJ138" s="20">
        <f t="shared" si="149"/>
        <v>15.672179958453345</v>
      </c>
      <c r="BK138" s="43">
        <f t="shared" si="153"/>
        <v>55.920560939880801</v>
      </c>
      <c r="BL138">
        <f t="shared" si="150"/>
        <v>-1.0331815538796996</v>
      </c>
      <c r="BM138" s="43">
        <f t="shared" si="151"/>
        <v>53.3405499222307</v>
      </c>
    </row>
    <row r="139" spans="14:65" x14ac:dyDescent="0.35">
      <c r="N139" s="9">
        <v>21</v>
      </c>
      <c r="O139" s="34">
        <f t="shared" si="154"/>
        <v>162.18100973589304</v>
      </c>
      <c r="P139" s="33" t="str">
        <f t="shared" si="103"/>
        <v>59,1053597814893</v>
      </c>
      <c r="Q139" s="4" t="str">
        <f t="shared" si="104"/>
        <v>1+7,82978949137599i</v>
      </c>
      <c r="R139" s="4">
        <f t="shared" si="117"/>
        <v>7.8933898598296723</v>
      </c>
      <c r="S139" s="4">
        <f t="shared" si="118"/>
        <v>1.4437666841174772</v>
      </c>
      <c r="T139" s="4" t="str">
        <f t="shared" si="105"/>
        <v>1+0,00132471733871894i</v>
      </c>
      <c r="U139" s="4">
        <f t="shared" si="119"/>
        <v>1.0000008774376288</v>
      </c>
      <c r="V139" s="4">
        <f t="shared" si="120"/>
        <v>1.3247165638148556E-3</v>
      </c>
      <c r="W139" t="str">
        <f t="shared" si="106"/>
        <v>1-0,0489126401988534i</v>
      </c>
      <c r="X139" s="4">
        <f t="shared" si="121"/>
        <v>1.0011955085652464</v>
      </c>
      <c r="Y139" s="4">
        <f t="shared" si="122"/>
        <v>-4.8873689140391731E-2</v>
      </c>
      <c r="Z139" t="str">
        <f t="shared" si="107"/>
        <v>0,9999994565562+0,00457629626102907i</v>
      </c>
      <c r="AA139" s="4">
        <f t="shared" si="123"/>
        <v>1.0000099277508019</v>
      </c>
      <c r="AB139" s="4">
        <f t="shared" si="124"/>
        <v>4.5762668019972185E-3</v>
      </c>
      <c r="AC139" s="47" t="str">
        <f t="shared" si="125"/>
        <v>0,561021406893905-7,47581923497865i</v>
      </c>
      <c r="AD139" s="20">
        <f t="shared" si="126"/>
        <v>17.497565480668161</v>
      </c>
      <c r="AE139" s="43">
        <f t="shared" si="127"/>
        <v>-85.708293824030378</v>
      </c>
      <c r="AF139" t="str">
        <f t="shared" si="108"/>
        <v>405,634542683733</v>
      </c>
      <c r="AG139" t="str">
        <f t="shared" si="109"/>
        <v>1+7,84372108452005i</v>
      </c>
      <c r="AH139">
        <f t="shared" si="128"/>
        <v>7.9072093972364481</v>
      </c>
      <c r="AI139">
        <f t="shared" si="129"/>
        <v>1.4439898942951839</v>
      </c>
      <c r="AJ139" t="str">
        <f t="shared" si="110"/>
        <v>1+0,00132471733871894i</v>
      </c>
      <c r="AK139">
        <f t="shared" si="130"/>
        <v>1.0000008774376288</v>
      </c>
      <c r="AL139">
        <f t="shared" si="131"/>
        <v>1.3247165638148556E-3</v>
      </c>
      <c r="AM139" t="str">
        <f t="shared" si="111"/>
        <v>1-0,00713970726580493i</v>
      </c>
      <c r="AN139">
        <f t="shared" si="132"/>
        <v>1.0000254873851173</v>
      </c>
      <c r="AO139">
        <f t="shared" si="133"/>
        <v>-7.1395859529901516E-3</v>
      </c>
      <c r="AP139" s="41" t="str">
        <f t="shared" si="134"/>
        <v>6,19181694112979-50,9256458724122i</v>
      </c>
      <c r="AQ139">
        <f t="shared" si="135"/>
        <v>34.202462825673734</v>
      </c>
      <c r="AR139" s="43">
        <f t="shared" si="136"/>
        <v>-83.067694077075458</v>
      </c>
      <c r="AS139" t="str">
        <f t="shared" si="112"/>
        <v>-0,0000166666666666667</v>
      </c>
      <c r="AT139" t="str">
        <f t="shared" si="113"/>
        <v>0,000225711454250959i</v>
      </c>
      <c r="AU139">
        <f t="shared" si="137"/>
        <v>2.25711454250959E-4</v>
      </c>
      <c r="AV139">
        <f t="shared" si="138"/>
        <v>1.5707963267948966</v>
      </c>
      <c r="AW139" t="str">
        <f t="shared" si="114"/>
        <v>1+0,00804629493113192i</v>
      </c>
      <c r="AX139">
        <f t="shared" si="139"/>
        <v>1.0000323709071215</v>
      </c>
      <c r="AY139">
        <f t="shared" si="140"/>
        <v>8.0461212911559429E-3</v>
      </c>
      <c r="AZ139" t="str">
        <f t="shared" si="115"/>
        <v>1+1,18816955149714i</v>
      </c>
      <c r="BA139">
        <f t="shared" si="141"/>
        <v>1.5529800008708787</v>
      </c>
      <c r="BB139">
        <f t="shared" si="142"/>
        <v>0.87118116964004666</v>
      </c>
      <c r="BC139" s="41" t="str">
        <f t="shared" si="143"/>
        <v>-0,0871353546552857+0,0745417054998903i</v>
      </c>
      <c r="BD139">
        <f t="shared" si="144"/>
        <v>-18.811060892364246</v>
      </c>
      <c r="BE139" s="43">
        <f t="shared" si="145"/>
        <v>139.4539954202117</v>
      </c>
      <c r="BF139" s="41" t="str">
        <f t="shared" si="146"/>
        <v>0,508375516525286+0,693227652870491i</v>
      </c>
      <c r="BG139" s="20">
        <f t="shared" si="147"/>
        <v>-1.3134954116960806</v>
      </c>
      <c r="BH139" s="43">
        <f t="shared" si="148"/>
        <v>53.745701596181334</v>
      </c>
      <c r="BI139" s="41" t="str">
        <f t="shared" si="152"/>
        <v>3,2565583318871+4,89897280907705i</v>
      </c>
      <c r="BJ139" s="20">
        <f t="shared" si="149"/>
        <v>15.391401933309488</v>
      </c>
      <c r="BK139" s="43">
        <f t="shared" si="153"/>
        <v>56.38630134313626</v>
      </c>
      <c r="BL139">
        <f t="shared" si="150"/>
        <v>-1.3134954116960806</v>
      </c>
      <c r="BM139" s="43">
        <f t="shared" si="151"/>
        <v>53.745701596181334</v>
      </c>
    </row>
    <row r="140" spans="14:65" x14ac:dyDescent="0.35">
      <c r="N140" s="9">
        <v>22</v>
      </c>
      <c r="O140" s="34">
        <f t="shared" si="154"/>
        <v>165.95869074375622</v>
      </c>
      <c r="P140" s="33" t="str">
        <f t="shared" si="103"/>
        <v>59,1053597814893</v>
      </c>
      <c r="Q140" s="4" t="str">
        <f t="shared" si="104"/>
        <v>1+8,01216871755857i</v>
      </c>
      <c r="R140" s="4">
        <f t="shared" si="117"/>
        <v>8.0743326385915104</v>
      </c>
      <c r="S140" s="4">
        <f t="shared" si="118"/>
        <v>1.4466282633208338</v>
      </c>
      <c r="T140" s="4" t="str">
        <f t="shared" si="105"/>
        <v>1+0,00135557396946391i</v>
      </c>
      <c r="U140" s="4">
        <f t="shared" si="119"/>
        <v>1.0000009187899712</v>
      </c>
      <c r="V140" s="4">
        <f t="shared" si="120"/>
        <v>1.3555731391392651E-3</v>
      </c>
      <c r="W140" t="str">
        <f t="shared" si="106"/>
        <v>1-0,0500519619494367i</v>
      </c>
      <c r="X140" s="4">
        <f t="shared" si="121"/>
        <v>1.0012518159259376</v>
      </c>
      <c r="Y140" s="4">
        <f t="shared" si="122"/>
        <v>-5.0010227956082384E-2</v>
      </c>
      <c r="Z140" t="str">
        <f t="shared" si="107"/>
        <v>0,999999430944483+0,00468289189451168i</v>
      </c>
      <c r="AA140" s="4">
        <f t="shared" si="123"/>
        <v>1.0000103956288582</v>
      </c>
      <c r="AB140" s="4">
        <f t="shared" si="124"/>
        <v>4.6828603286080458E-3</v>
      </c>
      <c r="AC140" s="47" t="str">
        <f t="shared" si="125"/>
        <v>0,518700697742177-7,31087059199079i</v>
      </c>
      <c r="AD140" s="20">
        <f t="shared" si="126"/>
        <v>17.301188584580725</v>
      </c>
      <c r="AE140" s="43">
        <f t="shared" si="127"/>
        <v>-85.941708520178878</v>
      </c>
      <c r="AF140" t="str">
        <f t="shared" si="108"/>
        <v>405,634542683733</v>
      </c>
      <c r="AG140" t="str">
        <f t="shared" si="109"/>
        <v>1+8,02642481919419i</v>
      </c>
      <c r="AH140">
        <f t="shared" si="128"/>
        <v>8.0884791758510755</v>
      </c>
      <c r="AI140">
        <f t="shared" si="129"/>
        <v>1.4468465500219292</v>
      </c>
      <c r="AJ140" t="str">
        <f t="shared" si="110"/>
        <v>1+0,00135557396946391i</v>
      </c>
      <c r="AK140">
        <f t="shared" si="130"/>
        <v>1.0000009187899712</v>
      </c>
      <c r="AL140">
        <f t="shared" si="131"/>
        <v>1.3555731391392651E-3</v>
      </c>
      <c r="AM140" t="str">
        <f t="shared" si="111"/>
        <v>1-0,00730601241203419i</v>
      </c>
      <c r="AN140">
        <f t="shared" si="132"/>
        <v>1.0000266885525431</v>
      </c>
      <c r="AO140">
        <f t="shared" si="133"/>
        <v>-7.3058824231985453E-3</v>
      </c>
      <c r="AP140" s="41" t="str">
        <f t="shared" si="134"/>
        <v>5,90407389736657-49,8023086405993i</v>
      </c>
      <c r="AQ140">
        <f t="shared" si="135"/>
        <v>34.005600980479322</v>
      </c>
      <c r="AR140" s="43">
        <f t="shared" si="136"/>
        <v>-83.239128528094383</v>
      </c>
      <c r="AS140" t="str">
        <f t="shared" si="112"/>
        <v>-0,0000166666666666667</v>
      </c>
      <c r="AT140" t="str">
        <f t="shared" si="113"/>
        <v>0,000230968949412504i</v>
      </c>
      <c r="AU140">
        <f t="shared" si="137"/>
        <v>2.3096894941250401E-4</v>
      </c>
      <c r="AV140">
        <f t="shared" si="138"/>
        <v>1.5707963267948966</v>
      </c>
      <c r="AW140" t="str">
        <f t="shared" si="114"/>
        <v>1+0,00823371721685147i</v>
      </c>
      <c r="AX140">
        <f t="shared" si="139"/>
        <v>1.0000338964751181</v>
      </c>
      <c r="AY140">
        <f t="shared" si="140"/>
        <v>8.2335311586056552E-3</v>
      </c>
      <c r="AZ140" t="str">
        <f t="shared" si="115"/>
        <v>1+1,2158455756884i</v>
      </c>
      <c r="BA140">
        <f t="shared" si="141"/>
        <v>1.5742555268828047</v>
      </c>
      <c r="BB140">
        <f t="shared" si="142"/>
        <v>0.8825018333180783</v>
      </c>
      <c r="BC140" s="41" t="str">
        <f t="shared" si="143"/>
        <v>-0,087135088802684+0,0728772174123493i</v>
      </c>
      <c r="BD140">
        <f t="shared" si="144"/>
        <v>-18.892886868186707</v>
      </c>
      <c r="BE140" s="43">
        <f t="shared" si="145"/>
        <v>140.09188387580602</v>
      </c>
      <c r="BF140" s="41" t="str">
        <f t="shared" si="146"/>
        <v>0,487598874246285+0,674834821779342i</v>
      </c>
      <c r="BG140" s="20">
        <f t="shared" si="147"/>
        <v>-1.5916982836059881</v>
      </c>
      <c r="BH140" s="43">
        <f t="shared" si="148"/>
        <v>54.15017535562712</v>
      </c>
      <c r="BI140" s="41" t="str">
        <f t="shared" si="152"/>
        <v>3,11500167109323+4,76980106301426i</v>
      </c>
      <c r="BJ140" s="20">
        <f t="shared" si="149"/>
        <v>15.112714112292613</v>
      </c>
      <c r="BK140" s="43">
        <f t="shared" si="153"/>
        <v>56.852755347711671</v>
      </c>
      <c r="BL140">
        <f t="shared" si="150"/>
        <v>-1.5916982836059881</v>
      </c>
      <c r="BM140" s="43">
        <f t="shared" si="151"/>
        <v>54.15017535562712</v>
      </c>
    </row>
    <row r="141" spans="14:65" x14ac:dyDescent="0.35">
      <c r="N141" s="9">
        <v>23</v>
      </c>
      <c r="O141" s="34">
        <f t="shared" si="154"/>
        <v>169.82436524617444</v>
      </c>
      <c r="P141" s="33" t="str">
        <f t="shared" si="103"/>
        <v>59,1053597814893</v>
      </c>
      <c r="Q141" s="4" t="str">
        <f t="shared" si="104"/>
        <v>1+8,19879610164873i</v>
      </c>
      <c r="R141" s="4">
        <f t="shared" si="117"/>
        <v>8.2595555277757189</v>
      </c>
      <c r="S141" s="4">
        <f t="shared" si="118"/>
        <v>1.4494266815503525</v>
      </c>
      <c r="T141" s="4" t="str">
        <f t="shared" si="105"/>
        <v>1+0,00138714934347062i</v>
      </c>
      <c r="U141" s="4">
        <f t="shared" si="119"/>
        <v>1.0000009620911878</v>
      </c>
      <c r="V141" s="4">
        <f t="shared" si="120"/>
        <v>1.3871484537617796E-3</v>
      </c>
      <c r="W141" t="str">
        <f t="shared" si="106"/>
        <v>1-0,0512178219127614i</v>
      </c>
      <c r="X141" s="4">
        <f t="shared" si="121"/>
        <v>1.0013107735770586</v>
      </c>
      <c r="Y141" s="4">
        <f t="shared" si="122"/>
        <v>-5.1173106294241474E-2</v>
      </c>
      <c r="Z141" t="str">
        <f t="shared" si="107"/>
        <v>0,999999404125723+0,00479197045926213i</v>
      </c>
      <c r="AA141" s="4">
        <f t="shared" si="123"/>
        <v>1.0000108855570942</v>
      </c>
      <c r="AB141" s="4">
        <f t="shared" si="124"/>
        <v>4.7919366358068665E-3</v>
      </c>
      <c r="AC141" s="47" t="str">
        <f t="shared" si="125"/>
        <v>0,478227602078639-7,14932964859629i</v>
      </c>
      <c r="AD141" s="20">
        <f t="shared" si="126"/>
        <v>17.10469534699585</v>
      </c>
      <c r="AE141" s="43">
        <f t="shared" si="127"/>
        <v>-86.173114574689166</v>
      </c>
      <c r="AF141" t="str">
        <f t="shared" si="108"/>
        <v>405,634542683733</v>
      </c>
      <c r="AG141" t="str">
        <f t="shared" si="109"/>
        <v>1+8,21338427054971i</v>
      </c>
      <c r="AH141">
        <f t="shared" si="128"/>
        <v>8.2740365708469898</v>
      </c>
      <c r="AI141">
        <f t="shared" si="129"/>
        <v>1.44964014654797</v>
      </c>
      <c r="AJ141" t="str">
        <f t="shared" si="110"/>
        <v>1+0,00138714934347062i</v>
      </c>
      <c r="AK141">
        <f t="shared" si="130"/>
        <v>1.0000009620911878</v>
      </c>
      <c r="AL141">
        <f t="shared" si="131"/>
        <v>1.3871484537617796E-3</v>
      </c>
      <c r="AM141" t="str">
        <f t="shared" si="111"/>
        <v>1-0,00747619130275077i</v>
      </c>
      <c r="AN141">
        <f t="shared" si="132"/>
        <v>1.0000279463276991</v>
      </c>
      <c r="AO141">
        <f t="shared" si="133"/>
        <v>-7.4760520174141348E-3</v>
      </c>
      <c r="AP141" s="41" t="str">
        <f t="shared" si="134"/>
        <v>5,62889416701914-48,7021965625187i</v>
      </c>
      <c r="AQ141">
        <f t="shared" si="135"/>
        <v>33.808600993101507</v>
      </c>
      <c r="AR141" s="43">
        <f t="shared" si="136"/>
        <v>-83.407130685984285</v>
      </c>
      <c r="AS141" t="str">
        <f t="shared" si="112"/>
        <v>-0,0000166666666666667</v>
      </c>
      <c r="AT141" t="str">
        <f t="shared" si="113"/>
        <v>0,000236348907368264i</v>
      </c>
      <c r="AU141">
        <f t="shared" si="137"/>
        <v>2.3634890736826399E-4</v>
      </c>
      <c r="AV141">
        <f t="shared" si="138"/>
        <v>1.5707963267948966</v>
      </c>
      <c r="AW141" t="str">
        <f t="shared" si="114"/>
        <v>1+0,00842550512842547i</v>
      </c>
      <c r="AX141">
        <f t="shared" si="139"/>
        <v>1.0000354939384246</v>
      </c>
      <c r="AY141">
        <f t="shared" si="140"/>
        <v>8.4253057638053446E-3</v>
      </c>
      <c r="AZ141" t="str">
        <f t="shared" si="115"/>
        <v>1+1,24416625729749i</v>
      </c>
      <c r="BA141">
        <f t="shared" si="141"/>
        <v>1.5962298317590873</v>
      </c>
      <c r="BB141">
        <f t="shared" si="142"/>
        <v>0.89377230899637805</v>
      </c>
      <c r="BC141" s="41" t="str">
        <f t="shared" si="143"/>
        <v>-0,0871348104225722+0,0712513695837595i</v>
      </c>
      <c r="BD141">
        <f t="shared" si="144"/>
        <v>-18.972496816401183</v>
      </c>
      <c r="BE141" s="43">
        <f t="shared" si="145"/>
        <v>140.72664668978172</v>
      </c>
      <c r="BF141" s="41" t="str">
        <f t="shared" si="146"/>
        <v>0,4677292576223+0,657029855199773i</v>
      </c>
      <c r="BG141" s="20">
        <f t="shared" si="147"/>
        <v>-1.8678014694053313</v>
      </c>
      <c r="BH141" s="43">
        <f t="shared" si="148"/>
        <v>54.553532115092572</v>
      </c>
      <c r="BI141" s="41" t="str">
        <f t="shared" si="152"/>
        <v>2,97962558068499+4,64472308328006i</v>
      </c>
      <c r="BJ141" s="20">
        <f t="shared" si="149"/>
        <v>14.836104176700326</v>
      </c>
      <c r="BK141" s="43">
        <f t="shared" si="153"/>
        <v>57.319516003797368</v>
      </c>
      <c r="BL141">
        <f t="shared" si="150"/>
        <v>-1.8678014694053313</v>
      </c>
      <c r="BM141" s="43">
        <f t="shared" si="151"/>
        <v>54.553532115092572</v>
      </c>
    </row>
    <row r="142" spans="14:65" x14ac:dyDescent="0.35">
      <c r="N142" s="9">
        <v>24</v>
      </c>
      <c r="O142" s="34">
        <f t="shared" si="154"/>
        <v>173.78008287493768</v>
      </c>
      <c r="P142" s="33" t="str">
        <f t="shared" si="103"/>
        <v>59,1053597814893</v>
      </c>
      <c r="Q142" s="4" t="str">
        <f t="shared" si="104"/>
        <v>1+8,38977059595594i</v>
      </c>
      <c r="R142" s="4">
        <f t="shared" si="117"/>
        <v>8.4491568012889235</v>
      </c>
      <c r="S142" s="4">
        <f t="shared" si="118"/>
        <v>1.4521632471520294</v>
      </c>
      <c r="T142" s="4" t="str">
        <f t="shared" si="105"/>
        <v>1+0,00141946020242034i</v>
      </c>
      <c r="U142" s="4">
        <f t="shared" si="119"/>
        <v>1.0000010074331258</v>
      </c>
      <c r="V142" s="4">
        <f t="shared" si="120"/>
        <v>1.4194592490801934E-3</v>
      </c>
      <c r="W142" t="str">
        <f t="shared" si="106"/>
        <v>1-0,0524108382432126i</v>
      </c>
      <c r="X142" s="4">
        <f t="shared" si="121"/>
        <v>1.001372506096186</v>
      </c>
      <c r="Y142" s="4">
        <f t="shared" si="122"/>
        <v>-5.2362928140861617E-2</v>
      </c>
      <c r="Z142" t="str">
        <f t="shared" si="107"/>
        <v>0,999999376043033+0,00490358979017935i</v>
      </c>
      <c r="AA142" s="4">
        <f t="shared" si="123"/>
        <v>1.000011398574679</v>
      </c>
      <c r="AB142" s="4">
        <f t="shared" si="124"/>
        <v>4.9035535477163616E-3</v>
      </c>
      <c r="AC142" s="47" t="str">
        <f t="shared" si="125"/>
        <v>0,439523885819125-6,99114112445895i</v>
      </c>
      <c r="AD142" s="20">
        <f t="shared" si="126"/>
        <v>16.90809291433488</v>
      </c>
      <c r="AE142" s="43">
        <f t="shared" si="127"/>
        <v>-86.402623909979965</v>
      </c>
      <c r="AF142" t="str">
        <f t="shared" si="108"/>
        <v>405,634542683733</v>
      </c>
      <c r="AG142" t="str">
        <f t="shared" si="109"/>
        <v>1+8,40469856696252i</v>
      </c>
      <c r="AH142">
        <f t="shared" si="128"/>
        <v>8.4639800331464539</v>
      </c>
      <c r="AI142">
        <f t="shared" si="129"/>
        <v>1.4523719905678991</v>
      </c>
      <c r="AJ142" t="str">
        <f t="shared" si="110"/>
        <v>1+0,00141946020242034i</v>
      </c>
      <c r="AK142">
        <f t="shared" si="130"/>
        <v>1.0000010074331258</v>
      </c>
      <c r="AL142">
        <f t="shared" si="131"/>
        <v>1.4194592490801934E-3</v>
      </c>
      <c r="AM142" t="str">
        <f t="shared" si="111"/>
        <v>1-0,00765033416905522i</v>
      </c>
      <c r="AN142">
        <f t="shared" si="132"/>
        <v>1.0000292633782764</v>
      </c>
      <c r="AO142">
        <f t="shared" si="133"/>
        <v>-7.6501849223639543E-3</v>
      </c>
      <c r="AP142" s="41" t="str">
        <f t="shared" si="134"/>
        <v>5,36574565184449-47,6249325027187i</v>
      </c>
      <c r="AQ142">
        <f t="shared" si="135"/>
        <v>33.611468945357977</v>
      </c>
      <c r="AR142" s="43">
        <f t="shared" si="136"/>
        <v>-83.571779626937783</v>
      </c>
      <c r="AS142" t="str">
        <f t="shared" si="112"/>
        <v>-0,0000166666666666667</v>
      </c>
      <c r="AT142" t="str">
        <f t="shared" si="113"/>
        <v>0,000241854180643157i</v>
      </c>
      <c r="AU142">
        <f t="shared" si="137"/>
        <v>2.4185418064315699E-4</v>
      </c>
      <c r="AV142">
        <f t="shared" si="138"/>
        <v>1.5707963267948966</v>
      </c>
      <c r="AW142" t="str">
        <f t="shared" si="114"/>
        <v>1+0,00862176035434338i</v>
      </c>
      <c r="AX142">
        <f t="shared" si="139"/>
        <v>1.0000371666851227</v>
      </c>
      <c r="AY142">
        <f t="shared" si="140"/>
        <v>8.6215467317329285E-3</v>
      </c>
      <c r="AZ142" t="str">
        <f t="shared" si="115"/>
        <v>1+1,2731466123247i</v>
      </c>
      <c r="BA142">
        <f t="shared" si="141"/>
        <v>1.6189201019426069</v>
      </c>
      <c r="BB142">
        <f t="shared" si="142"/>
        <v>0.90498712019288563</v>
      </c>
      <c r="BC142" s="41" t="str">
        <f t="shared" si="143"/>
        <v>-0,0871345189247177+0,0696632999533253i</v>
      </c>
      <c r="BD142">
        <f t="shared" si="144"/>
        <v>-19.049911492092246</v>
      </c>
      <c r="BE142" s="43">
        <f t="shared" si="145"/>
        <v>141.35796426014778</v>
      </c>
      <c r="BF142" s="41" t="str">
        <f t="shared" si="146"/>
        <v>0,44872825882244+0,639788402909009i</v>
      </c>
      <c r="BG142" s="20">
        <f t="shared" si="147"/>
        <v>-2.1418185777573671</v>
      </c>
      <c r="BH142" s="43">
        <f t="shared" si="148"/>
        <v>54.955340350167788</v>
      </c>
      <c r="BI142" s="41" t="str">
        <f t="shared" si="152"/>
        <v>2,8501682921479+4,52357113126424i</v>
      </c>
      <c r="BJ142" s="20">
        <f t="shared" si="149"/>
        <v>14.561557453265735</v>
      </c>
      <c r="BK142" s="43">
        <f t="shared" si="153"/>
        <v>57.786184633209984</v>
      </c>
      <c r="BL142">
        <f t="shared" si="150"/>
        <v>-2.1418185777573671</v>
      </c>
      <c r="BM142" s="43">
        <f t="shared" si="151"/>
        <v>54.955340350167788</v>
      </c>
    </row>
    <row r="143" spans="14:65" x14ac:dyDescent="0.35">
      <c r="N143" s="9">
        <v>25</v>
      </c>
      <c r="O143" s="34">
        <f t="shared" si="154"/>
        <v>177.82794100389242</v>
      </c>
      <c r="P143" s="33" t="str">
        <f t="shared" si="103"/>
        <v>59,1053597814893</v>
      </c>
      <c r="Q143" s="4" t="str">
        <f t="shared" si="104"/>
        <v>1+8,58519345768488i</v>
      </c>
      <c r="R143" s="4">
        <f t="shared" si="117"/>
        <v>8.6432370501956779</v>
      </c>
      <c r="S143" s="4">
        <f t="shared" si="118"/>
        <v>1.4548392470525746</v>
      </c>
      <c r="T143" s="4" t="str">
        <f t="shared" si="105"/>
        <v>1+0,00145252367795816i</v>
      </c>
      <c r="U143" s="4">
        <f t="shared" si="119"/>
        <v>1.0000010549119611</v>
      </c>
      <c r="V143" s="4">
        <f t="shared" si="120"/>
        <v>1.4525226564358466E-3</v>
      </c>
      <c r="W143" t="str">
        <f t="shared" si="106"/>
        <v>1-0,0536316434938398i</v>
      </c>
      <c r="X143" s="4">
        <f t="shared" si="121"/>
        <v>1.0014371439006295</v>
      </c>
      <c r="Y143" s="4">
        <f t="shared" si="122"/>
        <v>-5.3580310872370522E-2</v>
      </c>
      <c r="Z143" t="str">
        <f t="shared" si="107"/>
        <v>0,999999346636847+0,00501780906931i</v>
      </c>
      <c r="AA143" s="4">
        <f t="shared" si="123"/>
        <v>1.0000119357697572</v>
      </c>
      <c r="AB143" s="4">
        <f t="shared" si="124"/>
        <v>5.017770234836255E-3</v>
      </c>
      <c r="AC143" s="47" t="str">
        <f t="shared" si="125"/>
        <v>0,402514416755355-6,83624958613331i</v>
      </c>
      <c r="AD143" s="20">
        <f t="shared" si="126"/>
        <v>16.711388225088243</v>
      </c>
      <c r="AE143" s="43">
        <f t="shared" si="127"/>
        <v>-86.630348043250351</v>
      </c>
      <c r="AF143" t="str">
        <f t="shared" si="108"/>
        <v>405,634542683733</v>
      </c>
      <c r="AG143" t="str">
        <f t="shared" si="109"/>
        <v>1+8,60046914580488i</v>
      </c>
      <c r="AH143">
        <f t="shared" si="128"/>
        <v>8.6584103349253283</v>
      </c>
      <c r="AI143">
        <f t="shared" si="129"/>
        <v>1.4550433673525662</v>
      </c>
      <c r="AJ143" t="str">
        <f t="shared" si="110"/>
        <v>1+0,00145252367795816i</v>
      </c>
      <c r="AK143">
        <f t="shared" si="130"/>
        <v>1.0000010549119611</v>
      </c>
      <c r="AL143">
        <f t="shared" si="131"/>
        <v>1.4525226564358466E-3</v>
      </c>
      <c r="AM143" t="str">
        <f t="shared" si="111"/>
        <v>1-0,00782853334380024i</v>
      </c>
      <c r="AN143">
        <f t="shared" si="132"/>
        <v>1.0000306424976761</v>
      </c>
      <c r="AO143">
        <f t="shared" si="133"/>
        <v>-7.8283734233539591E-3</v>
      </c>
      <c r="AP143" s="41" t="str">
        <f t="shared" si="134"/>
        <v>5,11411736058689-46,5701383327036i</v>
      </c>
      <c r="AQ143">
        <f t="shared" si="135"/>
        <v>33.41421066326572</v>
      </c>
      <c r="AR143" s="43">
        <f t="shared" si="136"/>
        <v>-83.733153297555148</v>
      </c>
      <c r="AS143" t="str">
        <f t="shared" si="112"/>
        <v>-0,0000166666666666667</v>
      </c>
      <c r="AT143" t="str">
        <f t="shared" si="113"/>
        <v>0,000247487688205947i</v>
      </c>
      <c r="AU143">
        <f t="shared" si="137"/>
        <v>2.4748768820594699E-4</v>
      </c>
      <c r="AV143">
        <f t="shared" si="138"/>
        <v>1.5707963267948966</v>
      </c>
      <c r="AW143" t="str">
        <f t="shared" si="114"/>
        <v>1+0,00882258695172364i</v>
      </c>
      <c r="AX143">
        <f t="shared" si="139"/>
        <v>1.0000389182629448</v>
      </c>
      <c r="AY143">
        <f t="shared" si="140"/>
        <v>8.822358051453618E-3</v>
      </c>
      <c r="AZ143" t="str">
        <f t="shared" si="115"/>
        <v>1+1,30280200653786i</v>
      </c>
      <c r="BA143">
        <f t="shared" si="141"/>
        <v>1.6423437728560593</v>
      </c>
      <c r="BB143">
        <f t="shared" si="142"/>
        <v>0.91614092969079564</v>
      </c>
      <c r="BC143" s="41" t="str">
        <f t="shared" si="143"/>
        <v>-0,087134213691083+0,068112166489695i</v>
      </c>
      <c r="BD143">
        <f t="shared" si="144"/>
        <v>-19.12515365622567</v>
      </c>
      <c r="BE143" s="43">
        <f t="shared" si="145"/>
        <v>141.9855248287725</v>
      </c>
      <c r="BF143" s="41" t="str">
        <f t="shared" si="146"/>
        <v>0,430558992772518+0,623087361252261i</v>
      </c>
      <c r="BG143" s="20">
        <f t="shared" si="147"/>
        <v>-2.4137654311374237</v>
      </c>
      <c r="BH143" s="43">
        <f t="shared" si="148"/>
        <v>55.355176785522183</v>
      </c>
      <c r="BI143" s="41" t="str">
        <f t="shared" si="152"/>
        <v>2,72637842062658+4,40618599821723i</v>
      </c>
      <c r="BJ143" s="20">
        <f t="shared" si="149"/>
        <v>14.289057007040062</v>
      </c>
      <c r="BK143" s="43">
        <f t="shared" si="153"/>
        <v>58.252371531217399</v>
      </c>
      <c r="BL143">
        <f t="shared" si="150"/>
        <v>-2.4137654311374237</v>
      </c>
      <c r="BM143" s="43">
        <f t="shared" si="151"/>
        <v>55.355176785522183</v>
      </c>
    </row>
    <row r="144" spans="14:65" x14ac:dyDescent="0.35">
      <c r="N144" s="9">
        <v>26</v>
      </c>
      <c r="O144" s="34">
        <f t="shared" si="154"/>
        <v>181.9700858609983</v>
      </c>
      <c r="P144" s="33" t="str">
        <f t="shared" si="103"/>
        <v>59,1053597814893</v>
      </c>
      <c r="Q144" s="4" t="str">
        <f t="shared" si="104"/>
        <v>1+8,78516830262345i</v>
      </c>
      <c r="R144" s="4">
        <f t="shared" si="117"/>
        <v>8.8418992363303825</v>
      </c>
      <c r="S144" s="4">
        <f t="shared" si="118"/>
        <v>1.4574559467178194</v>
      </c>
      <c r="T144" s="4" t="str">
        <f t="shared" si="105"/>
        <v>1+0,00148635730077644i</v>
      </c>
      <c r="U144" s="4">
        <f t="shared" si="119"/>
        <v>1.0000011046284027</v>
      </c>
      <c r="V144" s="4">
        <f t="shared" si="120"/>
        <v>1.4863562061956258E-3</v>
      </c>
      <c r="W144" t="str">
        <f t="shared" si="106"/>
        <v>1-0,0548808849517455i</v>
      </c>
      <c r="X144" s="4">
        <f t="shared" si="121"/>
        <v>1.0015048235196307</v>
      </c>
      <c r="Y144" s="4">
        <f t="shared" si="122"/>
        <v>-5.4825885519529285E-2</v>
      </c>
      <c r="Z144" t="str">
        <f t="shared" si="107"/>
        <v>0,99999931584479+0,0051346888572277i</v>
      </c>
      <c r="AA144" s="4">
        <f t="shared" si="123"/>
        <v>1.0000124982817509</v>
      </c>
      <c r="AB144" s="4">
        <f t="shared" si="124"/>
        <v>5.1346472453674416E-3</v>
      </c>
      <c r="AC144" s="47" t="str">
        <f t="shared" si="125"/>
        <v>0,367127060117283-6,68459953635695i</v>
      </c>
      <c r="AD144" s="20">
        <f t="shared" si="126"/>
        <v>16.514588022360876</v>
      </c>
      <c r="AE144" s="43">
        <f t="shared" si="127"/>
        <v>-86.856398100491219</v>
      </c>
      <c r="AF144" t="str">
        <f t="shared" si="108"/>
        <v>405,634542683733</v>
      </c>
      <c r="AG144" t="str">
        <f t="shared" si="109"/>
        <v>1+8,80079980722891i</v>
      </c>
      <c r="AH144">
        <f t="shared" si="128"/>
        <v>8.8574306233196332</v>
      </c>
      <c r="AI144">
        <f t="shared" si="129"/>
        <v>1.4576555407101466</v>
      </c>
      <c r="AJ144" t="str">
        <f t="shared" si="110"/>
        <v>1+0,00148635730077644i</v>
      </c>
      <c r="AK144">
        <f t="shared" si="130"/>
        <v>1.0000011046284027</v>
      </c>
      <c r="AL144">
        <f t="shared" si="131"/>
        <v>1.4863562061956258E-3</v>
      </c>
      <c r="AM144" t="str">
        <f t="shared" si="111"/>
        <v>1-0,00801088331054694i</v>
      </c>
      <c r="AN144">
        <f t="shared" si="132"/>
        <v>1.0000320866109322</v>
      </c>
      <c r="AO144">
        <f t="shared" si="133"/>
        <v>-8.010711952998394E-3</v>
      </c>
      <c r="AP144" s="41" t="str">
        <f t="shared" si="134"/>
        <v>4,87351869736135-45,5374355364656i</v>
      </c>
      <c r="AQ144">
        <f t="shared" si="135"/>
        <v>33.216831727317462</v>
      </c>
      <c r="AR144" s="43">
        <f t="shared" si="136"/>
        <v>-83.891328514885075</v>
      </c>
      <c r="AS144" t="str">
        <f t="shared" si="112"/>
        <v>-0,0000166666666666667</v>
      </c>
      <c r="AT144" t="str">
        <f t="shared" si="113"/>
        <v>0,000253252417016909i</v>
      </c>
      <c r="AU144">
        <f t="shared" si="137"/>
        <v>2.5325241701690899E-4</v>
      </c>
      <c r="AV144">
        <f t="shared" si="138"/>
        <v>1.5707963267948966</v>
      </c>
      <c r="AW144" t="str">
        <f t="shared" si="114"/>
        <v>1+0,00902809140148635i</v>
      </c>
      <c r="AX144">
        <f t="shared" si="139"/>
        <v>1.0000407523867982</v>
      </c>
      <c r="AY144">
        <f t="shared" si="140"/>
        <v>9.0278461309678624E-3</v>
      </c>
      <c r="AZ144" t="str">
        <f t="shared" si="115"/>
        <v>1+1,33314816361948i</v>
      </c>
      <c r="BA144">
        <f t="shared" si="141"/>
        <v>1.6665185345989981</v>
      </c>
      <c r="BB144">
        <f t="shared" si="142"/>
        <v>0.92722855097926127</v>
      </c>
      <c r="BC144" s="41" t="str">
        <f t="shared" si="143"/>
        <v>-0,0871338940745207+0,0665971467444326i</v>
      </c>
      <c r="BD144">
        <f t="shared" si="144"/>
        <v>-19.19824798679582</v>
      </c>
      <c r="BE144" s="43">
        <f t="shared" si="145"/>
        <v>142.60902513374464</v>
      </c>
      <c r="BF144" s="41" t="str">
        <f t="shared" si="146"/>
        <v>0,41318604588238+0,606904802628i</v>
      </c>
      <c r="BG144" s="20">
        <f t="shared" si="147"/>
        <v>-2.6836599644349439</v>
      </c>
      <c r="BH144" s="43">
        <f t="shared" si="148"/>
        <v>55.752627033253461</v>
      </c>
      <c r="BI144" s="41" t="str">
        <f t="shared" si="152"/>
        <v>2,60801461484106+4,29241652430962i</v>
      </c>
      <c r="BJ144" s="20">
        <f t="shared" si="149"/>
        <v>14.018583740521644</v>
      </c>
      <c r="BK144" s="43">
        <f t="shared" si="153"/>
        <v>58.71769661885957</v>
      </c>
      <c r="BL144">
        <f t="shared" si="150"/>
        <v>-2.6836599644349439</v>
      </c>
      <c r="BM144" s="43">
        <f t="shared" si="151"/>
        <v>55.752627033253461</v>
      </c>
    </row>
    <row r="145" spans="14:65" x14ac:dyDescent="0.35">
      <c r="N145" s="9">
        <v>27</v>
      </c>
      <c r="O145" s="34">
        <f t="shared" si="154"/>
        <v>186.20871366628685</v>
      </c>
      <c r="P145" s="33" t="str">
        <f t="shared" si="103"/>
        <v>59,1053597814893</v>
      </c>
      <c r="Q145" s="4" t="str">
        <f t="shared" si="104"/>
        <v>1+8,98980116008157i</v>
      </c>
      <c r="R145" s="4">
        <f t="shared" si="117"/>
        <v>9.0452487471491878</v>
      </c>
      <c r="S145" s="4">
        <f t="shared" si="118"/>
        <v>1.4600145901443369</v>
      </c>
      <c r="T145" s="4" t="str">
        <f t="shared" si="105"/>
        <v>1+0,00152097900990987i</v>
      </c>
      <c r="U145" s="4">
        <f t="shared" si="119"/>
        <v>1.0000011566879052</v>
      </c>
      <c r="V145" s="4">
        <f t="shared" si="120"/>
        <v>1.5209778370454696E-3</v>
      </c>
      <c r="W145" t="str">
        <f t="shared" si="106"/>
        <v>1-0,0561592249812875i</v>
      </c>
      <c r="X145" s="4">
        <f t="shared" si="121"/>
        <v>1.0015756878791033</v>
      </c>
      <c r="Y145" s="4">
        <f t="shared" si="122"/>
        <v>-5.6100297034106475E-2</v>
      </c>
      <c r="Z145" t="str">
        <f t="shared" si="107"/>
        <v>0,999999283601549+0,00525429112514317i</v>
      </c>
      <c r="AA145" s="4">
        <f t="shared" si="123"/>
        <v>1.0000130873037807</v>
      </c>
      <c r="AB145" s="4">
        <f t="shared" si="124"/>
        <v>5.2542465372630628E-3</v>
      </c>
      <c r="AC145" s="47" t="str">
        <f t="shared" si="125"/>
        <v>0,333292575957434-6,53613549644716i</v>
      </c>
      <c r="AD145" s="20">
        <f t="shared" si="126"/>
        <v>16.317698866172371</v>
      </c>
      <c r="AE145" s="43">
        <f t="shared" si="127"/>
        <v>-87.080884832588538</v>
      </c>
      <c r="AF145" t="str">
        <f t="shared" si="108"/>
        <v>405,634542683733</v>
      </c>
      <c r="AG145" t="str">
        <f t="shared" si="109"/>
        <v>1+9,00579676920315i</v>
      </c>
      <c r="AH145">
        <f t="shared" si="128"/>
        <v>9.0611464753744002</v>
      </c>
      <c r="AI145">
        <f t="shared" si="129"/>
        <v>1.4602097529802154</v>
      </c>
      <c r="AJ145" t="str">
        <f t="shared" si="110"/>
        <v>1+0,00152097900990987i</v>
      </c>
      <c r="AK145">
        <f t="shared" si="130"/>
        <v>1.0000011566879052</v>
      </c>
      <c r="AL145">
        <f t="shared" si="131"/>
        <v>1.5209778370454696E-3</v>
      </c>
      <c r="AM145" t="str">
        <f t="shared" si="111"/>
        <v>1-0,00819748075366153i</v>
      </c>
      <c r="AN145">
        <f t="shared" si="132"/>
        <v>1.0000335987809144</v>
      </c>
      <c r="AO145">
        <f t="shared" si="133"/>
        <v>-8.1972971410733432E-3</v>
      </c>
      <c r="AP145" s="41" t="str">
        <f t="shared" si="134"/>
        <v>4,64347876254951-44,5264457691857i</v>
      </c>
      <c r="AQ145">
        <f t="shared" si="135"/>
        <v>33.019337482412958</v>
      </c>
      <c r="AR145" s="43">
        <f t="shared" si="136"/>
        <v>-84.046380968409352</v>
      </c>
      <c r="AS145" t="str">
        <f t="shared" si="112"/>
        <v>-0,0000166666666666667</v>
      </c>
      <c r="AT145" t="str">
        <f t="shared" si="113"/>
        <v>0,000259151423611567i</v>
      </c>
      <c r="AU145">
        <f t="shared" si="137"/>
        <v>2.5915142361156699E-4</v>
      </c>
      <c r="AV145">
        <f t="shared" si="138"/>
        <v>1.5707963267948966</v>
      </c>
      <c r="AW145" t="str">
        <f t="shared" si="114"/>
        <v>1+0,00923838266481111i</v>
      </c>
      <c r="AX145">
        <f t="shared" si="139"/>
        <v>1.0000426729466405</v>
      </c>
      <c r="AY145">
        <f t="shared" si="140"/>
        <v>9.2381198533212239E-3</v>
      </c>
      <c r="AZ145" t="str">
        <f t="shared" si="115"/>
        <v>1+1,36420117350377i</v>
      </c>
      <c r="BA145">
        <f t="shared" si="141"/>
        <v>1.6914623382709599</v>
      </c>
      <c r="BB145">
        <f t="shared" si="142"/>
        <v>0.93824495881698933</v>
      </c>
      <c r="BC145" s="41" t="str">
        <f t="shared" si="143"/>
        <v>-0,0871335593974078+0,0651174374158611i</v>
      </c>
      <c r="BD145">
        <f t="shared" si="144"/>
        <v>-19.269220984092343</v>
      </c>
      <c r="BE145" s="43">
        <f t="shared" si="145"/>
        <v>143.22817101140791</v>
      </c>
      <c r="BF145" s="41" t="str">
        <f t="shared" si="146"/>
        <v>0,396575425667584+0,591219908965263i</v>
      </c>
      <c r="BG145" s="20">
        <f t="shared" si="147"/>
        <v>-2.9515221179199722</v>
      </c>
      <c r="BH145" s="43">
        <f t="shared" si="148"/>
        <v>56.147286178819364</v>
      </c>
      <c r="BI145" s="41" t="str">
        <f t="shared" si="152"/>
        <v>2,49484521315847+4,182119144897i</v>
      </c>
      <c r="BJ145" s="20">
        <f t="shared" si="149"/>
        <v>13.750116498320615</v>
      </c>
      <c r="BK145" s="43">
        <f t="shared" si="153"/>
        <v>59.181790042998628</v>
      </c>
      <c r="BL145">
        <f t="shared" si="150"/>
        <v>-2.9515221179199722</v>
      </c>
      <c r="BM145" s="43">
        <f t="shared" si="151"/>
        <v>56.147286178819364</v>
      </c>
    </row>
    <row r="146" spans="14:65" x14ac:dyDescent="0.35">
      <c r="N146" s="9">
        <v>28</v>
      </c>
      <c r="O146" s="34">
        <f t="shared" si="154"/>
        <v>190.54607179632498</v>
      </c>
      <c r="P146" s="33" t="str">
        <f t="shared" si="103"/>
        <v>59,1053597814893</v>
      </c>
      <c r="Q146" s="4" t="str">
        <f t="shared" si="104"/>
        <v>1+9,19920052910894i</v>
      </c>
      <c r="R146" s="4">
        <f t="shared" si="117"/>
        <v>9.2533934518509575</v>
      </c>
      <c r="S146" s="4">
        <f t="shared" si="118"/>
        <v>1.4625163998816739</v>
      </c>
      <c r="T146" s="4" t="str">
        <f t="shared" si="105"/>
        <v>1+0,0015564071622469i</v>
      </c>
      <c r="U146" s="4">
        <f t="shared" si="119"/>
        <v>1.0000012112008938</v>
      </c>
      <c r="V146" s="4">
        <f t="shared" si="120"/>
        <v>1.5564059055001348E-3</v>
      </c>
      <c r="W146" t="str">
        <f t="shared" si="106"/>
        <v>1-0,0574673413752702i</v>
      </c>
      <c r="X146" s="4">
        <f t="shared" si="121"/>
        <v>1.0016498865994754</v>
      </c>
      <c r="Y146" s="4">
        <f t="shared" si="122"/>
        <v>-5.7404204558151727E-2</v>
      </c>
      <c r="Z146" t="str">
        <f t="shared" si="107"/>
        <v>0,99999924983873+0,00537667928776201i</v>
      </c>
      <c r="AA146" s="4">
        <f t="shared" si="123"/>
        <v>1.000013704085192</v>
      </c>
      <c r="AB146" s="4">
        <f t="shared" si="124"/>
        <v>5.376631511023031E-3</v>
      </c>
      <c r="AC146" s="47" t="str">
        <f t="shared" si="125"/>
        <v>0,300944518502017-6,39080208219611i</v>
      </c>
      <c r="AD146" s="20">
        <f t="shared" si="126"/>
        <v>16.120727145523986</v>
      </c>
      <c r="AE146" s="43">
        <f t="shared" si="127"/>
        <v>-87.303918633359331</v>
      </c>
      <c r="AF146" t="str">
        <f t="shared" si="108"/>
        <v>405,634542683733</v>
      </c>
      <c r="AG146" t="str">
        <f t="shared" si="109"/>
        <v>1+9,21556872383031i</v>
      </c>
      <c r="AH146">
        <f t="shared" si="128"/>
        <v>9.2696659542639086</v>
      </c>
      <c r="AI146">
        <f t="shared" si="129"/>
        <v>1.4627072250582396</v>
      </c>
      <c r="AJ146" t="str">
        <f t="shared" si="110"/>
        <v>1+0,0015564071622469i</v>
      </c>
      <c r="AK146">
        <f t="shared" si="130"/>
        <v>1.0000012112008938</v>
      </c>
      <c r="AL146">
        <f t="shared" si="131"/>
        <v>1.5564059055001348E-3</v>
      </c>
      <c r="AM146" t="str">
        <f t="shared" si="111"/>
        <v>1-0,00838842460957826i</v>
      </c>
      <c r="AN146">
        <f t="shared" si="132"/>
        <v>1.0000351822148212</v>
      </c>
      <c r="AO146">
        <f t="shared" si="133"/>
        <v>-8.3882278655191614E-3</v>
      </c>
      <c r="AP146" s="41" t="str">
        <f t="shared" si="134"/>
        <v>4,42354566718266-43,5367913717792i</v>
      </c>
      <c r="AQ146">
        <f t="shared" si="135"/>
        <v>32.82173304745222</v>
      </c>
      <c r="AR146" s="43">
        <f t="shared" si="136"/>
        <v>-84.198385223823266</v>
      </c>
      <c r="AS146" t="str">
        <f t="shared" si="112"/>
        <v>-0,0000166666666666667</v>
      </c>
      <c r="AT146" t="str">
        <f t="shared" si="113"/>
        <v>0,000265187835721297i</v>
      </c>
      <c r="AU146">
        <f t="shared" si="137"/>
        <v>2.6518783572129702E-4</v>
      </c>
      <c r="AV146">
        <f t="shared" si="138"/>
        <v>1.5707963267948966</v>
      </c>
      <c r="AW146" t="str">
        <f t="shared" si="114"/>
        <v>1+0,00945357224090929i</v>
      </c>
      <c r="AX146">
        <f t="shared" si="139"/>
        <v>1.0000446840157264</v>
      </c>
      <c r="AY146">
        <f t="shared" si="140"/>
        <v>9.4532906340038161E-3</v>
      </c>
      <c r="AZ146" t="str">
        <f t="shared" si="115"/>
        <v>1+1,3959775009076i</v>
      </c>
      <c r="BA146">
        <f t="shared" si="141"/>
        <v>1.717193402922405</v>
      </c>
      <c r="BB146">
        <f t="shared" si="142"/>
        <v>0.94918529887678915</v>
      </c>
      <c r="BC146" s="41" t="str">
        <f t="shared" si="143"/>
        <v>-0,0871332089502052+0,0636722539230566i</v>
      </c>
      <c r="BD146">
        <f t="shared" si="144"/>
        <v>-19.338100870831465</v>
      </c>
      <c r="BE146" s="43">
        <f t="shared" si="145"/>
        <v>143.84267794566466</v>
      </c>
      <c r="BF146" s="41" t="str">
        <f t="shared" si="146"/>
        <v>0,380694511336534+0,576012908986212i</v>
      </c>
      <c r="BG146" s="20">
        <f t="shared" si="147"/>
        <v>-3.2173737253074881</v>
      </c>
      <c r="BH146" s="43">
        <f t="shared" si="148"/>
        <v>56.538759312305352</v>
      </c>
      <c r="BI146" s="41" t="str">
        <f t="shared" si="152"/>
        <v>2,38664790629966+4,07515746257982i</v>
      </c>
      <c r="BJ146" s="20">
        <f t="shared" si="149"/>
        <v>13.483632176620748</v>
      </c>
      <c r="BK146" s="43">
        <f t="shared" si="153"/>
        <v>59.64429272184146</v>
      </c>
      <c r="BL146">
        <f t="shared" si="150"/>
        <v>-3.2173737253074881</v>
      </c>
      <c r="BM146" s="43">
        <f t="shared" si="151"/>
        <v>56.538759312305352</v>
      </c>
    </row>
    <row r="147" spans="14:65" x14ac:dyDescent="0.35">
      <c r="N147" s="9">
        <v>29</v>
      </c>
      <c r="O147" s="34">
        <f t="shared" si="154"/>
        <v>194.98445997580458</v>
      </c>
      <c r="P147" s="33" t="str">
        <f t="shared" ref="P147:P210" si="155">COMPLEX(Adc,0)</f>
        <v>59,1053597814893</v>
      </c>
      <c r="Q147" s="4" t="str">
        <f t="shared" ref="Q147:Q210" si="156">IMSUM(COMPLEX(1,0),IMDIV(COMPLEX(0,2*PI()*O147),COMPLEX(wp_lf,0)))</f>
        <v>1+9,41347743602253i</v>
      </c>
      <c r="R147" s="4">
        <f t="shared" si="117"/>
        <v>9.4664437587990395</v>
      </c>
      <c r="S147" s="4">
        <f t="shared" si="118"/>
        <v>1.4649625770827637</v>
      </c>
      <c r="T147" s="4" t="str">
        <f t="shared" ref="T147:T210" si="157">IMSUM(COMPLEX(1,0),IMDIV(COMPLEX(0,2*PI()*O147),COMPLEX(wz_esr,0)))</f>
        <v>1+0,00159266054226282i</v>
      </c>
      <c r="U147" s="4">
        <f t="shared" si="119"/>
        <v>1.0000012682829971</v>
      </c>
      <c r="V147" s="4">
        <f t="shared" si="120"/>
        <v>1.5926591956344916E-3</v>
      </c>
      <c r="W147" t="str">
        <f t="shared" ref="W147:W210" si="158">IMSUB(COMPLEX(1,0),IMDIV(COMPLEX(0,2*PI()*O147),COMPLEX(wz_rhp,0)))</f>
        <v>1-0,0588059277143195i</v>
      </c>
      <c r="X147" s="4">
        <f t="shared" si="121"/>
        <v>1.0017275763072222</v>
      </c>
      <c r="Y147" s="4">
        <f t="shared" si="122"/>
        <v>-5.8738281695688482E-2</v>
      </c>
      <c r="Z147" t="str">
        <f t="shared" ref="Z147:Z210" si="159">IMSUM(COMPLEX(1,0),IMDIV(COMPLEX(0,2*PI()*O147),COMPLEX(Q*(wsl/2),0)),IMDIV(IMPOWER(COMPLEX(0,2*PI()*O147),2),IMPOWER(COMPLEX(wsl/2,0),2)))</f>
        <v>0,999999214484718+0,00550191823690791i</v>
      </c>
      <c r="AA147" s="4">
        <f t="shared" si="123"/>
        <v>1.0000143499342091</v>
      </c>
      <c r="AB147" s="4">
        <f t="shared" si="124"/>
        <v>5.5018670432494003E-3</v>
      </c>
      <c r="AC147" s="47" t="str">
        <f t="shared" si="125"/>
        <v>0,270019137589964-6,24854407364046i</v>
      </c>
      <c r="AD147" s="20">
        <f t="shared" si="126"/>
        <v>15.923679090242288</v>
      </c>
      <c r="AE147" s="43">
        <f t="shared" si="127"/>
        <v>-87.525609559372128</v>
      </c>
      <c r="AF147" t="str">
        <f t="shared" ref="AF147:AF210" si="160">COMPLEX($B$72,0)</f>
        <v>405,634542683733</v>
      </c>
      <c r="AG147" t="str">
        <f t="shared" ref="AG147:AG210" si="161">IMSUM(COMPLEX(1,0),IMDIV(COMPLEX(0,2*PI()*O147),COMPLEX(wp_lf_DCM,0)))</f>
        <v>1+9,43022689497719i</v>
      </c>
      <c r="AH147">
        <f t="shared" si="128"/>
        <v>9.4830996668152316</v>
      </c>
      <c r="AI147">
        <f t="shared" si="129"/>
        <v>1.4651491564480705</v>
      </c>
      <c r="AJ147" t="str">
        <f t="shared" ref="AJ147:AJ210" si="162">IMSUM(COMPLEX(1,0),IMDIV(COMPLEX(0,2*PI()*O147),COMPLEX(wz1_dcm,0)))</f>
        <v>1+0,00159266054226282i</v>
      </c>
      <c r="AK147">
        <f t="shared" si="130"/>
        <v>1.0000012682829971</v>
      </c>
      <c r="AL147">
        <f t="shared" si="131"/>
        <v>1.5926591956344916E-3</v>
      </c>
      <c r="AM147" t="str">
        <f t="shared" ref="AM147:AM210" si="163">IMSUB(COMPLEX(1,0),IMDIV(COMPLEX(0,2*PI()*O147),COMPLEX(wz2_dcm,0)))</f>
        <v>1-0,00858381611925681i</v>
      </c>
      <c r="AN147">
        <f t="shared" si="132"/>
        <v>1.0000368402709818</v>
      </c>
      <c r="AO147">
        <f t="shared" si="133"/>
        <v>-8.5836053046187376E-3</v>
      </c>
      <c r="AP147" s="41" t="str">
        <f t="shared" si="134"/>
        <v>4,21328586162716-42,5680958438484i</v>
      </c>
      <c r="AQ147">
        <f t="shared" si="135"/>
        <v>32.624023324597189</v>
      </c>
      <c r="AR147" s="43">
        <f t="shared" si="136"/>
        <v>-84.347414728475414</v>
      </c>
      <c r="AS147" t="str">
        <f t="shared" ref="AS147:AS210" si="164">COMPLEX(Adc_ea,0)</f>
        <v>-0,0000166666666666667</v>
      </c>
      <c r="AT147" t="str">
        <f t="shared" ref="AT147:AT210" si="165">COMPLEX(0,2*PI()*O147*wp0_ea)</f>
        <v>0,000271364853931703i</v>
      </c>
      <c r="AU147">
        <f t="shared" si="137"/>
        <v>2.7136485393170298E-4</v>
      </c>
      <c r="AV147">
        <f t="shared" si="138"/>
        <v>1.5707963267948966</v>
      </c>
      <c r="AW147" t="str">
        <f t="shared" ref="AW147:AW210" si="166">IMSUM(COMPLEX(1,0),IMDIV(COMPLEX(0,2*PI()*O147),COMPLEX(wp1_ea,0)))</f>
        <v>1+0,00967377422614228i</v>
      </c>
      <c r="AX147">
        <f t="shared" si="139"/>
        <v>1.0000467898592438</v>
      </c>
      <c r="AY147">
        <f t="shared" si="140"/>
        <v>9.6734724796690725E-3</v>
      </c>
      <c r="AZ147" t="str">
        <f t="shared" ref="AZ147:AZ210" si="167">IMSUM(COMPLEX(1,0),IMDIV(COMPLEX(0,2*PI()*O147),COMPLEX(wz_ea,0)))</f>
        <v>1+1,42849399406034i</v>
      </c>
      <c r="BA147">
        <f t="shared" si="141"/>
        <v>1.7437302231327136</v>
      </c>
      <c r="BB147">
        <f t="shared" si="142"/>
        <v>0.96004489643871727</v>
      </c>
      <c r="BC147" s="41" t="str">
        <f t="shared" si="143"/>
        <v>-0,0871328419899547+0,0622608299897585i</v>
      </c>
      <c r="BD147">
        <f t="shared" si="144"/>
        <v>-19.404917487916261</v>
      </c>
      <c r="BE147" s="43">
        <f t="shared" si="145"/>
        <v>144.45227156269169</v>
      </c>
      <c r="BF147" s="41" t="str">
        <f t="shared" si="146"/>
        <v>0,365512005402552+0,561265019055252i</v>
      </c>
      <c r="BG147" s="20">
        <f t="shared" si="147"/>
        <v>-3.4812383976739691</v>
      </c>
      <c r="BH147" s="43">
        <f t="shared" si="148"/>
        <v>56.926662003319542</v>
      </c>
      <c r="BI147" s="41" t="str">
        <f t="shared" si="152"/>
        <v>2,28320940708192+3,97140184370431i</v>
      </c>
      <c r="BJ147" s="20">
        <f t="shared" si="149"/>
        <v>13.219105836680928</v>
      </c>
      <c r="BK147" s="43">
        <f t="shared" si="153"/>
        <v>60.104856834216307</v>
      </c>
      <c r="BL147">
        <f t="shared" si="150"/>
        <v>-3.4812383976739691</v>
      </c>
      <c r="BM147" s="43">
        <f t="shared" si="151"/>
        <v>56.926662003319542</v>
      </c>
    </row>
    <row r="148" spans="14:65" x14ac:dyDescent="0.35">
      <c r="N148" s="9">
        <v>30</v>
      </c>
      <c r="O148" s="34">
        <f t="shared" si="154"/>
        <v>199.52623149688802</v>
      </c>
      <c r="P148" s="33" t="str">
        <f t="shared" si="155"/>
        <v>59,1053597814893</v>
      </c>
      <c r="Q148" s="4" t="str">
        <f t="shared" si="156"/>
        <v>1+9,63274549327487i</v>
      </c>
      <c r="R148" s="4">
        <f t="shared" ref="R148:R211" si="168">IMABS(Q148)</f>
        <v>9.6845126742757337</v>
      </c>
      <c r="S148" s="4">
        <f t="shared" ref="S148:S211" si="169">IMARGUMENT(Q148)</f>
        <v>1.467354301580226</v>
      </c>
      <c r="T148" s="4" t="str">
        <f t="shared" si="157"/>
        <v>1+0,00162975837197961i</v>
      </c>
      <c r="U148" s="4">
        <f t="shared" ref="U148:U211" si="170">IMABS(T148)</f>
        <v>1.0000013280552935</v>
      </c>
      <c r="V148" s="4">
        <f t="shared" ref="V148:V211" si="171">IMARGUMENT(T148)</f>
        <v>1.6297569290414625E-3</v>
      </c>
      <c r="W148" t="str">
        <f t="shared" si="158"/>
        <v>1-0,0601756937346318i</v>
      </c>
      <c r="X148" s="4">
        <f t="shared" ref="X148:X211" si="172">IMABS(W148)</f>
        <v>1.0018089209607011</v>
      </c>
      <c r="Y148" s="4">
        <f t="shared" ref="Y148:Y211" si="173">IMARGUMENT(W148)</f>
        <v>-6.0103216786615149E-2</v>
      </c>
      <c r="Z148" t="str">
        <f t="shared" si="159"/>
        <v>0,999999177464524+0,00563007437592955i</v>
      </c>
      <c r="AA148" s="4">
        <f t="shared" ref="AA148:AA211" si="174">IMABS(Z148)</f>
        <v>1.0000150262207079</v>
      </c>
      <c r="AB148" s="4">
        <f t="shared" ref="AB148:AB211" si="175">IMARGUMENT(Z148)</f>
        <v>5.6300195209806302E-3</v>
      </c>
      <c r="AC148" s="47" t="str">
        <f t="shared" ref="AC148:AC211" si="176">(IMDIV(IMPRODUCT(P148,T148,W148),IMPRODUCT(Q148,Z148)))</f>
        <v>0,240455282300236-6,10930647906685i</v>
      </c>
      <c r="AD148" s="20">
        <f t="shared" ref="AD148:AD211" si="177">20*LOG(IMABS(AC148))</f>
        <v>15.726560782611632</v>
      </c>
      <c r="AE148" s="43">
        <f t="shared" ref="AE148:AE211" si="178">(180/PI())*IMARGUMENT(AC148)</f>
        <v>-87.746067351408598</v>
      </c>
      <c r="AF148" t="str">
        <f t="shared" si="160"/>
        <v>405,634542683733</v>
      </c>
      <c r="AG148" t="str">
        <f t="shared" si="161"/>
        <v>1+9,64988509724767i</v>
      </c>
      <c r="AH148">
        <f t="shared" ref="AH148:AH211" si="179">IMABS(AG148)</f>
        <v>9.7015608223668153</v>
      </c>
      <c r="AI148">
        <f t="shared" ref="AI148:AI211" si="180">IMARGUMENT(AG148)</f>
        <v>1.4675367253401483</v>
      </c>
      <c r="AJ148" t="str">
        <f t="shared" si="162"/>
        <v>1+0,00162975837197961i</v>
      </c>
      <c r="AK148">
        <f t="shared" ref="AK148:AK211" si="181">IMABS(AJ148)</f>
        <v>1.0000013280552935</v>
      </c>
      <c r="AL148">
        <f t="shared" ref="AL148:AL211" si="182">IMARGUMENT(AJ148)</f>
        <v>1.6297569290414625E-3</v>
      </c>
      <c r="AM148" t="str">
        <f t="shared" si="163"/>
        <v>1-0,00878375888186208i</v>
      </c>
      <c r="AN148">
        <f t="shared" ref="AN148:AN211" si="183">IMABS(AM148)</f>
        <v>1.0000385764659754</v>
      </c>
      <c r="AO148">
        <f t="shared" ref="AO148:AO211" si="184">IMARGUMENT(AM148)</f>
        <v>-8.7835329903781772E-3</v>
      </c>
      <c r="AP148" s="41" t="str">
        <f t="shared" ref="AP148:AP211" si="185">(IMDIV(IMPRODUCT(AF148,AJ148,AM148),IMPRODUCT(AG148)))</f>
        <v>4,012283479246-41,6199842774943i</v>
      </c>
      <c r="AQ148">
        <f t="shared" ref="AQ148:AQ211" si="186">20*LOG(IMABS(AP148))</f>
        <v>32.426213008208364</v>
      </c>
      <c r="AR148" s="43">
        <f t="shared" ref="AR148:AR211" si="187">(180/PI())*IMARGUMENT(AP148)</f>
        <v>-84.493541818336297</v>
      </c>
      <c r="AS148" t="str">
        <f t="shared" si="164"/>
        <v>-0,0000166666666666667</v>
      </c>
      <c r="AT148" t="str">
        <f t="shared" si="165"/>
        <v>0,000277685753379602i</v>
      </c>
      <c r="AU148">
        <f t="shared" ref="AU148:AU211" si="188">IMABS(AT148)</f>
        <v>2.7768575337960198E-4</v>
      </c>
      <c r="AV148">
        <f t="shared" ref="AV148:AV211" si="189">IMARGUMENT(AT148)</f>
        <v>1.5707963267948966</v>
      </c>
      <c r="AW148" t="str">
        <f t="shared" si="166"/>
        <v>1+0,00989910537451759i</v>
      </c>
      <c r="AX148">
        <f t="shared" ref="AX148:AX211" si="190">IMABS(AW148)</f>
        <v>1.0000489949433555</v>
      </c>
      <c r="AY148">
        <f t="shared" ref="AY148:AY211" si="191">IMARGUMENT(AW148)</f>
        <v>9.8987820482017898E-3</v>
      </c>
      <c r="AZ148" t="str">
        <f t="shared" si="167"/>
        <v>1+1,4617678936371i</v>
      </c>
      <c r="BA148">
        <f t="shared" ref="BA148:BA211" si="192">IMABS(AZ148)</f>
        <v>1.7710915772111402</v>
      </c>
      <c r="BB148">
        <f t="shared" ref="BB148:BB211" si="193">IMARGUMENT(AZ148)</f>
        <v>0.97081926410855734</v>
      </c>
      <c r="BC148" s="41" t="str">
        <f t="shared" ref="BC148:BC211" si="194">IMPRODUCT(AS148,IMDIV(AZ148,IMPRODUCT(AT148,AW148)))</f>
        <v>-0,0871324577387143+0,0608824172379823i</v>
      </c>
      <c r="BD148">
        <f t="shared" ref="BD148:BD211" si="195">20*LOG(IMABS(BC148))</f>
        <v>-19.469702186599953</v>
      </c>
      <c r="BE148" s="43">
        <f t="shared" ref="BE148:BE211" si="196">(180/PI())*IMARGUMENT(BC148)</f>
        <v>145.05668806973489</v>
      </c>
      <c r="BF148" s="41" t="str">
        <f t="shared" ref="BF148:BF211" si="197">IMPRODUCT(AC148,BC148)</f>
        <v>0,350997886370181+0,546958387424226i</v>
      </c>
      <c r="BG148" s="20">
        <f t="shared" ref="BG148:BG211" si="198">20*LOG(IMABS(BF148))</f>
        <v>-3.7431414039883144</v>
      </c>
      <c r="BH148" s="43">
        <f t="shared" ref="BH148:BH211" si="199">(180/PI())*IMARGUMENT(BF148)</f>
        <v>57.310620718326319</v>
      </c>
      <c r="BI148" s="41" t="str">
        <f t="shared" si="152"/>
        <v>2,18432512752953+3,87072903800524i</v>
      </c>
      <c r="BJ148" s="20">
        <f t="shared" ref="BJ148:BJ211" si="200">20*LOG(IMABS(BI148))</f>
        <v>12.956510821608404</v>
      </c>
      <c r="BK148" s="43">
        <f t="shared" si="153"/>
        <v>60.563146251398571</v>
      </c>
      <c r="BL148">
        <f t="shared" ref="BL148:BL211" si="201">IF($B$31=0,BJ148,BG148)</f>
        <v>-3.7431414039883144</v>
      </c>
      <c r="BM148" s="43">
        <f t="shared" ref="BM148:BM211" si="202">IF($B$31=0,BK148,BH148)</f>
        <v>57.310620718326319</v>
      </c>
    </row>
    <row r="149" spans="14:65" x14ac:dyDescent="0.35">
      <c r="N149" s="9">
        <v>31</v>
      </c>
      <c r="O149" s="34">
        <f t="shared" si="154"/>
        <v>204.17379446695315</v>
      </c>
      <c r="P149" s="33" t="str">
        <f t="shared" si="155"/>
        <v>59,1053597814893</v>
      </c>
      <c r="Q149" s="4" t="str">
        <f t="shared" si="156"/>
        <v>1+9,85712095969216i</v>
      </c>
      <c r="R149" s="4">
        <f t="shared" si="168"/>
        <v>9.9077158625993373</v>
      </c>
      <c r="S149" s="4">
        <f t="shared" si="169"/>
        <v>1.4696927319863646</v>
      </c>
      <c r="T149" s="4" t="str">
        <f t="shared" si="157"/>
        <v>1+0,00166772032115762i</v>
      </c>
      <c r="U149" s="4">
        <f t="shared" si="170"/>
        <v>1.0000013906445679</v>
      </c>
      <c r="V149" s="4">
        <f t="shared" si="171"/>
        <v>1.6677187750216548E-3</v>
      </c>
      <c r="W149" t="str">
        <f t="shared" si="158"/>
        <v>1-0,0615773657042814i</v>
      </c>
      <c r="X149" s="4">
        <f t="shared" si="172"/>
        <v>1.0018940921909256</v>
      </c>
      <c r="Y149" s="4">
        <f t="shared" si="173"/>
        <v>-6.1499713182571025E-2</v>
      </c>
      <c r="Z149" t="str">
        <f t="shared" si="159"/>
        <v>0,999999138699621+0,00576121565490813i</v>
      </c>
      <c r="AA149" s="4">
        <f t="shared" si="174"/>
        <v>1.0000157343791176</v>
      </c>
      <c r="AB149" s="4">
        <f t="shared" si="175"/>
        <v>5.7611568768212865E-3</v>
      </c>
      <c r="AC149" s="47" t="str">
        <f t="shared" si="176"/>
        <v>0,212194306848905-5,97303459359968i</v>
      </c>
      <c r="AD149" s="20">
        <f t="shared" si="177"/>
        <v>15.529378168809176</v>
      </c>
      <c r="AE149" s="43">
        <f t="shared" si="178"/>
        <v>-87.965401457427888</v>
      </c>
      <c r="AF149" t="str">
        <f t="shared" si="160"/>
        <v>405,634542683733</v>
      </c>
      <c r="AG149" t="str">
        <f t="shared" si="161"/>
        <v>1+9,874659796328i</v>
      </c>
      <c r="AH149">
        <f t="shared" si="179"/>
        <v>9.9251652929921796</v>
      </c>
      <c r="AI149">
        <f t="shared" si="180"/>
        <v>1.4698710887132456</v>
      </c>
      <c r="AJ149" t="str">
        <f t="shared" si="162"/>
        <v>1+0,00166772032115762i</v>
      </c>
      <c r="AK149">
        <f t="shared" si="181"/>
        <v>1.0000013906445679</v>
      </c>
      <c r="AL149">
        <f t="shared" si="182"/>
        <v>1.6677187750216548E-3</v>
      </c>
      <c r="AM149" t="str">
        <f t="shared" si="163"/>
        <v>1-0,00898835890969328i</v>
      </c>
      <c r="AN149">
        <f t="shared" si="183"/>
        <v>1.0000403944820877</v>
      </c>
      <c r="AO149">
        <f t="shared" si="184"/>
        <v>-8.9881168631354286E-3</v>
      </c>
      <c r="AP149" s="41" t="str">
        <f t="shared" si="185"/>
        <v>3,82013969558327-40,6920837543464i</v>
      </c>
      <c r="AQ149">
        <f t="shared" si="186"/>
        <v>32.228306593466094</v>
      </c>
      <c r="AR149" s="43">
        <f t="shared" si="187"/>
        <v>-84.636837726372946</v>
      </c>
      <c r="AS149" t="str">
        <f t="shared" si="164"/>
        <v>-0,0000166666666666667</v>
      </c>
      <c r="AT149" t="str">
        <f t="shared" si="165"/>
        <v>0,000284153885489549i</v>
      </c>
      <c r="AU149">
        <f t="shared" si="188"/>
        <v>2.8415388548954902E-4</v>
      </c>
      <c r="AV149">
        <f t="shared" si="189"/>
        <v>1.5707963267948966</v>
      </c>
      <c r="AW149" t="str">
        <f t="shared" si="166"/>
        <v>1+0,0101296851595926i</v>
      </c>
      <c r="AX149">
        <f t="shared" si="190"/>
        <v>1.000051303944669</v>
      </c>
      <c r="AY149">
        <f t="shared" si="191"/>
        <v>1.0129338710163241E-2</v>
      </c>
      <c r="AZ149" t="str">
        <f t="shared" si="167"/>
        <v>1+1,49581684189983i</v>
      </c>
      <c r="BA149">
        <f t="shared" si="192"/>
        <v>1.7992965360137783</v>
      </c>
      <c r="BB149">
        <f t="shared" si="193"/>
        <v>0.98150410854750625</v>
      </c>
      <c r="BC149" s="41" t="str">
        <f t="shared" si="194"/>
        <v>-0,0871320553819017+0,0595362847911115i</v>
      </c>
      <c r="BD149">
        <f t="shared" si="195"/>
        <v>-19.532487717830275</v>
      </c>
      <c r="BE149" s="43">
        <f t="shared" si="196"/>
        <v>145.6556746371715</v>
      </c>
      <c r="BF149" s="41" t="str">
        <f t="shared" si="197"/>
        <v>0,337123362535628+0,533076041691151i</v>
      </c>
      <c r="BG149" s="20">
        <f t="shared" si="198"/>
        <v>-4.0031095490211026</v>
      </c>
      <c r="BH149" s="43">
        <f t="shared" si="199"/>
        <v>57.690273179743642</v>
      </c>
      <c r="BI149" s="41" t="str">
        <f t="shared" si="152"/>
        <v>2,08979886362037+3,77302182014677i</v>
      </c>
      <c r="BJ149" s="20">
        <f t="shared" si="200"/>
        <v>12.695818875635821</v>
      </c>
      <c r="BK149" s="43">
        <f t="shared" si="153"/>
        <v>61.01883691079852</v>
      </c>
      <c r="BL149">
        <f t="shared" si="201"/>
        <v>-4.0031095490211026</v>
      </c>
      <c r="BM149" s="43">
        <f t="shared" si="202"/>
        <v>57.690273179743642</v>
      </c>
    </row>
    <row r="150" spans="14:65" x14ac:dyDescent="0.35">
      <c r="N150" s="9">
        <v>32</v>
      </c>
      <c r="O150" s="34">
        <f t="shared" si="154"/>
        <v>208.92961308540396</v>
      </c>
      <c r="P150" s="33" t="str">
        <f t="shared" si="155"/>
        <v>59,1053597814893</v>
      </c>
      <c r="Q150" s="4" t="str">
        <f t="shared" si="156"/>
        <v>1+10,0867228021168i</v>
      </c>
      <c r="R150" s="4">
        <f t="shared" si="168"/>
        <v>10.136171707639082</v>
      </c>
      <c r="S150" s="4">
        <f t="shared" si="169"/>
        <v>1.4719790058148614</v>
      </c>
      <c r="T150" s="4" t="str">
        <f t="shared" si="157"/>
        <v>1+0,00170656651772481i</v>
      </c>
      <c r="U150" s="4">
        <f t="shared" si="170"/>
        <v>1.0000014561835795</v>
      </c>
      <c r="V150" s="4">
        <f t="shared" si="171"/>
        <v>1.7065648610104052E-3</v>
      </c>
      <c r="W150" t="str">
        <f t="shared" si="158"/>
        <v>1-0,0630116868083007i</v>
      </c>
      <c r="X150" s="4">
        <f t="shared" si="172"/>
        <v>1.0019832696579456</v>
      </c>
      <c r="Y150" s="4">
        <f t="shared" si="173"/>
        <v>-6.2928489524523873E-2</v>
      </c>
      <c r="Z150" t="str">
        <f t="shared" si="159"/>
        <v>0,999999098107785+0,0058954116066857i</v>
      </c>
      <c r="AA150" s="4">
        <f t="shared" si="174"/>
        <v>1.00001647591147</v>
      </c>
      <c r="AB150" s="4">
        <f t="shared" si="175"/>
        <v>5.895348624886919E-3</v>
      </c>
      <c r="AC150" s="47" t="str">
        <f t="shared" si="176"/>
        <v>0,185179978819663-5,83967405269939i</v>
      </c>
      <c r="AD150" s="20">
        <f t="shared" si="177"/>
        <v>15.332137070153246</v>
      </c>
      <c r="AE150" s="43">
        <f t="shared" si="178"/>
        <v>-88.183721056905895</v>
      </c>
      <c r="AF150" t="str">
        <f t="shared" si="160"/>
        <v>405,634542683733</v>
      </c>
      <c r="AG150" t="str">
        <f t="shared" si="161"/>
        <v>1+10,104670170739i</v>
      </c>
      <c r="AH150">
        <f t="shared" si="179"/>
        <v>10.154031675124051</v>
      </c>
      <c r="AI150">
        <f t="shared" si="180"/>
        <v>1.4721533824577531</v>
      </c>
      <c r="AJ150" t="str">
        <f t="shared" si="162"/>
        <v>1+0,00170656651772481i</v>
      </c>
      <c r="AK150">
        <f t="shared" si="181"/>
        <v>1.0000014561835795</v>
      </c>
      <c r="AL150">
        <f t="shared" si="182"/>
        <v>1.7065648610104052E-3</v>
      </c>
      <c r="AM150" t="str">
        <f t="shared" si="163"/>
        <v>1-0,00919772468439346i</v>
      </c>
      <c r="AN150">
        <f t="shared" si="183"/>
        <v>1.0000422981751171</v>
      </c>
      <c r="AO150">
        <f t="shared" si="184"/>
        <v>-9.1974653274264229E-3</v>
      </c>
      <c r="AP150" s="41" t="str">
        <f t="shared" si="185"/>
        <v>3,636472103497-39,7840237080388i</v>
      </c>
      <c r="AQ150">
        <f t="shared" si="186"/>
        <v>32.030308384681973</v>
      </c>
      <c r="AR150" s="43">
        <f t="shared" si="187"/>
        <v>-84.777372592215997</v>
      </c>
      <c r="AS150" t="str">
        <f t="shared" si="164"/>
        <v>-0,0000166666666666667</v>
      </c>
      <c r="AT150" t="str">
        <f t="shared" si="165"/>
        <v>0,000290772679750803i</v>
      </c>
      <c r="AU150">
        <f t="shared" si="188"/>
        <v>2.9077267975080302E-4</v>
      </c>
      <c r="AV150">
        <f t="shared" si="189"/>
        <v>1.5707963267948966</v>
      </c>
      <c r="AW150" t="str">
        <f t="shared" si="166"/>
        <v>1+0,0103656358378215i</v>
      </c>
      <c r="AX150">
        <f t="shared" si="190"/>
        <v>1.0000537217601475</v>
      </c>
      <c r="AY150">
        <f t="shared" si="191"/>
        <v>1.0365264611646684E-2</v>
      </c>
      <c r="AZ150" t="str">
        <f t="shared" si="167"/>
        <v>1+1,53065889205164i</v>
      </c>
      <c r="BA150">
        <f t="shared" si="192"/>
        <v>1.8283644723677919</v>
      </c>
      <c r="BB150">
        <f t="shared" si="193"/>
        <v>0.99209533620811352</v>
      </c>
      <c r="BC150" s="41" t="str">
        <f t="shared" si="194"/>
        <v>-0,0871316340665815+0,0582217188862643i</v>
      </c>
      <c r="BD150">
        <f t="shared" si="195"/>
        <v>-19.593308119539852</v>
      </c>
      <c r="BE150" s="43">
        <f t="shared" si="196"/>
        <v>146.24898972355371</v>
      </c>
      <c r="BF150" s="41" t="str">
        <f t="shared" si="197"/>
        <v>0,323860826932703+0,519601839298117i</v>
      </c>
      <c r="BG150" s="20">
        <f t="shared" si="198"/>
        <v>-4.2611710493866086</v>
      </c>
      <c r="BH150" s="43">
        <f t="shared" si="199"/>
        <v>58.065268666647853</v>
      </c>
      <c r="BI150" s="41" t="str">
        <f t="shared" si="152"/>
        <v>1,99944248787868+3,67816865197258i</v>
      </c>
      <c r="BJ150" s="20">
        <f t="shared" si="200"/>
        <v>12.437000265142119</v>
      </c>
      <c r="BK150" s="43">
        <f t="shared" si="153"/>
        <v>61.471617131337645</v>
      </c>
      <c r="BL150">
        <f t="shared" si="201"/>
        <v>-4.2611710493866086</v>
      </c>
      <c r="BM150" s="43">
        <f t="shared" si="202"/>
        <v>58.065268666647853</v>
      </c>
    </row>
    <row r="151" spans="14:65" x14ac:dyDescent="0.35">
      <c r="N151" s="9">
        <v>33</v>
      </c>
      <c r="O151" s="34">
        <f t="shared" si="154"/>
        <v>213.79620895022339</v>
      </c>
      <c r="P151" s="33" t="str">
        <f t="shared" si="155"/>
        <v>59,1053597814893</v>
      </c>
      <c r="Q151" s="4" t="str">
        <f t="shared" si="156"/>
        <v>1+10,3216727584846i</v>
      </c>
      <c r="R151" s="4">
        <f t="shared" si="168"/>
        <v>10.370001375758978</v>
      </c>
      <c r="S151" s="4">
        <f t="shared" si="169"/>
        <v>1.4742142396222329</v>
      </c>
      <c r="T151" s="4" t="str">
        <f t="shared" si="157"/>
        <v>1+0,00174631755844876i</v>
      </c>
      <c r="U151" s="4">
        <f t="shared" si="170"/>
        <v>1.000001524811345</v>
      </c>
      <c r="V151" s="4">
        <f t="shared" si="171"/>
        <v>1.7463157832474381E-3</v>
      </c>
      <c r="W151" t="str">
        <f t="shared" si="158"/>
        <v>1-0,0644794175427236i</v>
      </c>
      <c r="X151" s="4">
        <f t="shared" si="172"/>
        <v>1.0020766414235234</v>
      </c>
      <c r="Y151" s="4">
        <f t="shared" si="173"/>
        <v>-6.4390280021781307E-2</v>
      </c>
      <c r="Z151" t="str">
        <f t="shared" si="159"/>
        <v>0,999999055602914+0,00603273338373209i</v>
      </c>
      <c r="AA151" s="4">
        <f t="shared" si="174"/>
        <v>1.000017252390577</v>
      </c>
      <c r="AB151" s="4">
        <f t="shared" si="175"/>
        <v>6.0326658975816535E-3</v>
      </c>
      <c r="AC151" s="47" t="str">
        <f t="shared" si="176"/>
        <v>0,159358389776483-5,70917088088694i</v>
      </c>
      <c r="AD151" s="20">
        <f t="shared" si="177"/>
        <v>15.134843194180101</v>
      </c>
      <c r="AE151" s="43">
        <f t="shared" si="178"/>
        <v>-88.401135086422173</v>
      </c>
      <c r="AF151" t="str">
        <f t="shared" si="160"/>
        <v>405,634542683733</v>
      </c>
      <c r="AG151" t="str">
        <f t="shared" si="161"/>
        <v>1+10,3400381750256i</v>
      </c>
      <c r="AH151">
        <f t="shared" si="179"/>
        <v>10.3882813526101</v>
      </c>
      <c r="AI151">
        <f t="shared" si="180"/>
        <v>1.4743847215185883</v>
      </c>
      <c r="AJ151" t="str">
        <f t="shared" si="162"/>
        <v>1+0,00174631755844876i</v>
      </c>
      <c r="AK151">
        <f t="shared" si="181"/>
        <v>1.000001524811345</v>
      </c>
      <c r="AL151">
        <f t="shared" si="182"/>
        <v>1.7463157832474381E-3</v>
      </c>
      <c r="AM151" t="str">
        <f t="shared" si="163"/>
        <v>1-0,00941196721446752i</v>
      </c>
      <c r="AN151">
        <f t="shared" si="183"/>
        <v>1.0000442915825509</v>
      </c>
      <c r="AO151">
        <f t="shared" si="184"/>
        <v>-9.4116893091351489E-3</v>
      </c>
      <c r="AP151" s="41" t="str">
        <f t="shared" si="185"/>
        <v>3,46091410456525-38,8954362542821i</v>
      </c>
      <c r="AQ151">
        <f t="shared" si="186"/>
        <v>31.832222503311019</v>
      </c>
      <c r="AR151" s="43">
        <f t="shared" si="187"/>
        <v>-84.915215473011003</v>
      </c>
      <c r="AS151" t="str">
        <f t="shared" si="164"/>
        <v>-0,0000166666666666667</v>
      </c>
      <c r="AT151" t="str">
        <f t="shared" si="165"/>
        <v>0,000297545645535693i</v>
      </c>
      <c r="AU151">
        <f t="shared" si="188"/>
        <v>2.9754564553569301E-4</v>
      </c>
      <c r="AV151">
        <f t="shared" si="189"/>
        <v>1.5707963267948966</v>
      </c>
      <c r="AW151" t="str">
        <f t="shared" si="166"/>
        <v>1+0,0106070825133769i</v>
      </c>
      <c r="AX151">
        <f t="shared" si="190"/>
        <v>1.0000562535174937</v>
      </c>
      <c r="AY151">
        <f t="shared" si="191"/>
        <v>1.0606684738572417E-2</v>
      </c>
      <c r="AZ151" t="str">
        <f t="shared" si="167"/>
        <v>1+1,56631251780866i</v>
      </c>
      <c r="BA151">
        <f t="shared" si="192"/>
        <v>1.8583150710910419</v>
      </c>
      <c r="BB151">
        <f t="shared" si="193"/>
        <v>1.0025890580797008</v>
      </c>
      <c r="BC151" s="41" t="str">
        <f t="shared" si="194"/>
        <v>-0,0871311928996474+0,0569380224957236i</v>
      </c>
      <c r="BD151">
        <f t="shared" si="195"/>
        <v>-19.652198602637782</v>
      </c>
      <c r="BE151" s="43">
        <f t="shared" si="196"/>
        <v>146.83640334381738</v>
      </c>
      <c r="BF151" s="41" t="str">
        <f t="shared" si="197"/>
        <v>0,311183813448079+0,506520420901585i</v>
      </c>
      <c r="BG151" s="20">
        <f t="shared" si="198"/>
        <v>-4.5173554084576875</v>
      </c>
      <c r="BH151" s="43">
        <f t="shared" si="199"/>
        <v>58.435268257395172</v>
      </c>
      <c r="BI151" s="41" t="str">
        <f t="shared" si="152"/>
        <v>1,91307564997331+3,5860633643293i</v>
      </c>
      <c r="BJ151" s="20">
        <f t="shared" si="200"/>
        <v>12.180023900673243</v>
      </c>
      <c r="BK151" s="43">
        <f t="shared" si="153"/>
        <v>61.921187870806449</v>
      </c>
      <c r="BL151">
        <f t="shared" si="201"/>
        <v>-4.5173554084576875</v>
      </c>
      <c r="BM151" s="43">
        <f t="shared" si="202"/>
        <v>58.435268257395172</v>
      </c>
    </row>
    <row r="152" spans="14:65" x14ac:dyDescent="0.35">
      <c r="N152" s="9">
        <v>34</v>
      </c>
      <c r="O152" s="34">
        <f t="shared" si="154"/>
        <v>218.77616239495524</v>
      </c>
      <c r="P152" s="33" t="str">
        <f t="shared" si="155"/>
        <v>59,1053597814893</v>
      </c>
      <c r="Q152" s="4" t="str">
        <f t="shared" si="156"/>
        <v>1+10,5620954023724i</v>
      </c>
      <c r="R152" s="4">
        <f t="shared" si="168"/>
        <v>10.609328880226881</v>
      </c>
      <c r="S152" s="4">
        <f t="shared" si="169"/>
        <v>1.4763995291672811</v>
      </c>
      <c r="T152" s="4" t="str">
        <f t="shared" si="157"/>
        <v>1+0,00178699451985746i</v>
      </c>
      <c r="U152" s="4">
        <f t="shared" si="170"/>
        <v>1.0000015966734324</v>
      </c>
      <c r="V152" s="4">
        <f t="shared" si="171"/>
        <v>1.7869926176951368E-3</v>
      </c>
      <c r="W152" t="str">
        <f t="shared" si="158"/>
        <v>1-0,0659813361178139i</v>
      </c>
      <c r="X152" s="4">
        <f t="shared" si="172"/>
        <v>1.0021744043408274</v>
      </c>
      <c r="Y152" s="4">
        <f t="shared" si="173"/>
        <v>-6.5885834732126503E-2</v>
      </c>
      <c r="Z152" t="str">
        <f t="shared" si="159"/>
        <v>0,999999011094851+0,00617325379587121i</v>
      </c>
      <c r="AA152" s="4">
        <f t="shared" si="174"/>
        <v>1.0000180654633735</v>
      </c>
      <c r="AB152" s="4">
        <f t="shared" si="175"/>
        <v>6.1731814832286782E-3</v>
      </c>
      <c r="AC152" s="47" t="str">
        <f t="shared" si="176"/>
        <v>0,134677868292703-5,58147153599259i</v>
      </c>
      <c r="AD152" s="20">
        <f t="shared" si="177"/>
        <v>14.937502145561082</v>
      </c>
      <c r="AE152" s="43">
        <f t="shared" si="178"/>
        <v>-88.617752266376726</v>
      </c>
      <c r="AF152" t="str">
        <f t="shared" si="160"/>
        <v>405,634542683733</v>
      </c>
      <c r="AG152" t="str">
        <f t="shared" si="161"/>
        <v>1+10,5808886044191i</v>
      </c>
      <c r="AH152">
        <f t="shared" si="179"/>
        <v>10.628038561236309</v>
      </c>
      <c r="AI152">
        <f t="shared" si="180"/>
        <v>1.476566200055963</v>
      </c>
      <c r="AJ152" t="str">
        <f t="shared" si="162"/>
        <v>1+0,00178699451985746i</v>
      </c>
      <c r="AK152">
        <f t="shared" si="181"/>
        <v>1.0000015966734324</v>
      </c>
      <c r="AL152">
        <f t="shared" si="182"/>
        <v>1.7869926176951368E-3</v>
      </c>
      <c r="AM152" t="str">
        <f t="shared" si="163"/>
        <v>1-0,00963120009414083i</v>
      </c>
      <c r="AN152">
        <f t="shared" si="183"/>
        <v>1.0000463789321241</v>
      </c>
      <c r="AO152">
        <f t="shared" si="184"/>
        <v>-9.6309023139580299E-3</v>
      </c>
      <c r="AP152" s="41" t="str">
        <f t="shared" si="185"/>
        <v>3,29311431699202-38,0259564905519i</v>
      </c>
      <c r="AQ152">
        <f t="shared" si="186"/>
        <v>31.634052895670216</v>
      </c>
      <c r="AR152" s="43">
        <f t="shared" si="187"/>
        <v>-85.050434355353872</v>
      </c>
      <c r="AS152" t="str">
        <f t="shared" si="164"/>
        <v>-0,0000166666666666667</v>
      </c>
      <c r="AT152" t="str">
        <f t="shared" si="165"/>
        <v>0,000304476373960328i</v>
      </c>
      <c r="AU152">
        <f t="shared" si="188"/>
        <v>3.0447637396032801E-4</v>
      </c>
      <c r="AV152">
        <f t="shared" si="189"/>
        <v>1.5707963267948966</v>
      </c>
      <c r="AW152" t="str">
        <f t="shared" si="166"/>
        <v>1+0,0108541532044824i</v>
      </c>
      <c r="AX152">
        <f t="shared" si="190"/>
        <v>1.0000589045860182</v>
      </c>
      <c r="AY152">
        <f t="shared" si="191"/>
        <v>1.0853726982456142E-2</v>
      </c>
      <c r="AZ152" t="str">
        <f t="shared" si="167"/>
        <v>1+1,60279662319523i</v>
      </c>
      <c r="BA152">
        <f t="shared" si="192"/>
        <v>1.889168339594445</v>
      </c>
      <c r="BB152">
        <f t="shared" si="193"/>
        <v>1.0129815934549926</v>
      </c>
      <c r="BC152" s="41" t="str">
        <f t="shared" si="194"/>
        <v>-0,0871307309459452+0,0556845149572334i</v>
      </c>
      <c r="BD152">
        <f t="shared" si="195"/>
        <v>-19.709195436427159</v>
      </c>
      <c r="BE152" s="43">
        <f t="shared" si="196"/>
        <v>147.41769728132607</v>
      </c>
      <c r="BF152" s="41" t="str">
        <f t="shared" si="197"/>
        <v>0,299066954122767+0,493817166456375i</v>
      </c>
      <c r="BG152" s="20">
        <f t="shared" si="198"/>
        <v>-4.7716932908660779</v>
      </c>
      <c r="BH152" s="43">
        <f t="shared" si="199"/>
        <v>58.799945014949337</v>
      </c>
      <c r="BI152" s="41" t="str">
        <f t="shared" si="152"/>
        <v>1,83052548543317+3,49660485738092i</v>
      </c>
      <c r="BJ152" s="20">
        <f t="shared" si="200"/>
        <v>11.924857459243054</v>
      </c>
      <c r="BK152" s="43">
        <f t="shared" si="153"/>
        <v>62.367262925972241</v>
      </c>
      <c r="BL152">
        <f t="shared" si="201"/>
        <v>-4.7716932908660779</v>
      </c>
      <c r="BM152" s="43">
        <f t="shared" si="202"/>
        <v>58.799945014949337</v>
      </c>
    </row>
    <row r="153" spans="14:65" x14ac:dyDescent="0.35">
      <c r="N153" s="9">
        <v>35</v>
      </c>
      <c r="O153" s="34">
        <f t="shared" si="154"/>
        <v>223.87211385683412</v>
      </c>
      <c r="P153" s="33" t="str">
        <f t="shared" si="155"/>
        <v>59,1053597814893</v>
      </c>
      <c r="Q153" s="4" t="str">
        <f t="shared" si="156"/>
        <v>1+10,8081182090485i</v>
      </c>
      <c r="R153" s="4">
        <f t="shared" si="168"/>
        <v>10.854281147121894</v>
      </c>
      <c r="S153" s="4">
        <f t="shared" si="169"/>
        <v>1.4785359495868478</v>
      </c>
      <c r="T153" s="4" t="str">
        <f t="shared" si="157"/>
        <v>1+0,00182861896941425i</v>
      </c>
      <c r="U153" s="4">
        <f t="shared" si="170"/>
        <v>1.00000167192227</v>
      </c>
      <c r="V153" s="4">
        <f t="shared" si="171"/>
        <v>1.8286169312107831E-3</v>
      </c>
      <c r="W153" t="str">
        <f t="shared" si="158"/>
        <v>1-0,0675182388706801i</v>
      </c>
      <c r="X153" s="4">
        <f t="shared" si="172"/>
        <v>1.0022767644618917</v>
      </c>
      <c r="Y153" s="4">
        <f t="shared" si="173"/>
        <v>-6.7415919842723063E-2</v>
      </c>
      <c r="Z153" t="str">
        <f t="shared" si="159"/>
        <v>0,999998964489187+0,00631704734888559i</v>
      </c>
      <c r="AA153" s="4">
        <f t="shared" si="174"/>
        <v>1.0000189168544036</v>
      </c>
      <c r="AB153" s="4">
        <f t="shared" si="175"/>
        <v>6.3169698645722068E-3</v>
      </c>
      <c r="AC153" s="47" t="str">
        <f t="shared" si="176"/>
        <v>0,111088895418598-5,45652294921364i</v>
      </c>
      <c r="AD153" s="20">
        <f t="shared" si="177"/>
        <v>14.740119436874188</v>
      </c>
      <c r="AE153" s="43">
        <f t="shared" si="178"/>
        <v>-88.833681128720883</v>
      </c>
      <c r="AF153" t="str">
        <f t="shared" si="160"/>
        <v>405,634542683733</v>
      </c>
      <c r="AG153" t="str">
        <f t="shared" si="161"/>
        <v>1+10,8273491610054i</v>
      </c>
      <c r="AH153">
        <f t="shared" si="179"/>
        <v>10.873430454751817</v>
      </c>
      <c r="AI153">
        <f t="shared" si="180"/>
        <v>1.4786988916223309</v>
      </c>
      <c r="AJ153" t="str">
        <f t="shared" si="162"/>
        <v>1+0,00182861896941425i</v>
      </c>
      <c r="AK153">
        <f t="shared" si="181"/>
        <v>1.00000167192227</v>
      </c>
      <c r="AL153">
        <f t="shared" si="182"/>
        <v>1.8286169312107831E-3</v>
      </c>
      <c r="AM153" t="str">
        <f t="shared" si="163"/>
        <v>1-0,00985553956358807i</v>
      </c>
      <c r="AN153">
        <f t="shared" si="183"/>
        <v>1.0000485646507822</v>
      </c>
      <c r="AO153">
        <f t="shared" si="184"/>
        <v>-9.8552204872103515E-3</v>
      </c>
      <c r="AP153" s="41" t="str">
        <f t="shared" si="185"/>
        <v>3,13273600015768-37,175222767335i</v>
      </c>
      <c r="AQ153">
        <f t="shared" si="186"/>
        <v>31.435803340373578</v>
      </c>
      <c r="AR153" s="43">
        <f t="shared" si="187"/>
        <v>-85.183096168215755</v>
      </c>
      <c r="AS153" t="str">
        <f t="shared" si="164"/>
        <v>-0,0000166666666666667</v>
      </c>
      <c r="AT153" t="str">
        <f t="shared" si="165"/>
        <v>0,000311568539788658i</v>
      </c>
      <c r="AU153">
        <f t="shared" si="188"/>
        <v>3.1156853978865802E-4</v>
      </c>
      <c r="AV153">
        <f t="shared" si="189"/>
        <v>1.5707963267948966</v>
      </c>
      <c r="AW153" t="str">
        <f t="shared" si="166"/>
        <v>1+0,0111069789112885i</v>
      </c>
      <c r="AX153">
        <f t="shared" si="190"/>
        <v>1.0000616805880205</v>
      </c>
      <c r="AY153">
        <f t="shared" si="191"/>
        <v>1.1106522207680361E-2</v>
      </c>
      <c r="AZ153" t="str">
        <f t="shared" si="167"/>
        <v>1+1,64013055256694i</v>
      </c>
      <c r="BA153">
        <f t="shared" si="192"/>
        <v>1.9209446190516624</v>
      </c>
      <c r="BB153">
        <f t="shared" si="193"/>
        <v>1.0232694727367846</v>
      </c>
      <c r="BC153" s="41" t="str">
        <f t="shared" si="194"/>
        <v>-0,0871302472262857+0,0544605316129623i</v>
      </c>
      <c r="BD153">
        <f t="shared" si="195"/>
        <v>-19.764335834149847</v>
      </c>
      <c r="BE153" s="43">
        <f t="shared" si="196"/>
        <v>147.99266524482636</v>
      </c>
      <c r="BF153" s="41" t="str">
        <f t="shared" si="197"/>
        <v>0,287485937650586+0,48147815386168i</v>
      </c>
      <c r="BG153" s="20">
        <f t="shared" si="198"/>
        <v>-5.0242163972756559</v>
      </c>
      <c r="BH153" s="43">
        <f t="shared" si="199"/>
        <v>59.158984116105522</v>
      </c>
      <c r="BI153" s="41" t="str">
        <f t="shared" si="152"/>
        <v>1,75162633255094+3,4096968183818i</v>
      </c>
      <c r="BJ153" s="20">
        <f t="shared" si="200"/>
        <v>11.67146750622374</v>
      </c>
      <c r="BK153" s="43">
        <f t="shared" si="153"/>
        <v>62.809569076610643</v>
      </c>
      <c r="BL153">
        <f t="shared" si="201"/>
        <v>-5.0242163972756559</v>
      </c>
      <c r="BM153" s="43">
        <f t="shared" si="202"/>
        <v>59.158984116105522</v>
      </c>
    </row>
    <row r="154" spans="14:65" x14ac:dyDescent="0.35">
      <c r="N154" s="9">
        <v>36</v>
      </c>
      <c r="O154" s="34">
        <f t="shared" si="154"/>
        <v>229.08676527677744</v>
      </c>
      <c r="P154" s="33" t="str">
        <f t="shared" si="155"/>
        <v>59,1053597814893</v>
      </c>
      <c r="Q154" s="4" t="str">
        <f t="shared" si="156"/>
        <v>1+11,0598716230613i</v>
      </c>
      <c r="R154" s="4">
        <f t="shared" si="168"/>
        <v>11.104988082775982</v>
      </c>
      <c r="S154" s="4">
        <f t="shared" si="169"/>
        <v>1.4806245555863051</v>
      </c>
      <c r="T154" s="4" t="str">
        <f t="shared" si="157"/>
        <v>1+0,00187121297695326i</v>
      </c>
      <c r="U154" s="4">
        <f t="shared" si="170"/>
        <v>1.0000017507174701</v>
      </c>
      <c r="V154" s="4">
        <f t="shared" si="171"/>
        <v>1.8712107929791037E-3</v>
      </c>
      <c r="W154" t="str">
        <f t="shared" si="158"/>
        <v>1-0,0690909406875049i</v>
      </c>
      <c r="X154" s="4">
        <f t="shared" si="172"/>
        <v>1.002383937463627</v>
      </c>
      <c r="Y154" s="4">
        <f t="shared" si="173"/>
        <v>-6.8981317951423607E-2</v>
      </c>
      <c r="Z154" t="str">
        <f t="shared" si="159"/>
        <v>0,999998915687066+0,00646419028402033i</v>
      </c>
      <c r="AA154" s="4">
        <f t="shared" si="174"/>
        <v>1.0000198083694822</v>
      </c>
      <c r="AB154" s="4">
        <f t="shared" si="175"/>
        <v>6.4641072581714384E-3</v>
      </c>
      <c r="AC154" s="47" t="str">
        <f t="shared" si="176"/>
        <v>0,0885440225983191-5,33427256125241i</v>
      </c>
      <c r="AD154" s="20">
        <f t="shared" si="177"/>
        <v>14.542700499245951</v>
      </c>
      <c r="AE154" s="43">
        <f t="shared" si="178"/>
        <v>-89.04903004559111</v>
      </c>
      <c r="AF154" t="str">
        <f t="shared" si="160"/>
        <v>405,634542683733</v>
      </c>
      <c r="AG154" t="str">
        <f t="shared" si="161"/>
        <v>1+11,0795505214337i</v>
      </c>
      <c r="AH154">
        <f t="shared" si="179"/>
        <v>11.124587172430344</v>
      </c>
      <c r="AI154">
        <f t="shared" si="180"/>
        <v>1.4807838493539527</v>
      </c>
      <c r="AJ154" t="str">
        <f t="shared" si="162"/>
        <v>1+0,00187121297695326i</v>
      </c>
      <c r="AK154">
        <f t="shared" si="181"/>
        <v>1.0000017507174701</v>
      </c>
      <c r="AL154">
        <f t="shared" si="182"/>
        <v>1.8712107929791037E-3</v>
      </c>
      <c r="AM154" t="str">
        <f t="shared" si="163"/>
        <v>1-0,0100851045705654i</v>
      </c>
      <c r="AN154">
        <f t="shared" si="183"/>
        <v>1.0000508533740669</v>
      </c>
      <c r="AO154">
        <f t="shared" si="184"/>
        <v>-1.0084762675005805E-2</v>
      </c>
      <c r="AP154" s="41" t="str">
        <f t="shared" si="185"/>
        <v>2,97945649588214-36,3428769327686i</v>
      </c>
      <c r="AQ154">
        <f t="shared" si="186"/>
        <v>31.237477455492233</v>
      </c>
      <c r="AR154" s="43">
        <f t="shared" si="187"/>
        <v>-85.313266796769241</v>
      </c>
      <c r="AS154" t="str">
        <f t="shared" si="164"/>
        <v>-0,0000166666666666667</v>
      </c>
      <c r="AT154" t="str">
        <f t="shared" si="165"/>
        <v>0,000318825903380881i</v>
      </c>
      <c r="AU154">
        <f t="shared" si="188"/>
        <v>3.1882590338088102E-4</v>
      </c>
      <c r="AV154">
        <f t="shared" si="189"/>
        <v>1.5707963267948966</v>
      </c>
      <c r="AW154" t="str">
        <f t="shared" si="166"/>
        <v>1+0,0113656936853316i</v>
      </c>
      <c r="AX154">
        <f t="shared" si="190"/>
        <v>1.0000645874107075</v>
      </c>
      <c r="AY154">
        <f t="shared" si="191"/>
        <v>1.1365204320305636E-2</v>
      </c>
      <c r="AZ154" t="str">
        <f t="shared" si="167"/>
        <v>1+1,6783341008673i</v>
      </c>
      <c r="BA154">
        <f t="shared" si="192"/>
        <v>1.9536645961203396</v>
      </c>
      <c r="BB154">
        <f t="shared" si="193"/>
        <v>1.0334494393107208</v>
      </c>
      <c r="BC154" s="41" t="str">
        <f t="shared" si="194"/>
        <v>-0,0871297407153768+0,0532654234569421i</v>
      </c>
      <c r="BD154">
        <f t="shared" si="195"/>
        <v>-19.817657839318031</v>
      </c>
      <c r="BE154" s="43">
        <f t="shared" si="196"/>
        <v>148.56111297180826</v>
      </c>
      <c r="BF154" s="41" t="str">
        <f t="shared" si="197"/>
        <v>0,276417469078969+0,469490120025352i</v>
      </c>
      <c r="BG154" s="20">
        <f t="shared" si="198"/>
        <v>-5.2749573400720777</v>
      </c>
      <c r="BH154" s="43">
        <f t="shared" si="199"/>
        <v>59.512082926217118</v>
      </c>
      <c r="BI154" s="41" t="str">
        <f t="shared" si="152"/>
        <v>1,6762194575085+3,32524745592768i</v>
      </c>
      <c r="BJ154" s="20">
        <f t="shared" si="200"/>
        <v>11.419819616174212</v>
      </c>
      <c r="BK154" s="43">
        <f t="shared" si="153"/>
        <v>63.247846175038994</v>
      </c>
      <c r="BL154">
        <f t="shared" si="201"/>
        <v>-5.2749573400720777</v>
      </c>
      <c r="BM154" s="43">
        <f t="shared" si="202"/>
        <v>59.512082926217118</v>
      </c>
    </row>
    <row r="155" spans="14:65" x14ac:dyDescent="0.35">
      <c r="N155" s="9">
        <v>37</v>
      </c>
      <c r="O155" s="34">
        <f t="shared" si="154"/>
        <v>234.42288153199232</v>
      </c>
      <c r="P155" s="33" t="str">
        <f t="shared" si="155"/>
        <v>59,1053597814893</v>
      </c>
      <c r="Q155" s="4" t="str">
        <f t="shared" si="156"/>
        <v>1+11,3174891274034i</v>
      </c>
      <c r="R155" s="4">
        <f t="shared" si="168"/>
        <v>11.361582642787676</v>
      </c>
      <c r="S155" s="4">
        <f t="shared" si="169"/>
        <v>1.4826663816433272</v>
      </c>
      <c r="T155" s="4" t="str">
        <f t="shared" si="157"/>
        <v>1+0,00191479912638106i</v>
      </c>
      <c r="U155" s="4">
        <f t="shared" si="170"/>
        <v>1.0000018332261669</v>
      </c>
      <c r="V155" s="4">
        <f t="shared" si="171"/>
        <v>1.9147967862108211E-3</v>
      </c>
      <c r="W155" t="str">
        <f t="shared" si="158"/>
        <v>1-0,0707002754356086i</v>
      </c>
      <c r="X155" s="4">
        <f t="shared" si="172"/>
        <v>1.0024961490931878</v>
      </c>
      <c r="Y155" s="4">
        <f t="shared" si="173"/>
        <v>-7.0582828348067533E-2</v>
      </c>
      <c r="Z155" t="str">
        <f t="shared" si="159"/>
        <v>0,999998864584971+0,00661476061840731i</v>
      </c>
      <c r="AA155" s="4">
        <f t="shared" si="174"/>
        <v>1.0000207418995219</v>
      </c>
      <c r="AB155" s="4">
        <f t="shared" si="175"/>
        <v>6.6146716547069769E-3</v>
      </c>
      <c r="AC155" s="47" t="str">
        <f t="shared" si="176"/>
        <v>0,0669977920368306-5,21466835478822i</v>
      </c>
      <c r="AD155" s="20">
        <f t="shared" si="177"/>
        <v>14.345250692874195</v>
      </c>
      <c r="AE155" s="43">
        <f t="shared" si="178"/>
        <v>-89.263907258740701</v>
      </c>
      <c r="AF155" t="str">
        <f t="shared" si="160"/>
        <v>405,634542683733</v>
      </c>
      <c r="AG155" t="str">
        <f t="shared" si="161"/>
        <v>1+11,3376264062037i</v>
      </c>
      <c r="AH155">
        <f t="shared" si="179"/>
        <v>11.381641908206717</v>
      </c>
      <c r="AI155">
        <f t="shared" si="180"/>
        <v>1.482822106175635</v>
      </c>
      <c r="AJ155" t="str">
        <f t="shared" si="162"/>
        <v>1+0,00191479912638106i</v>
      </c>
      <c r="AK155">
        <f t="shared" si="181"/>
        <v>1.0000018332261669</v>
      </c>
      <c r="AL155">
        <f t="shared" si="182"/>
        <v>1.9147967862108211E-3</v>
      </c>
      <c r="AM155" t="str">
        <f t="shared" si="163"/>
        <v>1-0,0103200168334781i</v>
      </c>
      <c r="AN155">
        <f t="shared" si="183"/>
        <v>1.0000532499559427</v>
      </c>
      <c r="AO155">
        <f t="shared" si="184"/>
        <v>-1.0319650486839161E-2</v>
      </c>
      <c r="AP155" s="41" t="str">
        <f t="shared" si="185"/>
        <v>2,83296668640049-35,5285645524051i</v>
      </c>
      <c r="AQ155">
        <f t="shared" si="186"/>
        <v>31.039078705446066</v>
      </c>
      <c r="AR155" s="43">
        <f t="shared" si="187"/>
        <v>-85.441011097034448</v>
      </c>
      <c r="AS155" t="str">
        <f t="shared" si="164"/>
        <v>-0,0000166666666666667</v>
      </c>
      <c r="AT155" t="str">
        <f t="shared" si="165"/>
        <v>0,000326252312687236i</v>
      </c>
      <c r="AU155">
        <f t="shared" si="188"/>
        <v>3.2625231268723599E-4</v>
      </c>
      <c r="AV155">
        <f t="shared" si="189"/>
        <v>1.5707963267948966</v>
      </c>
      <c r="AW155" t="str">
        <f t="shared" si="166"/>
        <v>1+0,0116304347006094i</v>
      </c>
      <c r="AX155">
        <f t="shared" si="190"/>
        <v>1.0000676312186716</v>
      </c>
      <c r="AY155">
        <f t="shared" si="191"/>
        <v>1.1629910338451963E-2</v>
      </c>
      <c r="AZ155" t="str">
        <f t="shared" si="167"/>
        <v>1+1,71742752412332i</v>
      </c>
      <c r="BA155">
        <f t="shared" si="192"/>
        <v>1.9873493151975967</v>
      </c>
      <c r="BB155">
        <f t="shared" si="193"/>
        <v>1.0435184505162649</v>
      </c>
      <c r="BC155" s="41" t="str">
        <f t="shared" si="194"/>
        <v>-0,0871292103396562+0,0520985567907959i</v>
      </c>
      <c r="BD155">
        <f t="shared" si="195"/>
        <v>-19.869200213453979</v>
      </c>
      <c r="BE155" s="43">
        <f t="shared" si="196"/>
        <v>149.12285828010437</v>
      </c>
      <c r="BF155" s="41" t="str">
        <f t="shared" si="197"/>
        <v>0,265839230712431+0,457840424209181i</v>
      </c>
      <c r="BG155" s="20">
        <f t="shared" si="198"/>
        <v>-5.5239495205797766</v>
      </c>
      <c r="BH155" s="43">
        <f t="shared" si="199"/>
        <v>59.858951021363666</v>
      </c>
      <c r="BI155" s="41" t="str">
        <f t="shared" si="152"/>
        <v>1,60415278772431+3,24316924975043i</v>
      </c>
      <c r="BJ155" s="20">
        <f t="shared" si="200"/>
        <v>11.169878491992097</v>
      </c>
      <c r="BK155" s="43">
        <f t="shared" si="153"/>
        <v>63.681847183069927</v>
      </c>
      <c r="BL155">
        <f t="shared" si="201"/>
        <v>-5.5239495205797766</v>
      </c>
      <c r="BM155" s="43">
        <f t="shared" si="202"/>
        <v>59.858951021363666</v>
      </c>
    </row>
    <row r="156" spans="14:65" x14ac:dyDescent="0.35">
      <c r="N156" s="9">
        <v>38</v>
      </c>
      <c r="O156" s="34">
        <f t="shared" si="154"/>
        <v>239.88329190194912</v>
      </c>
      <c r="P156" s="33" t="str">
        <f t="shared" si="155"/>
        <v>59,1053597814893</v>
      </c>
      <c r="Q156" s="4" t="str">
        <f t="shared" si="156"/>
        <v>1+11,5811073142855i</v>
      </c>
      <c r="R156" s="4">
        <f t="shared" si="168"/>
        <v>11.624200902642603</v>
      </c>
      <c r="S156" s="4">
        <f t="shared" si="169"/>
        <v>1.4846624422235544</v>
      </c>
      <c r="T156" s="4" t="str">
        <f t="shared" si="157"/>
        <v>1+0,00195940052765106i</v>
      </c>
      <c r="U156" s="4">
        <f t="shared" si="170"/>
        <v>1.0000019196233714</v>
      </c>
      <c r="V156" s="4">
        <f t="shared" si="171"/>
        <v>1.9593980201137316E-3</v>
      </c>
      <c r="W156" t="str">
        <f t="shared" si="158"/>
        <v>1-0,0723470964055777i</v>
      </c>
      <c r="X156" s="4">
        <f t="shared" si="172"/>
        <v>1.0026136356335464</v>
      </c>
      <c r="Y156" s="4">
        <f t="shared" si="173"/>
        <v>-7.2221267295323383E-2</v>
      </c>
      <c r="Z156" t="str">
        <f t="shared" si="159"/>
        <v>0,99999881107451+0,00676883818643093i</v>
      </c>
      <c r="AA156" s="4">
        <f t="shared" si="174"/>
        <v>1.0000217194245473</v>
      </c>
      <c r="AB156" s="4">
        <f t="shared" si="175"/>
        <v>6.768742860220286E-3</v>
      </c>
      <c r="AC156" s="47" t="str">
        <f t="shared" si="176"/>
        <v>0,0464066595091489-5,0976588835283i</v>
      </c>
      <c r="AD156" s="20">
        <f t="shared" si="177"/>
        <v>14.147775317449582</v>
      </c>
      <c r="AE156" s="43">
        <f t="shared" si="178"/>
        <v>-89.478420909664436</v>
      </c>
      <c r="AF156" t="str">
        <f t="shared" si="160"/>
        <v>405,634542683733</v>
      </c>
      <c r="AG156" t="str">
        <f t="shared" si="161"/>
        <v>1+11,6017136505655i</v>
      </c>
      <c r="AH156">
        <f t="shared" si="179"/>
        <v>11.644730981423224</v>
      </c>
      <c r="AI156">
        <f t="shared" si="180"/>
        <v>1.4848146750172588</v>
      </c>
      <c r="AJ156" t="str">
        <f t="shared" si="162"/>
        <v>1+0,00195940052765106i</v>
      </c>
      <c r="AK156">
        <f t="shared" si="181"/>
        <v>1.0000019196233714</v>
      </c>
      <c r="AL156">
        <f t="shared" si="182"/>
        <v>1.9593980201137316E-3</v>
      </c>
      <c r="AM156" t="str">
        <f t="shared" si="163"/>
        <v>1-0,0105604009059176i</v>
      </c>
      <c r="AN156">
        <f t="shared" si="183"/>
        <v>1.0000557594790871</v>
      </c>
      <c r="AO156">
        <f t="shared" si="184"/>
        <v>-1.0560008359603652E-2</v>
      </c>
      <c r="AP156" s="41" t="str">
        <f t="shared" si="185"/>
        <v>2,69297046899415-34,7319351057599i</v>
      </c>
      <c r="AQ156">
        <f t="shared" si="186"/>
        <v>30.840610407637609</v>
      </c>
      <c r="AR156" s="43">
        <f t="shared" si="187"/>
        <v>-85.566392911267187</v>
      </c>
      <c r="AS156" t="str">
        <f t="shared" si="164"/>
        <v>-0,0000166666666666667</v>
      </c>
      <c r="AT156" t="str">
        <f t="shared" si="165"/>
        <v>0,000333851705288238i</v>
      </c>
      <c r="AU156">
        <f t="shared" si="188"/>
        <v>3.3385170528823799E-4</v>
      </c>
      <c r="AV156">
        <f t="shared" si="189"/>
        <v>1.5707963267948966</v>
      </c>
      <c r="AW156" t="str">
        <f t="shared" si="166"/>
        <v>1+0,0119013423263126i</v>
      </c>
      <c r="AX156">
        <f t="shared" si="190"/>
        <v>1.0000708184669564</v>
      </c>
      <c r="AY156">
        <f t="shared" si="191"/>
        <v>1.1900780464286829E-2</v>
      </c>
      <c r="AZ156" t="str">
        <f t="shared" si="167"/>
        <v>1+1,75743155018549i</v>
      </c>
      <c r="BA156">
        <f t="shared" si="192"/>
        <v>2.022020191191813</v>
      </c>
      <c r="BB156">
        <f t="shared" si="193"/>
        <v>1.0534736777534739</v>
      </c>
      <c r="BC156" s="41" t="str">
        <f t="shared" si="194"/>
        <v>-0,0871286549750195+0,0509593128875694i</v>
      </c>
      <c r="BD156">
        <f t="shared" si="195"/>
        <v>-19.919002325813434</v>
      </c>
      <c r="BE156" s="43">
        <f t="shared" si="196"/>
        <v>149.67773106988361</v>
      </c>
      <c r="BF156" s="41" t="str">
        <f t="shared" si="197"/>
        <v>0,255729844214901+0,446517013525274i</v>
      </c>
      <c r="BG156" s="20">
        <f t="shared" si="198"/>
        <v>-5.7712270083638471</v>
      </c>
      <c r="BH156" s="43">
        <f t="shared" si="199"/>
        <v>60.199310160219149</v>
      </c>
      <c r="BI156" s="41" t="str">
        <f t="shared" si="152"/>
        <v>1,53528065339427+3,16337871517098i</v>
      </c>
      <c r="BJ156" s="20">
        <f t="shared" si="200"/>
        <v>10.921608081824182</v>
      </c>
      <c r="BK156" s="43">
        <f t="shared" si="153"/>
        <v>64.111338158616391</v>
      </c>
      <c r="BL156">
        <f t="shared" si="201"/>
        <v>-5.7712270083638471</v>
      </c>
      <c r="BM156" s="43">
        <f t="shared" si="202"/>
        <v>60.199310160219149</v>
      </c>
    </row>
    <row r="157" spans="14:65" x14ac:dyDescent="0.35">
      <c r="N157" s="9">
        <v>39</v>
      </c>
      <c r="O157" s="34">
        <f t="shared" si="154"/>
        <v>245.4708915685033</v>
      </c>
      <c r="P157" s="33" t="str">
        <f t="shared" si="155"/>
        <v>59,1053597814893</v>
      </c>
      <c r="Q157" s="4" t="str">
        <f t="shared" si="156"/>
        <v>1+11,8508659575598i</v>
      </c>
      <c r="R157" s="4">
        <f t="shared" si="168"/>
        <v>11.892982129981098</v>
      </c>
      <c r="S157" s="4">
        <f t="shared" si="169"/>
        <v>1.4866137320068851</v>
      </c>
      <c r="T157" s="4" t="str">
        <f t="shared" si="157"/>
        <v>1+0,00200504082901654i</v>
      </c>
      <c r="U157" s="4">
        <f t="shared" si="170"/>
        <v>1.0000020100923428</v>
      </c>
      <c r="V157" s="4">
        <f t="shared" si="171"/>
        <v>2.0050381421421754E-3</v>
      </c>
      <c r="W157" t="str">
        <f t="shared" si="158"/>
        <v>1-0,0740322767636876i</v>
      </c>
      <c r="X157" s="4">
        <f t="shared" si="172"/>
        <v>1.0027366443901486</v>
      </c>
      <c r="Y157" s="4">
        <f t="shared" si="173"/>
        <v>-7.3897468308583597E-2</v>
      </c>
      <c r="Z157" t="str">
        <f t="shared" si="159"/>
        <v>0,999998755042178+0,00692650468205713i</v>
      </c>
      <c r="AA157" s="4">
        <f t="shared" si="174"/>
        <v>1.0000227430178859</v>
      </c>
      <c r="AB157" s="4">
        <f t="shared" si="175"/>
        <v>6.9264025383074957E-3</v>
      </c>
      <c r="AC157" s="47" t="str">
        <f t="shared" si="176"/>
        <v>0,0267289195960616-4,98319329806562i</v>
      </c>
      <c r="AD157" s="20">
        <f t="shared" si="177"/>
        <v>13.95027962248783</v>
      </c>
      <c r="AE157" s="43">
        <f t="shared" si="178"/>
        <v>-89.692679070316757</v>
      </c>
      <c r="AF157" t="str">
        <f t="shared" si="160"/>
        <v>405,634542683733</v>
      </c>
      <c r="AG157" t="str">
        <f t="shared" si="161"/>
        <v>1+11,8719522770716i</v>
      </c>
      <c r="AH157">
        <f t="shared" si="179"/>
        <v>11.913993909225635</v>
      </c>
      <c r="AI157">
        <f t="shared" si="180"/>
        <v>1.4867625490408398</v>
      </c>
      <c r="AJ157" t="str">
        <f t="shared" si="162"/>
        <v>1+0,00200504082901654i</v>
      </c>
      <c r="AK157">
        <f t="shared" si="181"/>
        <v>1.0000020100923428</v>
      </c>
      <c r="AL157">
        <f t="shared" si="182"/>
        <v>2.0050381421421754E-3</v>
      </c>
      <c r="AM157" t="str">
        <f t="shared" si="163"/>
        <v>1-0,0108063842427008i</v>
      </c>
      <c r="AN157">
        <f t="shared" si="183"/>
        <v>1.0000583872656641</v>
      </c>
      <c r="AO157">
        <f t="shared" si="184"/>
        <v>-1.0805963623073515E-2</v>
      </c>
      <c r="AP157" s="41" t="str">
        <f t="shared" si="185"/>
        <v>2,55918424716566-33,9526421611964i</v>
      </c>
      <c r="AQ157">
        <f t="shared" si="186"/>
        <v>30.642075738835011</v>
      </c>
      <c r="AR157" s="43">
        <f t="shared" si="187"/>
        <v>-85.68947508401871</v>
      </c>
      <c r="AS157" t="str">
        <f t="shared" si="164"/>
        <v>-0,0000166666666666667</v>
      </c>
      <c r="AT157" t="str">
        <f t="shared" si="165"/>
        <v>0,000341628110482434i</v>
      </c>
      <c r="AU157">
        <f t="shared" si="188"/>
        <v>3.4162811048243398E-4</v>
      </c>
      <c r="AV157">
        <f t="shared" si="189"/>
        <v>1.5707963267948966</v>
      </c>
      <c r="AW157" t="str">
        <f t="shared" si="166"/>
        <v>1+0,01217856020125i</v>
      </c>
      <c r="AX157">
        <f t="shared" si="190"/>
        <v>1.0000741559147379</v>
      </c>
      <c r="AY157">
        <f t="shared" si="191"/>
        <v>1.2177958157653544E-2</v>
      </c>
      <c r="AZ157" t="str">
        <f t="shared" si="167"/>
        <v>1+1,79836738971791i</v>
      </c>
      <c r="BA157">
        <f t="shared" si="192"/>
        <v>2.057699022792403</v>
      </c>
      <c r="BB157">
        <f t="shared" si="193"/>
        <v>1.0633125057679578</v>
      </c>
      <c r="BC157" s="41" t="str">
        <f t="shared" si="194"/>
        <v>-0,087128073444441+0,0498470876634891i</v>
      </c>
      <c r="BD157">
        <f t="shared" si="195"/>
        <v>-19.967104045619003</v>
      </c>
      <c r="BE157" s="43">
        <f t="shared" si="196"/>
        <v>150.22557327846351</v>
      </c>
      <c r="BF157" s="41" t="str">
        <f t="shared" si="197"/>
        <v>0,246068833903132+0,435508390459963i</v>
      </c>
      <c r="BG157" s="20">
        <f t="shared" si="198"/>
        <v>-6.0168244231311698</v>
      </c>
      <c r="BH157" s="43">
        <f t="shared" si="199"/>
        <v>60.532894208146779</v>
      </c>
      <c r="BI157" s="41" t="str">
        <f t="shared" si="152"/>
        <v>1,46946353717133+3,08579618136903i</v>
      </c>
      <c r="BJ157" s="20">
        <f t="shared" si="200"/>
        <v>10.674971693216012</v>
      </c>
      <c r="BK157" s="43">
        <f t="shared" si="153"/>
        <v>64.536098194444747</v>
      </c>
      <c r="BL157">
        <f t="shared" si="201"/>
        <v>-6.0168244231311698</v>
      </c>
      <c r="BM157" s="43">
        <f t="shared" si="202"/>
        <v>60.532894208146779</v>
      </c>
    </row>
    <row r="158" spans="14:65" x14ac:dyDescent="0.35">
      <c r="N158" s="9">
        <v>40</v>
      </c>
      <c r="O158" s="34">
        <f t="shared" si="154"/>
        <v>251.18864315095806</v>
      </c>
      <c r="P158" s="33" t="str">
        <f t="shared" si="155"/>
        <v>59,1053597814893</v>
      </c>
      <c r="Q158" s="4" t="str">
        <f t="shared" si="156"/>
        <v>1+12,1269080868295i</v>
      </c>
      <c r="R158" s="4">
        <f t="shared" si="168"/>
        <v>12.168068858549853</v>
      </c>
      <c r="S158" s="4">
        <f t="shared" si="169"/>
        <v>1.4885212261231919</v>
      </c>
      <c r="T158" s="4" t="str">
        <f t="shared" si="157"/>
        <v>1+0,00205174422956942i</v>
      </c>
      <c r="U158" s="4">
        <f t="shared" si="170"/>
        <v>1.0000021048249765</v>
      </c>
      <c r="V158" s="4">
        <f t="shared" si="171"/>
        <v>2.0517413505319955E-3</v>
      </c>
      <c r="W158" t="str">
        <f t="shared" si="158"/>
        <v>1-0,0757567100148712i</v>
      </c>
      <c r="X158" s="4">
        <f t="shared" si="172"/>
        <v>1.0028654341995626</v>
      </c>
      <c r="Y158" s="4">
        <f t="shared" si="173"/>
        <v>-7.5612282434395023E-2</v>
      </c>
      <c r="Z158" t="str">
        <f t="shared" si="159"/>
        <v>0,999998696369123+0,00708784370214892i</v>
      </c>
      <c r="AA158" s="4">
        <f t="shared" si="174"/>
        <v>1.000023814850572</v>
      </c>
      <c r="AB158" s="4">
        <f t="shared" si="175"/>
        <v>7.0877342532899429E-3</v>
      </c>
      <c r="AC158" s="47" t="str">
        <f t="shared" si="176"/>
        <v>0,00792463332392131-4,87122136876219i</v>
      </c>
      <c r="AD158" s="20">
        <f t="shared" si="177"/>
        <v>13.752768817589764</v>
      </c>
      <c r="AE158" s="43">
        <f t="shared" si="178"/>
        <v>-89.906789774325233</v>
      </c>
      <c r="AF158" t="str">
        <f t="shared" si="160"/>
        <v>405,634542683733</v>
      </c>
      <c r="AG158" t="str">
        <f t="shared" si="161"/>
        <v>1+12,148485569819i</v>
      </c>
      <c r="AH158">
        <f t="shared" si="179"/>
        <v>12.18957348064732</v>
      </c>
      <c r="AI158">
        <f t="shared" si="180"/>
        <v>1.4886667018769302</v>
      </c>
      <c r="AJ158" t="str">
        <f t="shared" si="162"/>
        <v>1+0,00205174422956942i</v>
      </c>
      <c r="AK158">
        <f t="shared" si="181"/>
        <v>1.0000021048249765</v>
      </c>
      <c r="AL158">
        <f t="shared" si="182"/>
        <v>2.0517413505319955E-3</v>
      </c>
      <c r="AM158" t="str">
        <f t="shared" si="163"/>
        <v>1-0,0110580972674489i</v>
      </c>
      <c r="AN158">
        <f t="shared" si="183"/>
        <v>1.0000611388886065</v>
      </c>
      <c r="AO158">
        <f t="shared" si="184"/>
        <v>-1.1057646566886235E-2</v>
      </c>
      <c r="AP158" s="41" t="str">
        <f t="shared" si="185"/>
        <v>2,43133643820064-33,1903435306241i</v>
      </c>
      <c r="AQ158">
        <f t="shared" si="186"/>
        <v>30.443477741312904</v>
      </c>
      <c r="AR158" s="43">
        <f t="shared" si="187"/>
        <v>-85.810319478799997</v>
      </c>
      <c r="AS158" t="str">
        <f t="shared" si="164"/>
        <v>-0,0000166666666666667</v>
      </c>
      <c r="AT158" t="str">
        <f t="shared" si="165"/>
        <v>0,000349585651422789i</v>
      </c>
      <c r="AU158">
        <f t="shared" si="188"/>
        <v>3.49585651422789E-4</v>
      </c>
      <c r="AV158">
        <f t="shared" si="189"/>
        <v>1.5707963267948966</v>
      </c>
      <c r="AW158" t="str">
        <f t="shared" si="166"/>
        <v>1+0,0124622353100084i</v>
      </c>
      <c r="AX158">
        <f t="shared" si="190"/>
        <v>1.00007765063965</v>
      </c>
      <c r="AY158">
        <f t="shared" si="191"/>
        <v>1.2461590211377402E-2</v>
      </c>
      <c r="AZ158" t="str">
        <f t="shared" si="167"/>
        <v>1+1,84025674744458i</v>
      </c>
      <c r="BA158">
        <f t="shared" si="192"/>
        <v>2.0944080062192527</v>
      </c>
      <c r="BB158">
        <f t="shared" si="193"/>
        <v>1.073032531160411</v>
      </c>
      <c r="BC158" s="41" t="str">
        <f t="shared" si="194"/>
        <v>-0,0871274645154918+0,0487612913574709i</v>
      </c>
      <c r="BD158">
        <f t="shared" si="195"/>
        <v>-20.013545637278753</v>
      </c>
      <c r="BE158" s="43">
        <f t="shared" si="196"/>
        <v>150.76623879059807</v>
      </c>
      <c r="BF158" s="41" t="str">
        <f t="shared" si="197"/>
        <v>0,236836591220223+0,424803582308342i</v>
      </c>
      <c r="BG158" s="20">
        <f t="shared" si="198"/>
        <v>-6.2607768196889859</v>
      </c>
      <c r="BH158" s="43">
        <f t="shared" si="199"/>
        <v>60.859449016272876</v>
      </c>
      <c r="BI158" s="41" t="str">
        <f t="shared" si="152"/>
        <v>1,40656783190676+3,01034558267257i</v>
      </c>
      <c r="BJ158" s="20">
        <f t="shared" si="200"/>
        <v>10.429932104034147</v>
      </c>
      <c r="BK158" s="43">
        <f t="shared" si="153"/>
        <v>64.955919311798127</v>
      </c>
      <c r="BL158">
        <f t="shared" si="201"/>
        <v>-6.2607768196889859</v>
      </c>
      <c r="BM158" s="43">
        <f t="shared" si="202"/>
        <v>60.859449016272876</v>
      </c>
    </row>
    <row r="159" spans="14:65" x14ac:dyDescent="0.35">
      <c r="N159" s="9">
        <v>41</v>
      </c>
      <c r="O159" s="34">
        <f t="shared" si="154"/>
        <v>257.03957827688663</v>
      </c>
      <c r="P159" s="33" t="str">
        <f t="shared" si="155"/>
        <v>59,1053597814893</v>
      </c>
      <c r="Q159" s="4" t="str">
        <f t="shared" si="156"/>
        <v>1+12,4093800632854i</v>
      </c>
      <c r="R159" s="4">
        <f t="shared" si="168"/>
        <v>12.449606963879027</v>
      </c>
      <c r="S159" s="4">
        <f t="shared" si="169"/>
        <v>1.4903858803963626</v>
      </c>
      <c r="T159" s="4" t="str">
        <f t="shared" si="157"/>
        <v>1+0,00209953549207086i</v>
      </c>
      <c r="U159" s="4">
        <f t="shared" si="170"/>
        <v>1.0000022040222123</v>
      </c>
      <c r="V159" s="4">
        <f t="shared" si="171"/>
        <v>2.0995324071270464E-3</v>
      </c>
      <c r="W159" t="str">
        <f t="shared" si="158"/>
        <v>1-0,0775213104764627i</v>
      </c>
      <c r="X159" s="4">
        <f t="shared" si="172"/>
        <v>1.0030002759610728</v>
      </c>
      <c r="Y159" s="4">
        <f t="shared" si="173"/>
        <v>-7.7366578526834484E-2</v>
      </c>
      <c r="Z159" t="str">
        <f t="shared" si="159"/>
        <v>0,999998634930893+0,00725294079079025i</v>
      </c>
      <c r="AA159" s="4">
        <f t="shared" si="174"/>
        <v>1.0000249371959502</v>
      </c>
      <c r="AB159" s="4">
        <f t="shared" si="175"/>
        <v>7.2528235143827415E-3</v>
      </c>
      <c r="AC159" s="47" t="str">
        <f t="shared" si="176"/>
        <v>-0,010044441820002-4,76169350586096i</v>
      </c>
      <c r="AD159" s="20">
        <f t="shared" si="177"/>
        <v>13.555248082640547</v>
      </c>
      <c r="AE159" s="43">
        <f t="shared" si="178"/>
        <v>-90.120861048604183</v>
      </c>
      <c r="AF159" t="str">
        <f t="shared" si="160"/>
        <v>405,634542683733</v>
      </c>
      <c r="AG159" t="str">
        <f t="shared" si="161"/>
        <v>1+12,4314601504196i</v>
      </c>
      <c r="AH159">
        <f t="shared" si="179"/>
        <v>12.471615832420051</v>
      </c>
      <c r="AI159">
        <f t="shared" si="180"/>
        <v>1.4905280878692482</v>
      </c>
      <c r="AJ159" t="str">
        <f t="shared" si="162"/>
        <v>1+0,00209953549207086i</v>
      </c>
      <c r="AK159">
        <f t="shared" si="181"/>
        <v>1.0000022040222123</v>
      </c>
      <c r="AL159">
        <f t="shared" si="182"/>
        <v>2.0995324071270464E-3</v>
      </c>
      <c r="AM159" t="str">
        <f t="shared" si="163"/>
        <v>1-0,0113156734417394i</v>
      </c>
      <c r="AN159">
        <f t="shared" si="183"/>
        <v>1.0000640201834281</v>
      </c>
      <c r="AO159">
        <f t="shared" si="184"/>
        <v>-1.1315190509055325E-2</v>
      </c>
      <c r="AP159" s="41" t="str">
        <f t="shared" si="185"/>
        <v>2,30916699692047-32,4447014054049i</v>
      </c>
      <c r="AQ159">
        <f t="shared" si="186"/>
        <v>30.244819328759874</v>
      </c>
      <c r="AR159" s="43">
        <f t="shared" si="187"/>
        <v>-85.928986995288668</v>
      </c>
      <c r="AS159" t="str">
        <f t="shared" si="164"/>
        <v>-0,0000166666666666667</v>
      </c>
      <c r="AT159" t="str">
        <f t="shared" si="165"/>
        <v>0,000357728547302843i</v>
      </c>
      <c r="AU159">
        <f t="shared" si="188"/>
        <v>3.5772854730284299E-4</v>
      </c>
      <c r="AV159">
        <f t="shared" si="189"/>
        <v>1.5707963267948966</v>
      </c>
      <c r="AW159" t="str">
        <f t="shared" si="166"/>
        <v>1+0,0127525180608854i</v>
      </c>
      <c r="AX159">
        <f t="shared" si="190"/>
        <v>1.0000813100527843</v>
      </c>
      <c r="AY159">
        <f t="shared" si="191"/>
        <v>1.2751826828283758E-2</v>
      </c>
      <c r="AZ159" t="str">
        <f t="shared" si="167"/>
        <v>1+1,8831218336574i</v>
      </c>
      <c r="BA159">
        <f t="shared" si="192"/>
        <v>2.1321697494330065</v>
      </c>
      <c r="BB159">
        <f t="shared" si="193"/>
        <v>1.0826315601701939</v>
      </c>
      <c r="BC159" s="41" t="str">
        <f t="shared" si="194"/>
        <v>-0,0871268268977265+0,0477013482182081i</v>
      </c>
      <c r="BD159">
        <f t="shared" si="195"/>
        <v>-20.05836765901509</v>
      </c>
      <c r="BE159" s="43">
        <f t="shared" si="196"/>
        <v>151.29959330707337</v>
      </c>
      <c r="BF159" s="41" t="str">
        <f t="shared" si="197"/>
        <v>0,228014340375189+0,414392112408263i</v>
      </c>
      <c r="BG159" s="20">
        <f t="shared" si="198"/>
        <v>-6.5031195763745444</v>
      </c>
      <c r="BH159" s="43">
        <f t="shared" si="199"/>
        <v>61.178732258469239</v>
      </c>
      <c r="BI159" s="41" t="str">
        <f t="shared" si="152"/>
        <v>1,34646560635637+2,93695426211123i</v>
      </c>
      <c r="BJ159" s="20">
        <f t="shared" si="200"/>
        <v>10.186451669744772</v>
      </c>
      <c r="BK159" s="43">
        <f t="shared" si="153"/>
        <v>65.370606311784741</v>
      </c>
      <c r="BL159">
        <f t="shared" si="201"/>
        <v>-6.5031195763745444</v>
      </c>
      <c r="BM159" s="43">
        <f t="shared" si="202"/>
        <v>61.178732258469239</v>
      </c>
    </row>
    <row r="160" spans="14:65" x14ac:dyDescent="0.35">
      <c r="N160" s="9">
        <v>42</v>
      </c>
      <c r="O160" s="34">
        <f t="shared" si="154"/>
        <v>263.02679918953817</v>
      </c>
      <c r="P160" s="33" t="str">
        <f t="shared" si="155"/>
        <v>59,1053597814893</v>
      </c>
      <c r="Q160" s="4" t="str">
        <f t="shared" si="156"/>
        <v>1+12,6984316573084i</v>
      </c>
      <c r="R160" s="4">
        <f t="shared" si="168"/>
        <v>12.737745740723991</v>
      </c>
      <c r="S160" s="4">
        <f t="shared" si="169"/>
        <v>1.4922086315956173</v>
      </c>
      <c r="T160" s="4" t="str">
        <f t="shared" si="157"/>
        <v>1+0,00214843995608083i</v>
      </c>
      <c r="U160" s="4">
        <f t="shared" si="170"/>
        <v>1.0000023078944593</v>
      </c>
      <c r="V160" s="4">
        <f t="shared" si="171"/>
        <v>2.14843665050439E-3</v>
      </c>
      <c r="W160" t="str">
        <f t="shared" si="158"/>
        <v>1-0,0793270137629848i</v>
      </c>
      <c r="X160" s="4">
        <f t="shared" si="172"/>
        <v>1.0031414531921969</v>
      </c>
      <c r="Y160" s="4">
        <f t="shared" si="173"/>
        <v>-7.9161243521224778E-2</v>
      </c>
      <c r="Z160" t="str">
        <f t="shared" si="159"/>
        <v>0,999998570597168+0,00742188348464288i</v>
      </c>
      <c r="AA160" s="4">
        <f t="shared" si="174"/>
        <v>1.0000261124344898</v>
      </c>
      <c r="AB160" s="4">
        <f t="shared" si="175"/>
        <v>7.4217578208852688E-3</v>
      </c>
      <c r="AC160" s="47" t="str">
        <f t="shared" si="176"/>
        <v>-0,0272149195300729-4,65456077702177i</v>
      </c>
      <c r="AD160" s="20">
        <f t="shared" si="177"/>
        <v>13.35772257796634</v>
      </c>
      <c r="AE160" s="43">
        <f t="shared" si="178"/>
        <v>-90.335000945274118</v>
      </c>
      <c r="AF160" t="str">
        <f t="shared" si="160"/>
        <v>405,634542683733</v>
      </c>
      <c r="AG160" t="str">
        <f t="shared" si="161"/>
        <v>1+12,7210260557418i</v>
      </c>
      <c r="AH160">
        <f t="shared" si="179"/>
        <v>12.760270526554748</v>
      </c>
      <c r="AI160">
        <f t="shared" si="180"/>
        <v>1.4923476423265269</v>
      </c>
      <c r="AJ160" t="str">
        <f t="shared" si="162"/>
        <v>1+0,00214843995608083i</v>
      </c>
      <c r="AK160">
        <f t="shared" si="181"/>
        <v>1.0000023078944593</v>
      </c>
      <c r="AL160">
        <f t="shared" si="182"/>
        <v>2.14843665050439E-3</v>
      </c>
      <c r="AM160" t="str">
        <f t="shared" si="163"/>
        <v>1-0,0115792493358694i</v>
      </c>
      <c r="AN160">
        <f t="shared" si="183"/>
        <v>1.000067037260594</v>
      </c>
      <c r="AO160">
        <f t="shared" si="184"/>
        <v>-1.15787318660487E-2</v>
      </c>
      <c r="AP160" s="41" t="str">
        <f t="shared" si="185"/>
        <v>2,19242695539326-31,7153824747763i</v>
      </c>
      <c r="AQ160">
        <f t="shared" si="186"/>
        <v>30.046103291959415</v>
      </c>
      <c r="AR160" s="43">
        <f t="shared" si="187"/>
        <v>-86.045537587022025</v>
      </c>
      <c r="AS160" t="str">
        <f t="shared" si="164"/>
        <v>-0,0000166666666666667</v>
      </c>
      <c r="AT160" t="str">
        <f t="shared" si="165"/>
        <v>0,000366061115593773i</v>
      </c>
      <c r="AU160">
        <f t="shared" si="188"/>
        <v>3.6606111559377299E-4</v>
      </c>
      <c r="AV160">
        <f t="shared" si="189"/>
        <v>1.5707963267948966</v>
      </c>
      <c r="AW160" t="str">
        <f t="shared" si="166"/>
        <v>1+0,0130495623656377i</v>
      </c>
      <c r="AX160">
        <f t="shared" si="190"/>
        <v>1.0000851419143946</v>
      </c>
      <c r="AY160">
        <f t="shared" si="191"/>
        <v>1.3048821699966207E-2</v>
      </c>
      <c r="AZ160" t="str">
        <f t="shared" si="167"/>
        <v>1+1,9269853759925i</v>
      </c>
      <c r="BA160">
        <f t="shared" si="192"/>
        <v>2.1710072867885444</v>
      </c>
      <c r="BB160">
        <f t="shared" si="193"/>
        <v>1.092107605785148</v>
      </c>
      <c r="BC160" s="41" t="str">
        <f t="shared" si="194"/>
        <v>-0,087126159239965+0,0466666961986738i</v>
      </c>
      <c r="BD160">
        <f t="shared" si="195"/>
        <v>-20.101610865271997</v>
      </c>
      <c r="BE160" s="43">
        <f t="shared" si="196"/>
        <v>151.82551417459925</v>
      </c>
      <c r="BF160" s="41" t="str">
        <f t="shared" si="197"/>
        <v>0,219584105132218+0,404263973069113i</v>
      </c>
      <c r="BG160" s="20">
        <f t="shared" si="198"/>
        <v>-6.7438882873056478</v>
      </c>
      <c r="BH160" s="43">
        <f t="shared" si="199"/>
        <v>61.490513229325138</v>
      </c>
      <c r="BI160" s="41" t="str">
        <f t="shared" si="152"/>
        <v>1,28903437873754+2,86555278651888i</v>
      </c>
      <c r="BJ160" s="20">
        <f t="shared" si="200"/>
        <v>9.9444924266874271</v>
      </c>
      <c r="BK160" s="43">
        <f t="shared" si="153"/>
        <v>65.779976587577323</v>
      </c>
      <c r="BL160">
        <f t="shared" si="201"/>
        <v>-6.7438882873056478</v>
      </c>
      <c r="BM160" s="43">
        <f t="shared" si="202"/>
        <v>61.490513229325138</v>
      </c>
    </row>
    <row r="161" spans="14:65" x14ac:dyDescent="0.35">
      <c r="N161" s="9">
        <v>43</v>
      </c>
      <c r="O161" s="34">
        <f t="shared" si="154"/>
        <v>269.15348039269179</v>
      </c>
      <c r="P161" s="33" t="str">
        <f t="shared" si="155"/>
        <v>59,1053597814893</v>
      </c>
      <c r="Q161" s="4" t="str">
        <f t="shared" si="156"/>
        <v>1+12,9942161278798i</v>
      </c>
      <c r="R161" s="4">
        <f t="shared" si="168"/>
        <v>13.032637982313922</v>
      </c>
      <c r="S161" s="4">
        <f t="shared" si="169"/>
        <v>1.4939903976931537</v>
      </c>
      <c r="T161" s="4" t="str">
        <f t="shared" si="157"/>
        <v>1+0,00219848355139349i</v>
      </c>
      <c r="U161" s="4">
        <f t="shared" si="170"/>
        <v>1.0000024166620427</v>
      </c>
      <c r="V161" s="4">
        <f t="shared" si="171"/>
        <v>2.1984800094049816E-3</v>
      </c>
      <c r="W161" t="str">
        <f t="shared" si="158"/>
        <v>1-0,0811747772822214i</v>
      </c>
      <c r="X161" s="4">
        <f t="shared" si="172"/>
        <v>1.0032892626091532</v>
      </c>
      <c r="Y161" s="4">
        <f t="shared" si="173"/>
        <v>-8.0997182704501861E-2</v>
      </c>
      <c r="Z161" t="str">
        <f t="shared" si="159"/>
        <v>0,999998503231487+0,00759476135935934i</v>
      </c>
      <c r="AA161" s="4">
        <f t="shared" si="174"/>
        <v>1.0000273430588384</v>
      </c>
      <c r="AB161" s="4">
        <f t="shared" si="175"/>
        <v>7.594626708415788E-3</v>
      </c>
      <c r="AC161" s="47" t="str">
        <f t="shared" si="176"/>
        <v>-0,0436218500207498-4,54977492246247i</v>
      </c>
      <c r="AD161" s="20">
        <f t="shared" si="177"/>
        <v>13.160197454460981</v>
      </c>
      <c r="AE161" s="43">
        <f t="shared" si="178"/>
        <v>-90.549317573793843</v>
      </c>
      <c r="AF161" t="str">
        <f t="shared" si="160"/>
        <v>405,634542683733</v>
      </c>
      <c r="AG161" t="str">
        <f t="shared" si="161"/>
        <v>1+13,0173368174615i</v>
      </c>
      <c r="AH161">
        <f t="shared" si="179"/>
        <v>13.055690629730726</v>
      </c>
      <c r="AI161">
        <f t="shared" si="180"/>
        <v>1.4941262817806029</v>
      </c>
      <c r="AJ161" t="str">
        <f t="shared" si="162"/>
        <v>1+0,00219848355139349i</v>
      </c>
      <c r="AK161">
        <f t="shared" si="181"/>
        <v>1.0000024166620427</v>
      </c>
      <c r="AL161">
        <f t="shared" si="182"/>
        <v>2.1984800094049816E-3</v>
      </c>
      <c r="AM161" t="str">
        <f t="shared" si="163"/>
        <v>1-0,0118489647012667i</v>
      </c>
      <c r="AN161">
        <f t="shared" si="183"/>
        <v>1.0000701965184704</v>
      </c>
      <c r="AO161">
        <f t="shared" si="184"/>
        <v>-1.1848410224465934E-2</v>
      </c>
      <c r="AP161" s="41" t="str">
        <f t="shared" si="185"/>
        <v>2,08087797834305-31,0020580280367i</v>
      </c>
      <c r="AQ161">
        <f t="shared" si="186"/>
        <v>29.847332304253989</v>
      </c>
      <c r="AR161" s="43">
        <f t="shared" si="187"/>
        <v>-86.160030279521706</v>
      </c>
      <c r="AS161" t="str">
        <f t="shared" si="164"/>
        <v>-0,0000166666666666667</v>
      </c>
      <c r="AT161" t="str">
        <f t="shared" si="165"/>
        <v>0,000374587774333584i</v>
      </c>
      <c r="AU161">
        <f t="shared" si="188"/>
        <v>3.7458777433358403E-4</v>
      </c>
      <c r="AV161">
        <f t="shared" si="189"/>
        <v>1.5707963267948966</v>
      </c>
      <c r="AW161" t="str">
        <f t="shared" si="166"/>
        <v>1+0,0133535257210878i</v>
      </c>
      <c r="AX161">
        <f t="shared" si="190"/>
        <v>1.0000891543503427</v>
      </c>
      <c r="AY161">
        <f t="shared" si="191"/>
        <v>1.3352732087343146E-2</v>
      </c>
      <c r="AZ161" t="str">
        <f t="shared" si="167"/>
        <v>1+1,97187063148063i</v>
      </c>
      <c r="BA161">
        <f t="shared" si="192"/>
        <v>2.2109440941136023</v>
      </c>
      <c r="BB161">
        <f t="shared" si="193"/>
        <v>1.1014588842313724</v>
      </c>
      <c r="BC161" s="41" t="str">
        <f t="shared" si="194"/>
        <v>-0,08712546012743+0,0456567866578709i</v>
      </c>
      <c r="BD161">
        <f t="shared" si="195"/>
        <v>-20.143316113220713</v>
      </c>
      <c r="BE161" s="43">
        <f t="shared" si="196"/>
        <v>152.34389018007269</v>
      </c>
      <c r="BF161" s="41" t="str">
        <f t="shared" si="197"/>
        <v>0,211528676730868+0,394409600095766i</v>
      </c>
      <c r="BG161" s="20">
        <f t="shared" si="198"/>
        <v>-6.983118658759726</v>
      </c>
      <c r="BH161" s="43">
        <f t="shared" si="199"/>
        <v>61.794572606278834</v>
      </c>
      <c r="BI161" s="41" t="str">
        <f t="shared" si="152"/>
        <v>1,23415689800883+2,79607477250825i</v>
      </c>
      <c r="BJ161" s="20">
        <f t="shared" si="200"/>
        <v>9.7040161910332667</v>
      </c>
      <c r="BK161" s="43">
        <f t="shared" si="153"/>
        <v>66.183859900550999</v>
      </c>
      <c r="BL161">
        <f t="shared" si="201"/>
        <v>-6.983118658759726</v>
      </c>
      <c r="BM161" s="43">
        <f t="shared" si="202"/>
        <v>61.794572606278834</v>
      </c>
    </row>
    <row r="162" spans="14:65" x14ac:dyDescent="0.35">
      <c r="N162" s="9">
        <v>44</v>
      </c>
      <c r="O162" s="34">
        <f t="shared" si="154"/>
        <v>275.42287033381683</v>
      </c>
      <c r="P162" s="33" t="str">
        <f t="shared" si="155"/>
        <v>59,1053597814893</v>
      </c>
      <c r="Q162" s="4" t="str">
        <f t="shared" si="156"/>
        <v>1+13,296890303841i</v>
      </c>
      <c r="R162" s="4">
        <f t="shared" si="168"/>
        <v>13.334440061449179</v>
      </c>
      <c r="S162" s="4">
        <f t="shared" si="169"/>
        <v>1.4957320781272152</v>
      </c>
      <c r="T162" s="4" t="str">
        <f t="shared" si="157"/>
        <v>1+0,00224969281178547i</v>
      </c>
      <c r="U162" s="4">
        <f t="shared" si="170"/>
        <v>1.0000025305556719</v>
      </c>
      <c r="V162" s="4">
        <f t="shared" si="171"/>
        <v>2.2496890164769232E-3</v>
      </c>
      <c r="W162" t="str">
        <f t="shared" si="158"/>
        <v>1-0,0830655807428483i</v>
      </c>
      <c r="X162" s="4">
        <f t="shared" si="172"/>
        <v>1.0034440147333317</v>
      </c>
      <c r="Y162" s="4">
        <f t="shared" si="173"/>
        <v>-8.2875319981514983E-2</v>
      </c>
      <c r="Z162" t="str">
        <f t="shared" si="159"/>
        <v>0,999998432690961+0,00777166607707708i</v>
      </c>
      <c r="AA162" s="4">
        <f t="shared" si="174"/>
        <v>1.0000286316791094</v>
      </c>
      <c r="AB162" s="4">
        <f t="shared" si="175"/>
        <v>7.7715217962145205E-3</v>
      </c>
      <c r="AC162" s="47" t="str">
        <f t="shared" si="176"/>
        <v>-0,0592987831027207-4,44728836787746i</v>
      </c>
      <c r="AD162" s="20">
        <f t="shared" si="177"/>
        <v>12.962677863698213</v>
      </c>
      <c r="AE162" s="43">
        <f t="shared" si="178"/>
        <v>-90.76391913321433</v>
      </c>
      <c r="AF162" t="str">
        <f t="shared" si="160"/>
        <v>405,634542683733</v>
      </c>
      <c r="AG162" t="str">
        <f t="shared" si="161"/>
        <v>1+13,3205495434666i</v>
      </c>
      <c r="AH162">
        <f t="shared" si="179"/>
        <v>13.358032794537834</v>
      </c>
      <c r="AI162">
        <f t="shared" si="180"/>
        <v>1.4958649042498717</v>
      </c>
      <c r="AJ162" t="str">
        <f t="shared" si="162"/>
        <v>1+0,00224969281178547i</v>
      </c>
      <c r="AK162">
        <f t="shared" si="181"/>
        <v>1.0000025305556719</v>
      </c>
      <c r="AL162">
        <f t="shared" si="182"/>
        <v>2.2496890164769232E-3</v>
      </c>
      <c r="AM162" t="str">
        <f t="shared" si="163"/>
        <v>1-0,0121249625445883i</v>
      </c>
      <c r="AN162">
        <f t="shared" si="183"/>
        <v>1.0000735046568865</v>
      </c>
      <c r="AO162">
        <f t="shared" si="184"/>
        <v>-1.2124368414350424E-2</v>
      </c>
      <c r="AP162" s="41" t="str">
        <f t="shared" si="185"/>
        <v>1,97429193396982-30,3044040416555i</v>
      </c>
      <c r="AQ162">
        <f t="shared" si="186"/>
        <v>29.648508926798979</v>
      </c>
      <c r="AR162" s="43">
        <f t="shared" si="187"/>
        <v>-86.2725231888016</v>
      </c>
      <c r="AS162" t="str">
        <f t="shared" si="164"/>
        <v>-0,0000166666666666667</v>
      </c>
      <c r="AT162" t="str">
        <f t="shared" si="165"/>
        <v>0,000383313044469601i</v>
      </c>
      <c r="AU162">
        <f t="shared" si="188"/>
        <v>3.83313044469601E-4</v>
      </c>
      <c r="AV162">
        <f t="shared" si="189"/>
        <v>1.5707963267948966</v>
      </c>
      <c r="AW162" t="str">
        <f t="shared" si="166"/>
        <v>1+0,01366456929263i</v>
      </c>
      <c r="AX162">
        <f t="shared" si="190"/>
        <v>1.0000933558693175</v>
      </c>
      <c r="AY162">
        <f t="shared" si="191"/>
        <v>1.3663718903038581E-2</v>
      </c>
      <c r="AZ162" t="str">
        <f t="shared" si="167"/>
        <v>1+2,01780139887835i</v>
      </c>
      <c r="BA162">
        <f t="shared" si="192"/>
        <v>2.2520041041959549</v>
      </c>
      <c r="BB162">
        <f t="shared" si="193"/>
        <v>1.1106838108979822</v>
      </c>
      <c r="BC162" s="41" t="str">
        <f t="shared" si="194"/>
        <v>-0,087124728078761+0,0446710840696761i</v>
      </c>
      <c r="BD162">
        <f t="shared" si="195"/>
        <v>-20.183524273627075</v>
      </c>
      <c r="BE162" s="43">
        <f t="shared" si="196"/>
        <v>152.85462131236358</v>
      </c>
      <c r="BF162" s="41" t="str">
        <f t="shared" si="197"/>
        <v>0,203831582916773+0,384819848813949i</v>
      </c>
      <c r="BG162" s="20">
        <f t="shared" si="198"/>
        <v>-7.2208464099288685</v>
      </c>
      <c r="BH162" s="43">
        <f t="shared" si="199"/>
        <v>62.090702179149176</v>
      </c>
      <c r="BI162" s="41" t="str">
        <f t="shared" si="152"/>
        <v>1,18172093273101+2,72845672267859i</v>
      </c>
      <c r="BJ162" s="20">
        <f t="shared" si="200"/>
        <v>9.4649846531718982</v>
      </c>
      <c r="BK162" s="43">
        <f t="shared" si="153"/>
        <v>66.582098123562034</v>
      </c>
      <c r="BL162">
        <f t="shared" si="201"/>
        <v>-7.2208464099288685</v>
      </c>
      <c r="BM162" s="43">
        <f t="shared" si="202"/>
        <v>62.090702179149176</v>
      </c>
    </row>
    <row r="163" spans="14:65" x14ac:dyDescent="0.35">
      <c r="N163" s="9">
        <v>45</v>
      </c>
      <c r="O163" s="34">
        <f t="shared" si="154"/>
        <v>281.83829312644554</v>
      </c>
      <c r="P163" s="33" t="str">
        <f t="shared" si="155"/>
        <v>59,1053597814893</v>
      </c>
      <c r="Q163" s="4" t="str">
        <f t="shared" si="156"/>
        <v>1+13,6066146670464i</v>
      </c>
      <c r="R163" s="4">
        <f t="shared" si="168"/>
        <v>13.643312013491526</v>
      </c>
      <c r="S163" s="4">
        <f t="shared" si="169"/>
        <v>1.4974345540697671</v>
      </c>
      <c r="T163" s="4" t="str">
        <f t="shared" si="157"/>
        <v>1+0,00230209488908446i</v>
      </c>
      <c r="U163" s="4">
        <f t="shared" si="170"/>
        <v>1.0000026498169283</v>
      </c>
      <c r="V163" s="4">
        <f t="shared" si="171"/>
        <v>2.3020908223386647E-3</v>
      </c>
      <c r="W163" t="str">
        <f t="shared" si="158"/>
        <v>1-0,0850004266738878i</v>
      </c>
      <c r="X163" s="4">
        <f t="shared" si="172"/>
        <v>1.0036060345248741</v>
      </c>
      <c r="Y163" s="4">
        <f t="shared" si="173"/>
        <v>-8.4796598136469573E-2</v>
      </c>
      <c r="Z163" t="str">
        <f t="shared" si="159"/>
        <v>0,999998358825961+0,00795269143501903i</v>
      </c>
      <c r="AA163" s="4">
        <f t="shared" si="174"/>
        <v>1.000029981028407</v>
      </c>
      <c r="AB163" s="4">
        <f t="shared" si="175"/>
        <v>7.9525368355395608E-3</v>
      </c>
      <c r="AC163" s="47" t="str">
        <f t="shared" si="176"/>
        <v>-0,0742778290415678-4,34705423529543i</v>
      </c>
      <c r="AD163" s="20">
        <f t="shared" si="177"/>
        <v>12.765168968044458</v>
      </c>
      <c r="AE163" s="43">
        <f t="shared" si="178"/>
        <v>-90.978913944461667</v>
      </c>
      <c r="AF163" t="str">
        <f t="shared" si="160"/>
        <v>405,634542683733</v>
      </c>
      <c r="AG163" t="str">
        <f t="shared" si="161"/>
        <v>1+13,630825001158i</v>
      </c>
      <c r="AH163">
        <f t="shared" si="179"/>
        <v>13.667457342614757</v>
      </c>
      <c r="AI163">
        <f t="shared" si="180"/>
        <v>1.4975643895072857</v>
      </c>
      <c r="AJ163" t="str">
        <f t="shared" si="162"/>
        <v>1+0,00230209488908446i</v>
      </c>
      <c r="AK163">
        <f t="shared" si="181"/>
        <v>1.0000026498169283</v>
      </c>
      <c r="AL163">
        <f t="shared" si="182"/>
        <v>2.3020908223386647E-3</v>
      </c>
      <c r="AM163" t="str">
        <f t="shared" si="163"/>
        <v>1-0,0124073892035438i</v>
      </c>
      <c r="AN163">
        <f t="shared" si="183"/>
        <v>1.0000769686913344</v>
      </c>
      <c r="AO163">
        <f t="shared" si="184"/>
        <v>-1.240675258417029E-2</v>
      </c>
      <c r="AP163" s="41" t="str">
        <f t="shared" si="185"/>
        <v>1,87245047987252-29,6221012524068i</v>
      </c>
      <c r="AQ163">
        <f t="shared" si="186"/>
        <v>29.449635613614504</v>
      </c>
      <c r="AR163" s="43">
        <f t="shared" si="187"/>
        <v>-86.383073540213346</v>
      </c>
      <c r="AS163" t="str">
        <f t="shared" si="164"/>
        <v>-0,0000166666666666667</v>
      </c>
      <c r="AT163" t="str">
        <f t="shared" si="165"/>
        <v>0,000392241552255543i</v>
      </c>
      <c r="AU163">
        <f t="shared" si="188"/>
        <v>3.9224155225554299E-4</v>
      </c>
      <c r="AV163">
        <f t="shared" si="189"/>
        <v>1.5707963267948966</v>
      </c>
      <c r="AW163" t="str">
        <f t="shared" si="166"/>
        <v>1+0,013982857999683i</v>
      </c>
      <c r="AX163">
        <f t="shared" si="190"/>
        <v>1.0000977553808623</v>
      </c>
      <c r="AY163">
        <f t="shared" si="191"/>
        <v>1.3981946795629155E-2</v>
      </c>
      <c r="AZ163" t="str">
        <f t="shared" si="167"/>
        <v>1+2,06480203128652i</v>
      </c>
      <c r="BA163">
        <f t="shared" si="192"/>
        <v>2.2942117226631331</v>
      </c>
      <c r="BB163">
        <f t="shared" si="193"/>
        <v>1.1197809957522564</v>
      </c>
      <c r="BC163" s="41" t="str">
        <f t="shared" si="194"/>
        <v>-0,0871239615428864+0,0437090657386153i</v>
      </c>
      <c r="BD163">
        <f t="shared" si="195"/>
        <v>-20.222276146296203</v>
      </c>
      <c r="BE163" s="43">
        <f t="shared" si="196"/>
        <v>153.35761849479505</v>
      </c>
      <c r="BF163" s="41" t="str">
        <f t="shared" si="197"/>
        <v>0,196477058060761+0,375485971508221i</v>
      </c>
      <c r="BG163" s="20">
        <f t="shared" si="198"/>
        <v>-7.4571071782517393</v>
      </c>
      <c r="BH163" s="43">
        <f t="shared" si="199"/>
        <v>62.378704550333325</v>
      </c>
      <c r="BI163" s="41" t="str">
        <f t="shared" si="152"/>
        <v>1,13161906735799+2,66263787145123i</v>
      </c>
      <c r="BJ163" s="20">
        <f t="shared" si="200"/>
        <v>9.2273594673183048</v>
      </c>
      <c r="BK163" s="43">
        <f t="shared" si="153"/>
        <v>66.974544954581802</v>
      </c>
      <c r="BL163">
        <f t="shared" si="201"/>
        <v>-7.4571071782517393</v>
      </c>
      <c r="BM163" s="43">
        <f t="shared" si="202"/>
        <v>62.378704550333325</v>
      </c>
    </row>
    <row r="164" spans="14:65" x14ac:dyDescent="0.35">
      <c r="N164" s="9">
        <v>46</v>
      </c>
      <c r="O164" s="34">
        <f t="shared" si="154"/>
        <v>288.40315031266073</v>
      </c>
      <c r="P164" s="33" t="str">
        <f t="shared" si="155"/>
        <v>59,1053597814893</v>
      </c>
      <c r="Q164" s="4" t="str">
        <f t="shared" si="156"/>
        <v>1+13,9235534374531i</v>
      </c>
      <c r="R164" s="4">
        <f t="shared" si="168"/>
        <v>13.959417621291085</v>
      </c>
      <c r="S164" s="4">
        <f t="shared" si="169"/>
        <v>1.4990986886980013</v>
      </c>
      <c r="T164" s="4" t="str">
        <f t="shared" si="157"/>
        <v>1+0,00235571756756547i</v>
      </c>
      <c r="U164" s="4">
        <f t="shared" si="170"/>
        <v>1.0000027746987796</v>
      </c>
      <c r="V164" s="4">
        <f t="shared" si="171"/>
        <v>2.3557132099694938E-3</v>
      </c>
      <c r="W164" t="str">
        <f t="shared" si="158"/>
        <v>1-0,0869803409562635i</v>
      </c>
      <c r="X164" s="4">
        <f t="shared" si="172"/>
        <v>1.0037756620444966</v>
      </c>
      <c r="Y164" s="4">
        <f t="shared" si="173"/>
        <v>-8.6761979088665453E-2</v>
      </c>
      <c r="Z164" t="str">
        <f t="shared" si="159"/>
        <v>0,999998281479812+0,00813793341522615i</v>
      </c>
      <c r="AA164" s="4">
        <f t="shared" si="174"/>
        <v>1.0000313939686334</v>
      </c>
      <c r="AB164" s="4">
        <f t="shared" si="175"/>
        <v>8.137767759179966E-3</v>
      </c>
      <c r="AC164" s="47" t="str">
        <f t="shared" si="176"/>
        <v>-0,0885897172465511-4,24902635202831i</v>
      </c>
      <c r="AD164" s="20">
        <f t="shared" si="177"/>
        <v>12.567675950786786</v>
      </c>
      <c r="AE164" s="43">
        <f t="shared" si="178"/>
        <v>-91.194410482558538</v>
      </c>
      <c r="AF164" t="str">
        <f t="shared" si="160"/>
        <v>405,634542683733</v>
      </c>
      <c r="AG164" t="str">
        <f t="shared" si="161"/>
        <v>1+13,9483277026903i</v>
      </c>
      <c r="AH164">
        <f t="shared" si="179"/>
        <v>13.984128349726971</v>
      </c>
      <c r="AI164">
        <f t="shared" si="180"/>
        <v>1.4992255993521229</v>
      </c>
      <c r="AJ164" t="str">
        <f t="shared" si="162"/>
        <v>1+0,00235571756756547i</v>
      </c>
      <c r="AK164">
        <f t="shared" si="181"/>
        <v>1.0000027746987796</v>
      </c>
      <c r="AL164">
        <f t="shared" si="182"/>
        <v>2.3557132099694938E-3</v>
      </c>
      <c r="AM164" t="str">
        <f t="shared" si="163"/>
        <v>1-0,0126963944244863i</v>
      </c>
      <c r="AN164">
        <f t="shared" si="183"/>
        <v>1.0000805959678361</v>
      </c>
      <c r="AO164">
        <f t="shared" si="184"/>
        <v>-1.2695712277506554E-2</v>
      </c>
      <c r="AP164" s="41" t="str">
        <f t="shared" si="185"/>
        <v>1,77514466374982-28,9548352175617i</v>
      </c>
      <c r="AQ164">
        <f t="shared" si="186"/>
        <v>29.250714716443209</v>
      </c>
      <c r="AR164" s="43">
        <f t="shared" si="187"/>
        <v>-86.491737687586991</v>
      </c>
      <c r="AS164" t="str">
        <f t="shared" si="164"/>
        <v>-0,0000166666666666667</v>
      </c>
      <c r="AT164" t="str">
        <f t="shared" si="165"/>
        <v>0,000401378031704423i</v>
      </c>
      <c r="AU164">
        <f t="shared" si="188"/>
        <v>4.0137803170442297E-4</v>
      </c>
      <c r="AV164">
        <f t="shared" si="189"/>
        <v>1.5707963267948966</v>
      </c>
      <c r="AW164" t="str">
        <f t="shared" si="166"/>
        <v>1+0,0143085606031325i</v>
      </c>
      <c r="AX164">
        <f t="shared" si="190"/>
        <v>1.0001023622142553</v>
      </c>
      <c r="AY164">
        <f t="shared" si="191"/>
        <v>1.4307584235795008E-2</v>
      </c>
      <c r="AZ164" t="str">
        <f t="shared" si="167"/>
        <v>1+2,11289744906256i</v>
      </c>
      <c r="BA164">
        <f t="shared" si="192"/>
        <v>2.3375918442395101</v>
      </c>
      <c r="BB164">
        <f t="shared" si="193"/>
        <v>1.1287492383004303</v>
      </c>
      <c r="BC164" s="41" t="str">
        <f t="shared" si="194"/>
        <v>-0,087123158895745+0,0427702215224241i</v>
      </c>
      <c r="BD164">
        <f t="shared" si="195"/>
        <v>-20.259612380260226</v>
      </c>
      <c r="BE164" s="43">
        <f t="shared" si="196"/>
        <v>153.85280329148208</v>
      </c>
      <c r="BF164" s="41" t="str">
        <f t="shared" si="197"/>
        <v>0,189450014343069+0,366399596188726i</v>
      </c>
      <c r="BG164" s="20">
        <f t="shared" si="198"/>
        <v>-7.6919364294734436</v>
      </c>
      <c r="BH164" s="43">
        <f t="shared" si="199"/>
        <v>62.658392808923502</v>
      </c>
      <c r="BI164" s="41" t="str">
        <f t="shared" si="152"/>
        <v>1,08374850579759+2,59856003996267i</v>
      </c>
      <c r="BJ164" s="20">
        <f t="shared" si="200"/>
        <v>8.9911023361829816</v>
      </c>
      <c r="BK164" s="43">
        <f t="shared" si="153"/>
        <v>67.361065603895128</v>
      </c>
      <c r="BL164">
        <f t="shared" si="201"/>
        <v>-7.6919364294734436</v>
      </c>
      <c r="BM164" s="43">
        <f t="shared" si="202"/>
        <v>62.658392808923502</v>
      </c>
    </row>
    <row r="165" spans="14:65" x14ac:dyDescent="0.35">
      <c r="N165" s="9">
        <v>47</v>
      </c>
      <c r="O165" s="34">
        <f t="shared" si="154"/>
        <v>295.12092266663871</v>
      </c>
      <c r="P165" s="33" t="str">
        <f t="shared" si="155"/>
        <v>59,1053597814893</v>
      </c>
      <c r="Q165" s="4" t="str">
        <f t="shared" si="156"/>
        <v>1+14,2478746601924i</v>
      </c>
      <c r="R165" s="4">
        <f t="shared" si="168"/>
        <v>14.282924502095245</v>
      </c>
      <c r="S165" s="4">
        <f t="shared" si="169"/>
        <v>1.5007253274689643</v>
      </c>
      <c r="T165" s="4" t="str">
        <f t="shared" si="157"/>
        <v>1+0,0024105892786824i</v>
      </c>
      <c r="U165" s="4">
        <f t="shared" si="170"/>
        <v>1.0000029054661144</v>
      </c>
      <c r="V165" s="4">
        <f t="shared" si="171"/>
        <v>2.41058460943492E-3</v>
      </c>
      <c r="W165" t="str">
        <f t="shared" si="158"/>
        <v>1-0,089006373366735i</v>
      </c>
      <c r="X165" s="4">
        <f t="shared" si="172"/>
        <v>1.0039532531447362</v>
      </c>
      <c r="Y165" s="4">
        <f t="shared" si="173"/>
        <v>-8.8772444141614087E-2</v>
      </c>
      <c r="Z165" t="str">
        <f t="shared" si="159"/>
        <v>0,99999820048845+0,0083274902354483i</v>
      </c>
      <c r="AA165" s="4">
        <f t="shared" si="174"/>
        <v>1.0000328734965465</v>
      </c>
      <c r="AB165" s="4">
        <f t="shared" si="175"/>
        <v>8.3273127321116872E-3</v>
      </c>
      <c r="AC165" s="47" t="str">
        <f t="shared" si="176"/>
        <v>-0,102263852839138-4,15315925785441i</v>
      </c>
      <c r="AD165" s="20">
        <f t="shared" si="177"/>
        <v>12.37020402629094</v>
      </c>
      <c r="AE165" s="43">
        <f t="shared" si="178"/>
        <v>-91.410517408691092</v>
      </c>
      <c r="AF165" t="str">
        <f t="shared" si="160"/>
        <v>405,634542683733</v>
      </c>
      <c r="AG165" t="str">
        <f t="shared" si="161"/>
        <v>1+14,2732259921984i</v>
      </c>
      <c r="AH165">
        <f t="shared" si="179"/>
        <v>14.308213732830804</v>
      </c>
      <c r="AI165">
        <f t="shared" si="180"/>
        <v>1.5008493778848291</v>
      </c>
      <c r="AJ165" t="str">
        <f t="shared" si="162"/>
        <v>1+0,0024105892786824i</v>
      </c>
      <c r="AK165">
        <f t="shared" si="181"/>
        <v>1.0000029054661144</v>
      </c>
      <c r="AL165">
        <f t="shared" si="182"/>
        <v>2.41058460943492E-3</v>
      </c>
      <c r="AM165" t="str">
        <f t="shared" si="163"/>
        <v>1-0,0129921314418092i</v>
      </c>
      <c r="AN165">
        <f t="shared" si="183"/>
        <v>1.0000843941785118</v>
      </c>
      <c r="AO165">
        <f t="shared" si="184"/>
        <v>-1.2991400511482693E-2</v>
      </c>
      <c r="AP165" s="41" t="str">
        <f t="shared" si="185"/>
        <v>1,68217453853829-28,3022963631077i</v>
      </c>
      <c r="AQ165">
        <f t="shared" si="186"/>
        <v>29.051748489420977</v>
      </c>
      <c r="AR165" s="43">
        <f t="shared" si="187"/>
        <v>-86.598571132628194</v>
      </c>
      <c r="AS165" t="str">
        <f t="shared" si="164"/>
        <v>-0,0000166666666666667</v>
      </c>
      <c r="AT165" t="str">
        <f t="shared" si="165"/>
        <v>0,000410727327098578i</v>
      </c>
      <c r="AU165">
        <f t="shared" si="188"/>
        <v>4.1072732709857799E-4</v>
      </c>
      <c r="AV165">
        <f t="shared" si="189"/>
        <v>1.5707963267948966</v>
      </c>
      <c r="AW165" t="str">
        <f t="shared" si="166"/>
        <v>1+0,01464184979481i</v>
      </c>
      <c r="AX165">
        <f t="shared" si="190"/>
        <v>1.0001071861382729</v>
      </c>
      <c r="AY165">
        <f t="shared" si="191"/>
        <v>1.4640803604414566E-2</v>
      </c>
      <c r="AZ165" t="str">
        <f t="shared" si="167"/>
        <v>1+2,1621131530336i</v>
      </c>
      <c r="BA165">
        <f t="shared" si="192"/>
        <v>2.3821698693671904</v>
      </c>
      <c r="BB165">
        <f t="shared" si="193"/>
        <v>1.1375875221488416</v>
      </c>
      <c r="BC165" s="41" t="str">
        <f t="shared" si="194"/>
        <v>-0,0871223184368605+0,0418540535612433i</v>
      </c>
      <c r="BD165">
        <f t="shared" si="195"/>
        <v>-20.295573398827468</v>
      </c>
      <c r="BE165" s="43">
        <f t="shared" si="196"/>
        <v>154.34010759066078</v>
      </c>
      <c r="BF165" s="41" t="str">
        <f t="shared" si="197"/>
        <v>0,182736013978244+0,357552706607679i</v>
      </c>
      <c r="BG165" s="20">
        <f t="shared" si="198"/>
        <v>-7.9253693725365171</v>
      </c>
      <c r="BH165" s="43">
        <f t="shared" si="199"/>
        <v>62.929590181969637</v>
      </c>
      <c r="BI165" s="41" t="str">
        <f t="shared" si="152"/>
        <v>1,03801088207478+2,53616749947641i</v>
      </c>
      <c r="BJ165" s="20">
        <f t="shared" si="200"/>
        <v>8.7561750905935138</v>
      </c>
      <c r="BK165" s="43">
        <f t="shared" si="153"/>
        <v>67.741536458032584</v>
      </c>
      <c r="BL165">
        <f t="shared" si="201"/>
        <v>-7.9253693725365171</v>
      </c>
      <c r="BM165" s="43">
        <f t="shared" si="202"/>
        <v>62.929590181969637</v>
      </c>
    </row>
    <row r="166" spans="14:65" x14ac:dyDescent="0.35">
      <c r="N166" s="9">
        <v>48</v>
      </c>
      <c r="O166" s="34">
        <f t="shared" si="154"/>
        <v>301.99517204020168</v>
      </c>
      <c r="P166" s="33" t="str">
        <f t="shared" si="155"/>
        <v>59,1053597814893</v>
      </c>
      <c r="Q166" s="4" t="str">
        <f t="shared" si="156"/>
        <v>1+14,5797502946694i</v>
      </c>
      <c r="R166" s="4">
        <f t="shared" si="168"/>
        <v>14.614004196486068</v>
      </c>
      <c r="S166" s="4">
        <f t="shared" si="169"/>
        <v>1.5023152983966506</v>
      </c>
      <c r="T166" s="4" t="str">
        <f t="shared" si="157"/>
        <v>1+0,00246673911614282i</v>
      </c>
      <c r="U166" s="4">
        <f t="shared" si="170"/>
        <v>1.0000030423963053</v>
      </c>
      <c r="V166" s="4">
        <f t="shared" si="171"/>
        <v>2.4667341129548264E-3</v>
      </c>
      <c r="W166" t="str">
        <f t="shared" si="158"/>
        <v>1-0,0910795981345043i</v>
      </c>
      <c r="X166" s="4">
        <f t="shared" si="172"/>
        <v>1.0041391801918411</v>
      </c>
      <c r="Y166" s="4">
        <f t="shared" si="173"/>
        <v>-9.0828994224554038E-2</v>
      </c>
      <c r="Z166" t="str">
        <f t="shared" si="159"/>
        <v>0,999998115680084+0,00852146240122065i</v>
      </c>
      <c r="AA166" s="4">
        <f t="shared" si="174"/>
        <v>1.0000344227501241</v>
      </c>
      <c r="AB166" s="4">
        <f t="shared" si="175"/>
        <v>8.5212722033220379E-3</v>
      </c>
      <c r="AC166" s="47" t="str">
        <f t="shared" si="176"/>
        <v>-0,115328371152731-4,05940821056995i</v>
      </c>
      <c r="AD166" s="20">
        <f t="shared" si="177"/>
        <v>12.172758450204118</v>
      </c>
      <c r="AE166" s="43">
        <f t="shared" si="178"/>
        <v>-91.627343602029285</v>
      </c>
      <c r="AF166" t="str">
        <f t="shared" si="160"/>
        <v>405,634542683733</v>
      </c>
      <c r="AG166" t="str">
        <f t="shared" si="161"/>
        <v>1+14,6056921350562i</v>
      </c>
      <c r="AH166">
        <f t="shared" si="179"/>
        <v>14.639885339169927</v>
      </c>
      <c r="AI166">
        <f t="shared" si="180"/>
        <v>1.5024365517842795</v>
      </c>
      <c r="AJ166" t="str">
        <f t="shared" si="162"/>
        <v>1+0,00246673911614282i</v>
      </c>
      <c r="AK166">
        <f t="shared" si="181"/>
        <v>1.0000030423963053</v>
      </c>
      <c r="AL166">
        <f t="shared" si="182"/>
        <v>2.4667341129548264E-3</v>
      </c>
      <c r="AM166" t="str">
        <f t="shared" si="163"/>
        <v>1-0,0132947570591938i</v>
      </c>
      <c r="AN166">
        <f t="shared" si="183"/>
        <v>1.0000883713778812</v>
      </c>
      <c r="AO166">
        <f t="shared" si="184"/>
        <v>-1.3293973856975901E-2</v>
      </c>
      <c r="AP166" s="41" t="str">
        <f t="shared" si="185"/>
        <v>1,59334879163643-27,6641800209063i</v>
      </c>
      <c r="AQ166">
        <f t="shared" si="186"/>
        <v>28.852739093567688</v>
      </c>
      <c r="AR166" s="43">
        <f t="shared" si="187"/>
        <v>-86.703628544536485</v>
      </c>
      <c r="AS166" t="str">
        <f t="shared" si="164"/>
        <v>-0,0000166666666666667</v>
      </c>
      <c r="AT166" t="str">
        <f t="shared" si="165"/>
        <v>0,00042029439555818i</v>
      </c>
      <c r="AU166">
        <f t="shared" si="188"/>
        <v>4.2029439555818E-4</v>
      </c>
      <c r="AV166">
        <f t="shared" si="189"/>
        <v>1.5707963267948966</v>
      </c>
      <c r="AW166" t="str">
        <f t="shared" si="166"/>
        <v>1+0,0149829022890564i</v>
      </c>
      <c r="AX166">
        <f t="shared" si="190"/>
        <v>1.0001122373818867</v>
      </c>
      <c r="AY166">
        <f t="shared" si="191"/>
        <v>1.4981781282645242E-2</v>
      </c>
      <c r="AZ166" t="str">
        <f t="shared" si="167"/>
        <v>1+2,21247523801733i</v>
      </c>
      <c r="BA166">
        <f t="shared" si="192"/>
        <v>2.427971721177955</v>
      </c>
      <c r="BB166">
        <f t="shared" si="193"/>
        <v>1.1462950092189399</v>
      </c>
      <c r="BC166" s="41" t="str">
        <f t="shared" si="194"/>
        <v>-0,0871214383857485+0,0409600760133014i</v>
      </c>
      <c r="BD166">
        <f t="shared" si="195"/>
        <v>-20.330199329569517</v>
      </c>
      <c r="BE166" s="43">
        <f t="shared" si="196"/>
        <v>154.81947326807142</v>
      </c>
      <c r="BF166" s="41" t="str">
        <f t="shared" si="197"/>
        <v>0,176321242455476+0,348937623450865i</v>
      </c>
      <c r="BG166" s="20">
        <f t="shared" si="198"/>
        <v>-8.1574408793654118</v>
      </c>
      <c r="BH166" s="43">
        <f t="shared" si="199"/>
        <v>63.192129666042142</v>
      </c>
      <c r="BI166" s="41" t="str">
        <f t="shared" si="152"/>
        <v>0,994312077924416+2,47540684280477i</v>
      </c>
      <c r="BJ166" s="20">
        <f t="shared" si="200"/>
        <v>8.5225397639981608</v>
      </c>
      <c r="BK166" s="43">
        <f t="shared" si="153"/>
        <v>68.115844723534892</v>
      </c>
      <c r="BL166">
        <f t="shared" si="201"/>
        <v>-8.1574408793654118</v>
      </c>
      <c r="BM166" s="43">
        <f t="shared" si="202"/>
        <v>63.192129666042142</v>
      </c>
    </row>
    <row r="167" spans="14:65" x14ac:dyDescent="0.35">
      <c r="N167" s="9">
        <v>49</v>
      </c>
      <c r="O167" s="34">
        <f t="shared" si="154"/>
        <v>309.02954325135937</v>
      </c>
      <c r="P167" s="33" t="str">
        <f t="shared" si="155"/>
        <v>59,1053597814893</v>
      </c>
      <c r="Q167" s="4" t="str">
        <f t="shared" si="156"/>
        <v>1+14,9193563057384i</v>
      </c>
      <c r="R167" s="4">
        <f t="shared" si="168"/>
        <v>14.952832259394075</v>
      </c>
      <c r="S167" s="4">
        <f t="shared" si="169"/>
        <v>1.5038694123309575</v>
      </c>
      <c r="T167" s="4" t="str">
        <f t="shared" si="157"/>
        <v>1+0,00252419685133377i</v>
      </c>
      <c r="U167" s="4">
        <f t="shared" si="170"/>
        <v>1.0000031857797975</v>
      </c>
      <c r="V167" s="4">
        <f t="shared" si="171"/>
        <v>2.524191490322169E-3</v>
      </c>
      <c r="W167" t="str">
        <f t="shared" si="158"/>
        <v>1-0,0932011145107854i</v>
      </c>
      <c r="X167" s="4">
        <f t="shared" si="172"/>
        <v>1.0043338328195721</v>
      </c>
      <c r="Y167" s="4">
        <f t="shared" si="173"/>
        <v>-9.2932650125303023E-2</v>
      </c>
      <c r="Z167" t="str">
        <f t="shared" si="159"/>
        <v>0,999998026874822+0,00871995275915301i</v>
      </c>
      <c r="AA167" s="4">
        <f t="shared" si="174"/>
        <v>1.0000360450152079</v>
      </c>
      <c r="AB167" s="4">
        <f t="shared" si="175"/>
        <v>8.7197489588292636E-3</v>
      </c>
      <c r="AC167" s="47" t="str">
        <f t="shared" si="176"/>
        <v>-0,127810190216269-3,96772919003536i</v>
      </c>
      <c r="AD167" s="20">
        <f t="shared" si="177"/>
        <v>11.975344529718033</v>
      </c>
      <c r="AE167" s="43">
        <f t="shared" si="178"/>
        <v>-91.844998191205235</v>
      </c>
      <c r="AF167" t="str">
        <f t="shared" si="160"/>
        <v>405,634542683733</v>
      </c>
      <c r="AG167" t="str">
        <f t="shared" si="161"/>
        <v>1+14,9459024092131i</v>
      </c>
      <c r="AH167">
        <f t="shared" si="179"/>
        <v>14.979319037450331</v>
      </c>
      <c r="AI167">
        <f t="shared" si="180"/>
        <v>1.5039879305868453</v>
      </c>
      <c r="AJ167" t="str">
        <f t="shared" si="162"/>
        <v>1+0,00252419685133377i</v>
      </c>
      <c r="AK167">
        <f t="shared" si="181"/>
        <v>1.0000031857797975</v>
      </c>
      <c r="AL167">
        <f t="shared" si="182"/>
        <v>2.524191490322169E-3</v>
      </c>
      <c r="AM167" t="str">
        <f t="shared" si="163"/>
        <v>1-0,0136044317327481i</v>
      </c>
      <c r="AN167">
        <f t="shared" si="183"/>
        <v>1.0000925359999298</v>
      </c>
      <c r="AO167">
        <f t="shared" si="184"/>
        <v>-1.3603592520645479E-2</v>
      </c>
      <c r="AP167" s="41" t="str">
        <f t="shared" si="185"/>
        <v>1,50848438785472-27,0401864556491i</v>
      </c>
      <c r="AQ167">
        <f t="shared" si="186"/>
        <v>28.653688601106705</v>
      </c>
      <c r="AR167" s="43">
        <f t="shared" si="187"/>
        <v>-86.806963779811284</v>
      </c>
      <c r="AS167" t="str">
        <f t="shared" si="164"/>
        <v>-0,0000166666666666667</v>
      </c>
      <c r="AT167" t="str">
        <f t="shared" si="165"/>
        <v>0,000430084309669561i</v>
      </c>
      <c r="AU167">
        <f t="shared" si="188"/>
        <v>4.30084309669561E-4</v>
      </c>
      <c r="AV167">
        <f t="shared" si="189"/>
        <v>1.5707963267948966</v>
      </c>
      <c r="AW167" t="str">
        <f t="shared" si="166"/>
        <v>1+0,0153318989164187i</v>
      </c>
      <c r="AX167">
        <f t="shared" si="190"/>
        <v>1.0001175266559343</v>
      </c>
      <c r="AY167">
        <f t="shared" si="191"/>
        <v>1.5330697744031294E-2</v>
      </c>
      <c r="AZ167" t="str">
        <f t="shared" si="167"/>
        <v>1+2,26401040665783i</v>
      </c>
      <c r="BA167">
        <f t="shared" si="192"/>
        <v>2.4750238628051555</v>
      </c>
      <c r="BB167">
        <f t="shared" si="193"/>
        <v>1.1548710336681793</v>
      </c>
      <c r="BC167" s="41" t="str">
        <f t="shared" si="194"/>
        <v>-0,0871205168781613+0,0400878147969478i</v>
      </c>
      <c r="BD167">
        <f t="shared" si="195"/>
        <v>-20.363529939279456</v>
      </c>
      <c r="BE167" s="43">
        <f t="shared" si="196"/>
        <v>155.29085183337367</v>
      </c>
      <c r="BF167" s="41" t="str">
        <f t="shared" si="197"/>
        <v>0,170192482768519+0,340546986633896i</v>
      </c>
      <c r="BG167" s="20">
        <f t="shared" si="198"/>
        <v>-8.3881854095614319</v>
      </c>
      <c r="BH167" s="43">
        <f t="shared" si="199"/>
        <v>63.44585364216838</v>
      </c>
      <c r="BI167" s="41" t="str">
        <f t="shared" si="152"/>
        <v>0,952562047136458+2,41622686326241i</v>
      </c>
      <c r="BJ167" s="20">
        <f t="shared" si="200"/>
        <v>8.2901586618272347</v>
      </c>
      <c r="BK167" s="43">
        <f t="shared" si="153"/>
        <v>68.483888053562353</v>
      </c>
      <c r="BL167">
        <f t="shared" si="201"/>
        <v>-8.3881854095614319</v>
      </c>
      <c r="BM167" s="43">
        <f t="shared" si="202"/>
        <v>63.44585364216838</v>
      </c>
    </row>
    <row r="168" spans="14:65" x14ac:dyDescent="0.35">
      <c r="N168" s="9">
        <v>50</v>
      </c>
      <c r="O168" s="34">
        <f t="shared" si="154"/>
        <v>316.22776601683825</v>
      </c>
      <c r="P168" s="33" t="str">
        <f t="shared" si="155"/>
        <v>59,1053597814893</v>
      </c>
      <c r="Q168" s="4" t="str">
        <f t="shared" si="156"/>
        <v>1+15,2668727570018i</v>
      </c>
      <c r="R168" s="4">
        <f t="shared" si="168"/>
        <v>15.299588353236295</v>
      </c>
      <c r="S168" s="4">
        <f t="shared" si="169"/>
        <v>1.5053884632379362</v>
      </c>
      <c r="T168" s="4" t="str">
        <f t="shared" si="157"/>
        <v>1+0,00258299294910699i</v>
      </c>
      <c r="U168" s="4">
        <f t="shared" si="170"/>
        <v>1.0000033359207234</v>
      </c>
      <c r="V168" s="4">
        <f t="shared" si="171"/>
        <v>2.5829872046805994E-3</v>
      </c>
      <c r="W168" t="str">
        <f t="shared" si="158"/>
        <v>1-0,0953720473516427i</v>
      </c>
      <c r="X168" s="4">
        <f t="shared" si="172"/>
        <v>1.0045376187162152</v>
      </c>
      <c r="Y168" s="4">
        <f t="shared" si="173"/>
        <v>-9.5084452713313297E-2</v>
      </c>
      <c r="Z168" t="str">
        <f t="shared" si="159"/>
        <v>0,999997933884297+0,00892306655146049i</v>
      </c>
      <c r="AA168" s="4">
        <f t="shared" si="174"/>
        <v>1.0000377437324777</v>
      </c>
      <c r="AB168" s="4">
        <f t="shared" si="175"/>
        <v>8.9228481759239791E-3</v>
      </c>
      <c r="AC168" s="47" t="str">
        <f t="shared" si="176"/>
        <v>-0,139735061275429-3,87807890083356i</v>
      </c>
      <c r="AD168" s="20">
        <f t="shared" si="177"/>
        <v>11.777967633905007</v>
      </c>
      <c r="AE168" s="43">
        <f t="shared" si="178"/>
        <v>-92.063590585354675</v>
      </c>
      <c r="AF168" t="str">
        <f t="shared" si="160"/>
        <v>405,634542683733</v>
      </c>
      <c r="AG168" t="str">
        <f t="shared" si="161"/>
        <v>1+15,2940371986598i</v>
      </c>
      <c r="AH168">
        <f t="shared" si="179"/>
        <v>15.326694811145348</v>
      </c>
      <c r="AI168">
        <f t="shared" si="180"/>
        <v>1.50550430696673</v>
      </c>
      <c r="AJ168" t="str">
        <f t="shared" si="162"/>
        <v>1+0,00258299294910699i</v>
      </c>
      <c r="AK168">
        <f t="shared" si="181"/>
        <v>1.0000033359207234</v>
      </c>
      <c r="AL168">
        <f t="shared" si="182"/>
        <v>2.5829872046805994E-3</v>
      </c>
      <c r="AM168" t="str">
        <f t="shared" si="163"/>
        <v>1-0,0139213196560831i</v>
      </c>
      <c r="AN168">
        <f t="shared" si="183"/>
        <v>1.0000968968759811</v>
      </c>
      <c r="AO168">
        <f t="shared" si="184"/>
        <v>-1.3920420428819375E-2</v>
      </c>
      <c r="AP168" s="41" t="str">
        <f t="shared" si="185"/>
        <v>1,42740622572412-26,4300208824063i</v>
      </c>
      <c r="AQ168">
        <f t="shared" si="186"/>
        <v>28.45459899961763</v>
      </c>
      <c r="AR168" s="43">
        <f t="shared" si="187"/>
        <v>-86.90862990221612</v>
      </c>
      <c r="AS168" t="str">
        <f t="shared" si="164"/>
        <v>-0,0000166666666666667</v>
      </c>
      <c r="AT168" t="str">
        <f t="shared" si="165"/>
        <v>0,000440102260174768i</v>
      </c>
      <c r="AU168">
        <f t="shared" si="188"/>
        <v>4.4010226017476801E-4</v>
      </c>
      <c r="AV168">
        <f t="shared" si="189"/>
        <v>1.5707963267948966</v>
      </c>
      <c r="AW168" t="str">
        <f t="shared" si="166"/>
        <v>1+0,0156890247195281i</v>
      </c>
      <c r="AX168">
        <f t="shared" si="190"/>
        <v>1.0001230651758062</v>
      </c>
      <c r="AY168">
        <f t="shared" si="191"/>
        <v>1.5687737648679589E-2</v>
      </c>
      <c r="AZ168" t="str">
        <f t="shared" si="167"/>
        <v>1+2,31674598358365i</v>
      </c>
      <c r="BA168">
        <f t="shared" si="192"/>
        <v>2.5233533150256573</v>
      </c>
      <c r="BB168">
        <f t="shared" si="193"/>
        <v>1.1633150955669047</v>
      </c>
      <c r="BC168" s="41" t="str">
        <f t="shared" si="194"/>
        <v>-0,0871195519621527+0,0392368073388913i</v>
      </c>
      <c r="BD168">
        <f t="shared" si="195"/>
        <v>-20.395604573899124</v>
      </c>
      <c r="BE168" s="43">
        <f t="shared" si="196"/>
        <v>155.7542040624638</v>
      </c>
      <c r="BF168" s="41" t="str">
        <f t="shared" si="197"/>
        <v>0,164337090608745+0,332373738636745i</v>
      </c>
      <c r="BG168" s="20">
        <f t="shared" si="198"/>
        <v>-8.6176369399941226</v>
      </c>
      <c r="BH168" s="43">
        <f t="shared" si="199"/>
        <v>63.690613477109103</v>
      </c>
      <c r="BI168" s="41" t="str">
        <f t="shared" si="152"/>
        <v>0,912674646472777+2,35857844069865i</v>
      </c>
      <c r="BJ168" s="20">
        <f t="shared" si="200"/>
        <v>8.0589944257185149</v>
      </c>
      <c r="BK168" s="43">
        <f t="shared" si="153"/>
        <v>68.845574160247708</v>
      </c>
      <c r="BL168">
        <f t="shared" si="201"/>
        <v>-8.6176369399941226</v>
      </c>
      <c r="BM168" s="43">
        <f t="shared" si="202"/>
        <v>63.690613477109103</v>
      </c>
    </row>
    <row r="169" spans="14:65" x14ac:dyDescent="0.35">
      <c r="N169" s="9">
        <v>51</v>
      </c>
      <c r="O169" s="34">
        <f t="shared" si="154"/>
        <v>323.59365692962825</v>
      </c>
      <c r="P169" s="33" t="str">
        <f t="shared" si="155"/>
        <v>59,1053597814893</v>
      </c>
      <c r="Q169" s="4" t="str">
        <f t="shared" si="156"/>
        <v>1+15,6224839062819i</v>
      </c>
      <c r="R169" s="4">
        <f t="shared" si="168"/>
        <v>15.654456343228182</v>
      </c>
      <c r="S169" s="4">
        <f t="shared" si="169"/>
        <v>1.5068732284808279</v>
      </c>
      <c r="T169" s="4" t="str">
        <f t="shared" si="157"/>
        <v>1+0,00264315858393178i</v>
      </c>
      <c r="U169" s="4">
        <f t="shared" si="170"/>
        <v>1.000003493137549</v>
      </c>
      <c r="V169" s="4">
        <f t="shared" si="171"/>
        <v>2.6431524286691663E-3</v>
      </c>
      <c r="W169" t="str">
        <f t="shared" si="158"/>
        <v>1-0,0975935477144042i</v>
      </c>
      <c r="X169" s="4">
        <f t="shared" si="172"/>
        <v>1.0047509644461574</v>
      </c>
      <c r="Y169" s="4">
        <f t="shared" si="173"/>
        <v>-9.7285463151707802E-2</v>
      </c>
      <c r="Z169" t="str">
        <f t="shared" si="159"/>
        <v>0,999997836511264+0,00913091147176431i</v>
      </c>
      <c r="AA169" s="4">
        <f t="shared" si="174"/>
        <v>1.0000395225047427</v>
      </c>
      <c r="AB169" s="4">
        <f t="shared" si="175"/>
        <v>9.1306774786602124E-3</v>
      </c>
      <c r="AC169" s="47" t="str">
        <f t="shared" si="176"/>
        <v>-0,151127617405755-3,79041477365211i</v>
      </c>
      <c r="AD169" s="20">
        <f t="shared" si="177"/>
        <v>11.580633204144048</v>
      </c>
      <c r="AE169" s="43">
        <f t="shared" si="178"/>
        <v>-92.283230504622253</v>
      </c>
      <c r="AF169" t="str">
        <f t="shared" si="160"/>
        <v>405,634542683733</v>
      </c>
      <c r="AG169" t="str">
        <f t="shared" si="161"/>
        <v>1+15,6502810890697i</v>
      </c>
      <c r="AH169">
        <f t="shared" si="179"/>
        <v>15.682196853977212</v>
      </c>
      <c r="AI169">
        <f t="shared" si="180"/>
        <v>1.5069864570170424</v>
      </c>
      <c r="AJ169" t="str">
        <f t="shared" si="162"/>
        <v>1+0,00264315858393178i</v>
      </c>
      <c r="AK169">
        <f t="shared" si="181"/>
        <v>1.000003493137549</v>
      </c>
      <c r="AL169">
        <f t="shared" si="182"/>
        <v>2.6431524286691663E-3</v>
      </c>
      <c r="AM169" t="str">
        <f t="shared" si="163"/>
        <v>1-0,0142455888473701i</v>
      </c>
      <c r="AN169">
        <f t="shared" si="183"/>
        <v>1.0001014632534082</v>
      </c>
      <c r="AO169">
        <f t="shared" si="184"/>
        <v>-1.4244625313276724E-2</v>
      </c>
      <c r="AP169" s="41" t="str">
        <f t="shared" si="185"/>
        <v>1,34994680679263-25,8333934755265i</v>
      </c>
      <c r="AQ169">
        <f t="shared" si="186"/>
        <v>28.255472196031391</v>
      </c>
      <c r="AR169" s="43">
        <f t="shared" si="187"/>
        <v>-87.008679202873068</v>
      </c>
      <c r="AS169" t="str">
        <f t="shared" si="164"/>
        <v>-0,0000166666666666667</v>
      </c>
      <c r="AT169" t="str">
        <f t="shared" si="165"/>
        <v>0,000450353558723761i</v>
      </c>
      <c r="AU169">
        <f t="shared" si="188"/>
        <v>4.5035355872376101E-4</v>
      </c>
      <c r="AV169">
        <f t="shared" si="189"/>
        <v>1.5707963267948966</v>
      </c>
      <c r="AW169" t="str">
        <f t="shared" si="166"/>
        <v>1+0,0160544690512127i</v>
      </c>
      <c r="AX169">
        <f t="shared" si="190"/>
        <v>1.0001288646852047</v>
      </c>
      <c r="AY169">
        <f t="shared" si="191"/>
        <v>1.6053089939548355E-2</v>
      </c>
      <c r="AZ169" t="str">
        <f t="shared" si="167"/>
        <v>1+2,37070992989573i</v>
      </c>
      <c r="BA169">
        <f t="shared" si="192"/>
        <v>2.5729876742235311</v>
      </c>
      <c r="BB169">
        <f t="shared" si="193"/>
        <v>1.1716268543791688</v>
      </c>
      <c r="BC169" s="41" t="str">
        <f t="shared" si="194"/>
        <v>-0,0871185415939623+0,0384066023285162i</v>
      </c>
      <c r="BD169">
        <f t="shared" si="195"/>
        <v>-20.426462103376956</v>
      </c>
      <c r="BE169" s="43">
        <f t="shared" si="196"/>
        <v>156.20949961843502</v>
      </c>
      <c r="BF169" s="41" t="str">
        <f t="shared" si="197"/>
        <v>0,158742970494749+0,324411108814222i</v>
      </c>
      <c r="BG169" s="20">
        <f t="shared" si="198"/>
        <v>-8.8458288992329006</v>
      </c>
      <c r="BH169" s="43">
        <f t="shared" si="199"/>
        <v>63.926269113812801</v>
      </c>
      <c r="BI169" s="41" t="str">
        <f t="shared" si="152"/>
        <v>0,874567472973431+2,30241443418398i</v>
      </c>
      <c r="BJ169" s="20">
        <f t="shared" si="200"/>
        <v>7.8290100926544159</v>
      </c>
      <c r="BK169" s="43">
        <f t="shared" si="153"/>
        <v>69.200820415561935</v>
      </c>
      <c r="BL169">
        <f t="shared" si="201"/>
        <v>-8.8458288992329006</v>
      </c>
      <c r="BM169" s="43">
        <f t="shared" si="202"/>
        <v>63.926269113812801</v>
      </c>
    </row>
    <row r="170" spans="14:65" x14ac:dyDescent="0.35">
      <c r="N170" s="9">
        <v>52</v>
      </c>
      <c r="O170" s="34">
        <f t="shared" si="154"/>
        <v>331.13112148259137</v>
      </c>
      <c r="P170" s="33" t="str">
        <f t="shared" si="155"/>
        <v>59,1053597814893</v>
      </c>
      <c r="Q170" s="4" t="str">
        <f t="shared" si="156"/>
        <v>1+15,9863783033172i</v>
      </c>
      <c r="R170" s="4">
        <f t="shared" si="168"/>
        <v>16.017624394921082</v>
      </c>
      <c r="S170" s="4">
        <f t="shared" si="169"/>
        <v>1.5083244691014126</v>
      </c>
      <c r="T170" s="4" t="str">
        <f t="shared" si="157"/>
        <v>1+0,00270472565642412i</v>
      </c>
      <c r="U170" s="4">
        <f t="shared" si="170"/>
        <v>1.0000036577637488</v>
      </c>
      <c r="V170" s="4">
        <f t="shared" si="171"/>
        <v>2.7047190609427035E-3</v>
      </c>
      <c r="W170" t="str">
        <f t="shared" si="158"/>
        <v>1-0,0998667934679675i</v>
      </c>
      <c r="X170" s="4">
        <f t="shared" si="172"/>
        <v>1.0049743163074236</v>
      </c>
      <c r="Y170" s="4">
        <f t="shared" si="173"/>
        <v>-9.9536763096990721E-2</v>
      </c>
      <c r="Z170" t="str">
        <f t="shared" si="159"/>
        <v>0,999997734549182+0,0093435977221924i</v>
      </c>
      <c r="AA170" s="4">
        <f t="shared" si="174"/>
        <v>1.0000413851045817</v>
      </c>
      <c r="AB170" s="4">
        <f t="shared" si="175"/>
        <v>9.3433469946240209E-3</v>
      </c>
      <c r="AC170" s="47" t="str">
        <f t="shared" si="176"/>
        <v>-0,162011420272465-3,70469496549197i</v>
      </c>
      <c r="AD170" s="20">
        <f t="shared" si="177"/>
        <v>11.383346764649387</v>
      </c>
      <c r="AE170" s="43">
        <f t="shared" si="178"/>
        <v>-92.504028010030169</v>
      </c>
      <c r="AF170" t="str">
        <f t="shared" si="160"/>
        <v>405,634542683733</v>
      </c>
      <c r="AG170" t="str">
        <f t="shared" si="161"/>
        <v>1+16,0148229656691i</v>
      </c>
      <c r="AH170">
        <f t="shared" si="179"/>
        <v>16.046013667628557</v>
      </c>
      <c r="AI170">
        <f t="shared" si="180"/>
        <v>1.5084351405311534</v>
      </c>
      <c r="AJ170" t="str">
        <f t="shared" si="162"/>
        <v>1+0,00270472565642412i</v>
      </c>
      <c r="AK170">
        <f t="shared" si="181"/>
        <v>1.0000036577637488</v>
      </c>
      <c r="AL170">
        <f t="shared" si="182"/>
        <v>2.7047190609427035E-3</v>
      </c>
      <c r="AM170" t="str">
        <f t="shared" si="163"/>
        <v>1-0,0145774112384267i</v>
      </c>
      <c r="AN170">
        <f t="shared" si="183"/>
        <v>1.0001062448152267</v>
      </c>
      <c r="AO170">
        <f t="shared" si="184"/>
        <v>-1.4576378798968014E-2</v>
      </c>
      <c r="AP170" s="41" t="str">
        <f t="shared" si="185"/>
        <v>1,27594591753575-25,2500193695866i</v>
      </c>
      <c r="AQ170">
        <f t="shared" si="186"/>
        <v>28.056310020472722</v>
      </c>
      <c r="AR170" s="43">
        <f t="shared" si="187"/>
        <v>-87.107163220462539</v>
      </c>
      <c r="AS170" t="str">
        <f t="shared" si="164"/>
        <v>-0,0000166666666666667</v>
      </c>
      <c r="AT170" t="str">
        <f t="shared" si="165"/>
        <v>0,000460843640690724i</v>
      </c>
      <c r="AU170">
        <f t="shared" si="188"/>
        <v>4.60843640690724E-4</v>
      </c>
      <c r="AV170">
        <f t="shared" si="189"/>
        <v>1.5707963267948966</v>
      </c>
      <c r="AW170" t="str">
        <f t="shared" si="166"/>
        <v>1+0,0164284256748942i</v>
      </c>
      <c r="AX170">
        <f t="shared" si="190"/>
        <v>1.0001349374810158</v>
      </c>
      <c r="AY170">
        <f t="shared" si="191"/>
        <v>1.6426947940889655E-2</v>
      </c>
      <c r="AZ170" t="str">
        <f t="shared" si="167"/>
        <v>1+2,42593085799271i</v>
      </c>
      <c r="BA170">
        <f t="shared" si="192"/>
        <v>2.6239551306684428</v>
      </c>
      <c r="BB170">
        <f t="shared" si="193"/>
        <v>1.1798061222929501</v>
      </c>
      <c r="BC170" s="41" t="str">
        <f t="shared" si="194"/>
        <v>-0,0871174836337047+0,0375967594781374i</v>
      </c>
      <c r="BD170">
        <f t="shared" si="195"/>
        <v>-20.456140871388818</v>
      </c>
      <c r="BE170" s="43">
        <f t="shared" si="196"/>
        <v>156.65671666378739</v>
      </c>
      <c r="BF170" s="41" t="str">
        <f t="shared" si="197"/>
        <v>0,153398552811528+0,31665259862342i</v>
      </c>
      <c r="BG170" s="20">
        <f t="shared" si="198"/>
        <v>-9.0727941067394209</v>
      </c>
      <c r="BH170" s="43">
        <f t="shared" si="199"/>
        <v>64.152688653757238</v>
      </c>
      <c r="BI170" s="41" t="str">
        <f t="shared" si="152"/>
        <v>0,838161707468245+2,24768958094939i</v>
      </c>
      <c r="BJ170" s="20">
        <f t="shared" si="200"/>
        <v>7.6001691490839036</v>
      </c>
      <c r="BK170" s="43">
        <f t="shared" si="153"/>
        <v>69.549553443324854</v>
      </c>
      <c r="BL170">
        <f t="shared" si="201"/>
        <v>-9.0727941067394209</v>
      </c>
      <c r="BM170" s="43">
        <f t="shared" si="202"/>
        <v>64.152688653757238</v>
      </c>
    </row>
    <row r="171" spans="14:65" x14ac:dyDescent="0.35">
      <c r="N171" s="9">
        <v>53</v>
      </c>
      <c r="O171" s="34">
        <f t="shared" si="154"/>
        <v>338.84415613920277</v>
      </c>
      <c r="P171" s="33" t="str">
        <f t="shared" si="155"/>
        <v>59,1053597814893</v>
      </c>
      <c r="Q171" s="4" t="str">
        <f t="shared" si="156"/>
        <v>1+16,3587488897335i</v>
      </c>
      <c r="R171" s="4">
        <f t="shared" si="168"/>
        <v>16.389285074015799</v>
      </c>
      <c r="S171" s="4">
        <f t="shared" si="169"/>
        <v>1.5097429301012311</v>
      </c>
      <c r="T171" s="4" t="str">
        <f t="shared" si="157"/>
        <v>1+0,00276772681026075i</v>
      </c>
      <c r="U171" s="4">
        <f t="shared" si="170"/>
        <v>1.0000038301485132</v>
      </c>
      <c r="V171" s="4">
        <f t="shared" si="171"/>
        <v>2.7677197430765466E-3</v>
      </c>
      <c r="W171" t="str">
        <f t="shared" si="158"/>
        <v>1-0,10219298991732i</v>
      </c>
      <c r="X171" s="4">
        <f t="shared" si="172"/>
        <v>1.0052081412266027</v>
      </c>
      <c r="Y171" s="4">
        <f t="shared" si="173"/>
        <v>-0.10183945488502988</v>
      </c>
      <c r="Z171" t="str">
        <f t="shared" si="159"/>
        <v>0,999997627781774+0,00956123807180986i</v>
      </c>
      <c r="AA171" s="4">
        <f t="shared" si="174"/>
        <v>1.0000433354823386</v>
      </c>
      <c r="AB171" s="4">
        <f t="shared" si="175"/>
        <v>9.5609694130082707E-3</v>
      </c>
      <c r="AC171" s="47" t="str">
        <f t="shared" si="176"/>
        <v>-0,172409005091788-3,62087835880043i</v>
      </c>
      <c r="AD171" s="20">
        <f t="shared" si="177"/>
        <v>11.18611393311684</v>
      </c>
      <c r="AE171" s="43">
        <f t="shared" si="178"/>
        <v>-92.726093532605873</v>
      </c>
      <c r="AF171" t="str">
        <f t="shared" si="160"/>
        <v>405,634542683733</v>
      </c>
      <c r="AG171" t="str">
        <f t="shared" si="161"/>
        <v>1+16,387856113386i</v>
      </c>
      <c r="AH171">
        <f t="shared" si="179"/>
        <v>16.418338161733754</v>
      </c>
      <c r="AI171">
        <f t="shared" si="180"/>
        <v>1.509851101283888</v>
      </c>
      <c r="AJ171" t="str">
        <f t="shared" si="162"/>
        <v>1+0,00276772681026075i</v>
      </c>
      <c r="AK171">
        <f t="shared" si="181"/>
        <v>1.0000038301485132</v>
      </c>
      <c r="AL171">
        <f t="shared" si="182"/>
        <v>2.7677197430765466E-3</v>
      </c>
      <c r="AM171" t="str">
        <f t="shared" si="163"/>
        <v>1-0,0149169627658767i</v>
      </c>
      <c r="AN171">
        <f t="shared" si="183"/>
        <v>1.0001112517006088</v>
      </c>
      <c r="AO171">
        <f t="shared" si="184"/>
        <v>-1.4915856493711547E-2</v>
      </c>
      <c r="AP171" s="41" t="str">
        <f t="shared" si="185"/>
        <v>1,20525032350684-24,679618653055i</v>
      </c>
      <c r="AQ171">
        <f t="shared" si="186"/>
        <v>27.857114229958135</v>
      </c>
      <c r="AR171" s="43">
        <f t="shared" si="187"/>
        <v>-87.204132761505321</v>
      </c>
      <c r="AS171" t="str">
        <f t="shared" si="164"/>
        <v>-0,0000166666666666667</v>
      </c>
      <c r="AT171" t="str">
        <f t="shared" si="165"/>
        <v>0,000471578068055967i</v>
      </c>
      <c r="AU171">
        <f t="shared" si="188"/>
        <v>4.7157806805596701E-4</v>
      </c>
      <c r="AV171">
        <f t="shared" si="189"/>
        <v>1.5707963267948966</v>
      </c>
      <c r="AW171" t="str">
        <f t="shared" si="166"/>
        <v>1+0,0168110928673244i</v>
      </c>
      <c r="AX171">
        <f t="shared" si="190"/>
        <v>1.000141296439355</v>
      </c>
      <c r="AY171">
        <f t="shared" si="191"/>
        <v>1.6809509458892067E-2</v>
      </c>
      <c r="AZ171" t="str">
        <f t="shared" si="167"/>
        <v>1+2,48243804674157i</v>
      </c>
      <c r="BA171">
        <f t="shared" si="192"/>
        <v>2.6762844871033611</v>
      </c>
      <c r="BB171">
        <f t="shared" si="193"/>
        <v>1.1878528574426475</v>
      </c>
      <c r="BC171" s="41" t="str">
        <f t="shared" si="194"/>
        <v>-0,0871163758408559+0,0368068492890676i</v>
      </c>
      <c r="BD171">
        <f t="shared" si="195"/>
        <v>-20.484678649825629</v>
      </c>
      <c r="BE171" s="43">
        <f t="shared" si="196"/>
        <v>157.09584146633898</v>
      </c>
      <c r="BF171" s="41" t="str">
        <f t="shared" si="197"/>
        <v>0,148292771732338+0,309091967712788i</v>
      </c>
      <c r="BG171" s="20">
        <f t="shared" si="198"/>
        <v>-9.2985647167087961</v>
      </c>
      <c r="BH171" s="43">
        <f t="shared" si="199"/>
        <v>64.369747933733095</v>
      </c>
      <c r="BI171" s="41" t="str">
        <f t="shared" si="152"/>
        <v>0,803381964109722+2,19436040120145i</v>
      </c>
      <c r="BJ171" s="20">
        <f t="shared" si="200"/>
        <v>7.3724355801324908</v>
      </c>
      <c r="BK171" s="43">
        <f t="shared" si="153"/>
        <v>69.891708704833619</v>
      </c>
      <c r="BL171">
        <f t="shared" si="201"/>
        <v>-9.2985647167087961</v>
      </c>
      <c r="BM171" s="43">
        <f t="shared" si="202"/>
        <v>64.369747933733095</v>
      </c>
    </row>
    <row r="172" spans="14:65" x14ac:dyDescent="0.35">
      <c r="N172" s="9">
        <v>54</v>
      </c>
      <c r="O172" s="34">
        <f t="shared" si="154"/>
        <v>346.73685045253183</v>
      </c>
      <c r="P172" s="33" t="str">
        <f t="shared" si="155"/>
        <v>59,1053597814893</v>
      </c>
      <c r="Q172" s="4" t="str">
        <f t="shared" si="156"/>
        <v>1+16,7397931013449i</v>
      </c>
      <c r="R172" s="4">
        <f t="shared" si="168"/>
        <v>16.769635448507351</v>
      </c>
      <c r="S172" s="4">
        <f t="shared" si="169"/>
        <v>1.5111293407222877</v>
      </c>
      <c r="T172" s="4" t="str">
        <f t="shared" si="157"/>
        <v>1+0,00283219544948739i</v>
      </c>
      <c r="U172" s="4">
        <f t="shared" si="170"/>
        <v>1.0000040106574892</v>
      </c>
      <c r="V172" s="4">
        <f t="shared" si="171"/>
        <v>2.8321878768647227E-3</v>
      </c>
      <c r="W172" t="str">
        <f t="shared" si="158"/>
        <v>1-0,104573370442612i</v>
      </c>
      <c r="X172" s="4">
        <f t="shared" si="172"/>
        <v>1.0054529276926532</v>
      </c>
      <c r="Y172" s="4">
        <f t="shared" si="173"/>
        <v>-0.1041946617018191</v>
      </c>
      <c r="Z172" t="str">
        <f t="shared" si="159"/>
        <v>0,999997515982573+0,00978394791641098i</v>
      </c>
      <c r="AA172" s="4">
        <f t="shared" si="174"/>
        <v>1.0000453777745024</v>
      </c>
      <c r="AB172" s="4">
        <f t="shared" si="175"/>
        <v>9.783660044023498E-3</v>
      </c>
      <c r="AC172" s="47" t="str">
        <f t="shared" si="176"/>
        <v>-0,182341923848663-3,5389245596184i</v>
      </c>
      <c r="AD172" s="20">
        <f t="shared" si="177"/>
        <v>10.988940431500836</v>
      </c>
      <c r="AE172" s="43">
        <f t="shared" si="178"/>
        <v>-92.949537901662126</v>
      </c>
      <c r="AF172" t="str">
        <f t="shared" si="160"/>
        <v>405,634542683733</v>
      </c>
      <c r="AG172" t="str">
        <f t="shared" si="161"/>
        <v>1+16,7695783193332i</v>
      </c>
      <c r="AH172">
        <f t="shared" si="179"/>
        <v>16.799367756205889</v>
      </c>
      <c r="AI172">
        <f t="shared" si="180"/>
        <v>1.5112350673121751</v>
      </c>
      <c r="AJ172" t="str">
        <f t="shared" si="162"/>
        <v>1+0,00283219544948739i</v>
      </c>
      <c r="AK172">
        <f t="shared" si="181"/>
        <v>1.0000040106574892</v>
      </c>
      <c r="AL172">
        <f t="shared" si="182"/>
        <v>2.8321878768647227E-3</v>
      </c>
      <c r="AM172" t="str">
        <f t="shared" si="163"/>
        <v>1-0,0152644234644346i</v>
      </c>
      <c r="AN172">
        <f t="shared" si="183"/>
        <v>1.0001164945263634</v>
      </c>
      <c r="AO172">
        <f t="shared" si="184"/>
        <v>-1.5263238079909975E-2</v>
      </c>
      <c r="AP172" s="41" t="str">
        <f t="shared" si="185"/>
        <v>1,13771347535315-24,1219163552784i</v>
      </c>
      <c r="AQ172">
        <f t="shared" si="186"/>
        <v>27.657886511953738</v>
      </c>
      <c r="AR172" s="43">
        <f t="shared" si="187"/>
        <v>-87.299637920706246</v>
      </c>
      <c r="AS172" t="str">
        <f t="shared" si="164"/>
        <v>-0,0000166666666666667</v>
      </c>
      <c r="AT172" t="str">
        <f t="shared" si="165"/>
        <v>0,000482562532354968i</v>
      </c>
      <c r="AU172">
        <f t="shared" si="188"/>
        <v>4.8256253235496802E-4</v>
      </c>
      <c r="AV172">
        <f t="shared" si="189"/>
        <v>1.5707963267948966</v>
      </c>
      <c r="AW172" t="str">
        <f t="shared" si="166"/>
        <v>1+0,017202673523714i</v>
      </c>
      <c r="AX172">
        <f t="shared" si="190"/>
        <v>1.0001479550428345</v>
      </c>
      <c r="AY172">
        <f t="shared" si="191"/>
        <v>1.7200976884566142E-2</v>
      </c>
      <c r="AZ172" t="str">
        <f t="shared" si="167"/>
        <v>1+2,54026145700177i</v>
      </c>
      <c r="BA172">
        <f t="shared" si="192"/>
        <v>2.730005177637719</v>
      </c>
      <c r="BB172">
        <f t="shared" si="193"/>
        <v>1.195767157063963</v>
      </c>
      <c r="BC172" s="41" t="str">
        <f t="shared" si="194"/>
        <v>-0,0871152158695347+0,0360364528233716i</v>
      </c>
      <c r="BD172">
        <f t="shared" si="195"/>
        <v>-20.51211259792732</v>
      </c>
      <c r="BE172" s="43">
        <f t="shared" si="196"/>
        <v>157.52686800113435</v>
      </c>
      <c r="BF172" s="41" t="str">
        <f t="shared" si="197"/>
        <v>0,143415043996302+0,30172322082066i</v>
      </c>
      <c r="BG172" s="20">
        <f t="shared" si="198"/>
        <v>-9.5231721664264803</v>
      </c>
      <c r="BH172" s="43">
        <f t="shared" si="199"/>
        <v>64.577330099472263</v>
      </c>
      <c r="BI172" s="41" t="str">
        <f t="shared" si="152"/>
        <v>0,770156145743238+2,14238510845802i</v>
      </c>
      <c r="BJ172" s="20">
        <f t="shared" si="200"/>
        <v>7.1457739140264334</v>
      </c>
      <c r="BK172" s="43">
        <f t="shared" si="153"/>
        <v>70.227230080428129</v>
      </c>
      <c r="BL172">
        <f t="shared" si="201"/>
        <v>-9.5231721664264803</v>
      </c>
      <c r="BM172" s="43">
        <f t="shared" si="202"/>
        <v>64.577330099472263</v>
      </c>
    </row>
    <row r="173" spans="14:65" x14ac:dyDescent="0.35">
      <c r="N173" s="9">
        <v>55</v>
      </c>
      <c r="O173" s="34">
        <f t="shared" si="154"/>
        <v>354.81338923357566</v>
      </c>
      <c r="P173" s="33" t="str">
        <f t="shared" si="155"/>
        <v>59,1053597814893</v>
      </c>
      <c r="Q173" s="4" t="str">
        <f t="shared" si="156"/>
        <v>1+17,1297129728359i</v>
      </c>
      <c r="R173" s="4">
        <f t="shared" si="168"/>
        <v>17.158877193212337</v>
      </c>
      <c r="S173" s="4">
        <f t="shared" si="169"/>
        <v>1.512484414726861</v>
      </c>
      <c r="T173" s="4" t="str">
        <f t="shared" si="157"/>
        <v>1+0,00289816575622989i</v>
      </c>
      <c r="U173" s="4">
        <f t="shared" si="170"/>
        <v>1.0000041996735567</v>
      </c>
      <c r="V173" s="4">
        <f t="shared" si="171"/>
        <v>2.8981576420203511E-3</v>
      </c>
      <c r="W173" t="str">
        <f t="shared" si="158"/>
        <v>1-0,107009197153104i</v>
      </c>
      <c r="X173" s="4">
        <f t="shared" si="172"/>
        <v>1.0057091867311105</v>
      </c>
      <c r="Y173" s="4">
        <f t="shared" si="173"/>
        <v>-0.10660352773740114</v>
      </c>
      <c r="Z173" t="str">
        <f t="shared" si="159"/>
        <v>0,999997398914438+0,0100118453397032i</v>
      </c>
      <c r="AA173" s="4">
        <f t="shared" si="174"/>
        <v>1.0000475163124738</v>
      </c>
      <c r="AB173" s="4">
        <f t="shared" si="175"/>
        <v>1.0011536879673523E-2</v>
      </c>
      <c r="AC173" s="47" t="str">
        <f t="shared" si="176"/>
        <v>-0,191830786825237-3,45879389482779i</v>
      </c>
      <c r="AD173" s="20">
        <f t="shared" si="177"/>
        <v>10.791832096938144</v>
      </c>
      <c r="AE173" s="43">
        <f t="shared" si="178"/>
        <v>-93.174472372116</v>
      </c>
      <c r="AF173" t="str">
        <f t="shared" si="160"/>
        <v>405,634542683733</v>
      </c>
      <c r="AG173" t="str">
        <f t="shared" si="161"/>
        <v>1+17,160191977677i</v>
      </c>
      <c r="AH173">
        <f t="shared" si="179"/>
        <v>17.189304485950853</v>
      </c>
      <c r="AI173">
        <f t="shared" si="180"/>
        <v>1.5125877511947747</v>
      </c>
      <c r="AJ173" t="str">
        <f t="shared" si="162"/>
        <v>1+0,00289816575622989i</v>
      </c>
      <c r="AK173">
        <f t="shared" si="181"/>
        <v>1.0000041996735567</v>
      </c>
      <c r="AL173">
        <f t="shared" si="182"/>
        <v>2.8981576420203511E-3</v>
      </c>
      <c r="AM173" t="str">
        <f t="shared" si="163"/>
        <v>1-0,0156199775623618i</v>
      </c>
      <c r="AN173">
        <f t="shared" si="183"/>
        <v>1.0001219844094262</v>
      </c>
      <c r="AO173">
        <f t="shared" si="184"/>
        <v>-1.5618707408326504E-2</v>
      </c>
      <c r="AP173" s="41" t="str">
        <f t="shared" si="185"/>
        <v>1,07319522632616-23,5766424273723i</v>
      </c>
      <c r="AQ173">
        <f t="shared" si="186"/>
        <v>27.458628487800691</v>
      </c>
      <c r="AR173" s="43">
        <f t="shared" si="187"/>
        <v>-87.393728101340315</v>
      </c>
      <c r="AS173" t="str">
        <f t="shared" si="164"/>
        <v>-0,0000166666666666667</v>
      </c>
      <c r="AT173" t="str">
        <f t="shared" si="165"/>
        <v>0,000493802857696093i</v>
      </c>
      <c r="AU173">
        <f t="shared" si="188"/>
        <v>4.9380285769609297E-4</v>
      </c>
      <c r="AV173">
        <f t="shared" si="189"/>
        <v>1.5707963267948966</v>
      </c>
      <c r="AW173" t="str">
        <f t="shared" si="166"/>
        <v>1+0,0176033752653102i</v>
      </c>
      <c r="AX173">
        <f t="shared" si="190"/>
        <v>1.0001549274091146</v>
      </c>
      <c r="AY173">
        <f t="shared" si="191"/>
        <v>1.7601557298918429E-2</v>
      </c>
      <c r="AZ173" t="str">
        <f t="shared" si="167"/>
        <v>1+2,59943174751081i</v>
      </c>
      <c r="BA173">
        <f t="shared" si="192"/>
        <v>2.7851472869432063</v>
      </c>
      <c r="BB173">
        <f t="shared" si="193"/>
        <v>1.2035492506183565</v>
      </c>
      <c r="BC173" s="41" t="str">
        <f t="shared" si="194"/>
        <v>-0,0871140012635577+0,0352851614811822i</v>
      </c>
      <c r="BD173">
        <f t="shared" si="195"/>
        <v>-20.538479225923378</v>
      </c>
      <c r="BE173" s="43">
        <f t="shared" si="196"/>
        <v>157.94979755047908</v>
      </c>
      <c r="BF173" s="41" t="str">
        <f t="shared" si="197"/>
        <v>0,138755248515009+0,294540595434223i</v>
      </c>
      <c r="BG173" s="20">
        <f t="shared" si="198"/>
        <v>-9.7466471289852379</v>
      </c>
      <c r="BH173" s="43">
        <f t="shared" si="199"/>
        <v>64.775325178363033</v>
      </c>
      <c r="BI173" s="41" t="str">
        <f t="shared" si="152"/>
        <v>0,738415304931702+2,09172352507031i</v>
      </c>
      <c r="BJ173" s="20">
        <f t="shared" si="200"/>
        <v>6.9201492618773051</v>
      </c>
      <c r="BK173" s="43">
        <f t="shared" si="153"/>
        <v>70.556069449138761</v>
      </c>
      <c r="BL173">
        <f t="shared" si="201"/>
        <v>-9.7466471289852379</v>
      </c>
      <c r="BM173" s="43">
        <f t="shared" si="202"/>
        <v>64.775325178363033</v>
      </c>
    </row>
    <row r="174" spans="14:65" x14ac:dyDescent="0.35">
      <c r="N174" s="9">
        <v>56</v>
      </c>
      <c r="O174" s="34">
        <f t="shared" si="154"/>
        <v>363.07805477010152</v>
      </c>
      <c r="P174" s="33" t="str">
        <f t="shared" si="155"/>
        <v>59,1053597814893</v>
      </c>
      <c r="Q174" s="4" t="str">
        <f t="shared" si="156"/>
        <v>1+17,5287152448837i</v>
      </c>
      <c r="R174" s="4">
        <f t="shared" si="168"/>
        <v>17.557216696738074</v>
      </c>
      <c r="S174" s="4">
        <f t="shared" si="169"/>
        <v>1.5138088506761007</v>
      </c>
      <c r="T174" s="4" t="str">
        <f t="shared" si="157"/>
        <v>1+0,00296567270881811i</v>
      </c>
      <c r="U174" s="4">
        <f t="shared" si="170"/>
        <v>1.0000043975976385</v>
      </c>
      <c r="V174" s="4">
        <f t="shared" si="171"/>
        <v>2.9656640142880072E-3</v>
      </c>
      <c r="W174" t="str">
        <f t="shared" si="158"/>
        <v>1-0,109501761556361i</v>
      </c>
      <c r="X174" s="4">
        <f t="shared" si="172"/>
        <v>1.0059774529202661</v>
      </c>
      <c r="Y174" s="4">
        <f t="shared" si="173"/>
        <v>-0.10906721832126536</v>
      </c>
      <c r="Z174" t="str">
        <f t="shared" si="159"/>
        <v>0,999997276329053+0,0102450511759171i</v>
      </c>
      <c r="AA174" s="4">
        <f t="shared" si="174"/>
        <v>1.0000497556317494</v>
      </c>
      <c r="AB174" s="4">
        <f t="shared" si="175"/>
        <v>1.0244720655927854E-2</v>
      </c>
      <c r="AC174" s="47" t="str">
        <f t="shared" si="176"/>
        <v>-0,20089530249434-3,38044740857698i</v>
      </c>
      <c r="AD174" s="20">
        <f t="shared" si="177"/>
        <v>10.594794892828981</v>
      </c>
      <c r="AE174" s="43">
        <f t="shared" si="178"/>
        <v>-93.401008650733502</v>
      </c>
      <c r="AF174" t="str">
        <f t="shared" si="160"/>
        <v>405,634542683733</v>
      </c>
      <c r="AG174" t="str">
        <f t="shared" si="161"/>
        <v>1+17,5599041969493i</v>
      </c>
      <c r="AH174">
        <f t="shared" si="179"/>
        <v>17.588355108026381</v>
      </c>
      <c r="AI174">
        <f t="shared" si="180"/>
        <v>1.5139098503307653</v>
      </c>
      <c r="AJ174" t="str">
        <f t="shared" si="162"/>
        <v>1+0,00296567270881811i</v>
      </c>
      <c r="AK174">
        <f t="shared" si="181"/>
        <v>1.0000043975976385</v>
      </c>
      <c r="AL174">
        <f t="shared" si="182"/>
        <v>2.9656640142880072E-3</v>
      </c>
      <c r="AM174" t="str">
        <f t="shared" si="163"/>
        <v>1-0,0159838135791475i</v>
      </c>
      <c r="AN174">
        <f t="shared" si="183"/>
        <v>1.0001277329904081</v>
      </c>
      <c r="AO174">
        <f t="shared" si="184"/>
        <v>-1.5982452593965798E-2</v>
      </c>
      <c r="AP174" s="41" t="str">
        <f t="shared" si="185"/>
        <v>1,01156156091725-23,0435317175519i</v>
      </c>
      <c r="AQ174">
        <f t="shared" si="186"/>
        <v>27.259341716013981</v>
      </c>
      <c r="AR174" s="43">
        <f t="shared" si="187"/>
        <v>-87.486452035664627</v>
      </c>
      <c r="AS174" t="str">
        <f t="shared" si="164"/>
        <v>-0,0000166666666666667</v>
      </c>
      <c r="AT174" t="str">
        <f t="shared" si="165"/>
        <v>0,000505305003848623i</v>
      </c>
      <c r="AU174">
        <f t="shared" si="188"/>
        <v>5.0530500384862297E-4</v>
      </c>
      <c r="AV174">
        <f t="shared" si="189"/>
        <v>1.5707963267948966</v>
      </c>
      <c r="AW174" t="str">
        <f t="shared" si="166"/>
        <v>1+0,0180134105494804i</v>
      </c>
      <c r="AX174">
        <f t="shared" si="190"/>
        <v>1.000162228320798</v>
      </c>
      <c r="AY174">
        <f t="shared" si="191"/>
        <v>1.8011462580459981E-2</v>
      </c>
      <c r="AZ174" t="str">
        <f t="shared" si="167"/>
        <v>1+2,65998029113993i</v>
      </c>
      <c r="BA174">
        <f t="shared" si="192"/>
        <v>2.8417415697513495</v>
      </c>
      <c r="BB174">
        <f t="shared" si="193"/>
        <v>1.2111994929214251</v>
      </c>
      <c r="BC174" s="41" t="str">
        <f t="shared" si="194"/>
        <v>-0,0871127294512652+0,0345525767834576i</v>
      </c>
      <c r="BD174">
        <f t="shared" si="195"/>
        <v>-20.563814363021105</v>
      </c>
      <c r="BE174" s="43">
        <f t="shared" si="196"/>
        <v>158.3646383040649</v>
      </c>
      <c r="BF174" s="41" t="str">
        <f t="shared" si="197"/>
        <v>0,134303706781516+0,287538550162725i</v>
      </c>
      <c r="BG174" s="20">
        <f t="shared" si="198"/>
        <v>-9.9690194701921335</v>
      </c>
      <c r="BH174" s="43">
        <f t="shared" si="199"/>
        <v>64.963629653331324</v>
      </c>
      <c r="BI174" s="41" t="str">
        <f t="shared" si="152"/>
        <v>0,708093510453269+2,04233700261753i</v>
      </c>
      <c r="BJ174" s="20">
        <f t="shared" si="200"/>
        <v>6.6955273529928574</v>
      </c>
      <c r="BK174" s="43">
        <f t="shared" si="153"/>
        <v>70.878186268400228</v>
      </c>
      <c r="BL174">
        <f t="shared" si="201"/>
        <v>-9.9690194701921335</v>
      </c>
      <c r="BM174" s="43">
        <f t="shared" si="202"/>
        <v>64.963629653331324</v>
      </c>
    </row>
    <row r="175" spans="14:65" x14ac:dyDescent="0.35">
      <c r="N175" s="9">
        <v>57</v>
      </c>
      <c r="O175" s="34">
        <f t="shared" si="154"/>
        <v>371.53522909717265</v>
      </c>
      <c r="P175" s="33" t="str">
        <f t="shared" si="155"/>
        <v>59,1053597814893</v>
      </c>
      <c r="Q175" s="4" t="str">
        <f t="shared" si="156"/>
        <v>1+17,9370114737744i</v>
      </c>
      <c r="R175" s="4">
        <f t="shared" si="168"/>
        <v>17.964865170947277</v>
      </c>
      <c r="S175" s="4">
        <f t="shared" si="169"/>
        <v>1.5151033322070941</v>
      </c>
      <c r="T175" s="4" t="str">
        <f t="shared" si="157"/>
        <v>1+0,00303475210033185i</v>
      </c>
      <c r="U175" s="4">
        <f t="shared" si="170"/>
        <v>1.0000046048495528</v>
      </c>
      <c r="V175" s="4">
        <f t="shared" si="171"/>
        <v>3.0347427839773119E-3</v>
      </c>
      <c r="W175" t="str">
        <f t="shared" si="158"/>
        <v>1-0,112052385243022i</v>
      </c>
      <c r="X175" s="4">
        <f t="shared" si="172"/>
        <v>1.0062582854509325</v>
      </c>
      <c r="Y175" s="4">
        <f t="shared" si="173"/>
        <v>-0.11158692003736737</v>
      </c>
      <c r="Z175" t="str">
        <f t="shared" si="159"/>
        <v>0,999997147966395+0,0104836890738737i</v>
      </c>
      <c r="AA175" s="4">
        <f t="shared" si="174"/>
        <v>1.0000521004815308</v>
      </c>
      <c r="AB175" s="4">
        <f t="shared" si="175"/>
        <v>1.0483334916320201E-2</v>
      </c>
      <c r="AC175" s="47" t="str">
        <f t="shared" si="176"/>
        <v>-0,209554315831331-3,30384685795936i</v>
      </c>
      <c r="AD175" s="20">
        <f t="shared" si="177"/>
        <v>10.39783492009146</v>
      </c>
      <c r="AE175" s="43">
        <f t="shared" si="178"/>
        <v>-93.629258921176515</v>
      </c>
      <c r="AF175" t="str">
        <f t="shared" si="160"/>
        <v>405,634542683733</v>
      </c>
      <c r="AG175" t="str">
        <f t="shared" si="161"/>
        <v>1+17,9689269098596i</v>
      </c>
      <c r="AH175">
        <f t="shared" si="179"/>
        <v>17.996731211302695</v>
      </c>
      <c r="AI175">
        <f t="shared" si="180"/>
        <v>1.5152020472164847</v>
      </c>
      <c r="AJ175" t="str">
        <f t="shared" si="162"/>
        <v>1+0,00303475210033185i</v>
      </c>
      <c r="AK175">
        <f t="shared" si="181"/>
        <v>1.0000046048495528</v>
      </c>
      <c r="AL175">
        <f t="shared" si="182"/>
        <v>3.0347427839773119E-3</v>
      </c>
      <c r="AM175" t="str">
        <f t="shared" si="163"/>
        <v>1-0,0163561244254636i</v>
      </c>
      <c r="AN175">
        <f t="shared" si="183"/>
        <v>1.0001337524582505</v>
      </c>
      <c r="AO175">
        <f t="shared" si="184"/>
        <v>-1.6354666114100306E-2</v>
      </c>
      <c r="AP175" s="41" t="str">
        <f t="shared" si="185"/>
        <v>0,952684334253946-22,522323941402i</v>
      </c>
      <c r="AQ175">
        <f t="shared" si="186"/>
        <v>27.060027695459283</v>
      </c>
      <c r="AR175" s="43">
        <f t="shared" si="187"/>
        <v>-87.577857805340557</v>
      </c>
      <c r="AS175" t="str">
        <f t="shared" si="164"/>
        <v>-0,0000166666666666667</v>
      </c>
      <c r="AT175" t="str">
        <f t="shared" si="165"/>
        <v>0,000517075069402695i</v>
      </c>
      <c r="AU175">
        <f t="shared" si="188"/>
        <v>5.1707506940269505E-4</v>
      </c>
      <c r="AV175">
        <f t="shared" si="189"/>
        <v>1.5707963267948966</v>
      </c>
      <c r="AW175" t="str">
        <f t="shared" si="166"/>
        <v>1+0,0184329967823595i</v>
      </c>
      <c r="AX175">
        <f t="shared" si="190"/>
        <v>1.0001698732567275</v>
      </c>
      <c r="AY175">
        <f t="shared" si="191"/>
        <v>1.8430909515094546E-2</v>
      </c>
      <c r="AZ175" t="str">
        <f t="shared" si="167"/>
        <v>1+2,72193919152841i</v>
      </c>
      <c r="BA175">
        <f t="shared" si="192"/>
        <v>2.8998194706530156</v>
      </c>
      <c r="BB175">
        <f t="shared" si="193"/>
        <v>1.2187183573065601</v>
      </c>
      <c r="BC175" s="41" t="str">
        <f t="shared" si="194"/>
        <v>-0,0871113977401072+0,0338383101600624i</v>
      </c>
      <c r="BD175">
        <f t="shared" si="195"/>
        <v>-20.588153129568827</v>
      </c>
      <c r="BE175" s="43">
        <f t="shared" si="196"/>
        <v>158.77140496098016</v>
      </c>
      <c r="BF175" s="41" t="str">
        <f t="shared" si="197"/>
        <v>0,130051164055516+0,280711753781621i</v>
      </c>
      <c r="BG175" s="20">
        <f t="shared" si="198"/>
        <v>-10.190318209477363</v>
      </c>
      <c r="BH175" s="43">
        <f t="shared" si="199"/>
        <v>65.142146039803578</v>
      </c>
      <c r="BI175" s="41" t="str">
        <f t="shared" si="152"/>
        <v>0,679127719092595+1,99418834687813i</v>
      </c>
      <c r="BJ175" s="20">
        <f t="shared" si="200"/>
        <v>6.4718745658904684</v>
      </c>
      <c r="BK175" s="43">
        <f t="shared" si="153"/>
        <v>71.193547155639678</v>
      </c>
      <c r="BL175">
        <f t="shared" si="201"/>
        <v>-10.190318209477363</v>
      </c>
      <c r="BM175" s="43">
        <f t="shared" si="202"/>
        <v>65.142146039803578</v>
      </c>
    </row>
    <row r="176" spans="14:65" x14ac:dyDescent="0.35">
      <c r="N176" s="9">
        <v>58</v>
      </c>
      <c r="O176" s="34">
        <f t="shared" si="154"/>
        <v>380.18939632056163</v>
      </c>
      <c r="P176" s="33" t="str">
        <f t="shared" si="155"/>
        <v>59,1053597814893</v>
      </c>
      <c r="Q176" s="4" t="str">
        <f t="shared" si="156"/>
        <v>1+18,3548181435728i</v>
      </c>
      <c r="R176" s="4">
        <f t="shared" si="168"/>
        <v>18.382038762978095</v>
      </c>
      <c r="S176" s="4">
        <f t="shared" si="169"/>
        <v>1.5163685283081396</v>
      </c>
      <c r="T176" s="4" t="str">
        <f t="shared" si="157"/>
        <v>1+0,00310544055757888i</v>
      </c>
      <c r="U176" s="4">
        <f t="shared" si="170"/>
        <v>1.000004821868903</v>
      </c>
      <c r="V176" s="4">
        <f t="shared" si="171"/>
        <v>3.1054305749277375E-3</v>
      </c>
      <c r="W176" t="str">
        <f t="shared" si="158"/>
        <v>1-0,114662420587528i</v>
      </c>
      <c r="X176" s="4">
        <f t="shared" si="172"/>
        <v>1.0065522692314548</v>
      </c>
      <c r="Y176" s="4">
        <f t="shared" si="173"/>
        <v>-0.11416384081684429</v>
      </c>
      <c r="Z176" t="str">
        <f t="shared" si="159"/>
        <v>0,999997013554193+0,0107278855625452i</v>
      </c>
      <c r="AA176" s="4">
        <f t="shared" si="174"/>
        <v>1.0000545558348044</v>
      </c>
      <c r="AB176" s="4">
        <f t="shared" si="175"/>
        <v>1.0727506077006748E-2</v>
      </c>
      <c r="AC176" s="47" t="str">
        <f t="shared" si="176"/>
        <v>-0,217825845097169-3,2289547080131i</v>
      </c>
      <c r="AD176" s="20">
        <f t="shared" si="177"/>
        <v>10.200958428600265</v>
      </c>
      <c r="AE176" s="43">
        <f t="shared" si="178"/>
        <v>-93.859335867728021</v>
      </c>
      <c r="AF176" t="str">
        <f t="shared" si="160"/>
        <v>405,634542683733</v>
      </c>
      <c r="AG176" t="str">
        <f t="shared" si="161"/>
        <v>1+18,3874769856644i</v>
      </c>
      <c r="AH176">
        <f t="shared" si="179"/>
        <v>18.414649328682259</v>
      </c>
      <c r="AI176">
        <f t="shared" si="180"/>
        <v>1.516465009720652</v>
      </c>
      <c r="AJ176" t="str">
        <f t="shared" si="162"/>
        <v>1+0,00310544055757888i</v>
      </c>
      <c r="AK176">
        <f t="shared" si="181"/>
        <v>1.000004821868903</v>
      </c>
      <c r="AL176">
        <f t="shared" si="182"/>
        <v>3.1054305749277375E-3</v>
      </c>
      <c r="AM176" t="str">
        <f t="shared" si="163"/>
        <v>1-0,016737107505449i</v>
      </c>
      <c r="AN176">
        <f t="shared" si="183"/>
        <v>1.0001400555760422</v>
      </c>
      <c r="AO176">
        <f t="shared" si="184"/>
        <v>-1.6735544908488241E-2</v>
      </c>
      <c r="AP176" s="41" t="str">
        <f t="shared" si="185"/>
        <v>0,896441021897253-22,0127636475575i</v>
      </c>
      <c r="AQ176">
        <f t="shared" si="186"/>
        <v>26.860687868414903</v>
      </c>
      <c r="AR176" s="43">
        <f t="shared" si="187"/>
        <v>-87.667992861852511</v>
      </c>
      <c r="AS176" t="str">
        <f t="shared" si="164"/>
        <v>-0,0000166666666666667</v>
      </c>
      <c r="AT176" t="str">
        <f t="shared" si="165"/>
        <v>0,000529119295002863i</v>
      </c>
      <c r="AU176">
        <f t="shared" si="188"/>
        <v>5.2911929500286305E-4</v>
      </c>
      <c r="AV176">
        <f t="shared" si="189"/>
        <v>1.5707963267948966</v>
      </c>
      <c r="AW176" t="str">
        <f t="shared" si="166"/>
        <v>1+0,0188623564341221i</v>
      </c>
      <c r="AX176">
        <f t="shared" si="190"/>
        <v>1.000177878424757</v>
      </c>
      <c r="AY176">
        <f t="shared" si="191"/>
        <v>1.8860119908434676E-2</v>
      </c>
      <c r="AZ176" t="str">
        <f t="shared" si="167"/>
        <v>1+2,78534130010536i</v>
      </c>
      <c r="BA176">
        <f t="shared" si="192"/>
        <v>2.9594131442015015</v>
      </c>
      <c r="BB176">
        <f t="shared" si="193"/>
        <v>1.22610642885235</v>
      </c>
      <c r="BC176" s="41" t="str">
        <f t="shared" si="194"/>
        <v>-0,0871100033109748+0,0331419827430577i</v>
      </c>
      <c r="BD176">
        <f t="shared" si="195"/>
        <v>-20.611529913210006</v>
      </c>
      <c r="BE176" s="43">
        <f t="shared" si="196"/>
        <v>159.17011833523304</v>
      </c>
      <c r="BF176" s="41" t="str">
        <f t="shared" si="197"/>
        <v>0,125988771298715+0,274055074906807i</v>
      </c>
      <c r="BG176" s="20">
        <f t="shared" si="198"/>
        <v>-10.410571484609733</v>
      </c>
      <c r="BH176" s="43">
        <f t="shared" si="199"/>
        <v>65.310782467505135</v>
      </c>
      <c r="BI176" s="41" t="str">
        <f t="shared" si="152"/>
        <v>0,651457652548795+1,94724174710033i</v>
      </c>
      <c r="BJ176" s="20">
        <f t="shared" si="200"/>
        <v>6.2491579552049057</v>
      </c>
      <c r="BK176" s="43">
        <f t="shared" si="153"/>
        <v>71.502125473380559</v>
      </c>
      <c r="BL176">
        <f t="shared" si="201"/>
        <v>-10.410571484609733</v>
      </c>
      <c r="BM176" s="43">
        <f t="shared" si="202"/>
        <v>65.310782467505135</v>
      </c>
    </row>
    <row r="177" spans="14:65" x14ac:dyDescent="0.35">
      <c r="N177" s="9">
        <v>59</v>
      </c>
      <c r="O177" s="34">
        <f t="shared" si="154"/>
        <v>389.04514499428063</v>
      </c>
      <c r="P177" s="33" t="str">
        <f t="shared" si="155"/>
        <v>59,1053597814893</v>
      </c>
      <c r="Q177" s="4" t="str">
        <f t="shared" si="156"/>
        <v>1+18,7823567809057i</v>
      </c>
      <c r="R177" s="4">
        <f t="shared" si="168"/>
        <v>18.808958669879477</v>
      </c>
      <c r="S177" s="4">
        <f t="shared" si="169"/>
        <v>1.5176050935919696</v>
      </c>
      <c r="T177" s="4" t="str">
        <f t="shared" si="157"/>
        <v>1+0,00317777556051491i</v>
      </c>
      <c r="U177" s="4">
        <f t="shared" si="170"/>
        <v>1.0000050491160097</v>
      </c>
      <c r="V177" s="4">
        <f t="shared" si="171"/>
        <v>3.1777648639144105E-3</v>
      </c>
      <c r="W177" t="str">
        <f t="shared" si="158"/>
        <v>1-0,117333251465166i</v>
      </c>
      <c r="X177" s="4">
        <f t="shared" si="172"/>
        <v>1.0068600160396617</v>
      </c>
      <c r="Y177" s="4">
        <f t="shared" si="173"/>
        <v>-0.116799210006338</v>
      </c>
      <c r="Z177" t="str">
        <f t="shared" si="159"/>
        <v>0,999996872807338+0,0109777701181424i</v>
      </c>
      <c r="AA177" s="4">
        <f t="shared" si="174"/>
        <v>1.0000571268988698</v>
      </c>
      <c r="AB177" s="4">
        <f t="shared" si="175"/>
        <v>1.0977363493315434E-2</v>
      </c>
      <c r="AC177" s="47" t="str">
        <f t="shared" si="176"/>
        <v>-0,225727117144604-3,15573412610694i</v>
      </c>
      <c r="AD177" s="20">
        <f t="shared" si="177"/>
        <v>10.004171828823559</v>
      </c>
      <c r="AE177" s="43">
        <f t="shared" si="178"/>
        <v>-94.091352697562201</v>
      </c>
      <c r="AF177" t="str">
        <f t="shared" si="160"/>
        <v>405,634542683733</v>
      </c>
      <c r="AG177" t="str">
        <f t="shared" si="161"/>
        <v>1+18,815776345154i</v>
      </c>
      <c r="AH177">
        <f t="shared" si="179"/>
        <v>18.842331051938789</v>
      </c>
      <c r="AI177">
        <f t="shared" si="180"/>
        <v>1.5176993913574222</v>
      </c>
      <c r="AJ177" t="str">
        <f t="shared" si="162"/>
        <v>1+0,00317777556051491i</v>
      </c>
      <c r="AK177">
        <f t="shared" si="181"/>
        <v>1.0000050491160097</v>
      </c>
      <c r="AL177">
        <f t="shared" si="182"/>
        <v>3.1777648639144105E-3</v>
      </c>
      <c r="AM177" t="str">
        <f t="shared" si="163"/>
        <v>1-0,0171269648213756i</v>
      </c>
      <c r="AN177">
        <f t="shared" si="183"/>
        <v>1.0001466557080481</v>
      </c>
      <c r="AO177">
        <f t="shared" si="184"/>
        <v>-1.7125290481825681E-2</v>
      </c>
      <c r="AP177" s="41" t="str">
        <f t="shared" si="185"/>
        <v>0,842714479685825-21,5146001792294i</v>
      </c>
      <c r="AQ177">
        <f t="shared" si="186"/>
        <v>26.661323623523963</v>
      </c>
      <c r="AR177" s="43">
        <f t="shared" si="187"/>
        <v>-87.756904046911018</v>
      </c>
      <c r="AS177" t="str">
        <f t="shared" si="164"/>
        <v>-0,0000166666666666667</v>
      </c>
      <c r="AT177" t="str">
        <f t="shared" si="165"/>
        <v>0,000541444066656962i</v>
      </c>
      <c r="AU177">
        <f t="shared" si="188"/>
        <v>5.4144406665696204E-4</v>
      </c>
      <c r="AV177">
        <f t="shared" si="189"/>
        <v>1.5707963267948966</v>
      </c>
      <c r="AW177" t="str">
        <f t="shared" si="166"/>
        <v>1+0,019301717156939i</v>
      </c>
      <c r="AX177">
        <f t="shared" si="190"/>
        <v>1.0001862607960612</v>
      </c>
      <c r="AY177">
        <f t="shared" si="191"/>
        <v>1.9299320700591087E-2</v>
      </c>
      <c r="AZ177" t="str">
        <f t="shared" si="167"/>
        <v>1+2,85022023350799i</v>
      </c>
      <c r="BA177">
        <f t="shared" si="192"/>
        <v>3.0205554753221042</v>
      </c>
      <c r="BB177">
        <f t="shared" si="193"/>
        <v>1.2333643976993178</v>
      </c>
      <c r="BC177" s="41" t="str">
        <f t="shared" si="194"/>
        <v>-0,0871085432122698+0,0324632251650849i</v>
      </c>
      <c r="BD177">
        <f t="shared" si="195"/>
        <v>-20.63397834883466</v>
      </c>
      <c r="BE177" s="43">
        <f t="shared" si="196"/>
        <v>159.56080496625236</v>
      </c>
      <c r="BF177" s="41" t="str">
        <f t="shared" si="197"/>
        <v>0,122108067834924+0,26756357226069i</v>
      </c>
      <c r="BG177" s="20">
        <f t="shared" si="198"/>
        <v>-10.629806520011103</v>
      </c>
      <c r="BH177" s="43">
        <f t="shared" si="199"/>
        <v>65.469452268690119</v>
      </c>
      <c r="BI177" s="41" t="str">
        <f t="shared" si="152"/>
        <v>0,625025679285782+1,90146270931103i</v>
      </c>
      <c r="BJ177" s="20">
        <f t="shared" si="200"/>
        <v>6.0273452746892984</v>
      </c>
      <c r="BK177" s="43">
        <f t="shared" si="153"/>
        <v>71.803900919341359</v>
      </c>
      <c r="BL177">
        <f t="shared" si="201"/>
        <v>-10.629806520011103</v>
      </c>
      <c r="BM177" s="43">
        <f t="shared" si="202"/>
        <v>65.469452268690119</v>
      </c>
    </row>
    <row r="178" spans="14:65" x14ac:dyDescent="0.35">
      <c r="N178" s="9">
        <v>60</v>
      </c>
      <c r="O178" s="34">
        <f t="shared" si="154"/>
        <v>398.10717055349761</v>
      </c>
      <c r="P178" s="33" t="str">
        <f t="shared" si="155"/>
        <v>59,1053597814893</v>
      </c>
      <c r="Q178" s="4" t="str">
        <f t="shared" si="156"/>
        <v>1+19,2198540724176i</v>
      </c>
      <c r="R178" s="4">
        <f t="shared" si="168"/>
        <v>19.24585125592078</v>
      </c>
      <c r="S178" s="4">
        <f t="shared" si="169"/>
        <v>1.5188136685666971</v>
      </c>
      <c r="T178" s="4" t="str">
        <f t="shared" si="157"/>
        <v>1+0,00325179546211594i</v>
      </c>
      <c r="U178" s="4">
        <f t="shared" si="170"/>
        <v>1.0000052870728873</v>
      </c>
      <c r="V178" s="4">
        <f t="shared" si="171"/>
        <v>3.2517840005052774E-3</v>
      </c>
      <c r="W178" t="str">
        <f t="shared" si="158"/>
        <v>1-0,12006629398582i</v>
      </c>
      <c r="X178" s="4">
        <f t="shared" si="172"/>
        <v>1.0071821657235047</v>
      </c>
      <c r="Y178" s="4">
        <f t="shared" si="173"/>
        <v>-0.11949427840973155</v>
      </c>
      <c r="Z178" t="str">
        <f t="shared" si="159"/>
        <v>0,999996725427288+0,0112334752327642i</v>
      </c>
      <c r="AA178" s="4">
        <f t="shared" si="174"/>
        <v>1.0000598191263881</v>
      </c>
      <c r="AB178" s="4">
        <f t="shared" si="175"/>
        <v>1.1233039527818605E-2</v>
      </c>
      <c r="AC178" s="47" t="str">
        <f t="shared" si="176"/>
        <v>-0,233274601298579-3,08414897577155i</v>
      </c>
      <c r="AD178" s="20">
        <f t="shared" si="177"/>
        <v>9.8074817036694064</v>
      </c>
      <c r="AE178" s="43">
        <f t="shared" si="178"/>
        <v>-94.325423161422535</v>
      </c>
      <c r="AF178" t="str">
        <f t="shared" si="160"/>
        <v>405,634542683733</v>
      </c>
      <c r="AG178" t="str">
        <f t="shared" si="161"/>
        <v>1+19,2540520783181i</v>
      </c>
      <c r="AH178">
        <f t="shared" si="179"/>
        <v>19.280003149236919</v>
      </c>
      <c r="AI178">
        <f t="shared" si="180"/>
        <v>1.5189058315571493</v>
      </c>
      <c r="AJ178" t="str">
        <f t="shared" si="162"/>
        <v>1+0,00325179546211594i</v>
      </c>
      <c r="AK178">
        <f t="shared" si="181"/>
        <v>1.0000052870728873</v>
      </c>
      <c r="AL178">
        <f t="shared" si="182"/>
        <v>3.2517840005052774E-3</v>
      </c>
      <c r="AM178" t="str">
        <f t="shared" si="163"/>
        <v>1-0,0175259030807526i</v>
      </c>
      <c r="AN178">
        <f t="shared" si="183"/>
        <v>1.0001535668480097</v>
      </c>
      <c r="AO178">
        <f t="shared" si="184"/>
        <v>-1.7524109008478835E-2</v>
      </c>
      <c r="AP178" s="41" t="str">
        <f t="shared" si="185"/>
        <v>0,791392713279081-21,027587631981i</v>
      </c>
      <c r="AQ178">
        <f t="shared" si="186"/>
        <v>26.461936298641589</v>
      </c>
      <c r="AR178" s="43">
        <f t="shared" si="187"/>
        <v>-87.844637612829302</v>
      </c>
      <c r="AS178" t="str">
        <f t="shared" si="164"/>
        <v>-0,0000166666666666667</v>
      </c>
      <c r="AT178" t="str">
        <f t="shared" si="165"/>
        <v>0,000554055919122063i</v>
      </c>
      <c r="AU178">
        <f t="shared" si="188"/>
        <v>5.5405591912206298E-4</v>
      </c>
      <c r="AV178">
        <f t="shared" si="189"/>
        <v>1.5707963267948966</v>
      </c>
      <c r="AW178" t="str">
        <f t="shared" si="166"/>
        <v>1+0,0197513119056808i</v>
      </c>
      <c r="AX178">
        <f t="shared" si="190"/>
        <v>1.0001950381410596</v>
      </c>
      <c r="AY178">
        <f t="shared" si="191"/>
        <v>1.9748744083483E-2</v>
      </c>
      <c r="AZ178" t="str">
        <f t="shared" si="167"/>
        <v>1+2,91661039140553i</v>
      </c>
      <c r="BA178">
        <f t="shared" si="192"/>
        <v>3.0832801000322236</v>
      </c>
      <c r="BB178">
        <f t="shared" si="193"/>
        <v>1.2404930524787807</v>
      </c>
      <c r="BC178" s="41" t="str">
        <f t="shared" si="194"/>
        <v>-0,0871070143536927+0,0318016773627357i</v>
      </c>
      <c r="BD178">
        <f t="shared" si="195"/>
        <v>-20.655531302128974</v>
      </c>
      <c r="BE178" s="43">
        <f t="shared" si="196"/>
        <v>159.94349673566717</v>
      </c>
      <c r="BF178" s="41" t="str">
        <f t="shared" si="197"/>
        <v>0,118400964709766+0,261232485494041i</v>
      </c>
      <c r="BG178" s="20">
        <f t="shared" si="198"/>
        <v>-10.848049598459561</v>
      </c>
      <c r="BH178" s="43">
        <f t="shared" si="199"/>
        <v>65.618073574244633</v>
      </c>
      <c r="BI178" s="41" t="str">
        <f t="shared" ref="BI178:BI241" si="203">IMPRODUCT(AP178,BC178)</f>
        <v>0,599776701153903+1,85681799341742i</v>
      </c>
      <c r="BJ178" s="20">
        <f t="shared" si="200"/>
        <v>5.8064049965126134</v>
      </c>
      <c r="BK178" s="43">
        <f t="shared" ref="BK178:BK241" si="204">(180/PI())*IMARGUMENT(BI178)</f>
        <v>72.098859122837865</v>
      </c>
      <c r="BL178">
        <f t="shared" si="201"/>
        <v>-10.848049598459561</v>
      </c>
      <c r="BM178" s="43">
        <f t="shared" si="202"/>
        <v>65.618073574244633</v>
      </c>
    </row>
    <row r="179" spans="14:65" x14ac:dyDescent="0.35">
      <c r="N179" s="9">
        <v>61</v>
      </c>
      <c r="O179" s="34">
        <f t="shared" si="154"/>
        <v>407.38027780411272</v>
      </c>
      <c r="P179" s="33" t="str">
        <f t="shared" si="155"/>
        <v>59,1053597814893</v>
      </c>
      <c r="Q179" s="4" t="str">
        <f t="shared" si="156"/>
        <v>1+19,6675419849637i</v>
      </c>
      <c r="R179" s="4">
        <f t="shared" si="168"/>
        <v>19.69294817264063</v>
      </c>
      <c r="S179" s="4">
        <f t="shared" si="169"/>
        <v>1.5199948799042873</v>
      </c>
      <c r="T179" s="4" t="str">
        <f t="shared" si="157"/>
        <v>1+0,0033275395087136i</v>
      </c>
      <c r="U179" s="4">
        <f t="shared" si="170"/>
        <v>1.0000055362442659</v>
      </c>
      <c r="V179" s="4">
        <f t="shared" si="171"/>
        <v>3.3275272273801779E-3</v>
      </c>
      <c r="W179" t="str">
        <f t="shared" si="158"/>
        <v>1-0,12286299724481i</v>
      </c>
      <c r="X179" s="4">
        <f t="shared" si="172"/>
        <v>1.0075193874521613</v>
      </c>
      <c r="Y179" s="4">
        <f t="shared" si="173"/>
        <v>-0.12225031830094625</v>
      </c>
      <c r="Z179" t="str">
        <f t="shared" si="159"/>
        <v>0,999996571101431+0,011495136484647i</v>
      </c>
      <c r="AA179" s="4">
        <f t="shared" si="174"/>
        <v>1.0000626382269364</v>
      </c>
      <c r="AB179" s="4">
        <f t="shared" si="175"/>
        <v>1.149466961996449E-2</v>
      </c>
      <c r="AC179" s="47" t="str">
        <f t="shared" si="176"/>
        <v>-0,24048404186088-3,0141638100322i</v>
      </c>
      <c r="AD179" s="20">
        <f t="shared" si="177"/>
        <v>9.6108948205534066</v>
      </c>
      <c r="AE179" s="43">
        <f t="shared" si="178"/>
        <v>-94.561661572562713</v>
      </c>
      <c r="AF179" t="str">
        <f t="shared" si="160"/>
        <v>405,634542683733</v>
      </c>
      <c r="AG179" t="str">
        <f t="shared" si="161"/>
        <v>1+19,7025365647516i</v>
      </c>
      <c r="AH179">
        <f t="shared" si="179"/>
        <v>19.727897685393994</v>
      </c>
      <c r="AI179">
        <f t="shared" si="180"/>
        <v>1.5200849559346583</v>
      </c>
      <c r="AJ179" t="str">
        <f t="shared" si="162"/>
        <v>1+0,0033275395087136i</v>
      </c>
      <c r="AK179">
        <f t="shared" si="181"/>
        <v>1.0000055362442659</v>
      </c>
      <c r="AL179">
        <f t="shared" si="182"/>
        <v>3.3275272273801779E-3</v>
      </c>
      <c r="AM179" t="str">
        <f t="shared" si="163"/>
        <v>1-0,0179341338059258i</v>
      </c>
      <c r="AN179">
        <f t="shared" si="183"/>
        <v>1.0001608036487777</v>
      </c>
      <c r="AO179">
        <f t="shared" si="184"/>
        <v>-1.7932211439541955E-2</v>
      </c>
      <c r="AP179" s="41" t="str">
        <f t="shared" si="185"/>
        <v>0,742368657058342-20,551484808134i</v>
      </c>
      <c r="AQ179">
        <f t="shared" si="186"/>
        <v>26.262527183583021</v>
      </c>
      <c r="AR179" s="43">
        <f t="shared" si="187"/>
        <v>-87.931239242863853</v>
      </c>
      <c r="AS179" t="str">
        <f t="shared" si="164"/>
        <v>-0,0000166666666666667</v>
      </c>
      <c r="AT179" t="str">
        <f t="shared" si="165"/>
        <v>0,000566961539369279i</v>
      </c>
      <c r="AU179">
        <f t="shared" si="188"/>
        <v>5.66961539369279E-4</v>
      </c>
      <c r="AV179">
        <f t="shared" si="189"/>
        <v>1.5707963267948966</v>
      </c>
      <c r="AW179" t="str">
        <f t="shared" si="166"/>
        <v>1+0,0202113790614346i</v>
      </c>
      <c r="AX179">
        <f t="shared" si="190"/>
        <v>1.0002042290670266</v>
      </c>
      <c r="AY179">
        <f t="shared" si="191"/>
        <v>2.0208627620719372E-2</v>
      </c>
      <c r="AZ179" t="str">
        <f t="shared" si="167"/>
        <v>1+2,98454697473851i</v>
      </c>
      <c r="BA179">
        <f t="shared" si="192"/>
        <v>3.1476214264775857</v>
      </c>
      <c r="BB179">
        <f t="shared" si="193"/>
        <v>1.2474932738739539</v>
      </c>
      <c r="BC179" s="41" t="str">
        <f t="shared" si="194"/>
        <v>-0,0871054134997502+0,0311569883847992i</v>
      </c>
      <c r="BD179">
        <f t="shared" si="195"/>
        <v>-20.676220856518121</v>
      </c>
      <c r="BE179" s="43">
        <f t="shared" si="196"/>
        <v>160.3182304915166</v>
      </c>
      <c r="BF179" s="41" t="str">
        <f t="shared" si="197"/>
        <v>0,114859728725439+0,255057226529848i</v>
      </c>
      <c r="BG179" s="20">
        <f t="shared" si="198"/>
        <v>-11.065326035964718</v>
      </c>
      <c r="BH179" s="43">
        <f t="shared" si="199"/>
        <v>65.756568918953775</v>
      </c>
      <c r="BI179" s="41" t="str">
        <f t="shared" si="203"/>
        <v>0,575658044615087+1,81327555387155i</v>
      </c>
      <c r="BJ179" s="20">
        <f t="shared" si="200"/>
        <v>5.5863063270648912</v>
      </c>
      <c r="BK179" s="43">
        <f t="shared" si="204"/>
        <v>72.386991248652734</v>
      </c>
      <c r="BL179">
        <f t="shared" si="201"/>
        <v>-11.065326035964718</v>
      </c>
      <c r="BM179" s="43">
        <f t="shared" si="202"/>
        <v>65.756568918953775</v>
      </c>
    </row>
    <row r="180" spans="14:65" x14ac:dyDescent="0.35">
      <c r="N180" s="9">
        <v>62</v>
      </c>
      <c r="O180" s="34">
        <f t="shared" si="154"/>
        <v>416.86938347033572</v>
      </c>
      <c r="P180" s="33" t="str">
        <f t="shared" si="155"/>
        <v>59,1053597814893</v>
      </c>
      <c r="Q180" s="4" t="str">
        <f t="shared" si="156"/>
        <v>1+20,1256578886009i</v>
      </c>
      <c r="R180" s="4">
        <f t="shared" si="168"/>
        <v>20.150486481695761</v>
      </c>
      <c r="S180" s="4">
        <f t="shared" si="169"/>
        <v>1.5211493407063665</v>
      </c>
      <c r="T180" s="4" t="str">
        <f t="shared" si="157"/>
        <v>1+0,00340504786080398i</v>
      </c>
      <c r="U180" s="4">
        <f t="shared" si="170"/>
        <v>1.0000057971586638</v>
      </c>
      <c r="V180" s="4">
        <f t="shared" si="171"/>
        <v>3.4050347011222448E-3</v>
      </c>
      <c r="W180" t="str">
        <f t="shared" si="158"/>
        <v>1-0,125724844091224i</v>
      </c>
      <c r="X180" s="4">
        <f t="shared" si="172"/>
        <v>1.0078723810194239</v>
      </c>
      <c r="Y180" s="4">
        <f t="shared" si="173"/>
        <v>-0.12506862340531663</v>
      </c>
      <c r="Z180" t="str">
        <f t="shared" si="159"/>
        <v>0,99999640950242+0,0117628926100501i</v>
      </c>
      <c r="AA180" s="4">
        <f t="shared" si="174"/>
        <v>1.0000655901791078</v>
      </c>
      <c r="AB180" s="4">
        <f t="shared" si="175"/>
        <v>1.176239235730049E-2</v>
      </c>
      <c r="AC180" s="47" t="str">
        <f t="shared" si="176"/>
        <v>-0,247370489288031-2,94574386429485i</v>
      </c>
      <c r="AD180" s="20">
        <f t="shared" si="177"/>
        <v>9.4144181436993897</v>
      </c>
      <c r="AE180" s="43">
        <f t="shared" si="178"/>
        <v>-94.800182823798608</v>
      </c>
      <c r="AF180" t="str">
        <f t="shared" si="160"/>
        <v>405,634542683733</v>
      </c>
      <c r="AG180" t="str">
        <f t="shared" si="161"/>
        <v>1+20,1614675968657i</v>
      </c>
      <c r="AH180">
        <f t="shared" si="179"/>
        <v>20.186252144949183</v>
      </c>
      <c r="AI180">
        <f t="shared" si="180"/>
        <v>1.5212373765548421</v>
      </c>
      <c r="AJ180" t="str">
        <f t="shared" si="162"/>
        <v>1+0,00340504786080398i</v>
      </c>
      <c r="AK180">
        <f t="shared" si="181"/>
        <v>1.0000057971586638</v>
      </c>
      <c r="AL180">
        <f t="shared" si="182"/>
        <v>3.4050347011222448E-3</v>
      </c>
      <c r="AM180" t="str">
        <f t="shared" si="163"/>
        <v>1-0,0183518734462293i</v>
      </c>
      <c r="AN180">
        <f t="shared" si="183"/>
        <v>1.0001683814533364</v>
      </c>
      <c r="AO180">
        <f t="shared" si="184"/>
        <v>-1.8349813612266154E-2</v>
      </c>
      <c r="AP180" s="41" t="str">
        <f t="shared" si="185"/>
        <v>0,695539962052079-20,0860551681557i</v>
      </c>
      <c r="AQ180">
        <f t="shared" si="186"/>
        <v>26.063097522777539</v>
      </c>
      <c r="AR180" s="43">
        <f t="shared" si="187"/>
        <v>-88.01675407151069</v>
      </c>
      <c r="AS180" t="str">
        <f t="shared" si="164"/>
        <v>-0,0000166666666666667</v>
      </c>
      <c r="AT180" t="str">
        <f t="shared" si="165"/>
        <v>0,000580167770129293i</v>
      </c>
      <c r="AU180">
        <f t="shared" si="188"/>
        <v>5.8016777012929305E-4</v>
      </c>
      <c r="AV180">
        <f t="shared" si="189"/>
        <v>1.5707963267948966</v>
      </c>
      <c r="AW180" t="str">
        <f t="shared" si="166"/>
        <v>1+0,0206821625578961i</v>
      </c>
      <c r="AX180">
        <f t="shared" si="190"/>
        <v>1.0002138530574705</v>
      </c>
      <c r="AY180">
        <f t="shared" si="191"/>
        <v>2.0679214370096038E-2</v>
      </c>
      <c r="AZ180" t="str">
        <f t="shared" si="167"/>
        <v>1+3,05406600438265i</v>
      </c>
      <c r="BA180">
        <f t="shared" si="192"/>
        <v>3.2136146562906078</v>
      </c>
      <c r="BB180">
        <f t="shared" si="193"/>
        <v>1.2543660283307569</v>
      </c>
      <c r="BC180" s="41" t="str">
        <f t="shared" si="194"/>
        <v>-0,0871037372629505+0,0305288162052794i</v>
      </c>
      <c r="BD180">
        <f t="shared" si="195"/>
        <v>-20.696078303298087</v>
      </c>
      <c r="BE180" s="43">
        <f t="shared" si="196"/>
        <v>160.68504768088704</v>
      </c>
      <c r="BF180" s="41" t="str">
        <f t="shared" si="197"/>
        <v>0,111476967126439+0,249033371397403i</v>
      </c>
      <c r="BG180" s="20">
        <f t="shared" si="198"/>
        <v>-11.281660159598697</v>
      </c>
      <c r="BH180" s="43">
        <f t="shared" si="199"/>
        <v>65.884864857088488</v>
      </c>
      <c r="BI180" s="41" t="str">
        <f t="shared" si="203"/>
        <v>0,552619356407261+1,77080448368108i</v>
      </c>
      <c r="BJ180" s="20">
        <f t="shared" si="200"/>
        <v>5.3670192194794595</v>
      </c>
      <c r="BK180" s="43">
        <f t="shared" si="204"/>
        <v>72.668293609376391</v>
      </c>
      <c r="BL180">
        <f t="shared" si="201"/>
        <v>-11.281660159598697</v>
      </c>
      <c r="BM180" s="43">
        <f t="shared" si="202"/>
        <v>65.884864857088488</v>
      </c>
    </row>
    <row r="181" spans="14:65" x14ac:dyDescent="0.35">
      <c r="N181" s="9">
        <v>63</v>
      </c>
      <c r="O181" s="34">
        <f t="shared" si="154"/>
        <v>426.57951880159294</v>
      </c>
      <c r="P181" s="33" t="str">
        <f t="shared" si="155"/>
        <v>59,1053597814893</v>
      </c>
      <c r="Q181" s="4" t="str">
        <f t="shared" si="156"/>
        <v>1+20,5944446824452i</v>
      </c>
      <c r="R181" s="4">
        <f t="shared" si="168"/>
        <v>20.61870878057827</v>
      </c>
      <c r="S181" s="4">
        <f t="shared" si="169"/>
        <v>1.5222776507672076</v>
      </c>
      <c r="T181" s="4" t="str">
        <f t="shared" si="157"/>
        <v>1+0,00348436161434128i</v>
      </c>
      <c r="U181" s="4">
        <f t="shared" si="170"/>
        <v>1.0000060703695051</v>
      </c>
      <c r="V181" s="4">
        <f t="shared" si="171"/>
        <v>3.4843475134928728E-3</v>
      </c>
      <c r="W181" t="str">
        <f t="shared" si="158"/>
        <v>1-0,12865335191414i</v>
      </c>
      <c r="X181" s="4">
        <f t="shared" si="172"/>
        <v>1.0082418782012297</v>
      </c>
      <c r="Y181" s="4">
        <f t="shared" si="173"/>
        <v>-0.12795050884689302</v>
      </c>
      <c r="Z181" t="str">
        <f t="shared" si="159"/>
        <v>0,999996240287482+0,0120368855768153i</v>
      </c>
      <c r="AA181" s="4">
        <f t="shared" si="174"/>
        <v>1.0000686812431878</v>
      </c>
      <c r="AB181" s="4">
        <f t="shared" si="175"/>
        <v>1.2036349548323258E-2</v>
      </c>
      <c r="AC181" s="47" t="str">
        <f t="shared" si="176"/>
        <v>-0,253948330090315-2,87885504883321i</v>
      </c>
      <c r="AD181" s="20">
        <f t="shared" si="177"/>
        <v>9.2180588466818634</v>
      </c>
      <c r="AE181" s="43">
        <f t="shared" si="178"/>
        <v>-95.041102402512195</v>
      </c>
      <c r="AF181" t="str">
        <f t="shared" si="160"/>
        <v>405,634542683733</v>
      </c>
      <c r="AG181" t="str">
        <f t="shared" si="161"/>
        <v>1+20,6310885059681i</v>
      </c>
      <c r="AH181">
        <f t="shared" si="179"/>
        <v>20.655309558103674</v>
      </c>
      <c r="AI181">
        <f t="shared" si="180"/>
        <v>1.5223636921954218</v>
      </c>
      <c r="AJ181" t="str">
        <f t="shared" si="162"/>
        <v>1+0,00348436161434128i</v>
      </c>
      <c r="AK181">
        <f t="shared" si="181"/>
        <v>1.0000060703695051</v>
      </c>
      <c r="AL181">
        <f t="shared" si="182"/>
        <v>3.4843475134928728E-3</v>
      </c>
      <c r="AM181" t="str">
        <f t="shared" si="163"/>
        <v>1-0,0187793434927497i</v>
      </c>
      <c r="AN181">
        <f t="shared" si="183"/>
        <v>1.0001763163272857</v>
      </c>
      <c r="AO181">
        <f t="shared" si="184"/>
        <v>-1.8777136361906289E-2</v>
      </c>
      <c r="AP181" s="41" t="str">
        <f t="shared" si="185"/>
        <v>0,650808792559123-19,6310667793537i</v>
      </c>
      <c r="AQ181">
        <f t="shared" si="186"/>
        <v>25.863648517833049</v>
      </c>
      <c r="AR181" s="43">
        <f t="shared" si="187"/>
        <v>-88.101226704749635</v>
      </c>
      <c r="AS181" t="str">
        <f t="shared" si="164"/>
        <v>-0,0000166666666666667</v>
      </c>
      <c r="AT181" t="str">
        <f t="shared" si="165"/>
        <v>0,000593681613520456i</v>
      </c>
      <c r="AU181">
        <f t="shared" si="188"/>
        <v>5.9368161352045599E-4</v>
      </c>
      <c r="AV181">
        <f t="shared" si="189"/>
        <v>1.5707963267948966</v>
      </c>
      <c r="AW181" t="str">
        <f t="shared" si="166"/>
        <v>1+0,0211639120107064i</v>
      </c>
      <c r="AX181">
        <f t="shared" si="190"/>
        <v>1.0002239305133611</v>
      </c>
      <c r="AY181">
        <f t="shared" si="191"/>
        <v>2.1160753008759546E-2</v>
      </c>
      <c r="AZ181" t="str">
        <f t="shared" si="167"/>
        <v>1+3,12520434024764i</v>
      </c>
      <c r="BA181">
        <f t="shared" si="192"/>
        <v>3.2812958062787767</v>
      </c>
      <c r="BB181">
        <f t="shared" si="193"/>
        <v>1.2611123619334053</v>
      </c>
      <c r="BC181" s="41" t="str">
        <f t="shared" si="194"/>
        <v>-0,0871019820966892+0,0299168275410814i</v>
      </c>
      <c r="BD181">
        <f t="shared" si="195"/>
        <v>-20.715134134748837</v>
      </c>
      <c r="BE181" s="43">
        <f t="shared" si="196"/>
        <v>161.04399399183816</v>
      </c>
      <c r="BF181" s="41" t="str">
        <f t="shared" si="197"/>
        <v>0,108245612912725+0,243156652526776i</v>
      </c>
      <c r="BG181" s="20">
        <f t="shared" si="198"/>
        <v>-11.497075288066975</v>
      </c>
      <c r="BH181" s="43">
        <f t="shared" si="199"/>
        <v>66.00289158932604</v>
      </c>
      <c r="BI181" s="41" t="str">
        <f t="shared" si="203"/>
        <v>0,530612503487524+1,72937496156339i</v>
      </c>
      <c r="BJ181" s="20">
        <f t="shared" si="200"/>
        <v>5.148514383084227</v>
      </c>
      <c r="BK181" s="43">
        <f t="shared" si="204"/>
        <v>72.942767287088571</v>
      </c>
      <c r="BL181">
        <f t="shared" si="201"/>
        <v>-11.497075288066975</v>
      </c>
      <c r="BM181" s="43">
        <f t="shared" si="202"/>
        <v>66.00289158932604</v>
      </c>
    </row>
    <row r="182" spans="14:65" x14ac:dyDescent="0.35">
      <c r="N182" s="9">
        <v>64</v>
      </c>
      <c r="O182" s="34">
        <f t="shared" si="154"/>
        <v>436.51583224016622</v>
      </c>
      <c r="P182" s="33" t="str">
        <f t="shared" si="155"/>
        <v>59,1053597814893</v>
      </c>
      <c r="Q182" s="4" t="str">
        <f t="shared" si="156"/>
        <v>1+21,0741509234597i</v>
      </c>
      <c r="R182" s="4">
        <f t="shared" si="168"/>
        <v>21.097863331265501</v>
      </c>
      <c r="S182" s="4">
        <f t="shared" si="169"/>
        <v>1.5233803968337465</v>
      </c>
      <c r="T182" s="4" t="str">
        <f t="shared" si="157"/>
        <v>1+0,00356552282252748i</v>
      </c>
      <c r="U182" s="4">
        <f t="shared" si="170"/>
        <v>1.0000063564562967</v>
      </c>
      <c r="V182" s="4">
        <f t="shared" si="171"/>
        <v>3.5655077132013785E-3</v>
      </c>
      <c r="W182" t="str">
        <f t="shared" si="158"/>
        <v>1-0,131650073447169i</v>
      </c>
      <c r="X182" s="4">
        <f t="shared" si="172"/>
        <v>1.0086286441692229</v>
      </c>
      <c r="Y182" s="4">
        <f t="shared" si="173"/>
        <v>-0.13089731105888797</v>
      </c>
      <c r="Z182" t="str">
        <f t="shared" si="159"/>
        <v>0,99999606309769+0,0123172606596404i</v>
      </c>
      <c r="AA182" s="4">
        <f t="shared" si="174"/>
        <v>1.0000719179744209</v>
      </c>
      <c r="AB182" s="4">
        <f t="shared" si="175"/>
        <v>1.2316686296992074E-2</v>
      </c>
      <c r="AC182" s="47" t="str">
        <f t="shared" si="176"/>
        <v>-0,260231315498687-2,81346394092222i</v>
      </c>
      <c r="AD182" s="20">
        <f t="shared" si="177"/>
        <v>9.0218243252219334</v>
      </c>
      <c r="AE182" s="43">
        <f t="shared" si="178"/>
        <v>-95.284536403440043</v>
      </c>
      <c r="AF182" t="str">
        <f t="shared" si="160"/>
        <v>405,634542683733</v>
      </c>
      <c r="AG182" t="str">
        <f t="shared" si="161"/>
        <v>1+21,1116482912811i</v>
      </c>
      <c r="AH182">
        <f t="shared" si="179"/>
        <v>21.135318629600835</v>
      </c>
      <c r="AI182">
        <f t="shared" si="180"/>
        <v>1.5234644886067303</v>
      </c>
      <c r="AJ182" t="str">
        <f t="shared" si="162"/>
        <v>1+0,00356552282252748i</v>
      </c>
      <c r="AK182">
        <f t="shared" si="181"/>
        <v>1.0000063564562967</v>
      </c>
      <c r="AL182">
        <f t="shared" si="182"/>
        <v>3.5655077132013785E-3</v>
      </c>
      <c r="AM182" t="str">
        <f t="shared" si="163"/>
        <v>1-0,0192167705957639i</v>
      </c>
      <c r="AN182">
        <f t="shared" si="183"/>
        <v>1.0001846250928526</v>
      </c>
      <c r="AO182">
        <f t="shared" si="184"/>
        <v>-1.9214405636033199E-2</v>
      </c>
      <c r="AP182" s="41" t="str">
        <f t="shared" si="185"/>
        <v>0,608081631151293-19,1862922621812i</v>
      </c>
      <c r="AQ182">
        <f t="shared" si="186"/>
        <v>25.664181330015957</v>
      </c>
      <c r="AR182" s="43">
        <f t="shared" si="187"/>
        <v>-88.184701240231249</v>
      </c>
      <c r="AS182" t="str">
        <f t="shared" si="164"/>
        <v>-0,0000166666666666667</v>
      </c>
      <c r="AT182" t="str">
        <f t="shared" si="165"/>
        <v>0,000607510234761414i</v>
      </c>
      <c r="AU182">
        <f t="shared" si="188"/>
        <v>6.0751023476141399E-4</v>
      </c>
      <c r="AV182">
        <f t="shared" si="189"/>
        <v>1.5707963267948966</v>
      </c>
      <c r="AW182" t="str">
        <f t="shared" si="166"/>
        <v>1+0,0216568828498023i</v>
      </c>
      <c r="AX182">
        <f t="shared" si="190"/>
        <v>1.0002344827962941</v>
      </c>
      <c r="AY182">
        <f t="shared" si="191"/>
        <v>2.1653497961086742E-2</v>
      </c>
      <c r="AZ182" t="str">
        <f t="shared" si="167"/>
        <v>1+3,19799970082081i</v>
      </c>
      <c r="BA182">
        <f t="shared" si="192"/>
        <v>3.3507017304513975</v>
      </c>
      <c r="BB182">
        <f t="shared" si="193"/>
        <v>1.2677333944574802</v>
      </c>
      <c r="BC182" s="41" t="str">
        <f t="shared" si="194"/>
        <v>-0,087100144287802+0,0293206976742637i</v>
      </c>
      <c r="BD182">
        <f t="shared" si="195"/>
        <v>-20.733418040025096</v>
      </c>
      <c r="BE182" s="43">
        <f t="shared" si="196"/>
        <v>161.3951190053418</v>
      </c>
      <c r="BF182" s="41" t="str">
        <f t="shared" si="197"/>
        <v>0,105158910757363+0,23742295147574i</v>
      </c>
      <c r="BG182" s="20">
        <f t="shared" si="198"/>
        <v>-11.711593714803177</v>
      </c>
      <c r="BH182" s="43">
        <f t="shared" si="199"/>
        <v>66.110582601901726</v>
      </c>
      <c r="BI182" s="41" t="str">
        <f t="shared" si="203"/>
        <v>0,50959147709744+1,68895820205218i</v>
      </c>
      <c r="BJ182" s="20">
        <f t="shared" si="200"/>
        <v>4.9307632899908533</v>
      </c>
      <c r="BK182" s="43">
        <f t="shared" si="204"/>
        <v>73.210417765110549</v>
      </c>
      <c r="BL182">
        <f t="shared" si="201"/>
        <v>-11.711593714803177</v>
      </c>
      <c r="BM182" s="43">
        <f t="shared" si="202"/>
        <v>66.110582601901726</v>
      </c>
    </row>
    <row r="183" spans="14:65" x14ac:dyDescent="0.35">
      <c r="N183" s="9">
        <v>65</v>
      </c>
      <c r="O183" s="34">
        <f t="shared" si="154"/>
        <v>446.68359215096331</v>
      </c>
      <c r="P183" s="33" t="str">
        <f t="shared" si="155"/>
        <v>59,1053597814893</v>
      </c>
      <c r="Q183" s="4" t="str">
        <f t="shared" si="156"/>
        <v>1+21,5650309582433i</v>
      </c>
      <c r="R183" s="4">
        <f t="shared" si="168"/>
        <v>21.588204191872745</v>
      </c>
      <c r="S183" s="4">
        <f t="shared" si="169"/>
        <v>1.5244581528625019</v>
      </c>
      <c r="T183" s="4" t="str">
        <f t="shared" si="157"/>
        <v>1+0,00364857451810947i</v>
      </c>
      <c r="U183" s="4">
        <f t="shared" si="170"/>
        <v>1.0000066560258558</v>
      </c>
      <c r="V183" s="4">
        <f t="shared" si="171"/>
        <v>3.6485583281806832E-3</v>
      </c>
      <c r="W183" t="str">
        <f t="shared" si="158"/>
        <v>1-0,134716597591734i</v>
      </c>
      <c r="X183" s="4">
        <f t="shared" si="172"/>
        <v>1.0090334789622657</v>
      </c>
      <c r="Y183" s="4">
        <f t="shared" si="173"/>
        <v>-0.13391038765429461</v>
      </c>
      <c r="Z183" t="str">
        <f t="shared" si="159"/>
        <v>0,9999958775572+0,0126041665171054i</v>
      </c>
      <c r="AA183" s="4">
        <f t="shared" si="174"/>
        <v>1.0000753072369029</v>
      </c>
      <c r="AB183" s="4">
        <f t="shared" si="175"/>
        <v>1.2603551078940527E-2</v>
      </c>
      <c r="AC183" s="47" t="str">
        <f t="shared" si="176"/>
        <v>-0,266232588945123-2,74953777665884i</v>
      </c>
      <c r="AD183" s="20">
        <f t="shared" si="177"/>
        <v>8.8257222102437165</v>
      </c>
      <c r="AE183" s="43">
        <f t="shared" si="178"/>
        <v>-95.530601539071299</v>
      </c>
      <c r="AF183" t="str">
        <f t="shared" si="160"/>
        <v>405,634542683733</v>
      </c>
      <c r="AG183" t="str">
        <f t="shared" si="161"/>
        <v>1+21,6034017519639i</v>
      </c>
      <c r="AH183">
        <f t="shared" si="179"/>
        <v>21.626533870612668</v>
      </c>
      <c r="AI183">
        <f t="shared" si="180"/>
        <v>1.5245403387683856</v>
      </c>
      <c r="AJ183" t="str">
        <f t="shared" si="162"/>
        <v>1+0,00364857451810947i</v>
      </c>
      <c r="AK183">
        <f t="shared" si="181"/>
        <v>1.0000066560258558</v>
      </c>
      <c r="AL183">
        <f t="shared" si="182"/>
        <v>3.6485583281806832E-3</v>
      </c>
      <c r="AM183" t="str">
        <f t="shared" si="163"/>
        <v>1-0,019664386684912i</v>
      </c>
      <c r="AN183">
        <f t="shared" si="183"/>
        <v>1.0001933253644986</v>
      </c>
      <c r="AO183">
        <f t="shared" si="184"/>
        <v>-1.9661852611357854E-2</v>
      </c>
      <c r="AP183" s="41" t="str">
        <f t="shared" si="185"/>
        <v>0,567269091745346-18,7515087344359i</v>
      </c>
      <c r="AQ183">
        <f t="shared" si="186"/>
        <v>25.464697082651586</v>
      </c>
      <c r="AR183" s="43">
        <f t="shared" si="187"/>
        <v>-88.267221287400261</v>
      </c>
      <c r="AS183" t="str">
        <f t="shared" si="164"/>
        <v>-0,0000166666666666667</v>
      </c>
      <c r="AT183" t="str">
        <f t="shared" si="165"/>
        <v>0,000621660965970191i</v>
      </c>
      <c r="AU183">
        <f t="shared" si="188"/>
        <v>6.21660965970191E-4</v>
      </c>
      <c r="AV183">
        <f t="shared" si="189"/>
        <v>1.5707963267948966</v>
      </c>
      <c r="AW183" t="str">
        <f t="shared" si="166"/>
        <v>1+0,022161336454848i</v>
      </c>
      <c r="AX183">
        <f t="shared" si="190"/>
        <v>1.0002455322736838</v>
      </c>
      <c r="AY183">
        <f t="shared" si="191"/>
        <v>2.2157709529326691E-2</v>
      </c>
      <c r="AZ183" t="str">
        <f t="shared" si="167"/>
        <v>1+3,27249068316588i</v>
      </c>
      <c r="BA183">
        <f t="shared" si="192"/>
        <v>3.4218701423939932</v>
      </c>
      <c r="BB183">
        <f t="shared" si="193"/>
        <v>1.2742303136109849</v>
      </c>
      <c r="BC183" s="41" t="str">
        <f t="shared" si="194"/>
        <v>-0,087098219948771+0,0287401102787592i</v>
      </c>
      <c r="BD183">
        <f t="shared" si="195"/>
        <v>-20.750958903622717</v>
      </c>
      <c r="BE183" s="43">
        <f t="shared" si="196"/>
        <v>161.73847585783349</v>
      </c>
      <c r="BF183" s="41" t="str">
        <f t="shared" si="197"/>
        <v>0,102210403506263+0,231828292062804i</v>
      </c>
      <c r="BG183" s="20">
        <f t="shared" si="198"/>
        <v>-11.925236693378995</v>
      </c>
      <c r="BH183" s="43">
        <f t="shared" si="199"/>
        <v>66.207874318762094</v>
      </c>
      <c r="BI183" s="41" t="str">
        <f t="shared" si="203"/>
        <v>0,489512300797828+1,64952640837769i</v>
      </c>
      <c r="BJ183" s="20">
        <f t="shared" si="200"/>
        <v>4.7137381790288586</v>
      </c>
      <c r="BK183" s="43">
        <f t="shared" si="204"/>
        <v>73.471254570433246</v>
      </c>
      <c r="BL183">
        <f t="shared" si="201"/>
        <v>-11.925236693378995</v>
      </c>
      <c r="BM183" s="43">
        <f t="shared" si="202"/>
        <v>66.207874318762094</v>
      </c>
    </row>
    <row r="184" spans="14:65" x14ac:dyDescent="0.35">
      <c r="N184" s="9">
        <v>66</v>
      </c>
      <c r="O184" s="34">
        <f t="shared" ref="O184:O218" si="205">10^(2+(N184/100))</f>
        <v>457.0881896148756</v>
      </c>
      <c r="P184" s="33" t="str">
        <f t="shared" si="155"/>
        <v>59,1053597814893</v>
      </c>
      <c r="Q184" s="4" t="str">
        <f t="shared" si="156"/>
        <v>1+22,0673450578879i</v>
      </c>
      <c r="R184" s="4">
        <f t="shared" si="168"/>
        <v>22.089991351376518</v>
      </c>
      <c r="S184" s="4">
        <f t="shared" si="169"/>
        <v>1.5255114802732808</v>
      </c>
      <c r="T184" s="4" t="str">
        <f t="shared" si="157"/>
        <v>1+0,00373356073619555i</v>
      </c>
      <c r="U184" s="4">
        <f t="shared" si="170"/>
        <v>1.0000069697135969</v>
      </c>
      <c r="V184" s="4">
        <f t="shared" si="171"/>
        <v>3.7335433883808346E-3</v>
      </c>
      <c r="W184" t="str">
        <f t="shared" si="158"/>
        <v>1-0,137854550259528i</v>
      </c>
      <c r="X184" s="4">
        <f t="shared" si="172"/>
        <v>1.0094572190178526</v>
      </c>
      <c r="Y184" s="4">
        <f t="shared" si="173"/>
        <v>-0.1369911172535539</v>
      </c>
      <c r="Z184" t="str">
        <f t="shared" si="159"/>
        <v>0,999995683272457+0,0128977552704937i</v>
      </c>
      <c r="AA184" s="4">
        <f t="shared" si="174"/>
        <v>1.0000788562181311</v>
      </c>
      <c r="AB184" s="4">
        <f t="shared" si="175"/>
        <v>1.2897095819425008E-2</v>
      </c>
      <c r="AC184" s="47" t="str">
        <f t="shared" si="176"/>
        <v>-0,271964712400749-2,68704444250915i</v>
      </c>
      <c r="AD184" s="20">
        <f t="shared" si="177"/>
        <v>8.629760381200807</v>
      </c>
      <c r="AE184" s="43">
        <f t="shared" si="178"/>
        <v>-95.779415147469834</v>
      </c>
      <c r="AF184" t="str">
        <f t="shared" si="160"/>
        <v>405,634542683733</v>
      </c>
      <c r="AG184" t="str">
        <f t="shared" si="161"/>
        <v>1+22,1066096222105i</v>
      </c>
      <c r="AH184">
        <f t="shared" si="179"/>
        <v>22.129215733703937</v>
      </c>
      <c r="AI184">
        <f t="shared" si="180"/>
        <v>1.5255918031427451</v>
      </c>
      <c r="AJ184" t="str">
        <f t="shared" si="162"/>
        <v>1+0,00373356073619555i</v>
      </c>
      <c r="AK184">
        <f t="shared" si="181"/>
        <v>1.0000069697135969</v>
      </c>
      <c r="AL184">
        <f t="shared" si="182"/>
        <v>3.7335433883808346E-3</v>
      </c>
      <c r="AM184" t="str">
        <f t="shared" si="163"/>
        <v>1-0,0201224290921695i</v>
      </c>
      <c r="AN184">
        <f t="shared" si="183"/>
        <v>1.0002024355862014</v>
      </c>
      <c r="AO184">
        <f t="shared" si="184"/>
        <v>-2.0119713813115791E-2</v>
      </c>
      <c r="AP184" s="41" t="str">
        <f t="shared" si="185"/>
        <v>0,528285740442079-18,3264977536128i</v>
      </c>
      <c r="AQ184">
        <f t="shared" si="186"/>
        <v>25.265196863449422</v>
      </c>
      <c r="AR184" s="43">
        <f t="shared" si="187"/>
        <v>-88.348829987551809</v>
      </c>
      <c r="AS184" t="str">
        <f t="shared" si="164"/>
        <v>-0,0000166666666666667</v>
      </c>
      <c r="AT184" t="str">
        <f t="shared" si="165"/>
        <v>0,000636141310051781i</v>
      </c>
      <c r="AU184">
        <f t="shared" si="188"/>
        <v>6.3614131005178102E-4</v>
      </c>
      <c r="AV184">
        <f t="shared" si="189"/>
        <v>1.5707963267948966</v>
      </c>
      <c r="AW184" t="str">
        <f t="shared" si="166"/>
        <v>1+0,0226775402938219i</v>
      </c>
      <c r="AX184">
        <f t="shared" si="190"/>
        <v>1.0002571023660756</v>
      </c>
      <c r="AY184">
        <f t="shared" si="191"/>
        <v>2.2673654027055984E-2</v>
      </c>
      <c r="AZ184" t="str">
        <f t="shared" si="167"/>
        <v>1+3,3487167833877i</v>
      </c>
      <c r="BA184">
        <f t="shared" si="192"/>
        <v>3.4948396380009288</v>
      </c>
      <c r="BB184">
        <f t="shared" si="193"/>
        <v>1.2806043694719047</v>
      </c>
      <c r="BC184" s="41" t="str">
        <f t="shared" si="194"/>
        <v>-0,0870962050095692+0,0281747572514647i</v>
      </c>
      <c r="BD184">
        <f t="shared" si="195"/>
        <v>-20.767784806223133</v>
      </c>
      <c r="BE184" s="43">
        <f t="shared" si="196"/>
        <v>162.07412091486199</v>
      </c>
      <c r="BF184" s="41" t="str">
        <f t="shared" si="197"/>
        <v>0,0993939192382168+0,226368833881745i</v>
      </c>
      <c r="BG184" s="20">
        <f t="shared" si="198"/>
        <v>-12.138024425022326</v>
      </c>
      <c r="BH184" s="43">
        <f t="shared" si="199"/>
        <v>66.294705767392145</v>
      </c>
      <c r="BI184" s="41" t="str">
        <f t="shared" si="203"/>
        <v>0,470332942324378+1,61105272795244i</v>
      </c>
      <c r="BJ184" s="20">
        <f t="shared" si="200"/>
        <v>4.4974120572263079</v>
      </c>
      <c r="BK184" s="43">
        <f t="shared" si="204"/>
        <v>73.72529092731024</v>
      </c>
      <c r="BL184">
        <f t="shared" si="201"/>
        <v>-12.138024425022326</v>
      </c>
      <c r="BM184" s="43">
        <f t="shared" si="202"/>
        <v>66.294705767392145</v>
      </c>
    </row>
    <row r="185" spans="14:65" x14ac:dyDescent="0.35">
      <c r="N185" s="9">
        <v>67</v>
      </c>
      <c r="O185" s="34">
        <f t="shared" si="205"/>
        <v>467.7351412871983</v>
      </c>
      <c r="P185" s="33" t="str">
        <f t="shared" si="155"/>
        <v>59,1053597814893</v>
      </c>
      <c r="Q185" s="4" t="str">
        <f t="shared" si="156"/>
        <v>1+22,581359555978i</v>
      </c>
      <c r="R185" s="4">
        <f t="shared" si="168"/>
        <v>22.603490867482371</v>
      </c>
      <c r="S185" s="4">
        <f t="shared" si="169"/>
        <v>1.5265409281995768</v>
      </c>
      <c r="T185" s="4" t="str">
        <f t="shared" si="157"/>
        <v>1+0,00382052653760348i</v>
      </c>
      <c r="U185" s="4">
        <f t="shared" si="170"/>
        <v>1.0000072981848804</v>
      </c>
      <c r="V185" s="4">
        <f t="shared" si="171"/>
        <v>3.8205079490924352E-3</v>
      </c>
      <c r="W185" t="str">
        <f t="shared" si="158"/>
        <v>1-0,14106559523459i</v>
      </c>
      <c r="X185" s="4">
        <f t="shared" si="172"/>
        <v>1.0099007387653944</v>
      </c>
      <c r="Y185" s="4">
        <f t="shared" si="173"/>
        <v>-0.14014089926595802</v>
      </c>
      <c r="Z185" t="str">
        <f t="shared" si="159"/>
        <v>0,999995479831356+0,0131981825844484i</v>
      </c>
      <c r="AA185" s="4">
        <f t="shared" si="174"/>
        <v>1.0000825724442339</v>
      </c>
      <c r="AB185" s="4">
        <f t="shared" si="175"/>
        <v>1.3197475973045956E-2</v>
      </c>
      <c r="AC185" s="47" t="str">
        <f t="shared" si="176"/>
        <v>-0,27743969161488-2,62595246661697i</v>
      </c>
      <c r="AD185" s="20">
        <f t="shared" si="177"/>
        <v>8.4339469796782236</v>
      </c>
      <c r="AE185" s="43">
        <f t="shared" si="178"/>
        <v>-96.031095197328042</v>
      </c>
      <c r="AF185" t="str">
        <f t="shared" si="160"/>
        <v>405,634542683733</v>
      </c>
      <c r="AG185" t="str">
        <f t="shared" si="161"/>
        <v>1+22,6215387094943i</v>
      </c>
      <c r="AH185">
        <f t="shared" si="179"/>
        <v>22.643630750945157</v>
      </c>
      <c r="AI185">
        <f t="shared" si="180"/>
        <v>1.5266194299250453</v>
      </c>
      <c r="AJ185" t="str">
        <f t="shared" si="162"/>
        <v>1+0,00382052653760348i</v>
      </c>
      <c r="AK185">
        <f t="shared" si="181"/>
        <v>1.0000072981848804</v>
      </c>
      <c r="AL185">
        <f t="shared" si="182"/>
        <v>3.8205079490924352E-3</v>
      </c>
      <c r="AM185" t="str">
        <f t="shared" si="163"/>
        <v>1-0,0205911406776834i</v>
      </c>
      <c r="AN185">
        <f t="shared" si="183"/>
        <v>1.0002119750704888</v>
      </c>
      <c r="AO185">
        <f t="shared" si="184"/>
        <v>-2.0588231237059378E-2</v>
      </c>
      <c r="AP185" s="41" t="str">
        <f t="shared" si="185"/>
        <v>0,491049923838893-17,9110452576524i</v>
      </c>
      <c r="AQ185">
        <f t="shared" si="186"/>
        <v>25.065681726757379</v>
      </c>
      <c r="AR185" s="43">
        <f t="shared" si="187"/>
        <v>-88.429570033816546</v>
      </c>
      <c r="AS185" t="str">
        <f t="shared" si="164"/>
        <v>-0,0000166666666666667</v>
      </c>
      <c r="AT185" t="str">
        <f t="shared" si="165"/>
        <v>0,000650958944676285i</v>
      </c>
      <c r="AU185">
        <f t="shared" si="188"/>
        <v>6.5095894467628499E-4</v>
      </c>
      <c r="AV185">
        <f t="shared" si="189"/>
        <v>1.5707963267948966</v>
      </c>
      <c r="AW185" t="str">
        <f t="shared" si="166"/>
        <v>1+0,0232057680648324i</v>
      </c>
      <c r="AX185">
        <f t="shared" si="190"/>
        <v>1.0002692175966823</v>
      </c>
      <c r="AY185">
        <f t="shared" si="191"/>
        <v>2.3201603915496947E-2</v>
      </c>
      <c r="AZ185" t="str">
        <f t="shared" si="167"/>
        <v>1+3,42671841757358i</v>
      </c>
      <c r="BA185">
        <f t="shared" si="192"/>
        <v>3.5696497185771578</v>
      </c>
      <c r="BB185">
        <f t="shared" si="193"/>
        <v>1.2868568691288407</v>
      </c>
      <c r="BC185" s="41" t="str">
        <f t="shared" si="194"/>
        <v>-0,0870940952091279+0,0276243385476081i</v>
      </c>
      <c r="BD185">
        <f t="shared" si="195"/>
        <v>-20.783923027723109</v>
      </c>
      <c r="BE185" s="43">
        <f t="shared" si="196"/>
        <v>162.40211345620929</v>
      </c>
      <c r="BF185" s="41" t="str">
        <f t="shared" si="197"/>
        <v>0,0967035588640512+0,221040866174469i</v>
      </c>
      <c r="BG185" s="20">
        <f t="shared" si="198"/>
        <v>-12.349976048044891</v>
      </c>
      <c r="BH185" s="43">
        <f t="shared" si="199"/>
        <v>66.371018258881207</v>
      </c>
      <c r="BI185" s="41" t="str">
        <f t="shared" si="203"/>
        <v>0,452013229119661+1,57351121030488i</v>
      </c>
      <c r="BJ185" s="20">
        <f t="shared" si="200"/>
        <v>4.2817586990342722</v>
      </c>
      <c r="BK185" s="43">
        <f t="shared" si="204"/>
        <v>73.972543422392732</v>
      </c>
      <c r="BL185">
        <f t="shared" si="201"/>
        <v>-12.349976048044891</v>
      </c>
      <c r="BM185" s="43">
        <f t="shared" si="202"/>
        <v>66.371018258881207</v>
      </c>
    </row>
    <row r="186" spans="14:65" x14ac:dyDescent="0.35">
      <c r="N186" s="9">
        <v>68</v>
      </c>
      <c r="O186" s="34">
        <f t="shared" si="205"/>
        <v>478.63009232263886</v>
      </c>
      <c r="P186" s="33" t="str">
        <f t="shared" si="155"/>
        <v>59,1053597814893</v>
      </c>
      <c r="Q186" s="4" t="str">
        <f t="shared" si="156"/>
        <v>1+23,1073469898044i</v>
      </c>
      <c r="R186" s="4">
        <f t="shared" si="168"/>
        <v>23.128975007708892</v>
      </c>
      <c r="S186" s="4">
        <f t="shared" si="169"/>
        <v>1.5275470337355725</v>
      </c>
      <c r="T186" s="4" t="str">
        <f t="shared" si="157"/>
        <v>1+0,00390951803275229i</v>
      </c>
      <c r="U186" s="4">
        <f t="shared" si="170"/>
        <v>1.000007642136423</v>
      </c>
      <c r="V186" s="4">
        <f t="shared" si="171"/>
        <v>3.9094981148120713E-3</v>
      </c>
      <c r="W186" t="str">
        <f t="shared" si="158"/>
        <v>1-0,14435143505547i</v>
      </c>
      <c r="X186" s="4">
        <f t="shared" si="172"/>
        <v>1.0103649522833686</v>
      </c>
      <c r="Y186" s="4">
        <f t="shared" si="173"/>
        <v>-0.14336115362132063</v>
      </c>
      <c r="Z186" t="str">
        <f t="shared" si="159"/>
        <v>0,99999526680237+0,0135056077495079i</v>
      </c>
      <c r="AA186" s="4">
        <f t="shared" si="174"/>
        <v>1.0000864637959195</v>
      </c>
      <c r="AB186" s="4">
        <f t="shared" si="175"/>
        <v>1.3504850605281556E-2</v>
      </c>
      <c r="AC186" s="47" t="str">
        <f t="shared" si="176"/>
        <v>-0,28266900029687-2,5662310099073i</v>
      </c>
      <c r="AD186" s="20">
        <f t="shared" si="177"/>
        <v>8.238290423276597</v>
      </c>
      <c r="AE186" s="43">
        <f t="shared" si="178"/>
        <v>-96.285760290048842</v>
      </c>
      <c r="AF186" t="str">
        <f t="shared" si="160"/>
        <v>405,634542683733</v>
      </c>
      <c r="AG186" t="str">
        <f t="shared" si="161"/>
        <v>1+23,1484620360333i</v>
      </c>
      <c r="AH186">
        <f t="shared" si="179"/>
        <v>23.170051675248267</v>
      </c>
      <c r="AI186">
        <f t="shared" si="180"/>
        <v>1.5276237552901373</v>
      </c>
      <c r="AJ186" t="str">
        <f t="shared" si="162"/>
        <v>1+0,00390951803275229i</v>
      </c>
      <c r="AK186">
        <f t="shared" si="181"/>
        <v>1.000007642136423</v>
      </c>
      <c r="AL186">
        <f t="shared" si="182"/>
        <v>3.9094981148120713E-3</v>
      </c>
      <c r="AM186" t="str">
        <f t="shared" si="163"/>
        <v>1-0,0210707699585406i</v>
      </c>
      <c r="AN186">
        <f t="shared" si="183"/>
        <v>1.0002219640393055</v>
      </c>
      <c r="AO186">
        <f t="shared" si="184"/>
        <v>-2.106765247410796E-2</v>
      </c>
      <c r="AP186" s="41" t="str">
        <f t="shared" si="185"/>
        <v>0,455483604530543-17,5049415043083i</v>
      </c>
      <c r="AQ186">
        <f t="shared" si="186"/>
        <v>24.866152695749435</v>
      </c>
      <c r="AR186" s="43">
        <f t="shared" si="187"/>
        <v>-88.509483691072177</v>
      </c>
      <c r="AS186" t="str">
        <f t="shared" si="164"/>
        <v>-0,0000166666666666667</v>
      </c>
      <c r="AT186" t="str">
        <f t="shared" si="165"/>
        <v>0,000666121726349718i</v>
      </c>
      <c r="AU186">
        <f t="shared" si="188"/>
        <v>6.6612172634971799E-4</v>
      </c>
      <c r="AV186">
        <f t="shared" si="189"/>
        <v>1.5707963267948966</v>
      </c>
      <c r="AW186" t="str">
        <f t="shared" si="166"/>
        <v>1+0,0237462998412355i</v>
      </c>
      <c r="AX186">
        <f t="shared" si="190"/>
        <v>1.0002819036432429</v>
      </c>
      <c r="AY186">
        <f t="shared" si="191"/>
        <v>2.3741837942745508E-2</v>
      </c>
      <c r="AZ186" t="str">
        <f t="shared" si="167"/>
        <v>1+3,50653694322244i</v>
      </c>
      <c r="BA186">
        <f t="shared" si="192"/>
        <v>3.6463408143210874</v>
      </c>
      <c r="BB186">
        <f t="shared" si="193"/>
        <v>1.2929891715295938</v>
      </c>
      <c r="BC186" s="41" t="str">
        <f t="shared" si="194"/>
        <v>-0,0870918860864062+0,0270885620202946i</v>
      </c>
      <c r="BD186">
        <f t="shared" si="195"/>
        <v>-20.799400052264048</v>
      </c>
      <c r="BE186" s="43">
        <f t="shared" si="196"/>
        <v>162.72251537275963</v>
      </c>
      <c r="BF186" s="41" t="str">
        <f t="shared" si="197"/>
        <v>0,0941336842442905+0,215840802040493i</v>
      </c>
      <c r="BG186" s="20">
        <f t="shared" si="198"/>
        <v>-12.561109628987456</v>
      </c>
      <c r="BH186" s="43">
        <f t="shared" si="199"/>
        <v>66.436755082710761</v>
      </c>
      <c r="BI186" s="41" t="str">
        <f t="shared" si="203"/>
        <v>0,434514767401085+1,53687676731298i</v>
      </c>
      <c r="BJ186" s="20">
        <f t="shared" si="200"/>
        <v>4.0667526434854118</v>
      </c>
      <c r="BK186" s="43">
        <f t="shared" si="204"/>
        <v>74.213031681687511</v>
      </c>
      <c r="BL186">
        <f t="shared" si="201"/>
        <v>-12.561109628987456</v>
      </c>
      <c r="BM186" s="43">
        <f t="shared" si="202"/>
        <v>66.436755082710761</v>
      </c>
    </row>
    <row r="187" spans="14:65" x14ac:dyDescent="0.35">
      <c r="N187" s="9">
        <v>69</v>
      </c>
      <c r="O187" s="34">
        <f t="shared" si="205"/>
        <v>489.77881936844625</v>
      </c>
      <c r="P187" s="33" t="str">
        <f t="shared" si="155"/>
        <v>59,1053597814893</v>
      </c>
      <c r="Q187" s="4" t="str">
        <f t="shared" si="156"/>
        <v>1+23,6455862448666i</v>
      </c>
      <c r="R187" s="4">
        <f t="shared" si="168"/>
        <v>23.666722393762612</v>
      </c>
      <c r="S187" s="4">
        <f t="shared" si="169"/>
        <v>1.5285303221796713</v>
      </c>
      <c r="T187" s="4" t="str">
        <f t="shared" si="157"/>
        <v>1+0,00400058240611067i</v>
      </c>
      <c r="U187" s="4">
        <f t="shared" si="170"/>
        <v>1.0000080022977758</v>
      </c>
      <c r="V187" s="4">
        <f t="shared" si="171"/>
        <v>4.0005610636624292E-3</v>
      </c>
      <c r="W187" t="str">
        <f t="shared" si="158"/>
        <v>1-0,147713811917933i</v>
      </c>
      <c r="X187" s="4">
        <f t="shared" si="172"/>
        <v>1.0108508150223388</v>
      </c>
      <c r="Y187" s="4">
        <f t="shared" si="173"/>
        <v>-0.14665332044822554</v>
      </c>
      <c r="Z187" t="str">
        <f t="shared" si="159"/>
        <v>0,999995043733638+0,0138201937665641i</v>
      </c>
      <c r="AA187" s="4">
        <f t="shared" si="174"/>
        <v>1.0000905385251806</v>
      </c>
      <c r="AB187" s="4">
        <f t="shared" si="175"/>
        <v>1.3819382475872397E-2</v>
      </c>
      <c r="AC187" s="47" t="str">
        <f t="shared" si="176"/>
        <v>-0,287663603281404-2,50784985701515i</v>
      </c>
      <c r="AD187" s="20">
        <f t="shared" si="177"/>
        <v>8.0427994197832078</v>
      </c>
      <c r="AE187" s="43">
        <f t="shared" si="178"/>
        <v>-96.543529658642385</v>
      </c>
      <c r="AF187" t="str">
        <f t="shared" si="160"/>
        <v>405,634542683733</v>
      </c>
      <c r="AG187" t="str">
        <f t="shared" si="161"/>
        <v>1+23,68765898355i</v>
      </c>
      <c r="AH187">
        <f t="shared" si="179"/>
        <v>23.708757624999187</v>
      </c>
      <c r="AI187">
        <f t="shared" si="180"/>
        <v>1.5286053036357505</v>
      </c>
      <c r="AJ187" t="str">
        <f t="shared" si="162"/>
        <v>1+0,00400058240611067i</v>
      </c>
      <c r="AK187">
        <f t="shared" si="181"/>
        <v>1.0000080022977758</v>
      </c>
      <c r="AL187">
        <f t="shared" si="182"/>
        <v>4.0005610636624292E-3</v>
      </c>
      <c r="AM187" t="str">
        <f t="shared" si="163"/>
        <v>1-0,0215615712405344i</v>
      </c>
      <c r="AN187">
        <f t="shared" si="183"/>
        <v>1.0002324236667999</v>
      </c>
      <c r="AO187">
        <f t="shared" si="184"/>
        <v>-2.1558230837702294E-2</v>
      </c>
      <c r="AP187" s="41" t="str">
        <f t="shared" si="185"/>
        <v>0,421512203521298-17,1079810093428i</v>
      </c>
      <c r="AQ187">
        <f t="shared" si="186"/>
        <v>24.666610764551585</v>
      </c>
      <c r="AR187" s="43">
        <f t="shared" si="187"/>
        <v>-88.588612815779115</v>
      </c>
      <c r="AS187" t="str">
        <f t="shared" si="164"/>
        <v>-0,0000166666666666667</v>
      </c>
      <c r="AT187" t="str">
        <f t="shared" si="165"/>
        <v>0,000681637694579624i</v>
      </c>
      <c r="AU187">
        <f t="shared" si="188"/>
        <v>6.8163769457962398E-4</v>
      </c>
      <c r="AV187">
        <f t="shared" si="189"/>
        <v>1.5707963267948966</v>
      </c>
      <c r="AW187" t="str">
        <f t="shared" si="166"/>
        <v>1+0,0242994222201339i</v>
      </c>
      <c r="AX187">
        <f t="shared" si="190"/>
        <v>1.0002951873923178</v>
      </c>
      <c r="AY187">
        <f t="shared" si="191"/>
        <v>2.4294641285960501E-2</v>
      </c>
      <c r="AZ187" t="str">
        <f t="shared" si="167"/>
        <v>1+3,58821468117311i</v>
      </c>
      <c r="BA187">
        <f t="shared" si="192"/>
        <v>3.7249543082011418</v>
      </c>
      <c r="BB187">
        <f t="shared" si="193"/>
        <v>1.2990026825409637</v>
      </c>
      <c r="BC187" s="41" t="str">
        <f t="shared" si="194"/>
        <v>-0,08708957297105+0,0265671432641466i</v>
      </c>
      <c r="BD187">
        <f t="shared" si="195"/>
        <v>-20.814241575080551</v>
      </c>
      <c r="BE187" s="43">
        <f t="shared" si="196"/>
        <v>163.03539087529964</v>
      </c>
      <c r="BF187" s="41" t="str">
        <f t="shared" si="197"/>
        <v>0,0916789068053821+0,210765172962701i</v>
      </c>
      <c r="BG187" s="20">
        <f t="shared" si="198"/>
        <v>-12.771442155297326</v>
      </c>
      <c r="BH187" s="43">
        <f t="shared" si="199"/>
        <v>66.491861216657284</v>
      </c>
      <c r="BI187" s="41" t="str">
        <f t="shared" si="203"/>
        <v>0,417800864628753+1,50112513559903i</v>
      </c>
      <c r="BJ187" s="20">
        <f t="shared" si="200"/>
        <v>3.8523691894710073</v>
      </c>
      <c r="BK187" s="43">
        <f t="shared" si="204"/>
        <v>74.446778059520497</v>
      </c>
      <c r="BL187">
        <f t="shared" si="201"/>
        <v>-12.771442155297326</v>
      </c>
      <c r="BM187" s="43">
        <f t="shared" si="202"/>
        <v>66.491861216657284</v>
      </c>
    </row>
    <row r="188" spans="14:65" x14ac:dyDescent="0.35">
      <c r="N188" s="9">
        <v>70</v>
      </c>
      <c r="O188" s="34">
        <f t="shared" si="205"/>
        <v>501.18723362727269</v>
      </c>
      <c r="P188" s="33" t="str">
        <f t="shared" si="155"/>
        <v>59,1053597814893</v>
      </c>
      <c r="Q188" s="4" t="str">
        <f t="shared" si="156"/>
        <v>1+24,1963627027422i</v>
      </c>
      <c r="R188" s="4">
        <f t="shared" si="168"/>
        <v>24.217018149282001</v>
      </c>
      <c r="S188" s="4">
        <f t="shared" si="169"/>
        <v>1.5294913072745011</v>
      </c>
      <c r="T188" s="4" t="str">
        <f t="shared" si="157"/>
        <v>1+0,00409376794121472i</v>
      </c>
      <c r="U188" s="4">
        <f t="shared" si="170"/>
        <v>1.0000083794328709</v>
      </c>
      <c r="V188" s="4">
        <f t="shared" si="171"/>
        <v>4.0937450723797578E-3</v>
      </c>
      <c r="W188" t="str">
        <f t="shared" si="158"/>
        <v>1-0,151154508598698i</v>
      </c>
      <c r="X188" s="4">
        <f t="shared" si="172"/>
        <v>1.0113593255958606</v>
      </c>
      <c r="Y188" s="4">
        <f t="shared" si="173"/>
        <v>-0.15001885969501302</v>
      </c>
      <c r="Z188" t="str">
        <f t="shared" si="159"/>
        <v>0,999994810152001+0,0141421074332872i</v>
      </c>
      <c r="AA188" s="4">
        <f t="shared" si="174"/>
        <v>1.0000948052727758</v>
      </c>
      <c r="AB188" s="4">
        <f t="shared" si="175"/>
        <v>1.4141238124096135E-2</v>
      </c>
      <c r="AC188" s="47" t="str">
        <f t="shared" si="176"/>
        <v>-0,292433978716666-2,45077940706767i</v>
      </c>
      <c r="AD188" s="20">
        <f t="shared" si="177"/>
        <v>7.8474829816320835</v>
      </c>
      <c r="AE188" s="43">
        <f t="shared" si="178"/>
        <v>-96.804523163215705</v>
      </c>
      <c r="AF188" t="str">
        <f t="shared" si="160"/>
        <v>405,634542683733</v>
      </c>
      <c r="AG188" t="str">
        <f t="shared" si="161"/>
        <v>1+24,2394154414029i</v>
      </c>
      <c r="AH188">
        <f t="shared" si="179"/>
        <v>24.260034232064086</v>
      </c>
      <c r="AI188">
        <f t="shared" si="180"/>
        <v>1.5295645878222188</v>
      </c>
      <c r="AJ188" t="str">
        <f t="shared" si="162"/>
        <v>1+0,00409376794121472i</v>
      </c>
      <c r="AK188">
        <f t="shared" si="181"/>
        <v>1.0000083794328709</v>
      </c>
      <c r="AL188">
        <f t="shared" si="182"/>
        <v>4.0937450723797578E-3</v>
      </c>
      <c r="AM188" t="str">
        <f t="shared" si="163"/>
        <v>1-0,0220638047530011i</v>
      </c>
      <c r="AN188">
        <f t="shared" si="183"/>
        <v>1.0002433761241205</v>
      </c>
      <c r="AO188">
        <f t="shared" si="184"/>
        <v>-2.2060225493914204E-2</v>
      </c>
      <c r="AP188" s="41" t="str">
        <f t="shared" si="185"/>
        <v>0,389064449280125-16,7199624837404i</v>
      </c>
      <c r="AQ188">
        <f t="shared" si="186"/>
        <v>24.467056900309569</v>
      </c>
      <c r="AR188" s="43">
        <f t="shared" si="187"/>
        <v>-88.666998875738841</v>
      </c>
      <c r="AS188" t="str">
        <f t="shared" si="164"/>
        <v>-0,0000166666666666667</v>
      </c>
      <c r="AT188" t="str">
        <f t="shared" si="165"/>
        <v>0,000697515076137739i</v>
      </c>
      <c r="AU188">
        <f t="shared" si="188"/>
        <v>6.9751507613773902E-4</v>
      </c>
      <c r="AV188">
        <f t="shared" si="189"/>
        <v>1.5707963267948966</v>
      </c>
      <c r="AW188" t="str">
        <f t="shared" si="166"/>
        <v>1+0,0248654284743343i</v>
      </c>
      <c r="AX188">
        <f t="shared" si="190"/>
        <v>1.0003090969961297</v>
      </c>
      <c r="AY188">
        <f t="shared" si="191"/>
        <v>2.4860305696561141E-2</v>
      </c>
      <c r="AZ188" t="str">
        <f t="shared" si="167"/>
        <v>1+3,67179493804336i</v>
      </c>
      <c r="BA188">
        <f t="shared" si="192"/>
        <v>3.8055325602392163</v>
      </c>
      <c r="BB188">
        <f t="shared" si="193"/>
        <v>1.3048988502215928</v>
      </c>
      <c r="BC188" s="41" t="str">
        <f t="shared" si="194"/>
        <v>-0,0870871509736142+0,0260598054629416i</v>
      </c>
      <c r="BD188">
        <f t="shared" si="195"/>
        <v>-20.828472510997006</v>
      </c>
      <c r="BE188" s="43">
        <f t="shared" si="196"/>
        <v>163.34080621535301</v>
      </c>
      <c r="BF188" s="41" t="str">
        <f t="shared" si="197"/>
        <v>0,0893340766350798+0,205810623630217i</v>
      </c>
      <c r="BG188" s="20">
        <f t="shared" si="198"/>
        <v>-12.980989529364908</v>
      </c>
      <c r="BH188" s="43">
        <f t="shared" si="199"/>
        <v>66.536283052137364</v>
      </c>
      <c r="BI188" s="41" t="str">
        <f t="shared" si="203"/>
        <v>0,401836455241032+1,46623284095545i</v>
      </c>
      <c r="BJ188" s="20">
        <f t="shared" si="200"/>
        <v>3.6385843893125496</v>
      </c>
      <c r="BK188" s="43">
        <f t="shared" si="204"/>
        <v>74.673807339614171</v>
      </c>
      <c r="BL188">
        <f t="shared" si="201"/>
        <v>-12.980989529364908</v>
      </c>
      <c r="BM188" s="43">
        <f t="shared" si="202"/>
        <v>66.536283052137364</v>
      </c>
    </row>
    <row r="189" spans="14:65" x14ac:dyDescent="0.35">
      <c r="N189" s="9">
        <v>71</v>
      </c>
      <c r="O189" s="34">
        <f t="shared" si="205"/>
        <v>512.86138399136519</v>
      </c>
      <c r="P189" s="33" t="str">
        <f t="shared" si="155"/>
        <v>59,1053597814893</v>
      </c>
      <c r="Q189" s="4" t="str">
        <f t="shared" si="156"/>
        <v>1+24,7599683923995i</v>
      </c>
      <c r="R189" s="4">
        <f t="shared" si="168"/>
        <v>24.780154051026852</v>
      </c>
      <c r="S189" s="4">
        <f t="shared" si="169"/>
        <v>1.5304304914433342</v>
      </c>
      <c r="T189" s="4" t="str">
        <f t="shared" si="157"/>
        <v>1+0,00418912404626863i</v>
      </c>
      <c r="U189" s="4">
        <f t="shared" si="170"/>
        <v>1.000008774341643</v>
      </c>
      <c r="V189" s="4">
        <f t="shared" si="171"/>
        <v>4.189099541882093E-3</v>
      </c>
      <c r="W189" t="str">
        <f t="shared" si="158"/>
        <v>1-0,154675349400688i</v>
      </c>
      <c r="X189" s="4">
        <f t="shared" si="172"/>
        <v>1.0118915276412908</v>
      </c>
      <c r="Y189" s="4">
        <f t="shared" si="173"/>
        <v>-0.15345925068943697</v>
      </c>
      <c r="Z189" t="str">
        <f t="shared" si="159"/>
        <v>0,999994565562+0,0144715194325644i</v>
      </c>
      <c r="AA189" s="4">
        <f t="shared" si="174"/>
        <v>1.000099273086537</v>
      </c>
      <c r="AB189" s="4">
        <f t="shared" si="175"/>
        <v>1.44705879559738E-2</v>
      </c>
      <c r="AC189" s="47" t="str">
        <f t="shared" si="176"/>
        <v>-0,296990139313549-2,39499066434597i</v>
      </c>
      <c r="AD189" s="20">
        <f t="shared" si="177"/>
        <v>7.6523504406558107</v>
      </c>
      <c r="AE189" s="43">
        <f t="shared" si="178"/>
        <v>-97.068861282820421</v>
      </c>
      <c r="AF189" t="str">
        <f t="shared" si="160"/>
        <v>405,634542683733</v>
      </c>
      <c r="AG189" t="str">
        <f t="shared" si="161"/>
        <v>1+24,8040239581695i</v>
      </c>
      <c r="AH189">
        <f t="shared" si="179"/>
        <v>24.824173793249326</v>
      </c>
      <c r="AI189">
        <f t="shared" si="180"/>
        <v>1.530502109408624</v>
      </c>
      <c r="AJ189" t="str">
        <f t="shared" si="162"/>
        <v>1+0,00418912404626863i</v>
      </c>
      <c r="AK189">
        <f t="shared" si="181"/>
        <v>1.000008774341643</v>
      </c>
      <c r="AL189">
        <f t="shared" si="182"/>
        <v>4.189099541882093E-3</v>
      </c>
      <c r="AM189" t="str">
        <f t="shared" si="163"/>
        <v>1-0,0225777367867968i</v>
      </c>
      <c r="AN189">
        <f t="shared" si="183"/>
        <v>1.0002548446263151</v>
      </c>
      <c r="AO189">
        <f t="shared" si="184"/>
        <v>-2.2573901594359163E-2</v>
      </c>
      <c r="AP189" s="41" t="str">
        <f t="shared" si="185"/>
        <v>0,358072233178829-16,3406887701153i</v>
      </c>
      <c r="AQ189">
        <f t="shared" si="186"/>
        <v>24.267492045202104</v>
      </c>
      <c r="AR189" s="43">
        <f t="shared" si="187"/>
        <v>-88.744682969774288</v>
      </c>
      <c r="AS189" t="str">
        <f t="shared" si="164"/>
        <v>-0,0000166666666666667</v>
      </c>
      <c r="AT189" t="str">
        <f t="shared" si="165"/>
        <v>0,000713762289421925i</v>
      </c>
      <c r="AU189">
        <f t="shared" si="188"/>
        <v>7.1376228942192496E-4</v>
      </c>
      <c r="AV189">
        <f t="shared" si="189"/>
        <v>1.5707963267948966</v>
      </c>
      <c r="AW189" t="str">
        <f t="shared" si="166"/>
        <v>1+0,0254446187078446i</v>
      </c>
      <c r="AX189">
        <f t="shared" si="190"/>
        <v>1.0003236619320706</v>
      </c>
      <c r="AY189">
        <f t="shared" si="191"/>
        <v>2.5439129648482477E-2</v>
      </c>
      <c r="AZ189" t="str">
        <f t="shared" si="167"/>
        <v>1+3,75732202919171i</v>
      </c>
      <c r="BA189">
        <f t="shared" si="192"/>
        <v>3.8881189322150767</v>
      </c>
      <c r="BB189">
        <f t="shared" si="193"/>
        <v>1.3106791603083923</v>
      </c>
      <c r="BC189" s="41" t="str">
        <f t="shared" si="194"/>
        <v>-0,0870846149753382+0,0255662792411647i</v>
      </c>
      <c r="BD189">
        <f t="shared" si="195"/>
        <v>-20.842117004406788</v>
      </c>
      <c r="BE189" s="43">
        <f t="shared" si="196"/>
        <v>163.63882941807734</v>
      </c>
      <c r="BF189" s="41" t="str">
        <f t="shared" si="197"/>
        <v>0,0870942720382441+0,200973907040536i</v>
      </c>
      <c r="BG189" s="20">
        <f t="shared" si="198"/>
        <v>-13.189766563750965</v>
      </c>
      <c r="BH189" s="43">
        <f t="shared" si="199"/>
        <v>66.569968135256929</v>
      </c>
      <c r="BI189" s="41" t="str">
        <f t="shared" si="203"/>
        <v>0,386588029529994+1,43217716467928i</v>
      </c>
      <c r="BJ189" s="20">
        <f t="shared" si="200"/>
        <v>3.4253750407953154</v>
      </c>
      <c r="BK189" s="43">
        <f t="shared" si="204"/>
        <v>74.894146448303019</v>
      </c>
      <c r="BL189">
        <f t="shared" si="201"/>
        <v>-13.189766563750965</v>
      </c>
      <c r="BM189" s="43">
        <f t="shared" si="202"/>
        <v>66.569968135256929</v>
      </c>
    </row>
    <row r="190" spans="14:65" x14ac:dyDescent="0.35">
      <c r="N190" s="9">
        <v>72</v>
      </c>
      <c r="O190" s="34">
        <f t="shared" si="205"/>
        <v>524.80746024977248</v>
      </c>
      <c r="P190" s="33" t="str">
        <f t="shared" si="155"/>
        <v>59,1053597814893</v>
      </c>
      <c r="Q190" s="4" t="str">
        <f t="shared" si="156"/>
        <v>1+25,3367021450354i</v>
      </c>
      <c r="R190" s="4">
        <f t="shared" si="168"/>
        <v>25.356428683595038</v>
      </c>
      <c r="S190" s="4">
        <f t="shared" si="169"/>
        <v>1.5313483660228842</v>
      </c>
      <c r="T190" s="4" t="str">
        <f t="shared" si="157"/>
        <v>1+0,00428670128034149i</v>
      </c>
      <c r="U190" s="4">
        <f t="shared" si="170"/>
        <v>1.000009187861725</v>
      </c>
      <c r="V190" s="4">
        <f t="shared" si="171"/>
        <v>4.2866750234312814E-3</v>
      </c>
      <c r="W190" t="str">
        <f t="shared" si="158"/>
        <v>1-0,158278201120302i</v>
      </c>
      <c r="X190" s="4">
        <f t="shared" si="172"/>
        <v>1.0124485117525133</v>
      </c>
      <c r="Y190" s="4">
        <f t="shared" si="173"/>
        <v>-0.15697599163275383</v>
      </c>
      <c r="Z190" t="str">
        <f t="shared" si="159"/>
        <v>0,999994309444828+0,0148086044229979i</v>
      </c>
      <c r="AA190" s="4">
        <f t="shared" si="174"/>
        <v>1.0001039514405465</v>
      </c>
      <c r="AB190" s="4">
        <f t="shared" si="175"/>
        <v>1.4807606333447312E-2</v>
      </c>
      <c r="AC190" s="47" t="str">
        <f t="shared" si="176"/>
        <v>-0,301341652692862-2,34045522885048i</v>
      </c>
      <c r="AD190" s="20">
        <f t="shared" si="177"/>
        <v>7.4574114631284649</v>
      </c>
      <c r="AE190" s="43">
        <f t="shared" si="178"/>
        <v>-97.336665103414731</v>
      </c>
      <c r="AF190" t="str">
        <f t="shared" si="160"/>
        <v>405,634542683733</v>
      </c>
      <c r="AG190" t="str">
        <f t="shared" si="161"/>
        <v>1+25,3817838967588i</v>
      </c>
      <c r="AH190">
        <f t="shared" si="179"/>
        <v>25.401475425293004</v>
      </c>
      <c r="AI190">
        <f t="shared" si="180"/>
        <v>1.5314183588853099</v>
      </c>
      <c r="AJ190" t="str">
        <f t="shared" si="162"/>
        <v>1+0,00428670128034149i</v>
      </c>
      <c r="AK190">
        <f t="shared" si="181"/>
        <v>1.000009187861725</v>
      </c>
      <c r="AL190">
        <f t="shared" si="182"/>
        <v>4.2866750234312814E-3</v>
      </c>
      <c r="AM190" t="str">
        <f t="shared" si="163"/>
        <v>1-0,0231036398354886i</v>
      </c>
      <c r="AN190">
        <f t="shared" si="183"/>
        <v>1.0002668534814338</v>
      </c>
      <c r="AO190">
        <f t="shared" si="184"/>
        <v>-2.3099530411962017E-2</v>
      </c>
      <c r="AP190" s="41" t="str">
        <f t="shared" si="185"/>
        <v>0,328470471061661-15,9699667784786i</v>
      </c>
      <c r="AQ190">
        <f t="shared" si="186"/>
        <v>24.067917118404971</v>
      </c>
      <c r="AR190" s="43">
        <f t="shared" si="187"/>
        <v>-88.821705847331842</v>
      </c>
      <c r="AS190" t="str">
        <f t="shared" si="164"/>
        <v>-0,0000166666666666667</v>
      </c>
      <c r="AT190" t="str">
        <f t="shared" si="165"/>
        <v>0,000730387948919723i</v>
      </c>
      <c r="AU190">
        <f t="shared" si="188"/>
        <v>7.3038794891972295E-4</v>
      </c>
      <c r="AV190">
        <f t="shared" si="189"/>
        <v>1.5707963267948966</v>
      </c>
      <c r="AW190" t="str">
        <f t="shared" si="166"/>
        <v>1+0,0260373000149932i</v>
      </c>
      <c r="AX190">
        <f t="shared" si="190"/>
        <v>1.0003389130650027</v>
      </c>
      <c r="AY190">
        <f t="shared" si="191"/>
        <v>2.6031418489536558E-2</v>
      </c>
      <c r="AZ190" t="str">
        <f t="shared" si="167"/>
        <v>1+3,84484130221399i</v>
      </c>
      <c r="BA190">
        <f t="shared" si="192"/>
        <v>3.972757812805932</v>
      </c>
      <c r="BB190">
        <f t="shared" si="193"/>
        <v>1.3163451319158994</v>
      </c>
      <c r="BC190" s="41" t="str">
        <f t="shared" si="194"/>
        <v>-0,087081959617444+0,0250863025193847i</v>
      </c>
      <c r="BD190">
        <f t="shared" si="195"/>
        <v>-20.855198440579017</v>
      </c>
      <c r="BE190" s="43">
        <f t="shared" si="196"/>
        <v>163.92953002718335</v>
      </c>
      <c r="BF190" s="41" t="str">
        <f t="shared" si="197"/>
        <v>0,0849547895348725+0,196251879864049i</v>
      </c>
      <c r="BG190" s="20">
        <f t="shared" si="198"/>
        <v>-13.397786977450536</v>
      </c>
      <c r="BH190" s="43">
        <f t="shared" si="199"/>
        <v>66.592864923768659</v>
      </c>
      <c r="BI190" s="41" t="str">
        <f t="shared" si="203"/>
        <v>0,372023565532923+1,39893611170113i</v>
      </c>
      <c r="BJ190" s="20">
        <f t="shared" si="200"/>
        <v>3.2127186778259382</v>
      </c>
      <c r="BK190" s="43">
        <f t="shared" si="204"/>
        <v>75.107824179851477</v>
      </c>
      <c r="BL190">
        <f t="shared" si="201"/>
        <v>-13.397786977450536</v>
      </c>
      <c r="BM190" s="43">
        <f t="shared" si="202"/>
        <v>66.592864923768659</v>
      </c>
    </row>
    <row r="191" spans="14:65" x14ac:dyDescent="0.35">
      <c r="N191" s="9">
        <v>73</v>
      </c>
      <c r="O191" s="34">
        <f t="shared" si="205"/>
        <v>537.03179637025301</v>
      </c>
      <c r="P191" s="33" t="str">
        <f t="shared" si="155"/>
        <v>59,1053597814893</v>
      </c>
      <c r="Q191" s="4" t="str">
        <f t="shared" si="156"/>
        <v>1+25,9268697525194i</v>
      </c>
      <c r="R191" s="4">
        <f t="shared" si="168"/>
        <v>25.94614759774764</v>
      </c>
      <c r="S191" s="4">
        <f t="shared" si="169"/>
        <v>1.532245411492446</v>
      </c>
      <c r="T191" s="4" t="str">
        <f t="shared" si="157"/>
        <v>1+0,00438655138017438i</v>
      </c>
      <c r="U191" s="4">
        <f t="shared" si="170"/>
        <v>1.0000096208702249</v>
      </c>
      <c r="V191" s="4">
        <f t="shared" si="171"/>
        <v>4.3865232454028142E-3</v>
      </c>
      <c r="W191" t="str">
        <f t="shared" si="158"/>
        <v>1-0,161964974037208i</v>
      </c>
      <c r="X191" s="4">
        <f t="shared" si="172"/>
        <v>1.013031417486582</v>
      </c>
      <c r="Y191" s="4">
        <f t="shared" si="173"/>
        <v>-0.16057059902378093</v>
      </c>
      <c r="Z191" t="str">
        <f t="shared" si="159"/>
        <v>0,999994041257225+0,0151535411315115i</v>
      </c>
      <c r="AA191" s="4">
        <f t="shared" si="174"/>
        <v>1.0001088502552014</v>
      </c>
      <c r="AB191" s="4">
        <f t="shared" si="175"/>
        <v>1.5152471665571366E-2</v>
      </c>
      <c r="AC191" s="47" t="str">
        <f t="shared" si="176"/>
        <v>-0,305497660866269-2,28714528679188i</v>
      </c>
      <c r="AD191" s="20">
        <f t="shared" si="177"/>
        <v>7.2626760650973354</v>
      </c>
      <c r="AE191" s="43">
        <f t="shared" si="178"/>
        <v>-97.608056301684556</v>
      </c>
      <c r="AF191" t="str">
        <f t="shared" si="160"/>
        <v>405,634542683733</v>
      </c>
      <c r="AG191" t="str">
        <f t="shared" si="161"/>
        <v>1+25,9730015931378i</v>
      </c>
      <c r="AH191">
        <f t="shared" si="179"/>
        <v>25.992245223472683</v>
      </c>
      <c r="AI191">
        <f t="shared" si="180"/>
        <v>1.5323138159027401</v>
      </c>
      <c r="AJ191" t="str">
        <f t="shared" si="162"/>
        <v>1+0,00438655138017438i</v>
      </c>
      <c r="AK191">
        <f t="shared" si="181"/>
        <v>1.0000096208702249</v>
      </c>
      <c r="AL191">
        <f t="shared" si="182"/>
        <v>4.3865232454028142E-3</v>
      </c>
      <c r="AM191" t="str">
        <f t="shared" si="163"/>
        <v>1-0,0236417927398339i</v>
      </c>
      <c r="AN191">
        <f t="shared" si="183"/>
        <v>1.0002794281419334</v>
      </c>
      <c r="AO191">
        <f t="shared" si="184"/>
        <v>-2.3637389479623749E-2</v>
      </c>
      <c r="AP191" s="41" t="str">
        <f t="shared" si="185"/>
        <v>0,300196970702897-15,6076074215119i</v>
      </c>
      <c r="AQ191">
        <f t="shared" si="186"/>
        <v>23.868333018008169</v>
      </c>
      <c r="AR191" s="43">
        <f t="shared" si="187"/>
        <v>-88.898107928004976</v>
      </c>
      <c r="AS191" t="str">
        <f t="shared" si="164"/>
        <v>-0,0000166666666666667</v>
      </c>
      <c r="AT191" t="str">
        <f t="shared" si="165"/>
        <v>0,000747400869775866i</v>
      </c>
      <c r="AU191">
        <f t="shared" si="188"/>
        <v>7.4740086977586597E-4</v>
      </c>
      <c r="AV191">
        <f t="shared" si="189"/>
        <v>1.5707963267948966</v>
      </c>
      <c r="AW191" t="str">
        <f t="shared" si="166"/>
        <v>1+0,026643786643254i</v>
      </c>
      <c r="AX191">
        <f t="shared" si="190"/>
        <v>1.0003548827124757</v>
      </c>
      <c r="AY191">
        <f t="shared" si="191"/>
        <v>2.6637484595926363E-2</v>
      </c>
      <c r="AZ191" t="str">
        <f t="shared" si="167"/>
        <v>1+3,93439916098717i</v>
      </c>
      <c r="BA191">
        <f t="shared" si="192"/>
        <v>4.059494643176234</v>
      </c>
      <c r="BB191">
        <f t="shared" si="193"/>
        <v>1.3218983134469033</v>
      </c>
      <c r="BC191" s="41" t="str">
        <f t="shared" si="194"/>
        <v>-0,0870791792899419+0,0246196203733734i</v>
      </c>
      <c r="BD191">
        <f t="shared" si="195"/>
        <v>-20.867739458144342</v>
      </c>
      <c r="BE191" s="43">
        <f t="shared" si="196"/>
        <v>164.21297886177783</v>
      </c>
      <c r="BF191" s="41" t="str">
        <f t="shared" si="197"/>
        <v>0,082911134282798+0,191641498055215i</v>
      </c>
      <c r="BG191" s="20">
        <f t="shared" si="198"/>
        <v>-13.605063393046997</v>
      </c>
      <c r="BH191" s="43">
        <f t="shared" si="199"/>
        <v>66.604922560093286</v>
      </c>
      <c r="BI191" s="41" t="str">
        <f t="shared" si="203"/>
        <v>0,358112463820133+1,3664883804008i</v>
      </c>
      <c r="BJ191" s="20">
        <f t="shared" si="200"/>
        <v>3.0005935598637938</v>
      </c>
      <c r="BK191" s="43">
        <f t="shared" si="204"/>
        <v>75.314870933772795</v>
      </c>
      <c r="BL191">
        <f t="shared" si="201"/>
        <v>-13.605063393046997</v>
      </c>
      <c r="BM191" s="43">
        <f t="shared" si="202"/>
        <v>66.604922560093286</v>
      </c>
    </row>
    <row r="192" spans="14:65" x14ac:dyDescent="0.35">
      <c r="N192" s="9">
        <v>74</v>
      </c>
      <c r="O192" s="34">
        <f t="shared" si="205"/>
        <v>549.54087385762534</v>
      </c>
      <c r="P192" s="33" t="str">
        <f t="shared" si="155"/>
        <v>59,1053597814893</v>
      </c>
      <c r="Q192" s="4" t="str">
        <f t="shared" si="156"/>
        <v>1+26,530784129529i</v>
      </c>
      <c r="R192" s="4">
        <f t="shared" si="168"/>
        <v>26.549623472427395</v>
      </c>
      <c r="S192" s="4">
        <f t="shared" si="169"/>
        <v>1.5331220976993547</v>
      </c>
      <c r="T192" s="4" t="str">
        <f t="shared" si="157"/>
        <v>1+0,00448872728761192i</v>
      </c>
      <c r="U192" s="4">
        <f t="shared" si="170"/>
        <v>1.0000100742855857</v>
      </c>
      <c r="V192" s="4">
        <f t="shared" si="171"/>
        <v>4.4886971406774417E-3</v>
      </c>
      <c r="W192" t="str">
        <f t="shared" si="158"/>
        <v>1-0,16573762292721i</v>
      </c>
      <c r="X192" s="4">
        <f t="shared" si="172"/>
        <v>1.0136414354462637</v>
      </c>
      <c r="Y192" s="4">
        <f t="shared" si="173"/>
        <v>-0.16424460700830323</v>
      </c>
      <c r="Z192" t="str">
        <f t="shared" si="159"/>
        <v>0,99999376043033+0,0155065124481139i</v>
      </c>
      <c r="AA192" s="4">
        <f t="shared" si="174"/>
        <v>1.0001139799182368</v>
      </c>
      <c r="AB192" s="4">
        <f t="shared" si="175"/>
        <v>1.5505366501760806E-2</v>
      </c>
      <c r="AC192" s="47" t="str">
        <f t="shared" si="176"/>
        <v>-0,30946689888555-2,23503360102819i</v>
      </c>
      <c r="AD192" s="20">
        <f t="shared" si="177"/>
        <v>7.0681546280001939</v>
      </c>
      <c r="AE192" s="43">
        <f t="shared" si="178"/>
        <v>-97.883157124458236</v>
      </c>
      <c r="AF192" t="str">
        <f t="shared" si="160"/>
        <v>405,634542683733</v>
      </c>
      <c r="AG192" t="str">
        <f t="shared" si="161"/>
        <v>1+26,5779905187548i</v>
      </c>
      <c r="AH192">
        <f t="shared" si="179"/>
        <v>26.596796423912036</v>
      </c>
      <c r="AI192">
        <f t="shared" si="180"/>
        <v>1.5331889494966719</v>
      </c>
      <c r="AJ192" t="str">
        <f t="shared" si="162"/>
        <v>1+0,00448872728761192i</v>
      </c>
      <c r="AK192">
        <f t="shared" si="181"/>
        <v>1.0000100742855857</v>
      </c>
      <c r="AL192">
        <f t="shared" si="182"/>
        <v>4.4886971406774417E-3</v>
      </c>
      <c r="AM192" t="str">
        <f t="shared" si="163"/>
        <v>1-0,0241924808356261i</v>
      </c>
      <c r="AN192">
        <f t="shared" si="183"/>
        <v>1.0002925952584985</v>
      </c>
      <c r="AO192">
        <f t="shared" si="184"/>
        <v>-2.4187762731840104E-2</v>
      </c>
      <c r="AP192" s="41" t="str">
        <f t="shared" si="185"/>
        <v>0,273192304917161-15,2534255494868i</v>
      </c>
      <c r="AQ192">
        <f t="shared" si="186"/>
        <v>23.668740622890702</v>
      </c>
      <c r="AR192" s="43">
        <f t="shared" si="187"/>
        <v>-88.973929320980631</v>
      </c>
      <c r="AS192" t="str">
        <f t="shared" si="164"/>
        <v>-0,0000166666666666667</v>
      </c>
      <c r="AT192" t="str">
        <f t="shared" si="165"/>
        <v>0,000764810072466185i</v>
      </c>
      <c r="AU192">
        <f t="shared" si="188"/>
        <v>7.6481007246618495E-4</v>
      </c>
      <c r="AV192">
        <f t="shared" si="189"/>
        <v>1.5707963267948966</v>
      </c>
      <c r="AW192" t="str">
        <f t="shared" si="166"/>
        <v>1+0,0272644001598655i</v>
      </c>
      <c r="AX192">
        <f t="shared" si="190"/>
        <v>1.0003716047130071</v>
      </c>
      <c r="AY192">
        <f t="shared" si="191"/>
        <v>2.7257647529961414E-2</v>
      </c>
      <c r="AZ192" t="str">
        <f t="shared" si="167"/>
        <v>1+4,02604309027346i</v>
      </c>
      <c r="BA192">
        <f t="shared" si="192"/>
        <v>4.148375943033451</v>
      </c>
      <c r="BB192">
        <f t="shared" si="193"/>
        <v>1.3273402787117732</v>
      </c>
      <c r="BC192" s="41" t="str">
        <f t="shared" si="194"/>
        <v>-0,0870762681199222+0,02416598489688i</v>
      </c>
      <c r="BD192">
        <f t="shared" si="195"/>
        <v>-20.879761962620481</v>
      </c>
      <c r="BE192" s="43">
        <f t="shared" si="196"/>
        <v>164.48924778498107</v>
      </c>
      <c r="BF192" s="41" t="str">
        <f t="shared" si="197"/>
        <v>0,0809590109080656+0,187139812695613i</v>
      </c>
      <c r="BG192" s="20">
        <f t="shared" si="198"/>
        <v>-13.811607334620303</v>
      </c>
      <c r="BH192" s="43">
        <f t="shared" si="199"/>
        <v>66.606090660522781</v>
      </c>
      <c r="BI192" s="41" t="str">
        <f t="shared" si="203"/>
        <v>0,344825485063315+1,33481333400896i</v>
      </c>
      <c r="BJ192" s="20">
        <f t="shared" si="200"/>
        <v>2.788978660270244</v>
      </c>
      <c r="BK192" s="43">
        <f t="shared" si="204"/>
        <v>75.515318464000501</v>
      </c>
      <c r="BL192">
        <f t="shared" si="201"/>
        <v>-13.811607334620303</v>
      </c>
      <c r="BM192" s="43">
        <f t="shared" si="202"/>
        <v>66.606090660522781</v>
      </c>
    </row>
    <row r="193" spans="14:65" x14ac:dyDescent="0.35">
      <c r="N193" s="9">
        <v>75</v>
      </c>
      <c r="O193" s="34">
        <f t="shared" si="205"/>
        <v>562.34132519034927</v>
      </c>
      <c r="P193" s="33" t="str">
        <f t="shared" si="155"/>
        <v>59,1053597814893</v>
      </c>
      <c r="Q193" s="4" t="str">
        <f t="shared" si="156"/>
        <v>1+27,1487654794605i</v>
      </c>
      <c r="R193" s="4">
        <f t="shared" si="168"/>
        <v>27.167176280554926</v>
      </c>
      <c r="S193" s="4">
        <f t="shared" si="169"/>
        <v>1.5339788840807465</v>
      </c>
      <c r="T193" s="4" t="str">
        <f t="shared" si="157"/>
        <v>1+0,00459328317767267i</v>
      </c>
      <c r="U193" s="4">
        <f t="shared" si="170"/>
        <v>1.0000105490695337</v>
      </c>
      <c r="V193" s="4">
        <f t="shared" si="171"/>
        <v>4.5932508746687872E-3</v>
      </c>
      <c r="W193" t="str">
        <f t="shared" si="158"/>
        <v>1-0,169598148098683i</v>
      </c>
      <c r="X193" s="4">
        <f t="shared" si="172"/>
        <v>1.014279809440424</v>
      </c>
      <c r="Y193" s="4">
        <f t="shared" si="173"/>
        <v>-0.167999566648937</v>
      </c>
      <c r="Z193" t="str">
        <f t="shared" si="159"/>
        <v>0,999993466368471+0,0158677055228692i</v>
      </c>
      <c r="AA193" s="4">
        <f t="shared" si="174"/>
        <v>1.0001193513067284</v>
      </c>
      <c r="AB193" s="4">
        <f t="shared" si="175"/>
        <v>1.5866477627137016E-2</v>
      </c>
      <c r="AC193" s="47" t="str">
        <f t="shared" si="176"/>
        <v>-0,313257712693483-2,18409350146656i</v>
      </c>
      <c r="AD193" s="20">
        <f t="shared" si="177"/>
        <v>6.8738579145613112</v>
      </c>
      <c r="AE193" s="43">
        <f t="shared" si="178"/>
        <v>-98.162090363435809</v>
      </c>
      <c r="AF193" t="str">
        <f t="shared" si="160"/>
        <v>405,634542683733</v>
      </c>
      <c r="AG193" t="str">
        <f t="shared" si="161"/>
        <v>1+27,1970714467461i</v>
      </c>
      <c r="AH193">
        <f t="shared" si="179"/>
        <v>27.215449569672955</v>
      </c>
      <c r="AI193">
        <f t="shared" si="180"/>
        <v>1.5340442183096303</v>
      </c>
      <c r="AJ193" t="str">
        <f t="shared" si="162"/>
        <v>1+0,00459328317767267i</v>
      </c>
      <c r="AK193">
        <f t="shared" si="181"/>
        <v>1.0000105490695337</v>
      </c>
      <c r="AL193">
        <f t="shared" si="182"/>
        <v>4.5932508746687872E-3</v>
      </c>
      <c r="AM193" t="str">
        <f t="shared" si="163"/>
        <v>1-0,0247559961049826i</v>
      </c>
      <c r="AN193">
        <f t="shared" si="183"/>
        <v>1.0003063827363843</v>
      </c>
      <c r="AO193">
        <f t="shared" si="184"/>
        <v>-2.4750940649318407E-2</v>
      </c>
      <c r="AP193" s="41" t="str">
        <f t="shared" si="185"/>
        <v>0,247399690095332-14,9072398849584i</v>
      </c>
      <c r="AQ193">
        <f t="shared" si="186"/>
        <v>23.469140794557379</v>
      </c>
      <c r="AR193" s="43">
        <f t="shared" si="187"/>
        <v>-89.049209844408736</v>
      </c>
      <c r="AS193" t="str">
        <f t="shared" si="164"/>
        <v>-0,0000166666666666667</v>
      </c>
      <c r="AT193" t="str">
        <f t="shared" si="165"/>
        <v>0,000782624787580382i</v>
      </c>
      <c r="AU193">
        <f t="shared" si="188"/>
        <v>7.8262478758038198E-4</v>
      </c>
      <c r="AV193">
        <f t="shared" si="189"/>
        <v>1.5707963267948966</v>
      </c>
      <c r="AW193" t="str">
        <f t="shared" si="166"/>
        <v>1+0,0278994696223286i</v>
      </c>
      <c r="AX193">
        <f t="shared" si="190"/>
        <v>1.0003891144975576</v>
      </c>
      <c r="AY193">
        <f t="shared" si="191"/>
        <v>2.7892234201017659E-2</v>
      </c>
      <c r="AZ193" t="str">
        <f t="shared" si="167"/>
        <v>1+4,11982168089718i</v>
      </c>
      <c r="BA193">
        <f t="shared" si="192"/>
        <v>4.2394493371652011</v>
      </c>
      <c r="BB193">
        <f t="shared" si="193"/>
        <v>1.3326726232530746</v>
      </c>
      <c r="BC193" s="41" t="str">
        <f t="shared" si="194"/>
        <v>-0,0870732199593039+0,0237251550679822i</v>
      </c>
      <c r="BD193">
        <f t="shared" si="195"/>
        <v>-20.891287140847009</v>
      </c>
      <c r="BE193" s="43">
        <f t="shared" si="196"/>
        <v>164.75840948412039</v>
      </c>
      <c r="BF193" s="41" t="str">
        <f t="shared" si="197"/>
        <v>0,0790943147265744+0,18274396605499i</v>
      </c>
      <c r="BG193" s="20">
        <f t="shared" si="198"/>
        <v>-14.017429226285685</v>
      </c>
      <c r="BH193" s="43">
        <f t="shared" si="199"/>
        <v>66.596319120684626</v>
      </c>
      <c r="BI193" s="41" t="str">
        <f t="shared" si="203"/>
        <v>0,332134690272713+1,30389097350037i</v>
      </c>
      <c r="BJ193" s="20">
        <f t="shared" si="200"/>
        <v>2.5778536537103527</v>
      </c>
      <c r="BK193" s="43">
        <f t="shared" si="204"/>
        <v>75.709199639711613</v>
      </c>
      <c r="BL193">
        <f t="shared" si="201"/>
        <v>-14.017429226285685</v>
      </c>
      <c r="BM193" s="43">
        <f t="shared" si="202"/>
        <v>66.596319120684626</v>
      </c>
    </row>
    <row r="194" spans="14:65" x14ac:dyDescent="0.35">
      <c r="N194" s="9">
        <v>76</v>
      </c>
      <c r="O194" s="34">
        <f t="shared" si="205"/>
        <v>575.43993733715706</v>
      </c>
      <c r="P194" s="33" t="str">
        <f t="shared" si="155"/>
        <v>59,1053597814893</v>
      </c>
      <c r="Q194" s="4" t="str">
        <f t="shared" si="156"/>
        <v>1+27,7811414642056i</v>
      </c>
      <c r="R194" s="4">
        <f t="shared" si="168"/>
        <v>27.799133458692623</v>
      </c>
      <c r="S194" s="4">
        <f t="shared" si="169"/>
        <v>1.5348162198816118</v>
      </c>
      <c r="T194" s="4" t="str">
        <f t="shared" si="157"/>
        <v>1+0,00470027448727352i</v>
      </c>
      <c r="U194" s="4">
        <f t="shared" si="170"/>
        <v>1.0000110462291183</v>
      </c>
      <c r="V194" s="4">
        <f t="shared" si="171"/>
        <v>4.7002398740018918E-3</v>
      </c>
      <c r="W194" t="str">
        <f t="shared" si="158"/>
        <v>1-0,173548596453176i</v>
      </c>
      <c r="X194" s="4">
        <f t="shared" si="172"/>
        <v>1.0149478387241717</v>
      </c>
      <c r="Y194" s="4">
        <f t="shared" si="173"/>
        <v>-0.17183704511045025</v>
      </c>
      <c r="Z194" t="str">
        <f t="shared" si="159"/>
        <v>0,999993158447903+0,0162373118651267i</v>
      </c>
      <c r="AA194" s="4">
        <f t="shared" si="174"/>
        <v>1.0001249758101325</v>
      </c>
      <c r="AB194" s="4">
        <f t="shared" si="175"/>
        <v>1.6235996160017561E-2</v>
      </c>
      <c r="AC194" s="47" t="str">
        <f t="shared" si="176"/>
        <v>-0,316878076208644-2,13429887544694i</v>
      </c>
      <c r="AD194" s="20">
        <f t="shared" si="177"/>
        <v>6.6797970849574728</v>
      </c>
      <c r="AE194" s="43">
        <f t="shared" si="178"/>
        <v>-98.444979324947454</v>
      </c>
      <c r="AF194" t="str">
        <f t="shared" si="160"/>
        <v>405,634542683733</v>
      </c>
      <c r="AG194" t="str">
        <f t="shared" si="161"/>
        <v>1+27,8305726220143i</v>
      </c>
      <c r="AH194">
        <f t="shared" si="179"/>
        <v>27.848532680721476</v>
      </c>
      <c r="AI194">
        <f t="shared" si="180"/>
        <v>1.5348800708086752</v>
      </c>
      <c r="AJ194" t="str">
        <f t="shared" si="162"/>
        <v>1+0,00470027448727352i</v>
      </c>
      <c r="AK194">
        <f t="shared" si="181"/>
        <v>1.0000110462291183</v>
      </c>
      <c r="AL194">
        <f t="shared" si="182"/>
        <v>4.7002398740018918E-3</v>
      </c>
      <c r="AM194" t="str">
        <f t="shared" si="163"/>
        <v>1-0,0253326373311584i</v>
      </c>
      <c r="AN194">
        <f t="shared" si="183"/>
        <v>1.0003208197944058</v>
      </c>
      <c r="AO194">
        <f t="shared" si="184"/>
        <v>-2.5327220406644264E-2</v>
      </c>
      <c r="AP194" s="41" t="str">
        <f t="shared" si="185"/>
        <v>0,222764869946594-14,5688729573463i</v>
      </c>
      <c r="AQ194">
        <f t="shared" si="186"/>
        <v>23.26953437893976</v>
      </c>
      <c r="AR194" s="43">
        <f t="shared" si="187"/>
        <v>-89.123989044696941</v>
      </c>
      <c r="AS194" t="str">
        <f t="shared" si="164"/>
        <v>-0,0000166666666666667</v>
      </c>
      <c r="AT194" t="str">
        <f t="shared" si="165"/>
        <v>0,000800854460716219i</v>
      </c>
      <c r="AU194">
        <f t="shared" si="188"/>
        <v>8.0085446071621901E-4</v>
      </c>
      <c r="AV194">
        <f t="shared" si="189"/>
        <v>1.5707963267948966</v>
      </c>
      <c r="AW194" t="str">
        <f t="shared" si="166"/>
        <v>1+0,0285493317528786i</v>
      </c>
      <c r="AX194">
        <f t="shared" si="190"/>
        <v>1.0004074491643571</v>
      </c>
      <c r="AY194">
        <f t="shared" si="191"/>
        <v>2.8541579029791955E-2</v>
      </c>
      <c r="AZ194" t="str">
        <f t="shared" si="167"/>
        <v>1+4,21578465550841i</v>
      </c>
      <c r="BA194">
        <f t="shared" si="192"/>
        <v>4.3327635824748345</v>
      </c>
      <c r="BB194">
        <f t="shared" si="193"/>
        <v>1.3378969608714624</v>
      </c>
      <c r="BC194" s="41" t="str">
        <f t="shared" si="194"/>
        <v>-0,0870700283720219+0,0232968966189275i</v>
      </c>
      <c r="BD194">
        <f t="shared" si="195"/>
        <v>-20.902335476206751</v>
      </c>
      <c r="BE194" s="43">
        <f t="shared" si="196"/>
        <v>165.02053726226805</v>
      </c>
      <c r="BF194" s="41" t="str">
        <f t="shared" si="197"/>
        <v>0,0773131233411389+0,178451187857302i</v>
      </c>
      <c r="BG194" s="20">
        <f t="shared" si="198"/>
        <v>-14.22253839124928</v>
      </c>
      <c r="BH194" s="43">
        <f t="shared" si="199"/>
        <v>66.57555793732061</v>
      </c>
      <c r="BI194" s="41" t="str">
        <f t="shared" si="203"/>
        <v>0,320013383595046+1,27370191189i</v>
      </c>
      <c r="BJ194" s="20">
        <f t="shared" si="200"/>
        <v>2.3671989027330116</v>
      </c>
      <c r="BK194" s="43">
        <f t="shared" si="204"/>
        <v>75.896548217571095</v>
      </c>
      <c r="BL194">
        <f t="shared" si="201"/>
        <v>-14.22253839124928</v>
      </c>
      <c r="BM194" s="43">
        <f t="shared" si="202"/>
        <v>66.57555793732061</v>
      </c>
    </row>
    <row r="195" spans="14:65" x14ac:dyDescent="0.35">
      <c r="N195" s="9">
        <v>77</v>
      </c>
      <c r="O195" s="34">
        <f t="shared" si="205"/>
        <v>588.84365535558959</v>
      </c>
      <c r="P195" s="33" t="str">
        <f t="shared" si="155"/>
        <v>59,1053597814893</v>
      </c>
      <c r="Q195" s="4" t="str">
        <f t="shared" si="156"/>
        <v>1+28,4282473778818i</v>
      </c>
      <c r="R195" s="4">
        <f t="shared" si="168"/>
        <v>28.44583008066461</v>
      </c>
      <c r="S195" s="4">
        <f t="shared" si="169"/>
        <v>1.5356345443691353</v>
      </c>
      <c r="T195" s="4" t="str">
        <f t="shared" si="157"/>
        <v>1+0,00480975794462301i</v>
      </c>
      <c r="U195" s="4">
        <f t="shared" si="170"/>
        <v>1.0000115668188472</v>
      </c>
      <c r="V195" s="4">
        <f t="shared" si="171"/>
        <v>4.8097208558574127E-3</v>
      </c>
      <c r="W195" t="str">
        <f t="shared" si="158"/>
        <v>1-0,177591062570696i</v>
      </c>
      <c r="X195" s="4">
        <f t="shared" si="172"/>
        <v>1.0156468803206107</v>
      </c>
      <c r="Y195" s="4">
        <f t="shared" si="173"/>
        <v>-0.1757586247552462</v>
      </c>
      <c r="Z195" t="str">
        <f t="shared" si="159"/>
        <v>0,999992836015486+0,0166155274450613i</v>
      </c>
      <c r="AA195" s="4">
        <f t="shared" si="174"/>
        <v>1.0001308653544156</v>
      </c>
      <c r="AB195" s="4">
        <f t="shared" si="175"/>
        <v>1.6614117651592031E-2</v>
      </c>
      <c r="AC195" s="47" t="str">
        <f t="shared" si="176"/>
        <v>-0,320335607675114-2,08562415812332i</v>
      </c>
      <c r="AD195" s="20">
        <f t="shared" si="177"/>
        <v>6.4859837132423959</v>
      </c>
      <c r="AE195" s="43">
        <f t="shared" si="178"/>
        <v>-98.731947794439066</v>
      </c>
      <c r="AF195" t="str">
        <f t="shared" si="160"/>
        <v>405,634542683733</v>
      </c>
      <c r="AG195" t="str">
        <f t="shared" si="161"/>
        <v>1+28,4788299352678i</v>
      </c>
      <c r="AH195">
        <f t="shared" si="179"/>
        <v>28.496381427856857</v>
      </c>
      <c r="AI195">
        <f t="shared" si="180"/>
        <v>1.5356969454994547</v>
      </c>
      <c r="AJ195" t="str">
        <f t="shared" si="162"/>
        <v>1+0,00480975794462301i</v>
      </c>
      <c r="AK195">
        <f t="shared" si="181"/>
        <v>1.0000115668188472</v>
      </c>
      <c r="AL195">
        <f t="shared" si="182"/>
        <v>4.8097208558574127E-3</v>
      </c>
      <c r="AM195" t="str">
        <f t="shared" si="163"/>
        <v>1-0,0259227102569642i</v>
      </c>
      <c r="AN195">
        <f t="shared" si="183"/>
        <v>1.0003359370266904</v>
      </c>
      <c r="AO195">
        <f t="shared" si="184"/>
        <v>-2.5916906023043272E-2</v>
      </c>
      <c r="AP195" s="41" t="str">
        <f t="shared" si="185"/>
        <v>0,199236004235057-14,2381510375125i</v>
      </c>
      <c r="AQ195">
        <f t="shared" si="186"/>
        <v>23.069922208166428</v>
      </c>
      <c r="AR195" s="43">
        <f t="shared" si="187"/>
        <v>-89.198306215731648</v>
      </c>
      <c r="AS195" t="str">
        <f t="shared" si="164"/>
        <v>-0,0000166666666666667</v>
      </c>
      <c r="AT195" t="str">
        <f t="shared" si="165"/>
        <v>0,00081950875748769i</v>
      </c>
      <c r="AU195">
        <f t="shared" si="188"/>
        <v>8.1950875748769002E-4</v>
      </c>
      <c r="AV195">
        <f t="shared" si="189"/>
        <v>1.5707963267948966</v>
      </c>
      <c r="AW195" t="str">
        <f t="shared" si="166"/>
        <v>1+0,0292143311170191i</v>
      </c>
      <c r="AX195">
        <f t="shared" si="190"/>
        <v>1.0004266475572383</v>
      </c>
      <c r="AY195">
        <f t="shared" si="191"/>
        <v>2.9206024115890652E-2</v>
      </c>
      <c r="AZ195" t="str">
        <f t="shared" si="167"/>
        <v>1+4,31398289494648i</v>
      </c>
      <c r="BA195">
        <f t="shared" si="192"/>
        <v>4.4283685955316336</v>
      </c>
      <c r="BB195">
        <f t="shared" si="193"/>
        <v>1.3430149203481581</v>
      </c>
      <c r="BC195" s="41" t="str">
        <f t="shared" si="194"/>
        <v>-0,0870666866206243+0,0228809819093917i</v>
      </c>
      <c r="BD195">
        <f t="shared" si="195"/>
        <v>-20.912926764519749</v>
      </c>
      <c r="BE195" s="43">
        <f t="shared" si="196"/>
        <v>165.27570484084998</v>
      </c>
      <c r="BF195" s="41" t="str">
        <f t="shared" si="197"/>
        <v>0,0756116885986864+0,174258791739578i</v>
      </c>
      <c r="BG195" s="20">
        <f t="shared" si="198"/>
        <v>-14.426943051277362</v>
      </c>
      <c r="BH195" s="43">
        <f t="shared" si="199"/>
        <v>66.543757046410917</v>
      </c>
      <c r="BI195" s="41" t="str">
        <f t="shared" si="203"/>
        <v>0,308436057568231+1,24422734984882i</v>
      </c>
      <c r="BJ195" s="20">
        <f t="shared" si="200"/>
        <v>2.1569954436466827</v>
      </c>
      <c r="BK195" s="43">
        <f t="shared" si="204"/>
        <v>76.077398625118377</v>
      </c>
      <c r="BL195">
        <f t="shared" si="201"/>
        <v>-14.426943051277362</v>
      </c>
      <c r="BM195" s="43">
        <f t="shared" si="202"/>
        <v>66.543757046410917</v>
      </c>
    </row>
    <row r="196" spans="14:65" x14ac:dyDescent="0.35">
      <c r="N196" s="9">
        <v>78</v>
      </c>
      <c r="O196" s="34">
        <f t="shared" si="205"/>
        <v>602.55958607435832</v>
      </c>
      <c r="P196" s="33" t="str">
        <f t="shared" si="155"/>
        <v>59,1053597814893</v>
      </c>
      <c r="Q196" s="4" t="str">
        <f t="shared" si="156"/>
        <v>1+29,0904263246102i</v>
      </c>
      <c r="R196" s="4">
        <f t="shared" si="168"/>
        <v>29.107609035226069</v>
      </c>
      <c r="S196" s="4">
        <f t="shared" si="169"/>
        <v>1.5364342870433281</v>
      </c>
      <c r="T196" s="4" t="str">
        <f t="shared" si="157"/>
        <v>1+0,00492179159929941i</v>
      </c>
      <c r="U196" s="4">
        <f t="shared" si="170"/>
        <v>1.0000121119429239</v>
      </c>
      <c r="V196" s="4">
        <f t="shared" si="171"/>
        <v>4.9217518579970608E-3</v>
      </c>
      <c r="W196" t="str">
        <f t="shared" si="158"/>
        <v>1-0,181727689820286i</v>
      </c>
      <c r="X196" s="4">
        <f t="shared" si="172"/>
        <v>1.0163783514259923</v>
      </c>
      <c r="Y196" s="4">
        <f t="shared" si="173"/>
        <v>-0.17976590214360719</v>
      </c>
      <c r="Z196" t="str">
        <f t="shared" si="159"/>
        <v>0,999992498387298+0,0170025527975798i</v>
      </c>
      <c r="AA196" s="4">
        <f t="shared" si="174"/>
        <v>1.0001370324273091</v>
      </c>
      <c r="AB196" s="4">
        <f t="shared" si="175"/>
        <v>1.7001042187830773E-2</v>
      </c>
      <c r="AC196" s="47" t="str">
        <f t="shared" si="176"/>
        <v>-0,323637585307137-2,03804432285701i</v>
      </c>
      <c r="AD196" s="20">
        <f t="shared" si="177"/>
        <v>6.2924298040154669</v>
      </c>
      <c r="AE196" s="43">
        <f t="shared" si="178"/>
        <v>-99.023119995377471</v>
      </c>
      <c r="AF196" t="str">
        <f t="shared" si="160"/>
        <v>405,634542683733</v>
      </c>
      <c r="AG196" t="str">
        <f t="shared" si="161"/>
        <v>1+29,1421871011149i</v>
      </c>
      <c r="AH196">
        <f t="shared" si="179"/>
        <v>29.159339310697483</v>
      </c>
      <c r="AI196">
        <f t="shared" si="180"/>
        <v>1.5364952711365512</v>
      </c>
      <c r="AJ196" t="str">
        <f t="shared" si="162"/>
        <v>1+0,00492179159929941i</v>
      </c>
      <c r="AK196">
        <f t="shared" si="181"/>
        <v>1.0000121119429239</v>
      </c>
      <c r="AL196">
        <f t="shared" si="182"/>
        <v>4.9217518579970608E-3</v>
      </c>
      <c r="AM196" t="str">
        <f t="shared" si="163"/>
        <v>1-0,0265265277468759i</v>
      </c>
      <c r="AN196">
        <f t="shared" si="183"/>
        <v>1.0003517664673292</v>
      </c>
      <c r="AO196">
        <f t="shared" si="184"/>
        <v>-2.6520308516288272E-2</v>
      </c>
      <c r="AP196" s="41" t="str">
        <f t="shared" si="185"/>
        <v>0,176763562306863-13,9149040724311i</v>
      </c>
      <c r="AQ196">
        <f t="shared" si="186"/>
        <v>22.870305102304638</v>
      </c>
      <c r="AR196" s="43">
        <f t="shared" si="187"/>
        <v>-89.272200418027751</v>
      </c>
      <c r="AS196" t="str">
        <f t="shared" si="164"/>
        <v>-0,0000166666666666667</v>
      </c>
      <c r="AT196" t="str">
        <f t="shared" si="165"/>
        <v>0,000838597568649861i</v>
      </c>
      <c r="AU196">
        <f t="shared" si="188"/>
        <v>8.3859756864986099E-4</v>
      </c>
      <c r="AV196">
        <f t="shared" si="189"/>
        <v>1.5707963267948966</v>
      </c>
      <c r="AW196" t="str">
        <f t="shared" si="166"/>
        <v>1+0,0298948203062152i</v>
      </c>
      <c r="AX196">
        <f t="shared" si="190"/>
        <v>1.000446750347634</v>
      </c>
      <c r="AY196">
        <f t="shared" si="191"/>
        <v>2.9885919408797881E-2</v>
      </c>
      <c r="AZ196" t="str">
        <f t="shared" si="167"/>
        <v>1+4,41446846521778i</v>
      </c>
      <c r="BA196">
        <f t="shared" si="192"/>
        <v>4.5263154806533565</v>
      </c>
      <c r="BB196">
        <f t="shared" si="193"/>
        <v>1.348028142358912</v>
      </c>
      <c r="BC196" s="41" t="str">
        <f t="shared" si="194"/>
        <v>-0,0870631876522567+0,0224771898030685i</v>
      </c>
      <c r="BD196">
        <f t="shared" si="195"/>
        <v>-20.923080130503806</v>
      </c>
      <c r="BE196" s="43">
        <f t="shared" si="196"/>
        <v>165.52398617303393</v>
      </c>
      <c r="BF196" s="41" t="str">
        <f t="shared" si="197"/>
        <v>0,0739864288928417+0,170164171892161i</v>
      </c>
      <c r="BG196" s="20">
        <f t="shared" si="198"/>
        <v>-14.630650326488341</v>
      </c>
      <c r="BH196" s="43">
        <f t="shared" si="199"/>
        <v>66.500866177656476</v>
      </c>
      <c r="BI196" s="41" t="str">
        <f t="shared" si="203"/>
        <v>0,297378340732321+1,21544905256146i</v>
      </c>
      <c r="BJ196" s="20">
        <f t="shared" si="200"/>
        <v>1.9472249718008507</v>
      </c>
      <c r="BK196" s="43">
        <f t="shared" si="204"/>
        <v>76.25178575500621</v>
      </c>
      <c r="BL196">
        <f t="shared" si="201"/>
        <v>-14.630650326488341</v>
      </c>
      <c r="BM196" s="43">
        <f t="shared" si="202"/>
        <v>66.500866177656476</v>
      </c>
    </row>
    <row r="197" spans="14:65" x14ac:dyDescent="0.35">
      <c r="N197" s="9">
        <v>79</v>
      </c>
      <c r="O197" s="34">
        <f t="shared" si="205"/>
        <v>616.59500186148273</v>
      </c>
      <c r="P197" s="33" t="str">
        <f t="shared" si="155"/>
        <v>59,1053597814893</v>
      </c>
      <c r="Q197" s="4" t="str">
        <f t="shared" si="156"/>
        <v>1+29,7680294004332i</v>
      </c>
      <c r="R197" s="4">
        <f t="shared" si="168"/>
        <v>29.784821207874579</v>
      </c>
      <c r="S197" s="4">
        <f t="shared" si="169"/>
        <v>1.5372158678439554</v>
      </c>
      <c r="T197" s="4" t="str">
        <f t="shared" si="157"/>
        <v>1+0,00503643485302937i</v>
      </c>
      <c r="U197" s="4">
        <f t="shared" si="170"/>
        <v>1.0000126827575881</v>
      </c>
      <c r="V197" s="4">
        <f t="shared" si="171"/>
        <v>5.0363922694858562E-3</v>
      </c>
      <c r="W197" t="str">
        <f t="shared" si="158"/>
        <v>1-0,185960671496469i</v>
      </c>
      <c r="X197" s="4">
        <f t="shared" si="172"/>
        <v>1.0171437318999796</v>
      </c>
      <c r="Y197" s="4">
        <f t="shared" si="173"/>
        <v>-0.18386048693305887</v>
      </c>
      <c r="Z197" t="str">
        <f t="shared" si="159"/>
        <v>0,999992144847183+0,0173985931286469i</v>
      </c>
      <c r="AA197" s="4">
        <f t="shared" si="174"/>
        <v>1.0001434901047577</v>
      </c>
      <c r="AB197" s="4">
        <f t="shared" si="175"/>
        <v>1.7396974493670517E-2</v>
      </c>
      <c r="AC197" s="47" t="str">
        <f t="shared" si="176"/>
        <v>-0,326790962257564-1,99153487163512i</v>
      </c>
      <c r="AD197" s="20">
        <f t="shared" si="177"/>
        <v>6.0991478093173557</v>
      </c>
      <c r="AE197" s="43">
        <f t="shared" si="178"/>
        <v>-99.318620542253441</v>
      </c>
      <c r="AF197" t="str">
        <f t="shared" si="160"/>
        <v>405,634542683733</v>
      </c>
      <c r="AG197" t="str">
        <f t="shared" si="161"/>
        <v>1+29,8209958403055i</v>
      </c>
      <c r="AH197">
        <f t="shared" si="179"/>
        <v>29.837757839816284</v>
      </c>
      <c r="AI197">
        <f t="shared" si="180"/>
        <v>1.5372754669301234</v>
      </c>
      <c r="AJ197" t="str">
        <f t="shared" si="162"/>
        <v>1+0,00503643485302937i</v>
      </c>
      <c r="AK197">
        <f t="shared" si="181"/>
        <v>1.0000126827575881</v>
      </c>
      <c r="AL197">
        <f t="shared" si="182"/>
        <v>5.0363922694858562E-3</v>
      </c>
      <c r="AM197" t="str">
        <f t="shared" si="163"/>
        <v>1-0,0271444099529191i</v>
      </c>
      <c r="AN197">
        <f t="shared" si="183"/>
        <v>1.0003683416580575</v>
      </c>
      <c r="AO197">
        <f t="shared" si="184"/>
        <v>-2.7137746059797057E-2</v>
      </c>
      <c r="AP197" s="41" t="str">
        <f t="shared" si="185"/>
        <v>0,155300221211097-13,5989656200418i</v>
      </c>
      <c r="AQ197">
        <f t="shared" si="186"/>
        <v>22.670683871078523</v>
      </c>
      <c r="AR197" s="43">
        <f t="shared" si="187"/>
        <v>-89.345710497809321</v>
      </c>
      <c r="AS197" t="str">
        <f t="shared" si="164"/>
        <v>-0,0000166666666666667</v>
      </c>
      <c r="AT197" t="str">
        <f t="shared" si="165"/>
        <v>0,000858131015343081i</v>
      </c>
      <c r="AU197">
        <f t="shared" si="188"/>
        <v>8.5813101534308101E-4</v>
      </c>
      <c r="AV197">
        <f t="shared" si="189"/>
        <v>1.5707963267948966</v>
      </c>
      <c r="AW197" t="str">
        <f t="shared" si="166"/>
        <v>1+0,0305911601248425i</v>
      </c>
      <c r="AX197">
        <f t="shared" si="190"/>
        <v>1.0004678001204155</v>
      </c>
      <c r="AY197">
        <f t="shared" si="191"/>
        <v>3.0581622882264722E-2</v>
      </c>
      <c r="AZ197" t="str">
        <f t="shared" si="167"/>
        <v>1+4,51729464510173i</v>
      </c>
      <c r="BA197">
        <f t="shared" si="192"/>
        <v>4.6266565585382251</v>
      </c>
      <c r="BB197">
        <f t="shared" si="193"/>
        <v>1.3529382765738784</v>
      </c>
      <c r="BC197" s="41" t="str">
        <f t="shared" si="194"/>
        <v>-0,0870595240839978+0,0220853055475169i</v>
      </c>
      <c r="BD197">
        <f t="shared" si="195"/>
        <v>-20.932814044704294</v>
      </c>
      <c r="BE197" s="43">
        <f t="shared" si="196"/>
        <v>165.76545526757204</v>
      </c>
      <c r="BF197" s="41" t="str">
        <f t="shared" si="197"/>
        <v>0,0724339217976917+0,166164799869614i</v>
      </c>
      <c r="BG197" s="20">
        <f t="shared" si="198"/>
        <v>-14.833666235386929</v>
      </c>
      <c r="BH197" s="43">
        <f t="shared" si="199"/>
        <v>66.446834725318595</v>
      </c>
      <c r="BI197" s="41" t="str">
        <f t="shared" si="203"/>
        <v>0,286816947500023+1,18734932775253i</v>
      </c>
      <c r="BJ197" s="20">
        <f t="shared" si="200"/>
        <v>1.7378698263742256</v>
      </c>
      <c r="BK197" s="43">
        <f t="shared" si="204"/>
        <v>76.419744769762701</v>
      </c>
      <c r="BL197">
        <f t="shared" si="201"/>
        <v>-14.833666235386929</v>
      </c>
      <c r="BM197" s="43">
        <f t="shared" si="202"/>
        <v>66.446834725318595</v>
      </c>
    </row>
    <row r="198" spans="14:65" x14ac:dyDescent="0.35">
      <c r="N198" s="9">
        <v>80</v>
      </c>
      <c r="O198" s="34">
        <f t="shared" si="205"/>
        <v>630.95734448019323</v>
      </c>
      <c r="P198" s="33" t="str">
        <f t="shared" si="155"/>
        <v>59,1053597814893</v>
      </c>
      <c r="Q198" s="4" t="str">
        <f t="shared" si="156"/>
        <v>1+30,4614158794707i</v>
      </c>
      <c r="R198" s="4">
        <f t="shared" si="168"/>
        <v>30.477825666901989</v>
      </c>
      <c r="S198" s="4">
        <f t="shared" si="169"/>
        <v>1.5379796973537749</v>
      </c>
      <c r="T198" s="4" t="str">
        <f t="shared" si="157"/>
        <v>1+0,0051537484911835i</v>
      </c>
      <c r="U198" s="4">
        <f t="shared" si="170"/>
        <v>1.0000132804735697</v>
      </c>
      <c r="V198" s="4">
        <f t="shared" si="171"/>
        <v>5.1537028621272676E-3</v>
      </c>
      <c r="W198" t="str">
        <f t="shared" si="158"/>
        <v>1-0,19029225198216i</v>
      </c>
      <c r="X198" s="4">
        <f t="shared" si="172"/>
        <v>1.0179445668426361</v>
      </c>
      <c r="Y198" s="4">
        <f t="shared" si="173"/>
        <v>-0.18804400067105076</v>
      </c>
      <c r="Z198" t="str">
        <f t="shared" si="159"/>
        <v>0,999991774645236+0,0178038584240885i</v>
      </c>
      <c r="AA198" s="4">
        <f t="shared" si="174"/>
        <v>1.0001502520786132</v>
      </c>
      <c r="AB198" s="4">
        <f t="shared" si="175"/>
        <v>1.7802124039524466E-2</v>
      </c>
      <c r="AC198" s="47" t="str">
        <f t="shared" si="176"/>
        <v>-0,329802380937926-1,946071825526i</v>
      </c>
      <c r="AD198" s="20">
        <f t="shared" si="177"/>
        <v>5.9061506457305759</v>
      </c>
      <c r="AE198" s="43">
        <f t="shared" si="178"/>
        <v>-99.61857438735413</v>
      </c>
      <c r="AF198" t="str">
        <f t="shared" si="160"/>
        <v>405,634542683733</v>
      </c>
      <c r="AG198" t="str">
        <f t="shared" si="161"/>
        <v>1+30,5156160662181i</v>
      </c>
      <c r="AH198">
        <f t="shared" si="179"/>
        <v>30.531996723123566</v>
      </c>
      <c r="AI198">
        <f t="shared" si="180"/>
        <v>1.5380379427488615</v>
      </c>
      <c r="AJ198" t="str">
        <f t="shared" si="162"/>
        <v>1+0,0051537484911835i</v>
      </c>
      <c r="AK198">
        <f t="shared" si="181"/>
        <v>1.0000132804735697</v>
      </c>
      <c r="AL198">
        <f t="shared" si="182"/>
        <v>5.1537028621272676E-3</v>
      </c>
      <c r="AM198" t="str">
        <f t="shared" si="163"/>
        <v>1-0,027776684484418i</v>
      </c>
      <c r="AN198">
        <f t="shared" si="183"/>
        <v>1.0003856977191081</v>
      </c>
      <c r="AO198">
        <f t="shared" si="184"/>
        <v>-2.7769544142968249E-2</v>
      </c>
      <c r="AP198" s="41" t="str">
        <f t="shared" si="185"/>
        <v>0,134800768225027-13,2901727843652i</v>
      </c>
      <c r="AQ198">
        <f t="shared" si="186"/>
        <v>22.471059315565569</v>
      </c>
      <c r="AR198" s="43">
        <f t="shared" si="187"/>
        <v>-89.418875106023435</v>
      </c>
      <c r="AS198" t="str">
        <f t="shared" si="164"/>
        <v>-0,0000166666666666667</v>
      </c>
      <c r="AT198" t="str">
        <f t="shared" si="165"/>
        <v>0,000878119454459342i</v>
      </c>
      <c r="AU198">
        <f t="shared" si="188"/>
        <v>8.7811945445934203E-4</v>
      </c>
      <c r="AV198">
        <f t="shared" si="189"/>
        <v>1.5707963267948966</v>
      </c>
      <c r="AW198" t="str">
        <f t="shared" si="166"/>
        <v>1+0,0313037197814897i</v>
      </c>
      <c r="AX198">
        <f t="shared" si="190"/>
        <v>1.0004898414637493</v>
      </c>
      <c r="AY198">
        <f t="shared" si="191"/>
        <v>3.1293500712157848E-2</v>
      </c>
      <c r="AZ198" t="str">
        <f t="shared" si="167"/>
        <v>1+4,62251595439997i</v>
      </c>
      <c r="BA198">
        <f t="shared" si="192"/>
        <v>4.7294453954647011</v>
      </c>
      <c r="BB198">
        <f t="shared" si="193"/>
        <v>1.3577469789375616</v>
      </c>
      <c r="BC198" s="41" t="str">
        <f t="shared" si="194"/>
        <v>-0,087055688187532+0,0217051206571869i</v>
      </c>
      <c r="BD198">
        <f t="shared" si="195"/>
        <v>-20.942146340801855</v>
      </c>
      <c r="BE198" s="43">
        <f t="shared" si="196"/>
        <v>166.00018602276384</v>
      </c>
      <c r="BF198" s="41" t="str">
        <f t="shared" si="197"/>
        <v>0,0709508970190315+0,162258221562247i</v>
      </c>
      <c r="BG198" s="20">
        <f t="shared" si="198"/>
        <v>-15.0359956950713</v>
      </c>
      <c r="BH198" s="43">
        <f t="shared" si="199"/>
        <v>66.381611635409683</v>
      </c>
      <c r="BI198" s="41" t="str">
        <f t="shared" si="203"/>
        <v>0,276729630193471+1,15991100481313i</v>
      </c>
      <c r="BJ198" s="20">
        <f t="shared" si="200"/>
        <v>1.5289129747637353</v>
      </c>
      <c r="BK198" s="43">
        <f t="shared" si="204"/>
        <v>76.581310916740449</v>
      </c>
      <c r="BL198">
        <f t="shared" si="201"/>
        <v>-15.0359956950713</v>
      </c>
      <c r="BM198" s="43">
        <f t="shared" si="202"/>
        <v>66.381611635409683</v>
      </c>
    </row>
    <row r="199" spans="14:65" x14ac:dyDescent="0.35">
      <c r="N199" s="9">
        <v>81</v>
      </c>
      <c r="O199" s="34">
        <f t="shared" si="205"/>
        <v>645.65422903465594</v>
      </c>
      <c r="P199" s="33" t="str">
        <f t="shared" si="155"/>
        <v>59,1053597814893</v>
      </c>
      <c r="Q199" s="4" t="str">
        <f t="shared" si="156"/>
        <v>1+31,1709534044121i</v>
      </c>
      <c r="R199" s="4">
        <f t="shared" si="168"/>
        <v>31.186989853784063</v>
      </c>
      <c r="S199" s="4">
        <f t="shared" si="169"/>
        <v>1.5387261769981038</v>
      </c>
      <c r="T199" s="4" t="str">
        <f t="shared" si="157"/>
        <v>1+0,00527379471500558i</v>
      </c>
      <c r="U199" s="4">
        <f t="shared" si="170"/>
        <v>1.0000139063586546</v>
      </c>
      <c r="V199" s="4">
        <f t="shared" si="171"/>
        <v>5.2737458226276681E-3</v>
      </c>
      <c r="W199" t="str">
        <f t="shared" si="158"/>
        <v>1-0,194724727938668i</v>
      </c>
      <c r="X199" s="4">
        <f t="shared" si="172"/>
        <v>1.0187824692596492</v>
      </c>
      <c r="Y199" s="4">
        <f t="shared" si="173"/>
        <v>-0.19231807547499097</v>
      </c>
      <c r="Z199" t="str">
        <f t="shared" si="159"/>
        <v>0,999991386996209+0,0182185635609284i</v>
      </c>
      <c r="AA199" s="4">
        <f t="shared" si="174"/>
        <v>1.0001573326856257</v>
      </c>
      <c r="AB199" s="4">
        <f t="shared" si="175"/>
        <v>1.8216705150162042E-2</v>
      </c>
      <c r="AC199" s="47" t="str">
        <f t="shared" si="176"/>
        <v>-0,332678186716898-1,90163171518276i</v>
      </c>
      <c r="AD199" s="20">
        <f t="shared" si="177"/>
        <v>5.7134517116610839</v>
      </c>
      <c r="AE199" s="43">
        <f t="shared" si="178"/>
        <v>-99.923106760964046</v>
      </c>
      <c r="AF199" t="str">
        <f t="shared" si="160"/>
        <v>405,634542683733</v>
      </c>
      <c r="AG199" t="str">
        <f t="shared" si="161"/>
        <v>1+31,2264160756909i</v>
      </c>
      <c r="AH199">
        <f t="shared" si="179"/>
        <v>31.242424056595976</v>
      </c>
      <c r="AI199">
        <f t="shared" si="180"/>
        <v>1.5387830993192693</v>
      </c>
      <c r="AJ199" t="str">
        <f t="shared" si="162"/>
        <v>1+0,00527379471500558i</v>
      </c>
      <c r="AK199">
        <f t="shared" si="181"/>
        <v>1.0000139063586546</v>
      </c>
      <c r="AL199">
        <f t="shared" si="182"/>
        <v>5.2737458226276681E-3</v>
      </c>
      <c r="AM199" t="str">
        <f t="shared" si="163"/>
        <v>1-0,0284236865816985i</v>
      </c>
      <c r="AN199">
        <f t="shared" si="183"/>
        <v>1.0004038714233841</v>
      </c>
      <c r="AO199">
        <f t="shared" si="184"/>
        <v>-2.8416035734800719E-2</v>
      </c>
      <c r="AP199" s="41" t="str">
        <f t="shared" si="185"/>
        <v>0,115222007601237-12,9883661509565i</v>
      </c>
      <c r="AQ199">
        <f t="shared" si="186"/>
        <v>22.271432229876336</v>
      </c>
      <c r="AR199" s="43">
        <f t="shared" si="187"/>
        <v>-89.491732717290006</v>
      </c>
      <c r="AS199" t="str">
        <f t="shared" si="164"/>
        <v>-0,0000166666666666667</v>
      </c>
      <c r="AT199" t="str">
        <f t="shared" si="165"/>
        <v>0,000898573484133644i</v>
      </c>
      <c r="AU199">
        <f t="shared" si="188"/>
        <v>8.9857348413364404E-4</v>
      </c>
      <c r="AV199">
        <f t="shared" si="189"/>
        <v>1.5707963267948966</v>
      </c>
      <c r="AW199" t="str">
        <f t="shared" si="166"/>
        <v>1+0,0320328770847188i</v>
      </c>
      <c r="AX199">
        <f t="shared" si="190"/>
        <v>1.0005129210631538</v>
      </c>
      <c r="AY199">
        <f t="shared" si="191"/>
        <v>3.2021927457808082E-2</v>
      </c>
      <c r="AZ199" t="str">
        <f t="shared" si="167"/>
        <v>1+4,73018818284347i</v>
      </c>
      <c r="BA199">
        <f t="shared" si="192"/>
        <v>4.8347368330770619</v>
      </c>
      <c r="BB199">
        <f t="shared" si="193"/>
        <v>1.3624559091226975</v>
      </c>
      <c r="BC199" s="41" t="str">
        <f t="shared" si="194"/>
        <v>-0,0870516718731137+0,0213364327995474i</v>
      </c>
      <c r="BD199">
        <f t="shared" si="195"/>
        <v>-20.951094233216516</v>
      </c>
      <c r="BE199" s="43">
        <f t="shared" si="196"/>
        <v>166.22825207018374</v>
      </c>
      <c r="BF199" s="41" t="str">
        <f t="shared" si="197"/>
        <v>0,0695342296499069+0,158442054318836i</v>
      </c>
      <c r="BG199" s="20">
        <f t="shared" si="198"/>
        <v>-15.237642521555415</v>
      </c>
      <c r="BH199" s="43">
        <f t="shared" si="199"/>
        <v>66.305145309219739</v>
      </c>
      <c r="BI199" s="41" t="str">
        <f t="shared" si="203"/>
        <v>0,267095133157535+1,13311741496313i</v>
      </c>
      <c r="BJ199" s="20">
        <f t="shared" si="200"/>
        <v>1.3203379966597866</v>
      </c>
      <c r="BK199" s="43">
        <f t="shared" si="204"/>
        <v>76.73651935289368</v>
      </c>
      <c r="BL199">
        <f t="shared" si="201"/>
        <v>-15.237642521555415</v>
      </c>
      <c r="BM199" s="43">
        <f t="shared" si="202"/>
        <v>66.305145309219739</v>
      </c>
    </row>
    <row r="200" spans="14:65" x14ac:dyDescent="0.35">
      <c r="N200" s="9">
        <v>82</v>
      </c>
      <c r="O200" s="34">
        <f t="shared" si="205"/>
        <v>660.69344800759643</v>
      </c>
      <c r="P200" s="33" t="str">
        <f t="shared" si="155"/>
        <v>59,1053597814893</v>
      </c>
      <c r="Q200" s="4" t="str">
        <f t="shared" si="156"/>
        <v>1+31,8970181814448i</v>
      </c>
      <c r="R200" s="4">
        <f t="shared" si="168"/>
        <v>31.912689778008684</v>
      </c>
      <c r="S200" s="4">
        <f t="shared" si="169"/>
        <v>1.5394556992407296</v>
      </c>
      <c r="T200" s="4" t="str">
        <f t="shared" si="157"/>
        <v>1+0,0053966371745925i</v>
      </c>
      <c r="U200" s="4">
        <f t="shared" si="170"/>
        <v>1.0000145617403751</v>
      </c>
      <c r="V200" s="4">
        <f t="shared" si="171"/>
        <v>5.3965847855068907E-3</v>
      </c>
      <c r="W200" t="str">
        <f t="shared" si="158"/>
        <v>1-0,199260449523416i</v>
      </c>
      <c r="X200" s="4">
        <f t="shared" si="172"/>
        <v>1.0196591228171668</v>
      </c>
      <c r="Y200" s="4">
        <f t="shared" si="173"/>
        <v>-0.19668435259351061</v>
      </c>
      <c r="Z200" t="str">
        <f t="shared" si="159"/>
        <v>0,999990981077846+0,0186429284213195i</v>
      </c>
      <c r="AA200" s="4">
        <f t="shared" si="174"/>
        <v>1.000164746937801</v>
      </c>
      <c r="AB200" s="4">
        <f t="shared" si="175"/>
        <v>1.8640937116007689E-2</v>
      </c>
      <c r="AC200" s="47" t="str">
        <f t="shared" si="176"/>
        <v>-0,335424441022968-1,8581915714047i</v>
      </c>
      <c r="AD200" s="20">
        <f t="shared" si="177"/>
        <v>5.5210649047719782</v>
      </c>
      <c r="AE200" s="43">
        <f t="shared" si="178"/>
        <v>-100.23234310464784</v>
      </c>
      <c r="AF200" t="str">
        <f t="shared" si="160"/>
        <v>405,634542683733</v>
      </c>
      <c r="AG200" t="str">
        <f t="shared" si="161"/>
        <v>1+31,9537727442976i</v>
      </c>
      <c r="AH200">
        <f t="shared" si="179"/>
        <v>31.969416519452089</v>
      </c>
      <c r="AI200">
        <f t="shared" si="180"/>
        <v>1.5395113284212965</v>
      </c>
      <c r="AJ200" t="str">
        <f t="shared" si="162"/>
        <v>1+0,0053966371745925i</v>
      </c>
      <c r="AK200">
        <f t="shared" si="181"/>
        <v>1.0000145617403751</v>
      </c>
      <c r="AL200">
        <f t="shared" si="182"/>
        <v>5.3965847855068907E-3</v>
      </c>
      <c r="AM200" t="str">
        <f t="shared" si="163"/>
        <v>1-0,0290857592938366i</v>
      </c>
      <c r="AN200">
        <f t="shared" si="183"/>
        <v>1.0004229012741057</v>
      </c>
      <c r="AO200">
        <f t="shared" si="184"/>
        <v>-2.9077561450839982E-2</v>
      </c>
      <c r="AP200" s="41" t="str">
        <f t="shared" si="185"/>
        <v>0,0965226713610442-12,693389722762i</v>
      </c>
      <c r="AQ200">
        <f t="shared" si="186"/>
        <v>22.071803402819341</v>
      </c>
      <c r="AR200" s="43">
        <f t="shared" si="187"/>
        <v>-89.56432164879044</v>
      </c>
      <c r="AS200" t="str">
        <f t="shared" si="164"/>
        <v>-0,0000166666666666667</v>
      </c>
      <c r="AT200" t="str">
        <f t="shared" si="165"/>
        <v>0,00091950394936326i</v>
      </c>
      <c r="AU200">
        <f t="shared" si="188"/>
        <v>9.1950394936326E-4</v>
      </c>
      <c r="AV200">
        <f t="shared" si="189"/>
        <v>1.5707963267948966</v>
      </c>
      <c r="AW200" t="str">
        <f t="shared" si="166"/>
        <v>1+0,0327790186433835i</v>
      </c>
      <c r="AX200">
        <f t="shared" si="190"/>
        <v>1.0005370877999591</v>
      </c>
      <c r="AY200">
        <f t="shared" si="191"/>
        <v>3.276728624689159E-2</v>
      </c>
      <c r="AZ200" t="str">
        <f t="shared" si="167"/>
        <v>1+4,84036841967296i</v>
      </c>
      <c r="BA200">
        <f t="shared" si="192"/>
        <v>4.9425870187754217</v>
      </c>
      <c r="BB200">
        <f t="shared" si="193"/>
        <v>1.3670667281517632</v>
      </c>
      <c r="BC200" s="41" t="str">
        <f t="shared" si="194"/>
        <v>-0,0870474666728038+0,0209790456842412i</v>
      </c>
      <c r="BD200">
        <f t="shared" si="195"/>
        <v>-20.959674334931528</v>
      </c>
      <c r="BE200" s="43">
        <f t="shared" si="196"/>
        <v>166.44972662781026</v>
      </c>
      <c r="BF200" s="41" t="str">
        <f t="shared" si="197"/>
        <v>0,0681809337177618+0,154713984211704i</v>
      </c>
      <c r="BG200" s="20">
        <f t="shared" si="198"/>
        <v>-15.438609430159534</v>
      </c>
      <c r="BH200" s="43">
        <f t="shared" si="199"/>
        <v>66.217383523162468</v>
      </c>
      <c r="BI200" s="41" t="str">
        <f t="shared" si="203"/>
        <v>0,257893148863231+1,10695237238908i</v>
      </c>
      <c r="BJ200" s="20">
        <f t="shared" si="200"/>
        <v>1.1121290678877884</v>
      </c>
      <c r="BK200" s="43">
        <f t="shared" si="204"/>
        <v>76.88540497901981</v>
      </c>
      <c r="BL200">
        <f t="shared" si="201"/>
        <v>-15.438609430159534</v>
      </c>
      <c r="BM200" s="43">
        <f t="shared" si="202"/>
        <v>66.217383523162468</v>
      </c>
    </row>
    <row r="201" spans="14:65" x14ac:dyDescent="0.35">
      <c r="N201" s="9">
        <v>83</v>
      </c>
      <c r="O201" s="34">
        <f t="shared" si="205"/>
        <v>676.08297539198213</v>
      </c>
      <c r="P201" s="33" t="str">
        <f t="shared" si="155"/>
        <v>59,1053597814893</v>
      </c>
      <c r="Q201" s="4" t="str">
        <f t="shared" si="156"/>
        <v>1+32,6399951797243i</v>
      </c>
      <c r="R201" s="4">
        <f t="shared" si="168"/>
        <v>32.655310216447575</v>
      </c>
      <c r="S201" s="4">
        <f t="shared" si="169"/>
        <v>1.5401686477761962</v>
      </c>
      <c r="T201" s="4" t="str">
        <f t="shared" si="157"/>
        <v>1+0,00552234100264231i</v>
      </c>
      <c r="U201" s="4">
        <f t="shared" si="170"/>
        <v>1.0000152480088238</v>
      </c>
      <c r="V201" s="4">
        <f t="shared" si="171"/>
        <v>5.5222848667719239E-3</v>
      </c>
      <c r="W201" t="str">
        <f t="shared" si="158"/>
        <v>1-0,203901821636024i</v>
      </c>
      <c r="X201" s="4">
        <f t="shared" si="172"/>
        <v>1.0205762846874744</v>
      </c>
      <c r="Y201" s="4">
        <f t="shared" si="173"/>
        <v>-0.20114448084270131</v>
      </c>
      <c r="Z201" t="str">
        <f t="shared" si="159"/>
        <v>0,99999055602914+0,019077178009128i</v>
      </c>
      <c r="AA201" s="4">
        <f t="shared" si="174"/>
        <v>1.0001725105541845</v>
      </c>
      <c r="AB201" s="4">
        <f t="shared" si="175"/>
        <v>1.907504430690464E-2</v>
      </c>
      <c r="AC201" s="47" t="str">
        <f t="shared" si="176"/>
        <v>-0,338046933876083-1,81572891576546i</v>
      </c>
      <c r="AD201" s="20">
        <f t="shared" si="177"/>
        <v>5.3290046395354711</v>
      </c>
      <c r="AE201" s="43">
        <f t="shared" si="178"/>
        <v>-100.54640899725955</v>
      </c>
      <c r="AF201" t="str">
        <f t="shared" si="160"/>
        <v>405,634542683733</v>
      </c>
      <c r="AG201" t="str">
        <f t="shared" si="161"/>
        <v>1+32,6980717261715i</v>
      </c>
      <c r="AH201">
        <f t="shared" si="179"/>
        <v>32.713359573878321</v>
      </c>
      <c r="AI201">
        <f t="shared" si="180"/>
        <v>1.5402230130803434</v>
      </c>
      <c r="AJ201" t="str">
        <f t="shared" si="162"/>
        <v>1+0,00552234100264231i</v>
      </c>
      <c r="AK201">
        <f t="shared" si="181"/>
        <v>1.0000152480088238</v>
      </c>
      <c r="AL201">
        <f t="shared" si="182"/>
        <v>5.5222848667719239E-3</v>
      </c>
      <c r="AM201" t="str">
        <f t="shared" si="163"/>
        <v>1-0,0297632536605478i</v>
      </c>
      <c r="AN201">
        <f t="shared" si="183"/>
        <v>1.0004428275860955</v>
      </c>
      <c r="AO201">
        <f t="shared" si="184"/>
        <v>-2.9754469723496164E-2</v>
      </c>
      <c r="AP201" s="41" t="str">
        <f t="shared" si="185"/>
        <v>0,0786633339652637-12,4050908564418i</v>
      </c>
      <c r="AQ201">
        <f t="shared" si="186"/>
        <v>21.872173619556158</v>
      </c>
      <c r="AR201" s="43">
        <f t="shared" si="187"/>
        <v>-89.636680079097786</v>
      </c>
      <c r="AS201" t="str">
        <f t="shared" si="164"/>
        <v>-0,0000166666666666667</v>
      </c>
      <c r="AT201" t="str">
        <f t="shared" si="165"/>
        <v>0,000940921947757901i</v>
      </c>
      <c r="AU201">
        <f t="shared" si="188"/>
        <v>9.4092194775790097E-4</v>
      </c>
      <c r="AV201">
        <f t="shared" si="189"/>
        <v>1.5707963267948966</v>
      </c>
      <c r="AW201" t="str">
        <f t="shared" si="166"/>
        <v>1+0,0335425400716146i</v>
      </c>
      <c r="AX201">
        <f t="shared" si="190"/>
        <v>1.0005623928543665</v>
      </c>
      <c r="AY201">
        <f t="shared" si="191"/>
        <v>3.3529968963879837E-2</v>
      </c>
      <c r="AZ201" t="str">
        <f t="shared" si="167"/>
        <v>1+4,95311508390841i</v>
      </c>
      <c r="BA201">
        <f t="shared" si="192"/>
        <v>5.0530534367292237</v>
      </c>
      <c r="BB201">
        <f t="shared" si="193"/>
        <v>1.3715810961796757</v>
      </c>
      <c r="BC201" s="41" t="str">
        <f t="shared" si="194"/>
        <v>-0,0870430637229402+0,0206327689551895i</v>
      </c>
      <c r="BD201">
        <f t="shared" si="195"/>
        <v>-20.96790267546875</v>
      </c>
      <c r="BE201" s="43">
        <f t="shared" si="196"/>
        <v>166.66468236218753</v>
      </c>
      <c r="BF201" s="41" t="str">
        <f t="shared" si="197"/>
        <v>0,0668881560109659+0,151071763435883i</v>
      </c>
      <c r="BG201" s="20">
        <f t="shared" si="198"/>
        <v>-15.638898035933259</v>
      </c>
      <c r="BH201" s="43">
        <f t="shared" si="199"/>
        <v>66.118273364928044</v>
      </c>
      <c r="BI201" s="41" t="str">
        <f t="shared" si="203"/>
        <v>0,2491042759181+1,08140015630108i</v>
      </c>
      <c r="BJ201" s="20">
        <f t="shared" si="200"/>
        <v>0.90427094408743547</v>
      </c>
      <c r="BK201" s="43">
        <f t="shared" si="204"/>
        <v>77.028002283089805</v>
      </c>
      <c r="BL201">
        <f t="shared" si="201"/>
        <v>-15.638898035933259</v>
      </c>
      <c r="BM201" s="43">
        <f t="shared" si="202"/>
        <v>66.118273364928044</v>
      </c>
    </row>
    <row r="202" spans="14:65" x14ac:dyDescent="0.35">
      <c r="N202" s="9">
        <v>84</v>
      </c>
      <c r="O202" s="34">
        <f t="shared" si="205"/>
        <v>691.83097091893671</v>
      </c>
      <c r="P202" s="33" t="str">
        <f t="shared" si="155"/>
        <v>59,1053597814893</v>
      </c>
      <c r="Q202" s="4" t="str">
        <f t="shared" si="156"/>
        <v>1+33,4002783354894i</v>
      </c>
      <c r="R202" s="4">
        <f t="shared" si="168"/>
        <v>33.415244917375105</v>
      </c>
      <c r="S202" s="4">
        <f t="shared" si="169"/>
        <v>1.5408653977184867</v>
      </c>
      <c r="T202" s="4" t="str">
        <f t="shared" si="157"/>
        <v>1+0,00565097284898855i</v>
      </c>
      <c r="U202" s="4">
        <f t="shared" si="170"/>
        <v>1.0000159666196036</v>
      </c>
      <c r="V202" s="4">
        <f t="shared" si="171"/>
        <v>5.6509126983715846E-3</v>
      </c>
      <c r="W202" t="str">
        <f t="shared" si="158"/>
        <v>1-0,208651305193424i</v>
      </c>
      <c r="X202" s="4">
        <f t="shared" si="172"/>
        <v>1.0215357884865901</v>
      </c>
      <c r="Y202" s="4">
        <f t="shared" si="173"/>
        <v>-0.20570011491096321</v>
      </c>
      <c r="Z202" t="str">
        <f t="shared" si="159"/>
        <v>0,999990110948506+0,0195215425692331i</v>
      </c>
      <c r="AA202" s="4">
        <f t="shared" si="174"/>
        <v>1.00018063999414</v>
      </c>
      <c r="AB202" s="4">
        <f t="shared" si="175"/>
        <v>1.9519256288392895E-2</v>
      </c>
      <c r="AC202" s="47" t="str">
        <f t="shared" si="176"/>
        <v>-0,340551195872146-1,77422175131618i</v>
      </c>
      <c r="AD202" s="20">
        <f t="shared" si="177"/>
        <v>5.1372858648662785</v>
      </c>
      <c r="AE202" s="43">
        <f t="shared" si="178"/>
        <v>-100.86543007331612</v>
      </c>
      <c r="AF202" t="str">
        <f t="shared" si="160"/>
        <v>405,634542683733</v>
      </c>
      <c r="AG202" t="str">
        <f t="shared" si="161"/>
        <v>1+33,4597076584848i</v>
      </c>
      <c r="AH202">
        <f t="shared" si="179"/>
        <v>33.474647669411944</v>
      </c>
      <c r="AI202">
        <f t="shared" si="180"/>
        <v>1.540918527755669</v>
      </c>
      <c r="AJ202" t="str">
        <f t="shared" si="162"/>
        <v>1+0,00565097284898855i</v>
      </c>
      <c r="AK202">
        <f t="shared" si="181"/>
        <v>1.0000159666196036</v>
      </c>
      <c r="AL202">
        <f t="shared" si="182"/>
        <v>5.6509126983715846E-3</v>
      </c>
      <c r="AM202" t="str">
        <f t="shared" si="163"/>
        <v>1-0,0304565288983131i</v>
      </c>
      <c r="AN202">
        <f t="shared" si="183"/>
        <v>1.0004636925708668</v>
      </c>
      <c r="AO202">
        <f t="shared" si="184"/>
        <v>-3.0447116975774607E-2</v>
      </c>
      <c r="AP202" s="41" t="str">
        <f t="shared" si="185"/>
        <v>0,0616063306997972-12,1233201992107i</v>
      </c>
      <c r="AQ202">
        <f t="shared" si="186"/>
        <v>21.672543663248291</v>
      </c>
      <c r="AR202" s="43">
        <f t="shared" si="187"/>
        <v>-89.708846066951679</v>
      </c>
      <c r="AS202" t="str">
        <f t="shared" si="164"/>
        <v>-0,0000166666666666667</v>
      </c>
      <c r="AT202" t="str">
        <f t="shared" si="165"/>
        <v>0,000962838835423818i</v>
      </c>
      <c r="AU202">
        <f t="shared" si="188"/>
        <v>9.6283883542381795E-4</v>
      </c>
      <c r="AV202">
        <f t="shared" si="189"/>
        <v>1.5707963267948966</v>
      </c>
      <c r="AW202" t="str">
        <f t="shared" si="166"/>
        <v>1+0,0343238461985795i</v>
      </c>
      <c r="AX202">
        <f t="shared" si="190"/>
        <v>1.0005888898133257</v>
      </c>
      <c r="AY202">
        <f t="shared" si="191"/>
        <v>3.431037644208744E-2</v>
      </c>
      <c r="AZ202" t="str">
        <f t="shared" si="167"/>
        <v>1+5,06848795532357i</v>
      </c>
      <c r="BA202">
        <f t="shared" si="192"/>
        <v>5.1661949395333613</v>
      </c>
      <c r="BB202">
        <f t="shared" si="193"/>
        <v>1.3760006704311598</v>
      </c>
      <c r="BC202" s="41" t="str">
        <f t="shared" si="194"/>
        <v>-0,0870384537458103+0,0202974180855747i</v>
      </c>
      <c r="BD202">
        <f t="shared" si="195"/>
        <v>-20.975794718952901</v>
      </c>
      <c r="BE202" s="43">
        <f t="shared" si="196"/>
        <v>166.87319125924046</v>
      </c>
      <c r="BF202" s="41" t="str">
        <f t="shared" si="197"/>
        <v>0,0656531701729832+0,147513207834584i</v>
      </c>
      <c r="BG202" s="20">
        <f t="shared" si="198"/>
        <v>-15.838508854086646</v>
      </c>
      <c r="BH202" s="43">
        <f t="shared" si="199"/>
        <v>66.007761185924252</v>
      </c>
      <c r="BI202" s="41" t="str">
        <f t="shared" si="203"/>
        <v>0,240709978903609+1,05644549385558i</v>
      </c>
      <c r="BJ202" s="20">
        <f t="shared" si="200"/>
        <v>0.69674894429538892</v>
      </c>
      <c r="BK202" s="43">
        <f t="shared" si="204"/>
        <v>77.164345192288764</v>
      </c>
      <c r="BL202">
        <f t="shared" si="201"/>
        <v>-15.838508854086646</v>
      </c>
      <c r="BM202" s="43">
        <f t="shared" si="202"/>
        <v>66.007761185924252</v>
      </c>
    </row>
    <row r="203" spans="14:65" x14ac:dyDescent="0.35">
      <c r="N203" s="9">
        <v>85</v>
      </c>
      <c r="O203" s="34">
        <f t="shared" si="205"/>
        <v>707.94578438413873</v>
      </c>
      <c r="P203" s="33" t="str">
        <f t="shared" si="155"/>
        <v>59,1053597814893</v>
      </c>
      <c r="Q203" s="4" t="str">
        <f t="shared" si="156"/>
        <v>1+34,1782707609331i</v>
      </c>
      <c r="R203" s="4">
        <f t="shared" si="168"/>
        <v>34.192896809244672</v>
      </c>
      <c r="S203" s="4">
        <f t="shared" si="169"/>
        <v>1.5415463157861389</v>
      </c>
      <c r="T203" s="4" t="str">
        <f t="shared" si="157"/>
        <v>1+0,0057826009159388i</v>
      </c>
      <c r="U203" s="4">
        <f t="shared" si="170"/>
        <v>1.0000167190969123</v>
      </c>
      <c r="V203" s="4">
        <f t="shared" si="171"/>
        <v>5.7825364634496983E-3</v>
      </c>
      <c r="W203" t="str">
        <f t="shared" si="158"/>
        <v>1-0,213511418434664i</v>
      </c>
      <c r="X203" s="4">
        <f t="shared" si="172"/>
        <v>1.0225395473046419</v>
      </c>
      <c r="Y203" s="4">
        <f t="shared" si="173"/>
        <v>-0.21035291352598279</v>
      </c>
      <c r="Z203" t="str">
        <f t="shared" si="159"/>
        <v>0,999989644891867+0,0199762577096067i</v>
      </c>
      <c r="AA203" s="4">
        <f t="shared" si="174"/>
        <v>1.0001891524921889</v>
      </c>
      <c r="AB203" s="4">
        <f t="shared" si="175"/>
        <v>1.9973807940551425E-2</v>
      </c>
      <c r="AC203" s="47" t="str">
        <f t="shared" si="176"/>
        <v>-0,342942509643259-1,73364855337079i</v>
      </c>
      <c r="AD203" s="20">
        <f t="shared" si="177"/>
        <v>4.9459240817929917</v>
      </c>
      <c r="AE203" s="43">
        <f t="shared" si="178"/>
        <v>-101.18953193336849</v>
      </c>
      <c r="AF203" t="str">
        <f t="shared" si="160"/>
        <v>405,634542683733</v>
      </c>
      <c r="AG203" t="str">
        <f t="shared" si="161"/>
        <v>1+34,2390843706902i</v>
      </c>
      <c r="AH203">
        <f t="shared" si="179"/>
        <v>34.253684452088393</v>
      </c>
      <c r="AI203">
        <f t="shared" si="180"/>
        <v>1.5415982385252309</v>
      </c>
      <c r="AJ203" t="str">
        <f t="shared" si="162"/>
        <v>1+0,0057826009159388i</v>
      </c>
      <c r="AK203">
        <f t="shared" si="181"/>
        <v>1.0000167190969123</v>
      </c>
      <c r="AL203">
        <f t="shared" si="182"/>
        <v>5.7825364634496983E-3</v>
      </c>
      <c r="AM203" t="str">
        <f t="shared" si="163"/>
        <v>1-0,0311659525908401i</v>
      </c>
      <c r="AN203">
        <f t="shared" si="183"/>
        <v>1.0004855404256947</v>
      </c>
      <c r="AO203">
        <f t="shared" si="184"/>
        <v>-3.1155867798459025E-2</v>
      </c>
      <c r="AP203" s="41" t="str">
        <f t="shared" si="185"/>
        <v>0,0453156796198601-11,8479316262486i</v>
      </c>
      <c r="AQ203">
        <f t="shared" si="186"/>
        <v>21.472914316700621</v>
      </c>
      <c r="AR203" s="43">
        <f t="shared" si="187"/>
        <v>-89.78085756998081</v>
      </c>
      <c r="AS203" t="str">
        <f t="shared" si="164"/>
        <v>-0,0000166666666666667</v>
      </c>
      <c r="AT203" t="str">
        <f t="shared" si="165"/>
        <v>0,000985266232984956i</v>
      </c>
      <c r="AU203">
        <f t="shared" si="188"/>
        <v>9.8526623298495603E-4</v>
      </c>
      <c r="AV203">
        <f t="shared" si="189"/>
        <v>1.5707963267948966</v>
      </c>
      <c r="AW203" t="str">
        <f t="shared" si="166"/>
        <v>1+0,0351233512831289i</v>
      </c>
      <c r="AX203">
        <f t="shared" si="190"/>
        <v>1.0006166347834509</v>
      </c>
      <c r="AY203">
        <f t="shared" si="191"/>
        <v>3.5108918659347808E-2</v>
      </c>
      <c r="AZ203" t="str">
        <f t="shared" si="167"/>
        <v>1+5,18654820614203i</v>
      </c>
      <c r="BA203">
        <f t="shared" si="192"/>
        <v>5.282071780526568</v>
      </c>
      <c r="BB203">
        <f t="shared" si="193"/>
        <v>1.3803271032862308</v>
      </c>
      <c r="BC203" s="41" t="str">
        <f t="shared" si="194"/>
        <v>-0,0870336270304927+0,0199728142756217i</v>
      </c>
      <c r="BD203">
        <f t="shared" si="195"/>
        <v>-20.983365382208493</v>
      </c>
      <c r="BE203" s="43">
        <f t="shared" si="196"/>
        <v>167.07532450337081</v>
      </c>
      <c r="BF203" s="41" t="str">
        <f t="shared" si="197"/>
        <v>0,0644733710528676+0,144036194543706i</v>
      </c>
      <c r="BG203" s="20">
        <f t="shared" si="198"/>
        <v>-16.037441300415509</v>
      </c>
      <c r="BH203" s="43">
        <f t="shared" si="199"/>
        <v>65.885792570002295</v>
      </c>
      <c r="BI203" s="41" t="str">
        <f t="shared" si="203"/>
        <v>0,23269254996266+1,03207354389452i</v>
      </c>
      <c r="BJ203" s="20">
        <f t="shared" si="200"/>
        <v>0.48954893449212589</v>
      </c>
      <c r="BK203" s="43">
        <f t="shared" si="204"/>
        <v>77.294466933389984</v>
      </c>
      <c r="BL203">
        <f t="shared" si="201"/>
        <v>-16.037441300415509</v>
      </c>
      <c r="BM203" s="43">
        <f t="shared" si="202"/>
        <v>65.885792570002295</v>
      </c>
    </row>
    <row r="204" spans="14:65" x14ac:dyDescent="0.35">
      <c r="N204" s="9">
        <v>86</v>
      </c>
      <c r="O204" s="34">
        <f t="shared" si="205"/>
        <v>724.43596007499025</v>
      </c>
      <c r="P204" s="33" t="str">
        <f t="shared" si="155"/>
        <v>59,1053597814893</v>
      </c>
      <c r="Q204" s="4" t="str">
        <f t="shared" si="156"/>
        <v>1+34,974384957937i</v>
      </c>
      <c r="R204" s="4">
        <f t="shared" si="168"/>
        <v>34.988678214330548</v>
      </c>
      <c r="S204" s="4">
        <f t="shared" si="169"/>
        <v>1.5422117604838217</v>
      </c>
      <c r="T204" s="4" t="str">
        <f t="shared" si="157"/>
        <v>1+0,00591729499443644i</v>
      </c>
      <c r="U204" s="4">
        <f t="shared" si="170"/>
        <v>1.0000175070367774</v>
      </c>
      <c r="V204" s="4">
        <f t="shared" si="171"/>
        <v>5.9172259324153965E-3</v>
      </c>
      <c r="W204" t="str">
        <f t="shared" si="158"/>
        <v>1-0,218484738256115i</v>
      </c>
      <c r="X204" s="4">
        <f t="shared" si="172"/>
        <v>1.0235895568297104</v>
      </c>
      <c r="Y204" s="4">
        <f t="shared" si="173"/>
        <v>-0.21510453747733943</v>
      </c>
      <c r="Z204" t="str">
        <f t="shared" si="159"/>
        <v>0,999989156870656+0,020441564526235i</v>
      </c>
      <c r="AA204" s="4">
        <f t="shared" si="174"/>
        <v>1.000198066094494</v>
      </c>
      <c r="AB204" s="4">
        <f t="shared" si="175"/>
        <v>2.0438939579451115E-2</v>
      </c>
      <c r="AC204" s="47" t="str">
        <f t="shared" si="176"/>
        <v>-0,34522592081581-1,69398826038002i</v>
      </c>
      <c r="AD204" s="20">
        <f t="shared" si="177"/>
        <v>4.7549353611196601</v>
      </c>
      <c r="AE204" s="43">
        <f t="shared" si="178"/>
        <v>-101.51884004600143</v>
      </c>
      <c r="AF204" t="str">
        <f t="shared" si="160"/>
        <v>405,634542683733</v>
      </c>
      <c r="AG204" t="str">
        <f t="shared" si="161"/>
        <v>1+35,0366150986368i</v>
      </c>
      <c r="AH204">
        <f t="shared" si="179"/>
        <v>35.050882978464671</v>
      </c>
      <c r="AI204">
        <f t="shared" si="180"/>
        <v>1.5422625032669912</v>
      </c>
      <c r="AJ204" t="str">
        <f t="shared" si="162"/>
        <v>1+0,00591729499443644i</v>
      </c>
      <c r="AK204">
        <f t="shared" si="181"/>
        <v>1.0000175070367774</v>
      </c>
      <c r="AL204">
        <f t="shared" si="182"/>
        <v>5.9172259324153965E-3</v>
      </c>
      <c r="AM204" t="str">
        <f t="shared" si="163"/>
        <v>1-0,0318919008839609i</v>
      </c>
      <c r="AN204">
        <f t="shared" si="183"/>
        <v>1.0005084174268561</v>
      </c>
      <c r="AO204">
        <f t="shared" si="184"/>
        <v>-3.1881095130786359E-2</v>
      </c>
      <c r="AP204" s="41" t="str">
        <f t="shared" si="185"/>
        <v>0,0297570069026646-11,5787821787236i</v>
      </c>
      <c r="AQ204">
        <f t="shared" si="186"/>
        <v>21.273286364004008</v>
      </c>
      <c r="AR204" s="43">
        <f t="shared" si="187"/>
        <v>-89.852752463376305</v>
      </c>
      <c r="AS204" t="str">
        <f t="shared" si="164"/>
        <v>-0,0000166666666666667</v>
      </c>
      <c r="AT204" t="str">
        <f t="shared" si="165"/>
        <v>0,00100821603174436i</v>
      </c>
      <c r="AU204">
        <f t="shared" si="188"/>
        <v>1.0082160317443599E-3</v>
      </c>
      <c r="AV204">
        <f t="shared" si="189"/>
        <v>1.5707963267948966</v>
      </c>
      <c r="AW204" t="str">
        <f t="shared" si="166"/>
        <v>1+0,035941479233441i</v>
      </c>
      <c r="AX204">
        <f t="shared" si="190"/>
        <v>1.0006456865092099</v>
      </c>
      <c r="AY204">
        <f t="shared" si="191"/>
        <v>3.5926014937337609E-2</v>
      </c>
      <c r="AZ204" t="str">
        <f t="shared" si="167"/>
        <v>1+5,30735843347145i</v>
      </c>
      <c r="BA204">
        <f t="shared" si="192"/>
        <v>5.400745646791794</v>
      </c>
      <c r="BB204">
        <f t="shared" si="193"/>
        <v>1.3845620405072454</v>
      </c>
      <c r="BC204" s="41" t="str">
        <f t="shared" si="194"/>
        <v>-0,0870285734128262+0,0196587843531092i</v>
      </c>
      <c r="BD204">
        <f t="shared" si="195"/>
        <v>-20.990629052839409</v>
      </c>
      <c r="BE204" s="43">
        <f t="shared" si="196"/>
        <v>167.27115236445306</v>
      </c>
      <c r="BF204" s="41" t="str">
        <f t="shared" si="197"/>
        <v>0,0633462693012387+0,140638659748527i</v>
      </c>
      <c r="BG204" s="20">
        <f t="shared" si="198"/>
        <v>-16.235693691719739</v>
      </c>
      <c r="BH204" s="43">
        <f t="shared" si="199"/>
        <v>65.752312318451629</v>
      </c>
      <c r="BI204" s="41" t="str">
        <f t="shared" si="203"/>
        <v>0,225035072063377+1,00826988145386i</v>
      </c>
      <c r="BJ204" s="20">
        <f t="shared" si="200"/>
        <v>0.282657311164563</v>
      </c>
      <c r="BK204" s="43">
        <f t="shared" si="204"/>
        <v>77.418399901076668</v>
      </c>
      <c r="BL204">
        <f t="shared" si="201"/>
        <v>-16.235693691719739</v>
      </c>
      <c r="BM204" s="43">
        <f t="shared" si="202"/>
        <v>65.752312318451629</v>
      </c>
    </row>
    <row r="205" spans="14:65" x14ac:dyDescent="0.35">
      <c r="N205" s="9">
        <v>87</v>
      </c>
      <c r="O205" s="34">
        <f t="shared" si="205"/>
        <v>741.31024130091828</v>
      </c>
      <c r="P205" s="33" t="str">
        <f t="shared" si="155"/>
        <v>59,1053597814893</v>
      </c>
      <c r="Q205" s="4" t="str">
        <f t="shared" si="156"/>
        <v>1+35,7890430367863i</v>
      </c>
      <c r="R205" s="4">
        <f t="shared" si="168"/>
        <v>35.803011067352166</v>
      </c>
      <c r="S205" s="4">
        <f t="shared" si="169"/>
        <v>1.5428620822804131</v>
      </c>
      <c r="T205" s="4" t="str">
        <f t="shared" si="157"/>
        <v>1+0,00605512650106479i</v>
      </c>
      <c r="U205" s="4">
        <f t="shared" si="170"/>
        <v>1.0000183321104388</v>
      </c>
      <c r="V205" s="4">
        <f t="shared" si="171"/>
        <v>6.0550524998492488E-3</v>
      </c>
      <c r="W205" t="str">
        <f t="shared" si="158"/>
        <v>1-0,223573901577777i</v>
      </c>
      <c r="X205" s="4">
        <f t="shared" si="172"/>
        <v>1.024687898565563</v>
      </c>
      <c r="Y205" s="4">
        <f t="shared" si="173"/>
        <v>-0.21995664748817567</v>
      </c>
      <c r="Z205" t="str">
        <f t="shared" si="159"/>
        <v>0,999988645849714+0,0209177097309511i</v>
      </c>
      <c r="AA205" s="4">
        <f t="shared" si="174"/>
        <v>1.0002073996970493</v>
      </c>
      <c r="AB205" s="4">
        <f t="shared" si="175"/>
        <v>2.0914897081271238E-2</v>
      </c>
      <c r="AC205" s="47" t="str">
        <f t="shared" si="176"/>
        <v>-0,347406248487494-1,65522026489994i</v>
      </c>
      <c r="AD205" s="20">
        <f t="shared" si="177"/>
        <v>4.5643363610237824</v>
      </c>
      <c r="AE205" s="43">
        <f t="shared" si="178"/>
        <v>-101.85347964108874</v>
      </c>
      <c r="AF205" t="str">
        <f t="shared" si="160"/>
        <v>405,634542683733</v>
      </c>
      <c r="AG205" t="str">
        <f t="shared" si="161"/>
        <v>1+35,852722703673i</v>
      </c>
      <c r="AH205">
        <f t="shared" si="179"/>
        <v>35.866665934631691</v>
      </c>
      <c r="AI205">
        <f t="shared" si="180"/>
        <v>1.5429116718367242</v>
      </c>
      <c r="AJ205" t="str">
        <f t="shared" si="162"/>
        <v>1+0,00605512650106479i</v>
      </c>
      <c r="AK205">
        <f t="shared" si="181"/>
        <v>1.0000183321104388</v>
      </c>
      <c r="AL205">
        <f t="shared" si="182"/>
        <v>6.0550524998492488E-3</v>
      </c>
      <c r="AM205" t="str">
        <f t="shared" si="163"/>
        <v>1-0,0326347586850695i</v>
      </c>
      <c r="AN205">
        <f t="shared" si="183"/>
        <v>1.0005323720272288</v>
      </c>
      <c r="AO205">
        <f t="shared" si="184"/>
        <v>-3.262318044464891E-2</v>
      </c>
      <c r="AP205" s="41" t="str">
        <f t="shared" si="185"/>
        <v>0,0148974754643192-11,3157320024676i</v>
      </c>
      <c r="AQ205">
        <f t="shared" si="186"/>
        <v>21.073660592180662</v>
      </c>
      <c r="AR205" s="43">
        <f t="shared" si="187"/>
        <v>-89.924568558518786</v>
      </c>
      <c r="AS205" t="str">
        <f t="shared" si="164"/>
        <v>-0,0000166666666666667</v>
      </c>
      <c r="AT205" t="str">
        <f t="shared" si="165"/>
        <v>0,00103170039998912i</v>
      </c>
      <c r="AU205">
        <f t="shared" si="188"/>
        <v>1.0317003999891199E-3</v>
      </c>
      <c r="AV205">
        <f t="shared" si="189"/>
        <v>1.5707963267948966</v>
      </c>
      <c r="AW205" t="str">
        <f t="shared" si="166"/>
        <v>1+0,0367786638317844i</v>
      </c>
      <c r="AX205">
        <f t="shared" si="190"/>
        <v>1.0006761064966283</v>
      </c>
      <c r="AY205">
        <f t="shared" si="191"/>
        <v>3.6762094144575777E-2</v>
      </c>
      <c r="AZ205" t="str">
        <f t="shared" si="167"/>
        <v>1+5,43098269249349i</v>
      </c>
      <c r="BA205">
        <f t="shared" si="192"/>
        <v>5.5222796928590867</v>
      </c>
      <c r="BB205">
        <f t="shared" si="193"/>
        <v>1.3887071196010292</v>
      </c>
      <c r="BC205" s="41" t="str">
        <f t="shared" si="194"/>
        <v>-0,0870232822544754+0,0193551606765294i</v>
      </c>
      <c r="BD205">
        <f t="shared" si="195"/>
        <v>-20.997599607245746</v>
      </c>
      <c r="BE205" s="43">
        <f t="shared" si="196"/>
        <v>167.46074409236144</v>
      </c>
      <c r="BF205" s="41" t="str">
        <f t="shared" si="197"/>
        <v>0,0622694862012815+0,137318596546209i</v>
      </c>
      <c r="BG205" s="20">
        <f t="shared" si="198"/>
        <v>-16.43326324622198</v>
      </c>
      <c r="BH205" s="43">
        <f t="shared" si="199"/>
        <v>65.607264451272655</v>
      </c>
      <c r="BI205" s="41" t="str">
        <f t="shared" si="203"/>
        <v>0,217721383868096+0,985020482998025i</v>
      </c>
      <c r="BJ205" s="20">
        <f t="shared" si="200"/>
        <v>7.6060984934916948E-2</v>
      </c>
      <c r="BK205" s="43">
        <f t="shared" si="204"/>
        <v>77.536175533842638</v>
      </c>
      <c r="BL205">
        <f t="shared" si="201"/>
        <v>-16.43326324622198</v>
      </c>
      <c r="BM205" s="43">
        <f t="shared" si="202"/>
        <v>65.607264451272655</v>
      </c>
    </row>
    <row r="206" spans="14:65" x14ac:dyDescent="0.35">
      <c r="N206" s="9">
        <v>88</v>
      </c>
      <c r="O206" s="34">
        <f t="shared" si="205"/>
        <v>758.57757502918378</v>
      </c>
      <c r="P206" s="33" t="str">
        <f t="shared" si="155"/>
        <v>59,1053597814893</v>
      </c>
      <c r="Q206" s="4" t="str">
        <f t="shared" si="156"/>
        <v>1+36,6226769399778i</v>
      </c>
      <c r="R206" s="4">
        <f t="shared" si="168"/>
        <v>36.63632713919317</v>
      </c>
      <c r="S206" s="4">
        <f t="shared" si="169"/>
        <v>1.5434976237836138</v>
      </c>
      <c r="T206" s="4" t="str">
        <f t="shared" si="157"/>
        <v>1+0,00619616851591308i</v>
      </c>
      <c r="U206" s="4">
        <f t="shared" si="170"/>
        <v>1.0000191960678941</v>
      </c>
      <c r="V206" s="4">
        <f t="shared" si="171"/>
        <v>6.1960892222642236E-3</v>
      </c>
      <c r="W206" t="str">
        <f t="shared" si="158"/>
        <v>1-0,228781606741406i</v>
      </c>
      <c r="X206" s="4">
        <f t="shared" si="172"/>
        <v>1.0258367431434592</v>
      </c>
      <c r="Y206" s="4">
        <f t="shared" si="173"/>
        <v>-0.22491090192938565</v>
      </c>
      <c r="Z206" t="str">
        <f t="shared" si="159"/>
        <v>0,999988110745096+0,0214049457822452i</v>
      </c>
      <c r="AA206" s="4">
        <f t="shared" si="174"/>
        <v>1.000217173085669</v>
      </c>
      <c r="AB206" s="4">
        <f t="shared" si="175"/>
        <v>2.1401932009128148E-2</v>
      </c>
      <c r="AC206" s="47" t="str">
        <f t="shared" si="176"/>
        <v>-0,349488095243645-1,61732440466021i</v>
      </c>
      <c r="AD206" s="20">
        <f t="shared" si="177"/>
        <v>4.3741443445309853</v>
      </c>
      <c r="AE206" s="43">
        <f t="shared" si="178"/>
        <v>-102.1935755939337</v>
      </c>
      <c r="AF206" t="str">
        <f t="shared" si="160"/>
        <v>405,634542683733</v>
      </c>
      <c r="AG206" t="str">
        <f t="shared" si="161"/>
        <v>1+36,6878398968537i</v>
      </c>
      <c r="AH206">
        <f t="shared" si="179"/>
        <v>36.701465860332753</v>
      </c>
      <c r="AI206">
        <f t="shared" si="180"/>
        <v>1.5435460862423658</v>
      </c>
      <c r="AJ206" t="str">
        <f t="shared" si="162"/>
        <v>1+0,00619616851591308i</v>
      </c>
      <c r="AK206">
        <f t="shared" si="181"/>
        <v>1.0000191960678941</v>
      </c>
      <c r="AL206">
        <f t="shared" si="182"/>
        <v>6.1960892222642236E-3</v>
      </c>
      <c r="AM206" t="str">
        <f t="shared" si="163"/>
        <v>1-0,0333949198672051i</v>
      </c>
      <c r="AN206">
        <f t="shared" si="183"/>
        <v>1.0005574549584531</v>
      </c>
      <c r="AO206">
        <f t="shared" si="184"/>
        <v>-3.338251393235836E-2</v>
      </c>
      <c r="AP206" s="41" t="str">
        <f t="shared" si="185"/>
        <v>0,000705716702361161-11,0586442873387i</v>
      </c>
      <c r="AQ206">
        <f t="shared" si="186"/>
        <v>20.874037792835026</v>
      </c>
      <c r="AR206" s="43">
        <f t="shared" si="187"/>
        <v>-89.996343621562303</v>
      </c>
      <c r="AS206" t="str">
        <f t="shared" si="164"/>
        <v>-0,0000166666666666667</v>
      </c>
      <c r="AT206" t="str">
        <f t="shared" si="165"/>
        <v>0,00105573178944211i</v>
      </c>
      <c r="AU206">
        <f t="shared" si="188"/>
        <v>1.0557317894421101E-3</v>
      </c>
      <c r="AV206">
        <f t="shared" si="189"/>
        <v>1.5707963267948966</v>
      </c>
      <c r="AW206" t="str">
        <f t="shared" si="166"/>
        <v>1+0,0376353489645146i</v>
      </c>
      <c r="AX206">
        <f t="shared" si="190"/>
        <v>1.0007079591427666</v>
      </c>
      <c r="AY206">
        <f t="shared" si="191"/>
        <v>3.7617594903109917E-2</v>
      </c>
      <c r="AZ206" t="str">
        <f t="shared" si="167"/>
        <v>1+5,55748653042665i</v>
      </c>
      <c r="BA206">
        <f t="shared" si="192"/>
        <v>5.6467385751311046</v>
      </c>
      <c r="BB206">
        <f t="shared" si="193"/>
        <v>1.3927639683096433</v>
      </c>
      <c r="BC206" s="41" t="str">
        <f t="shared" si="194"/>
        <v>-0,0870177424210513+0,0190617810408304i</v>
      </c>
      <c r="BD206">
        <f t="shared" si="195"/>
        <v>-21.004290428538166</v>
      </c>
      <c r="BE206" s="43">
        <f t="shared" si="196"/>
        <v>167.64416781865381</v>
      </c>
      <c r="BF206" s="41" t="str">
        <f t="shared" si="197"/>
        <v>0,0612407487247597+0,134074052908091i</v>
      </c>
      <c r="BG206" s="20">
        <f t="shared" si="198"/>
        <v>-16.630146084007183</v>
      </c>
      <c r="BH206" s="43">
        <f t="shared" si="199"/>
        <v>65.450592224720083</v>
      </c>
      <c r="BI206" s="41" t="str">
        <f t="shared" si="203"/>
        <v>0,210736046139452+0,962311712338927i</v>
      </c>
      <c r="BJ206" s="20">
        <f t="shared" si="200"/>
        <v>-0.13025263570313506</v>
      </c>
      <c r="BK206" s="43">
        <f t="shared" si="204"/>
        <v>77.647824197091495</v>
      </c>
      <c r="BL206">
        <f t="shared" si="201"/>
        <v>-16.630146084007183</v>
      </c>
      <c r="BM206" s="43">
        <f t="shared" si="202"/>
        <v>65.450592224720083</v>
      </c>
    </row>
    <row r="207" spans="14:65" x14ac:dyDescent="0.35">
      <c r="N207" s="9">
        <v>89</v>
      </c>
      <c r="O207" s="34">
        <f t="shared" si="205"/>
        <v>776.24711662869231</v>
      </c>
      <c r="P207" s="33" t="str">
        <f t="shared" si="155"/>
        <v>59,1053597814893</v>
      </c>
      <c r="Q207" s="4" t="str">
        <f t="shared" si="156"/>
        <v>1+37,4757286712413i</v>
      </c>
      <c r="R207" s="4">
        <f t="shared" si="168"/>
        <v>37.489068265835805</v>
      </c>
      <c r="S207" s="4">
        <f t="shared" si="169"/>
        <v>1.5441187199111377</v>
      </c>
      <c r="T207" s="4" t="str">
        <f t="shared" si="157"/>
        <v>1+0,0063404958213245i</v>
      </c>
      <c r="U207" s="4">
        <f t="shared" si="170"/>
        <v>1.0000201007416103</v>
      </c>
      <c r="V207" s="4">
        <f t="shared" si="171"/>
        <v>6.3404108567412052E-3</v>
      </c>
      <c r="W207" t="str">
        <f t="shared" si="158"/>
        <v>1-0,234110614941213i</v>
      </c>
      <c r="X207" s="4">
        <f t="shared" si="172"/>
        <v>1.0270383537279184</v>
      </c>
      <c r="Y207" s="4">
        <f t="shared" si="173"/>
        <v>-0.22996895436983877</v>
      </c>
      <c r="Z207" t="str">
        <f t="shared" si="159"/>
        <v>0,999987550421775+0,021903531019121i</v>
      </c>
      <c r="AA207" s="4">
        <f t="shared" si="174"/>
        <v>1.0002274069778569</v>
      </c>
      <c r="AB207" s="4">
        <f t="shared" si="175"/>
        <v>2.1900301742666047E-2</v>
      </c>
      <c r="AC207" s="47" t="str">
        <f t="shared" si="176"/>
        <v>-0,351475856732397-1,58028095373664i</v>
      </c>
      <c r="AD207" s="20">
        <f t="shared" si="177"/>
        <v>4.1843771968004821</v>
      </c>
      <c r="AE207" s="43">
        <f t="shared" si="178"/>
        <v>-102.53925229992744</v>
      </c>
      <c r="AF207" t="str">
        <f t="shared" si="160"/>
        <v>405,634542683733</v>
      </c>
      <c r="AG207" t="str">
        <f t="shared" si="161"/>
        <v>1+37,5424094683687i</v>
      </c>
      <c r="AH207">
        <f t="shared" si="179"/>
        <v>37.55572537830497</v>
      </c>
      <c r="AI207">
        <f t="shared" si="180"/>
        <v>1.5441660808149409</v>
      </c>
      <c r="AJ207" t="str">
        <f t="shared" si="162"/>
        <v>1+0,0063404958213245i</v>
      </c>
      <c r="AK207">
        <f t="shared" si="181"/>
        <v>1.0000201007416103</v>
      </c>
      <c r="AL207">
        <f t="shared" si="182"/>
        <v>6.3404108567412052E-3</v>
      </c>
      <c r="AM207" t="str">
        <f t="shared" si="163"/>
        <v>1-0,0341727874778884i</v>
      </c>
      <c r="AN207">
        <f t="shared" si="183"/>
        <v>1.0005837193378717</v>
      </c>
      <c r="AO207">
        <f t="shared" si="184"/>
        <v>-3.4159494698002106E-2</v>
      </c>
      <c r="AP207" s="41" t="str">
        <f t="shared" si="185"/>
        <v>-0,012848234769107-10,8073852073031i</v>
      </c>
      <c r="AQ207">
        <f t="shared" si="186"/>
        <v>20.674418763814785</v>
      </c>
      <c r="AR207" s="43">
        <f t="shared" si="187"/>
        <v>-90.068115391978139</v>
      </c>
      <c r="AS207" t="str">
        <f t="shared" si="164"/>
        <v>-0,0000166666666666667</v>
      </c>
      <c r="AT207" t="str">
        <f t="shared" si="165"/>
        <v>0,00108032294186413i</v>
      </c>
      <c r="AU207">
        <f t="shared" si="188"/>
        <v>1.08032294186413E-3</v>
      </c>
      <c r="AV207">
        <f t="shared" si="189"/>
        <v>1.5707963267948966</v>
      </c>
      <c r="AW207" t="str">
        <f t="shared" si="166"/>
        <v>1+0,0385119888574286i</v>
      </c>
      <c r="AX207">
        <f t="shared" si="190"/>
        <v>1.0007413118712321</v>
      </c>
      <c r="AY207">
        <f t="shared" si="191"/>
        <v>3.849296579890505E-2</v>
      </c>
      <c r="AZ207" t="str">
        <f t="shared" si="167"/>
        <v>1+5,68693702128028i</v>
      </c>
      <c r="BA207">
        <f t="shared" si="192"/>
        <v>5.7741884870523768</v>
      </c>
      <c r="BB207">
        <f t="shared" si="193"/>
        <v>1.3967342032234737</v>
      </c>
      <c r="BC207" s="41" t="str">
        <f t="shared" si="194"/>
        <v>-0,0870119422592383+0,0187784885856555i</v>
      </c>
      <c r="BD207">
        <f t="shared" si="195"/>
        <v>-21.010714424315843</v>
      </c>
      <c r="BE207" s="43">
        <f t="shared" si="196"/>
        <v>167.82149046505421</v>
      </c>
      <c r="BF207" s="41" t="str">
        <f t="shared" si="197"/>
        <v>0,0602578848033879+0,130903129736124i</v>
      </c>
      <c r="BG207" s="20">
        <f t="shared" si="198"/>
        <v>-16.826337227515353</v>
      </c>
      <c r="BH207" s="43">
        <f t="shared" si="199"/>
        <v>65.282238165126827</v>
      </c>
      <c r="BI207" s="41" t="str">
        <f t="shared" si="203"/>
        <v>0,204064309617986+0,940130307201246i</v>
      </c>
      <c r="BJ207" s="20">
        <f t="shared" si="200"/>
        <v>-0.3362956605010573</v>
      </c>
      <c r="BK207" s="43">
        <f t="shared" si="204"/>
        <v>77.753375073076072</v>
      </c>
      <c r="BL207">
        <f t="shared" si="201"/>
        <v>-16.826337227515353</v>
      </c>
      <c r="BM207" s="43">
        <f t="shared" si="202"/>
        <v>65.282238165126827</v>
      </c>
    </row>
    <row r="208" spans="14:65" x14ac:dyDescent="0.35">
      <c r="N208" s="9">
        <v>90</v>
      </c>
      <c r="O208" s="34">
        <f t="shared" si="205"/>
        <v>794.32823472428208</v>
      </c>
      <c r="P208" s="33" t="str">
        <f t="shared" si="155"/>
        <v>59,1053597814893</v>
      </c>
      <c r="Q208" s="4" t="str">
        <f t="shared" si="156"/>
        <v>1+38,3486505298961i</v>
      </c>
      <c r="R208" s="4">
        <f t="shared" si="168"/>
        <v>38.36168658263216</v>
      </c>
      <c r="S208" s="4">
        <f t="shared" si="169"/>
        <v>1.5447256980585207</v>
      </c>
      <c r="T208" s="4" t="str">
        <f t="shared" si="157"/>
        <v>1+0,00648818494154676i</v>
      </c>
      <c r="U208" s="4">
        <f t="shared" si="170"/>
        <v>1.0000210480504077</v>
      </c>
      <c r="V208" s="4">
        <f t="shared" si="171"/>
        <v>6.488093900458989E-3</v>
      </c>
      <c r="W208" t="str">
        <f t="shared" si="158"/>
        <v>1-0,239563751687881i</v>
      </c>
      <c r="X208" s="4">
        <f t="shared" si="172"/>
        <v>1.0282950895160263</v>
      </c>
      <c r="Y208" s="4">
        <f t="shared" si="173"/>
        <v>-0.23513245095623472</v>
      </c>
      <c r="Z208" t="str">
        <f t="shared" si="159"/>
        <v>0,99998696369123+0,0224137297980706i</v>
      </c>
      <c r="AA208" s="4">
        <f t="shared" si="174"/>
        <v>1.0002381230666357</v>
      </c>
      <c r="AB208" s="4">
        <f t="shared" si="175"/>
        <v>2.2410269610461966E-2</v>
      </c>
      <c r="AC208" s="47" t="str">
        <f t="shared" si="176"/>
        <v>-0,353373730817369-1,54407061383217i</v>
      </c>
      <c r="AD208" s="20">
        <f t="shared" si="177"/>
        <v>3.9950534421489965</v>
      </c>
      <c r="AE208" s="43">
        <f t="shared" si="178"/>
        <v>-102.89063353936109</v>
      </c>
      <c r="AF208" t="str">
        <f t="shared" si="160"/>
        <v>405,634542683733</v>
      </c>
      <c r="AG208" t="str">
        <f t="shared" si="161"/>
        <v>1+38,4168845223163i</v>
      </c>
      <c r="AH208">
        <f t="shared" si="179"/>
        <v>38.429897428967806</v>
      </c>
      <c r="AI208">
        <f t="shared" si="180"/>
        <v>1.5447719823761124</v>
      </c>
      <c r="AJ208" t="str">
        <f t="shared" si="162"/>
        <v>1+0,00648818494154676i</v>
      </c>
      <c r="AK208">
        <f t="shared" si="181"/>
        <v>1.0000210480504077</v>
      </c>
      <c r="AL208">
        <f t="shared" si="182"/>
        <v>6.488093900458989E-3</v>
      </c>
      <c r="AM208" t="str">
        <f t="shared" si="163"/>
        <v>1-0,0349687739528227i</v>
      </c>
      <c r="AN208">
        <f t="shared" si="183"/>
        <v>1.0006112207804607</v>
      </c>
      <c r="AO208">
        <f t="shared" si="184"/>
        <v>-3.4954530952421209E-2</v>
      </c>
      <c r="AP208" s="41" t="str">
        <f t="shared" si="185"/>
        <v>-0,0257930035194449-10,5618238612621i</v>
      </c>
      <c r="AQ208">
        <f t="shared" si="186"/>
        <v>20.47480431088406</v>
      </c>
      <c r="AR208" s="43">
        <f t="shared" si="187"/>
        <v>-90.139921601061076</v>
      </c>
      <c r="AS208" t="str">
        <f t="shared" si="164"/>
        <v>-0,0000166666666666667</v>
      </c>
      <c r="AT208" t="str">
        <f t="shared" si="165"/>
        <v>0,0011054868958097i</v>
      </c>
      <c r="AU208">
        <f t="shared" si="188"/>
        <v>1.1054868958097E-3</v>
      </c>
      <c r="AV208">
        <f t="shared" si="189"/>
        <v>1.5707963267948966</v>
      </c>
      <c r="AW208" t="str">
        <f t="shared" si="166"/>
        <v>1+0,0394090483166012i</v>
      </c>
      <c r="AX208">
        <f t="shared" si="190"/>
        <v>1.0007762352740097</v>
      </c>
      <c r="AY208">
        <f t="shared" si="191"/>
        <v>3.9388665595941501E-2</v>
      </c>
      <c r="AZ208" t="str">
        <f t="shared" si="167"/>
        <v>1+5,8194028014181i</v>
      </c>
      <c r="BA208">
        <f t="shared" si="192"/>
        <v>5.9046971950433536</v>
      </c>
      <c r="BB208">
        <f t="shared" si="193"/>
        <v>1.4006194285104403</v>
      </c>
      <c r="BC208" s="41" t="str">
        <f t="shared" si="194"/>
        <v>-0,0870058695729005+0,018505131706016i</v>
      </c>
      <c r="BD208">
        <f t="shared" si="195"/>
        <v>-21.01688404427588</v>
      </c>
      <c r="BE208" s="43">
        <f t="shared" si="196"/>
        <v>167.992777658374</v>
      </c>
      <c r="BF208" s="41" t="str">
        <f t="shared" si="197"/>
        <v>0,0593188188063385+0,127803979008209i</v>
      </c>
      <c r="BG208" s="20">
        <f t="shared" si="198"/>
        <v>-17.021830602126858</v>
      </c>
      <c r="BH208" s="43">
        <f t="shared" si="199"/>
        <v>65.102144119013005</v>
      </c>
      <c r="BI208" s="41" t="str">
        <f t="shared" si="203"/>
        <v>0,197692084308504+0,918463366397698i</v>
      </c>
      <c r="BJ208" s="20">
        <f t="shared" si="200"/>
        <v>-0.54207973339181292</v>
      </c>
      <c r="BK208" s="43">
        <f t="shared" si="204"/>
        <v>77.852856057312906</v>
      </c>
      <c r="BL208">
        <f t="shared" si="201"/>
        <v>-17.021830602126858</v>
      </c>
      <c r="BM208" s="43">
        <f t="shared" si="202"/>
        <v>65.102144119013005</v>
      </c>
    </row>
    <row r="209" spans="14:65" x14ac:dyDescent="0.35">
      <c r="N209" s="9">
        <v>91</v>
      </c>
      <c r="O209" s="34">
        <f t="shared" si="205"/>
        <v>812.83051616409978</v>
      </c>
      <c r="P209" s="33" t="str">
        <f t="shared" si="155"/>
        <v>59,1053597814893</v>
      </c>
      <c r="Q209" s="4" t="str">
        <f t="shared" si="156"/>
        <v>1+39,2419053506663i</v>
      </c>
      <c r="R209" s="4">
        <f t="shared" si="168"/>
        <v>39.254644764035916</v>
      </c>
      <c r="S209" s="4">
        <f t="shared" si="169"/>
        <v>1.5453188782635914</v>
      </c>
      <c r="T209" s="4" t="str">
        <f t="shared" si="157"/>
        <v>1+0,00663931418330631i</v>
      </c>
      <c r="U209" s="4">
        <f t="shared" si="170"/>
        <v>1.0000220400035313</v>
      </c>
      <c r="V209" s="4">
        <f t="shared" si="171"/>
        <v>6.6392166311393126E-3</v>
      </c>
      <c r="W209" t="str">
        <f t="shared" si="158"/>
        <v>1-0,245143908306695i</v>
      </c>
      <c r="X209" s="4">
        <f t="shared" si="172"/>
        <v>1.0296094093295192</v>
      </c>
      <c r="Y209" s="4">
        <f t="shared" si="173"/>
        <v>-0.2404030276163717</v>
      </c>
      <c r="Z209" t="str">
        <f t="shared" si="159"/>
        <v>0,999986349308925+0,02293581263324i</v>
      </c>
      <c r="AA209" s="4">
        <f t="shared" si="174"/>
        <v>1.0002493440664375</v>
      </c>
      <c r="AB209" s="4">
        <f t="shared" si="175"/>
        <v>2.2932105025295177E-2</v>
      </c>
      <c r="AC209" s="47" t="str">
        <f t="shared" si="176"/>
        <v>-0,355185726325904-1,50867450566952i</v>
      </c>
      <c r="AD209" s="20">
        <f t="shared" si="177"/>
        <v>3.8061922607321579</v>
      </c>
      <c r="AE209" s="43">
        <f t="shared" si="178"/>
        <v>-103.24784233204238</v>
      </c>
      <c r="AF209" t="str">
        <f t="shared" si="160"/>
        <v>405,634542683733</v>
      </c>
      <c r="AG209" t="str">
        <f t="shared" si="161"/>
        <v>1+39,3117287169452i</v>
      </c>
      <c r="AH209">
        <f t="shared" si="179"/>
        <v>39.324445510581505</v>
      </c>
      <c r="AI209">
        <f t="shared" si="180"/>
        <v>1.5453641104023965</v>
      </c>
      <c r="AJ209" t="str">
        <f t="shared" si="162"/>
        <v>1+0,00663931418330631i</v>
      </c>
      <c r="AK209">
        <f t="shared" si="181"/>
        <v>1.0000220400035313</v>
      </c>
      <c r="AL209">
        <f t="shared" si="182"/>
        <v>6.6392166311393126E-3</v>
      </c>
      <c r="AM209" t="str">
        <f t="shared" si="163"/>
        <v>1-0,0357833013345732i</v>
      </c>
      <c r="AN209">
        <f t="shared" si="183"/>
        <v>1.00064001751599</v>
      </c>
      <c r="AO209">
        <f t="shared" si="184"/>
        <v>-3.5768040211835508E-2</v>
      </c>
      <c r="AP209" s="41" t="str">
        <f t="shared" si="185"/>
        <v>-0,0381559329592447-10,3218322146489i</v>
      </c>
      <c r="AQ209">
        <f t="shared" si="186"/>
        <v>20.275195249412921</v>
      </c>
      <c r="AR209" s="43">
        <f t="shared" si="187"/>
        <v>-90.211799990401346</v>
      </c>
      <c r="AS209" t="str">
        <f t="shared" si="164"/>
        <v>-0,0000166666666666667</v>
      </c>
      <c r="AT209" t="str">
        <f t="shared" si="165"/>
        <v>0,00113123699354027i</v>
      </c>
      <c r="AU209">
        <f t="shared" si="188"/>
        <v>1.1312369935402699E-3</v>
      </c>
      <c r="AV209">
        <f t="shared" si="189"/>
        <v>1.5707963267948966</v>
      </c>
      <c r="AW209" t="str">
        <f t="shared" si="166"/>
        <v>1+0,0403270029748316i</v>
      </c>
      <c r="AX209">
        <f t="shared" si="190"/>
        <v>1.0008128032598964</v>
      </c>
      <c r="AY209">
        <f t="shared" si="191"/>
        <v>4.0305163454025142E-2</v>
      </c>
      <c r="AZ209" t="str">
        <f t="shared" si="167"/>
        <v>1+5,95495410595012i</v>
      </c>
      <c r="BA209">
        <f t="shared" si="192"/>
        <v>6.0383340752207637</v>
      </c>
      <c r="BB209">
        <f t="shared" si="193"/>
        <v>1.4044212347552689</v>
      </c>
      <c r="BC209" s="41" t="str">
        <f t="shared" si="194"/>
        <v>-0,086999511598113+0,018241563965312i</v>
      </c>
      <c r="BD209">
        <f t="shared" si="195"/>
        <v>-21.022811297629076</v>
      </c>
      <c r="BE209" s="43">
        <f t="shared" si="196"/>
        <v>168.15809365152811</v>
      </c>
      <c r="BF209" s="41" t="str">
        <f t="shared" si="197"/>
        <v>0,0584215672149807+0,124774802007433i</v>
      </c>
      <c r="BG209" s="20">
        <f t="shared" si="198"/>
        <v>-17.216619036896919</v>
      </c>
      <c r="BH209" s="43">
        <f t="shared" si="199"/>
        <v>64.910251319485738</v>
      </c>
      <c r="BI209" s="41" t="str">
        <f t="shared" si="203"/>
        <v>0,191605910114761+0,897298337580391i</v>
      </c>
      <c r="BJ209" s="20">
        <f t="shared" si="200"/>
        <v>-0.74761604821615935</v>
      </c>
      <c r="BK209" s="43">
        <f t="shared" si="204"/>
        <v>77.946293661126745</v>
      </c>
      <c r="BL209">
        <f t="shared" si="201"/>
        <v>-17.216619036896919</v>
      </c>
      <c r="BM209" s="43">
        <f t="shared" si="202"/>
        <v>64.910251319485738</v>
      </c>
    </row>
    <row r="210" spans="14:65" x14ac:dyDescent="0.35">
      <c r="N210" s="9">
        <v>92</v>
      </c>
      <c r="O210" s="34">
        <f t="shared" si="205"/>
        <v>831.7637711026714</v>
      </c>
      <c r="P210" s="33" t="str">
        <f t="shared" si="155"/>
        <v>59,1053597814893</v>
      </c>
      <c r="Q210" s="4" t="str">
        <f t="shared" si="156"/>
        <v>1+40,1559667490815i</v>
      </c>
      <c r="R210" s="4">
        <f t="shared" si="168"/>
        <v>40.16841626892127</v>
      </c>
      <c r="S210" s="4">
        <f t="shared" si="169"/>
        <v>1.545898573367646</v>
      </c>
      <c r="T210" s="4" t="str">
        <f t="shared" si="157"/>
        <v>1+0,00679396367732757i</v>
      </c>
      <c r="U210" s="4">
        <f t="shared" si="170"/>
        <v>1.0000230787049111</v>
      </c>
      <c r="V210" s="4">
        <f t="shared" si="171"/>
        <v>6.7938591484276523E-3</v>
      </c>
      <c r="W210" t="str">
        <f t="shared" si="158"/>
        <v>1-0,250854043470557i</v>
      </c>
      <c r="X210" s="4">
        <f t="shared" si="172"/>
        <v>1.0309838752985074</v>
      </c>
      <c r="Y210" s="4">
        <f t="shared" si="173"/>
        <v>-0.24578230707978635</v>
      </c>
      <c r="Z210" t="str">
        <f t="shared" si="159"/>
        <v>0,999985705971675+0,0234700563398589i</v>
      </c>
      <c r="AA210" s="4">
        <f t="shared" si="174"/>
        <v>1.0002610937611567</v>
      </c>
      <c r="AB210" s="4">
        <f t="shared" si="175"/>
        <v>2.3466083622331473E-2</v>
      </c>
      <c r="AC210" s="47" t="str">
        <f t="shared" si="176"/>
        <v>-0,356915671410045-1,47407416049904i</v>
      </c>
      <c r="AD210" s="20">
        <f t="shared" si="177"/>
        <v>3.6178135047988702</v>
      </c>
      <c r="AE210" s="43">
        <f t="shared" si="178"/>
        <v>-103.61100078137072</v>
      </c>
      <c r="AF210" t="str">
        <f t="shared" si="160"/>
        <v>405,634542683733</v>
      </c>
      <c r="AG210" t="str">
        <f t="shared" si="161"/>
        <v>1+40,2274165104921i</v>
      </c>
      <c r="AH210">
        <f t="shared" si="179"/>
        <v>40.239843925003136</v>
      </c>
      <c r="AI210">
        <f t="shared" si="180"/>
        <v>1.5459427771860847</v>
      </c>
      <c r="AJ210" t="str">
        <f t="shared" si="162"/>
        <v>1+0,00679396367732757i</v>
      </c>
      <c r="AK210">
        <f t="shared" si="181"/>
        <v>1.0000230787049111</v>
      </c>
      <c r="AL210">
        <f t="shared" si="182"/>
        <v>6.7938591484276523E-3</v>
      </c>
      <c r="AM210" t="str">
        <f t="shared" si="163"/>
        <v>1-0,0366168014963393i</v>
      </c>
      <c r="AN210">
        <f t="shared" si="183"/>
        <v>1.0006701705116539</v>
      </c>
      <c r="AO210">
        <f t="shared" si="184"/>
        <v>-3.6600449500136377E-2</v>
      </c>
      <c r="AP210" s="41" t="str">
        <f t="shared" si="185"/>
        <v>-0,0499631423734685-10,0872850418155i</v>
      </c>
      <c r="AQ210">
        <f t="shared" si="186"/>
        <v>20.075592406086287</v>
      </c>
      <c r="AR210" s="43">
        <f t="shared" si="187"/>
        <v>-90.283788330324342</v>
      </c>
      <c r="AS210" t="str">
        <f t="shared" si="164"/>
        <v>-0,0000166666666666667</v>
      </c>
      <c r="AT210" t="str">
        <f t="shared" si="165"/>
        <v>0,0011575868880985i</v>
      </c>
      <c r="AU210">
        <f t="shared" si="188"/>
        <v>1.1575868880985001E-3</v>
      </c>
      <c r="AV210">
        <f t="shared" si="189"/>
        <v>1.5707963267948966</v>
      </c>
      <c r="AW210" t="str">
        <f t="shared" si="166"/>
        <v>1+0,0412663395438303i</v>
      </c>
      <c r="AX210">
        <f t="shared" si="190"/>
        <v>1.0008510932098473</v>
      </c>
      <c r="AY210">
        <f t="shared" si="191"/>
        <v>4.1242939150306128E-2</v>
      </c>
      <c r="AZ210" t="str">
        <f t="shared" si="167"/>
        <v>1+6,09366280597227i</v>
      </c>
      <c r="BA210">
        <f t="shared" si="192"/>
        <v>6.1751701509261938</v>
      </c>
      <c r="BB210">
        <f t="shared" si="193"/>
        <v>1.408141197902929</v>
      </c>
      <c r="BC210" s="41" t="str">
        <f t="shared" si="194"/>
        <v>-0,0869928549770723+0,0179876440106295i</v>
      </c>
      <c r="BD210">
        <f t="shared" si="195"/>
        <v>-21.028507770299754</v>
      </c>
      <c r="BE210" s="43">
        <f t="shared" si="196"/>
        <v>168.31750125030646</v>
      </c>
      <c r="BF210" s="41" t="str">
        <f t="shared" si="197"/>
        <v>0,0575642344863427+0,121813847630604i</v>
      </c>
      <c r="BG210" s="20">
        <f t="shared" si="198"/>
        <v>-17.410694265500879</v>
      </c>
      <c r="BH210" s="43">
        <f t="shared" si="199"/>
        <v>64.706500468935758</v>
      </c>
      <c r="BI210" s="41" t="str">
        <f t="shared" si="203"/>
        <v>0,185792928764619+0,87662300553638i</v>
      </c>
      <c r="BJ210" s="20">
        <f t="shared" si="200"/>
        <v>-0.95291536421346856</v>
      </c>
      <c r="BK210" s="43">
        <f t="shared" si="204"/>
        <v>78.033712919982108</v>
      </c>
      <c r="BL210">
        <f t="shared" si="201"/>
        <v>-17.410694265500879</v>
      </c>
      <c r="BM210" s="43">
        <f t="shared" si="202"/>
        <v>64.706500468935758</v>
      </c>
    </row>
    <row r="211" spans="14:65" x14ac:dyDescent="0.35">
      <c r="N211" s="9">
        <v>93</v>
      </c>
      <c r="O211" s="34">
        <f t="shared" si="205"/>
        <v>851.13803820237763</v>
      </c>
      <c r="P211" s="33" t="str">
        <f t="shared" ref="P211:P274" si="206">COMPLEX(Adc,0)</f>
        <v>59,1053597814893</v>
      </c>
      <c r="Q211" s="4" t="str">
        <f t="shared" ref="Q211:Q274" si="207">IMSUM(COMPLEX(1,0),IMDIV(COMPLEX(0,2*PI()*O211),COMPLEX(wp_lf,0)))</f>
        <v>1+41,0913193725941i</v>
      </c>
      <c r="R211" s="4">
        <f t="shared" si="168"/>
        <v>41.103485591620178</v>
      </c>
      <c r="S211" s="4">
        <f t="shared" si="169"/>
        <v>1.5464650891733731</v>
      </c>
      <c r="T211" s="4" t="str">
        <f t="shared" ref="T211:T274" si="208">IMSUM(COMPLEX(1,0),IMDIV(COMPLEX(0,2*PI()*O211),COMPLEX(wz_esr,0)))</f>
        <v>1+0,00695221542081929i</v>
      </c>
      <c r="U211" s="4">
        <f t="shared" si="170"/>
        <v>1.0000241663576224</v>
      </c>
      <c r="V211" s="4">
        <f t="shared" si="171"/>
        <v>6.9521034162312572E-3</v>
      </c>
      <c r="W211" t="str">
        <f t="shared" ref="W211:W274" si="209">IMSUB(COMPLEX(1,0),IMDIV(COMPLEX(0,2*PI()*O211),COMPLEX(wz_rhp,0)))</f>
        <v>1-0,256697184768713i</v>
      </c>
      <c r="X211" s="4">
        <f t="shared" si="172"/>
        <v>1.0324211566353059</v>
      </c>
      <c r="Y211" s="4">
        <f t="shared" si="173"/>
        <v>-0.25127189571004288</v>
      </c>
      <c r="Z211" t="str">
        <f t="shared" ref="Z211:Z274" si="210">IMSUM(COMPLEX(1,0),IMDIV(COMPLEX(0,2*PI()*O211),COMPLEX(Q*(wsl/2),0)),IMDIV(IMPOWER(COMPLEX(0,2*PI()*O211),2),IMPOWER(COMPLEX(wsl/2,0),2)))</f>
        <v>0,999985032314874+0,0240167441810121i</v>
      </c>
      <c r="AA211" s="4">
        <f t="shared" si="174"/>
        <v>1.0002733970544433</v>
      </c>
      <c r="AB211" s="4">
        <f t="shared" si="175"/>
        <v>2.4012487400275121E-2</v>
      </c>
      <c r="AC211" s="47" t="str">
        <f t="shared" si="176"/>
        <v>-0,358567221536839-1,44025151172386i</v>
      </c>
      <c r="AD211" s="20">
        <f t="shared" si="177"/>
        <v>3.4299377144215142</v>
      </c>
      <c r="AE211" s="43">
        <f t="shared" si="178"/>
        <v>-103.98022990755194</v>
      </c>
      <c r="AF211" t="str">
        <f t="shared" ref="AF211:AF274" si="211">COMPLEX($B$72,0)</f>
        <v>405,634542683733</v>
      </c>
      <c r="AG211" t="str">
        <f t="shared" ref="AG211:AG274" si="212">IMSUM(COMPLEX(1,0),IMDIV(COMPLEX(0,2*PI()*O211),COMPLEX(wp_lf_DCM,0)))</f>
        <v>1+41,1644334127458i</v>
      </c>
      <c r="AH211">
        <f t="shared" si="179"/>
        <v>41.176578029170692</v>
      </c>
      <c r="AI211">
        <f t="shared" si="180"/>
        <v>1.5465082879929208</v>
      </c>
      <c r="AJ211" t="str">
        <f t="shared" ref="AJ211:AJ274" si="213">IMSUM(COMPLEX(1,0),IMDIV(COMPLEX(0,2*PI()*O211),COMPLEX(wz1_dcm,0)))</f>
        <v>1+0,00695221542081929i</v>
      </c>
      <c r="AK211">
        <f t="shared" si="181"/>
        <v>1.0000241663576224</v>
      </c>
      <c r="AL211">
        <f t="shared" si="182"/>
        <v>6.9521034162312572E-3</v>
      </c>
      <c r="AM211" t="str">
        <f t="shared" ref="AM211:AM274" si="214">IMSUB(COMPLEX(1,0),IMDIV(COMPLEX(0,2*PI()*O211),COMPLEX(wz2_dcm,0)))</f>
        <v>1-0,0374697163709395i</v>
      </c>
      <c r="AN211">
        <f t="shared" si="183"/>
        <v>1.0007017436004189</v>
      </c>
      <c r="AO211">
        <f t="shared" si="184"/>
        <v>-3.7452195554865918E-2</v>
      </c>
      <c r="AP211" s="41" t="str">
        <f t="shared" si="185"/>
        <v>-0,0612395814427633-9,85805986922735i</v>
      </c>
      <c r="AQ211">
        <f t="shared" si="186"/>
        <v>19.875996620635799</v>
      </c>
      <c r="AR211" s="43">
        <f t="shared" si="187"/>
        <v>-90.355924438300704</v>
      </c>
      <c r="AS211" t="str">
        <f t="shared" ref="AS211:AS274" si="215">COMPLEX(Adc_ea,0)</f>
        <v>-0,0000166666666666667</v>
      </c>
      <c r="AT211" t="str">
        <f t="shared" ref="AT211:AT274" si="216">COMPLEX(0,2*PI()*O211*wp0_ea)</f>
        <v>0,00118455055054729i</v>
      </c>
      <c r="AU211">
        <f t="shared" si="188"/>
        <v>1.18455055054729E-3</v>
      </c>
      <c r="AV211">
        <f t="shared" si="189"/>
        <v>1.5707963267948966</v>
      </c>
      <c r="AW211" t="str">
        <f t="shared" ref="AW211:AW274" si="217">IMSUM(COMPLEX(1,0),IMDIV(COMPLEX(0,2*PI()*O211),COMPLEX(wp1_ea,0)))</f>
        <v>1+0,0422275560722798i</v>
      </c>
      <c r="AX211">
        <f t="shared" si="190"/>
        <v>1.0008911861395511</v>
      </c>
      <c r="AY211">
        <f t="shared" si="191"/>
        <v>4.2202483304496219E-2</v>
      </c>
      <c r="AZ211" t="str">
        <f t="shared" ref="AZ211:AZ274" si="218">IMSUM(COMPLEX(1,0),IMDIV(COMPLEX(0,2*PI()*O211),COMPLEX(wz_ea,0)))</f>
        <v>1+6,23560244667331i</v>
      </c>
      <c r="BA211">
        <f t="shared" si="192"/>
        <v>6.3152781310848205</v>
      </c>
      <c r="BB211">
        <f t="shared" si="193"/>
        <v>1.4117808783005033</v>
      </c>
      <c r="BC211" s="41" t="str">
        <f t="shared" si="194"/>
        <v>-0,0869858857308402+0,0177432354902364i</v>
      </c>
      <c r="BD211">
        <f t="shared" si="195"/>
        <v>-21.03398464189063</v>
      </c>
      <c r="BE211" s="43">
        <f t="shared" si="196"/>
        <v>168.4710617455724</v>
      </c>
      <c r="BF211" s="41" t="str">
        <f t="shared" si="197"/>
        <v>0,0567450090971138+0,118919410771674i</v>
      </c>
      <c r="BG211" s="20">
        <f t="shared" si="198"/>
        <v>-17.604046927469096</v>
      </c>
      <c r="BH211" s="43">
        <f t="shared" si="199"/>
        <v>64.490831838020512</v>
      </c>
      <c r="BI211" s="41" t="str">
        <f t="shared" si="203"/>
        <v>0,180240856970135+0,856425480997529i</v>
      </c>
      <c r="BJ211" s="20">
        <f t="shared" si="200"/>
        <v>-1.1579880212548335</v>
      </c>
      <c r="BK211" s="43">
        <f t="shared" si="204"/>
        <v>78.115137307271652</v>
      </c>
      <c r="BL211">
        <f t="shared" si="201"/>
        <v>-17.604046927469096</v>
      </c>
      <c r="BM211" s="43">
        <f t="shared" si="202"/>
        <v>64.490831838020512</v>
      </c>
    </row>
    <row r="212" spans="14:65" x14ac:dyDescent="0.35">
      <c r="N212" s="9">
        <v>94</v>
      </c>
      <c r="O212" s="34">
        <f t="shared" si="205"/>
        <v>870.96358995608091</v>
      </c>
      <c r="P212" s="33" t="str">
        <f t="shared" si="206"/>
        <v>59,1053597814893</v>
      </c>
      <c r="Q212" s="4" t="str">
        <f t="shared" si="207"/>
        <v>1+42,0484591575458i</v>
      </c>
      <c r="R212" s="4">
        <f t="shared" ref="R212:R275" si="219">IMABS(Q212)</f>
        <v>42.060348518810414</v>
      </c>
      <c r="S212" s="4">
        <f t="shared" ref="S212:S275" si="220">IMARGUMENT(Q212)</f>
        <v>1.547018724599577</v>
      </c>
      <c r="T212" s="4" t="str">
        <f t="shared" si="208"/>
        <v>1+0,00711415332095056i</v>
      </c>
      <c r="U212" s="4">
        <f t="shared" ref="U212:U275" si="221">IMABS(T212)</f>
        <v>1.0000253052685588</v>
      </c>
      <c r="V212" s="4">
        <f t="shared" ref="V212:V275" si="222">IMARGUMENT(T212)</f>
        <v>7.114033306036229E-3</v>
      </c>
      <c r="W212" t="str">
        <f t="shared" si="209"/>
        <v>1-0,262676430312021i</v>
      </c>
      <c r="X212" s="4">
        <f t="shared" ref="X212:X275" si="223">IMABS(W212)</f>
        <v>1.0339240334964006</v>
      </c>
      <c r="Y212" s="4">
        <f t="shared" ref="Y212:Y275" si="224">IMARGUMENT(W212)</f>
        <v>-0.25687338014329131</v>
      </c>
      <c r="Z212" t="str">
        <f t="shared" si="210"/>
        <v>0,999984326909607+0,0245761660178292i</v>
      </c>
      <c r="AA212" s="4">
        <f t="shared" ref="AA212:AA275" si="225">IMABS(Z212)</f>
        <v>1.0002862800223722</v>
      </c>
      <c r="AB212" s="4">
        <f t="shared" ref="AB212:AB275" si="226">IMARGUMENT(Z212)</f>
        <v>2.4571604865538003E-2</v>
      </c>
      <c r="AC212" s="47" t="str">
        <f t="shared" ref="AC212:AC275" si="227">(IMDIV(IMPRODUCT(P212,T212,W212),IMPRODUCT(Q212,Z212)))</f>
        <v>-0,36014386712377-1,40718888664493i</v>
      </c>
      <c r="AD212" s="20">
        <f t="shared" ref="AD212:AD275" si="228">20*LOG(IMABS(AC212))</f>
        <v>3.2425861326015495</v>
      </c>
      <c r="AE212" s="43">
        <f t="shared" ref="AE212:AE275" si="229">(180/PI())*IMARGUMENT(AC212)</f>
        <v>-104.35564946964439</v>
      </c>
      <c r="AF212" t="str">
        <f t="shared" si="211"/>
        <v>405,634542683733</v>
      </c>
      <c r="AG212" t="str">
        <f t="shared" si="212"/>
        <v>1+42,1232762424704i</v>
      </c>
      <c r="AH212">
        <f t="shared" ref="AH212:AH275" si="230">IMABS(AG212)</f>
        <v>42.135144492448006</v>
      </c>
      <c r="AI212">
        <f t="shared" ref="AI212:AI275" si="231">IMARGUMENT(AG212)</f>
        <v>1.5470609412165766</v>
      </c>
      <c r="AJ212" t="str">
        <f t="shared" si="213"/>
        <v>1+0,00711415332095056i</v>
      </c>
      <c r="AK212">
        <f t="shared" ref="AK212:AK275" si="232">IMABS(AJ212)</f>
        <v>1.0000253052685588</v>
      </c>
      <c r="AL212">
        <f t="shared" ref="AL212:AL275" si="233">IMARGUMENT(AJ212)</f>
        <v>7.114033306036229E-3</v>
      </c>
      <c r="AM212" t="str">
        <f t="shared" si="214"/>
        <v>1-0,0383424981851297i</v>
      </c>
      <c r="AN212">
        <f t="shared" ref="AN212:AN275" si="234">IMABS(AM212)</f>
        <v>1.0007348036153618</v>
      </c>
      <c r="AO212">
        <f t="shared" ref="AO212:AO275" si="235">IMARGUMENT(AM212)</f>
        <v>-3.8323725036895413E-2</v>
      </c>
      <c r="AP212" s="41" t="str">
        <f t="shared" ref="AP212:AP275" si="236">(IMDIV(IMPRODUCT(AF212,AJ212,AM212),IMPRODUCT(AG212)))</f>
        <v>-0,0720090823612511-9,63403691948142i</v>
      </c>
      <c r="AQ212">
        <f t="shared" ref="AQ212:AQ275" si="237">20*LOG(IMABS(AP212))</f>
        <v>19.676408747598639</v>
      </c>
      <c r="AR212" s="43">
        <f t="shared" ref="AR212:AR275" si="238">(180/PI())*IMARGUMENT(AP212)</f>
        <v>-90.428246197329159</v>
      </c>
      <c r="AS212" t="str">
        <f t="shared" si="215"/>
        <v>-0,0000166666666666667</v>
      </c>
      <c r="AT212" t="str">
        <f t="shared" si="216"/>
        <v>0,00121214227737735i</v>
      </c>
      <c r="AU212">
        <f t="shared" ref="AU212:AU275" si="239">IMABS(AT212)</f>
        <v>1.2121422773773501E-3</v>
      </c>
      <c r="AV212">
        <f t="shared" ref="AV212:AV275" si="240">IMARGUMENT(AT212)</f>
        <v>1.5707963267948966</v>
      </c>
      <c r="AW212" t="str">
        <f t="shared" si="217"/>
        <v>1+0,0432111622099064i</v>
      </c>
      <c r="AX212">
        <f t="shared" ref="AX212:AX275" si="241">IMABS(AW212)</f>
        <v>1.0009331668695622</v>
      </c>
      <c r="AY212">
        <f t="shared" ref="AY212:AY275" si="242">IMARGUMENT(AW212)</f>
        <v>4.3184297607768631E-2</v>
      </c>
      <c r="AZ212" t="str">
        <f t="shared" si="218"/>
        <v>1+6,3808482863295i</v>
      </c>
      <c r="BA212">
        <f t="shared" ref="BA212:BA275" si="243">IMABS(AZ212)</f>
        <v>6.4587324494171536</v>
      </c>
      <c r="BB212">
        <f t="shared" ref="BB212:BB275" si="244">IMARGUMENT(AZ212)</f>
        <v>1.4153418198319547</v>
      </c>
      <c r="BC212" s="41" t="str">
        <f t="shared" ref="BC212:BC275" si="245">IMPRODUCT(AS212,IMDIV(AZ212,IMPRODUCT(AT212,AW212)))</f>
        <v>-0,0869785892308842+0,017508206973198i</v>
      </c>
      <c r="BD212">
        <f t="shared" ref="BD212:BD275" si="246">20*LOG(IMABS(BC212))</f>
        <v>-21.03925270239629</v>
      </c>
      <c r="BE212" s="43">
        <f t="shared" ref="BE212:BE275" si="247">(180/PI())*IMARGUMENT(BC212)</f>
        <v>168.61883485057436</v>
      </c>
      <c r="BF212" s="41" t="str">
        <f t="shared" ref="BF212:BF275" si="248">IMPRODUCT(AC212,BC212)</f>
        <v>0,055962159760344+0,116089830776024i</v>
      </c>
      <c r="BG212" s="20">
        <f t="shared" ref="BG212:BG275" si="249">20*LOG(IMABS(BF212))</f>
        <v>-17.796666569794727</v>
      </c>
      <c r="BH212" s="43">
        <f t="shared" ref="BH212:BH275" si="250">(180/PI())*IMARGUMENT(BF212)</f>
        <v>64.263185380930011</v>
      </c>
      <c r="BI212" s="41" t="str">
        <f t="shared" si="203"/>
        <v>0,174937960769304+0,836694189936817i</v>
      </c>
      <c r="BJ212" s="20">
        <f t="shared" ref="BJ212:BJ275" si="251">20*LOG(IMABS(BI212))</f>
        <v>-1.3628439547976481</v>
      </c>
      <c r="BK212" s="43">
        <f t="shared" si="204"/>
        <v>78.190588653245186</v>
      </c>
      <c r="BL212">
        <f t="shared" ref="BL212:BL275" si="252">IF($B$31=0,BJ212,BG212)</f>
        <v>-17.796666569794727</v>
      </c>
      <c r="BM212" s="43">
        <f t="shared" ref="BM212:BM275" si="253">IF($B$31=0,BK212,BH212)</f>
        <v>64.263185380930011</v>
      </c>
    </row>
    <row r="213" spans="14:65" x14ac:dyDescent="0.35">
      <c r="N213" s="9">
        <v>95</v>
      </c>
      <c r="O213" s="34">
        <f t="shared" si="205"/>
        <v>891.25093813374656</v>
      </c>
      <c r="P213" s="33" t="str">
        <f t="shared" si="206"/>
        <v>59,1053597814893</v>
      </c>
      <c r="Q213" s="4" t="str">
        <f t="shared" si="207"/>
        <v>1+43,0278935921202i</v>
      </c>
      <c r="R213" s="4">
        <f t="shared" si="219"/>
        <v>43.039512392391465</v>
      </c>
      <c r="S213" s="4">
        <f t="shared" si="220"/>
        <v>1.547559771832743</v>
      </c>
      <c r="T213" s="4" t="str">
        <f t="shared" si="208"/>
        <v>1+0,00727986323933958i</v>
      </c>
      <c r="U213" s="4">
        <f t="shared" si="221"/>
        <v>1.0000264978533235</v>
      </c>
      <c r="V213" s="4">
        <f t="shared" si="222"/>
        <v>7.279734641225992E-3</v>
      </c>
      <c r="W213" t="str">
        <f t="shared" si="209"/>
        <v>1-0,268794950375615i</v>
      </c>
      <c r="X213" s="4">
        <f t="shared" si="223"/>
        <v>1.0354954009301198</v>
      </c>
      <c r="Y213" s="4">
        <f t="shared" si="224"/>
        <v>-0.26258832372816182</v>
      </c>
      <c r="Z213" t="str">
        <f t="shared" si="210"/>
        <v>0,999983588259613+0,0251486184631731i</v>
      </c>
      <c r="AA213" s="4">
        <f t="shared" si="225"/>
        <v>1.0002997699685718</v>
      </c>
      <c r="AB213" s="4">
        <f t="shared" si="226"/>
        <v>2.5143731179478442E-2</v>
      </c>
      <c r="AC213" s="47" t="str">
        <f t="shared" si="227"/>
        <v>-0,361648940834589-1,3748689983276i</v>
      </c>
      <c r="AD213" s="20">
        <f t="shared" si="228"/>
        <v>3.0557807196391336</v>
      </c>
      <c r="AE213" s="43">
        <f t="shared" si="229"/>
        <v>-104.73737777616164</v>
      </c>
      <c r="AF213" t="str">
        <f t="shared" si="211"/>
        <v>405,634542683733</v>
      </c>
      <c r="AG213" t="str">
        <f t="shared" si="212"/>
        <v>1+43,1044533908264i</v>
      </c>
      <c r="AH213">
        <f t="shared" si="230"/>
        <v>43.116051559969236</v>
      </c>
      <c r="AI213">
        <f t="shared" si="231"/>
        <v>1.5476010285299775</v>
      </c>
      <c r="AJ213" t="str">
        <f t="shared" si="213"/>
        <v>1+0,00727986323933958i</v>
      </c>
      <c r="AK213">
        <f t="shared" si="232"/>
        <v>1.0000264978533235</v>
      </c>
      <c r="AL213">
        <f t="shared" si="233"/>
        <v>7.279734641225992E-3</v>
      </c>
      <c r="AM213" t="str">
        <f t="shared" si="214"/>
        <v>1-0,0392356096993809i</v>
      </c>
      <c r="AN213">
        <f t="shared" si="234"/>
        <v>1.0007694205302649</v>
      </c>
      <c r="AO213">
        <f t="shared" si="235"/>
        <v>-3.9215494743813605E-2</v>
      </c>
      <c r="AP213" s="41" t="str">
        <f t="shared" si="236"/>
        <v>-0,0822944096544998-9,41509905615824i</v>
      </c>
      <c r="AQ213">
        <f t="shared" si="237"/>
        <v>19.476829658105398</v>
      </c>
      <c r="AR213" s="43">
        <f t="shared" si="238"/>
        <v>-90.500791574293558</v>
      </c>
      <c r="AS213" t="str">
        <f t="shared" si="215"/>
        <v>-0,0000166666666666667</v>
      </c>
      <c r="AT213" t="str">
        <f t="shared" si="216"/>
        <v>0,00124037669808747i</v>
      </c>
      <c r="AU213">
        <f t="shared" si="239"/>
        <v>1.2403766980874701E-3</v>
      </c>
      <c r="AV213">
        <f t="shared" si="240"/>
        <v>1.5707963267948966</v>
      </c>
      <c r="AW213" t="str">
        <f t="shared" si="217"/>
        <v>1+0,0442176794777042i</v>
      </c>
      <c r="AX213">
        <f t="shared" si="241"/>
        <v>1.0009771242033421</v>
      </c>
      <c r="AY213">
        <f t="shared" si="242"/>
        <v>4.4188895055317451E-2</v>
      </c>
      <c r="AZ213" t="str">
        <f t="shared" si="218"/>
        <v>1+6,52947733620765i</v>
      </c>
      <c r="BA213">
        <f t="shared" si="243"/>
        <v>6.6056093045266735</v>
      </c>
      <c r="BB213">
        <f t="shared" si="244"/>
        <v>1.4188255491404285</v>
      </c>
      <c r="BC213" s="41" t="str">
        <f t="shared" si="245"/>
        <v>-0,0869709501693397+0,0172824318710315i</v>
      </c>
      <c r="BD213">
        <f t="shared" si="246"/>
        <v>-21.044322368655219</v>
      </c>
      <c r="BE213" s="43">
        <f t="shared" si="247"/>
        <v>168.76087864306177</v>
      </c>
      <c r="BF213" s="41" t="str">
        <f t="shared" si="248"/>
        <v>0,0552140318073096+0,113323489961715i</v>
      </c>
      <c r="BG213" s="20">
        <f t="shared" si="249"/>
        <v>-17.988541649016099</v>
      </c>
      <c r="BH213" s="43">
        <f t="shared" si="250"/>
        <v>64.023500866900093</v>
      </c>
      <c r="BI213" s="41" t="str">
        <f t="shared" si="203"/>
        <v>0,169873030998344+0,817417863324315i</v>
      </c>
      <c r="BJ213" s="20">
        <f t="shared" si="251"/>
        <v>-1.567492710549824</v>
      </c>
      <c r="BK213" s="43">
        <f t="shared" si="204"/>
        <v>78.260087068768243</v>
      </c>
      <c r="BL213">
        <f t="shared" si="252"/>
        <v>-17.988541649016099</v>
      </c>
      <c r="BM213" s="43">
        <f t="shared" si="253"/>
        <v>64.023500866900093</v>
      </c>
    </row>
    <row r="214" spans="14:65" x14ac:dyDescent="0.35">
      <c r="N214" s="9">
        <v>96</v>
      </c>
      <c r="O214" s="34">
        <f t="shared" si="205"/>
        <v>912.01083935590987</v>
      </c>
      <c r="P214" s="33" t="str">
        <f t="shared" si="206"/>
        <v>59,1053597814893</v>
      </c>
      <c r="Q214" s="4" t="str">
        <f t="shared" si="207"/>
        <v>1+44,0301419854185i</v>
      </c>
      <c r="R214" s="4">
        <f t="shared" si="219"/>
        <v>44.041496378485064</v>
      </c>
      <c r="S214" s="4">
        <f t="shared" si="220"/>
        <v>1.5480885164754945</v>
      </c>
      <c r="T214" s="4" t="str">
        <f t="shared" si="208"/>
        <v>1+0,00744943303757844i</v>
      </c>
      <c r="U214" s="4">
        <f t="shared" si="221"/>
        <v>1.0000277466413527</v>
      </c>
      <c r="V214" s="4">
        <f t="shared" si="222"/>
        <v>7.449295242423601E-3</v>
      </c>
      <c r="W214" t="str">
        <f t="shared" si="209"/>
        <v>1-0,27505598907982i</v>
      </c>
      <c r="X214" s="4">
        <f t="shared" si="223"/>
        <v>1.0371382729070786</v>
      </c>
      <c r="Y214" s="4">
        <f t="shared" si="224"/>
        <v>-0.26841826276257358</v>
      </c>
      <c r="Z214" t="str">
        <f t="shared" si="210"/>
        <v>0,999982814798118+0,0257344050389073i</v>
      </c>
      <c r="AA214" s="4">
        <f t="shared" si="225"/>
        <v>1.0003138954819499</v>
      </c>
      <c r="AB214" s="4">
        <f t="shared" si="226"/>
        <v>2.5729168308758547E-2</v>
      </c>
      <c r="AC214" s="47" t="str">
        <f t="shared" si="227"/>
        <v>-0,363085624550018-1,34327493759136i</v>
      </c>
      <c r="AD214" s="20">
        <f t="shared" si="228"/>
        <v>2.869544166648605</v>
      </c>
      <c r="AE214" s="43">
        <f t="shared" si="229"/>
        <v>-105.12553148397956</v>
      </c>
      <c r="AF214" t="str">
        <f t="shared" si="211"/>
        <v>405,634542683733</v>
      </c>
      <c r="AG214" t="str">
        <f t="shared" si="212"/>
        <v>1+44,108485090925i</v>
      </c>
      <c r="AH214">
        <f t="shared" si="230"/>
        <v>44.119819322118182</v>
      </c>
      <c r="AI214">
        <f t="shared" si="231"/>
        <v>1.5481288350335205</v>
      </c>
      <c r="AJ214" t="str">
        <f t="shared" si="213"/>
        <v>1+0,00744943303757844i</v>
      </c>
      <c r="AK214">
        <f t="shared" si="232"/>
        <v>1.0000277466413527</v>
      </c>
      <c r="AL214">
        <f t="shared" si="233"/>
        <v>7.449295242423601E-3</v>
      </c>
      <c r="AM214" t="str">
        <f t="shared" si="214"/>
        <v>1-0,0401495244532391i</v>
      </c>
      <c r="AN214">
        <f t="shared" si="234"/>
        <v>1.0008056676067643</v>
      </c>
      <c r="AO214">
        <f t="shared" si="235"/>
        <v>-4.0127971827023851E-2</v>
      </c>
      <c r="AP214" s="41" t="str">
        <f t="shared" si="236"/>
        <v>-0,0921173077971636-9,20113172952046i</v>
      </c>
      <c r="AQ214">
        <f t="shared" si="237"/>
        <v>19.27726024170266</v>
      </c>
      <c r="AR214" s="43">
        <f t="shared" si="238"/>
        <v>-90.573598638296161</v>
      </c>
      <c r="AS214" t="str">
        <f t="shared" si="215"/>
        <v>-0,0000166666666666667</v>
      </c>
      <c r="AT214" t="str">
        <f t="shared" si="216"/>
        <v>0,00126926878294125i</v>
      </c>
      <c r="AU214">
        <f t="shared" si="239"/>
        <v>1.2692687829412501E-3</v>
      </c>
      <c r="AV214">
        <f t="shared" si="240"/>
        <v>1.5707963267948966</v>
      </c>
      <c r="AW214" t="str">
        <f t="shared" si="217"/>
        <v>1+0,0452476415444512i</v>
      </c>
      <c r="AX214">
        <f t="shared" si="241"/>
        <v>1.001023151113567</v>
      </c>
      <c r="AY214">
        <f t="shared" si="242"/>
        <v>4.5216800182541039E-2</v>
      </c>
      <c r="AZ214" t="str">
        <f t="shared" si="218"/>
        <v>1+6,68156840139728i</v>
      </c>
      <c r="BA214">
        <f t="shared" si="243"/>
        <v>6.7559867008861554</v>
      </c>
      <c r="BB214">
        <f t="shared" si="244"/>
        <v>1.4222335749329187</v>
      </c>
      <c r="BC214" s="41" t="str">
        <f t="shared" si="245"/>
        <v>-0,0869629525279615+0,0170657883613204i</v>
      </c>
      <c r="BD214">
        <f t="shared" si="246"/>
        <v>-21.04920370052897</v>
      </c>
      <c r="BE214" s="43">
        <f t="shared" si="247"/>
        <v>168.89724951191332</v>
      </c>
      <c r="BF214" s="41" t="str">
        <f t="shared" si="248"/>
        <v>0,0544990437273285+0,110618812204149i</v>
      </c>
      <c r="BG214" s="20">
        <f t="shared" si="249"/>
        <v>-18.179659533880393</v>
      </c>
      <c r="BH214" s="43">
        <f t="shared" si="250"/>
        <v>63.771718027933659</v>
      </c>
      <c r="BI214" s="41" t="str">
        <f t="shared" si="203"/>
        <v>0,165035359845594+0,798585527318527i</v>
      </c>
      <c r="BJ214" s="20">
        <f t="shared" si="251"/>
        <v>-1.771943458826315</v>
      </c>
      <c r="BK214" s="43">
        <f t="shared" si="204"/>
        <v>78.323650873617183</v>
      </c>
      <c r="BL214">
        <f t="shared" si="252"/>
        <v>-18.179659533880393</v>
      </c>
      <c r="BM214" s="43">
        <f t="shared" si="253"/>
        <v>63.771718027933659</v>
      </c>
    </row>
    <row r="215" spans="14:65" x14ac:dyDescent="0.35">
      <c r="N215" s="9">
        <v>97</v>
      </c>
      <c r="O215" s="34">
        <f t="shared" si="205"/>
        <v>933.25430079699106</v>
      </c>
      <c r="P215" s="33" t="str">
        <f t="shared" si="206"/>
        <v>59,1053597814893</v>
      </c>
      <c r="Q215" s="4" t="str">
        <f t="shared" si="207"/>
        <v>1+45,0557357428054i</v>
      </c>
      <c r="R215" s="4">
        <f t="shared" si="219"/>
        <v>45.066831742707542</v>
      </c>
      <c r="S215" s="4">
        <f t="shared" si="220"/>
        <v>1.5486052376919894</v>
      </c>
      <c r="T215" s="4" t="str">
        <f t="shared" si="208"/>
        <v>1+0,00762295262381876i</v>
      </c>
      <c r="U215" s="4">
        <f t="shared" si="221"/>
        <v>1.0000290542812769</v>
      </c>
      <c r="V215" s="4">
        <f t="shared" si="222"/>
        <v>7.6228049738818662E-3</v>
      </c>
      <c r="W215" t="str">
        <f t="shared" si="209"/>
        <v>1-0,281462866110231i</v>
      </c>
      <c r="X215" s="4">
        <f t="shared" si="223"/>
        <v>1.0388557864299481</v>
      </c>
      <c r="Y215" s="4">
        <f t="shared" si="224"/>
        <v>-0.27436470252369999</v>
      </c>
      <c r="Z215" t="str">
        <f t="shared" si="210"/>
        <v>0,999982004884505+0,0263338363368284i</v>
      </c>
      <c r="AA215" s="4">
        <f t="shared" si="225"/>
        <v>1.0003286864971177</v>
      </c>
      <c r="AB215" s="4">
        <f t="shared" si="226"/>
        <v>2.6328225178874481E-2</v>
      </c>
      <c r="AC215" s="47" t="str">
        <f t="shared" si="227"/>
        <v>-0,364456956027377-1,31239016512383i</v>
      </c>
      <c r="AD215" s="20">
        <f t="shared" si="228"/>
        <v>2.6838999080922159</v>
      </c>
      <c r="AE215" s="43">
        <f t="shared" si="229"/>
        <v>-105.52022538533988</v>
      </c>
      <c r="AF215" t="str">
        <f t="shared" si="211"/>
        <v>405,634542683733</v>
      </c>
      <c r="AG215" t="str">
        <f t="shared" si="212"/>
        <v>1+45,1359036936636i</v>
      </c>
      <c r="AH215">
        <f t="shared" si="230"/>
        <v>45.146979990290333</v>
      </c>
      <c r="AI215">
        <f t="shared" si="231"/>
        <v>1.5486446394002364</v>
      </c>
      <c r="AJ215" t="str">
        <f t="shared" si="213"/>
        <v>1+0,00762295262381876i</v>
      </c>
      <c r="AK215">
        <f t="shared" si="232"/>
        <v>1.0000290542812769</v>
      </c>
      <c r="AL215">
        <f t="shared" si="233"/>
        <v>7.6228049738818662E-3</v>
      </c>
      <c r="AM215" t="str">
        <f t="shared" si="214"/>
        <v>1-0,0410847270164044i</v>
      </c>
      <c r="AN215">
        <f t="shared" si="234"/>
        <v>1.0008436215483478</v>
      </c>
      <c r="AO215">
        <f t="shared" si="235"/>
        <v>-4.1061634012555123E-2</v>
      </c>
      <c r="AP215" s="41" t="str">
        <f t="shared" si="236"/>
        <v>-0,101498546725724-8,99202292306359i</v>
      </c>
      <c r="AQ215">
        <f t="shared" si="237"/>
        <v>19.077701408211954</v>
      </c>
      <c r="AR215" s="43">
        <f t="shared" si="238"/>
        <v>-90.646705578968295</v>
      </c>
      <c r="AS215" t="str">
        <f t="shared" si="215"/>
        <v>-0,0000166666666666667</v>
      </c>
      <c r="AT215" t="str">
        <f t="shared" si="216"/>
        <v>0,0012988338509045i</v>
      </c>
      <c r="AU215">
        <f t="shared" si="239"/>
        <v>1.2988338509045E-3</v>
      </c>
      <c r="AV215">
        <f t="shared" si="240"/>
        <v>1.5707963267948966</v>
      </c>
      <c r="AW215" t="str">
        <f t="shared" si="217"/>
        <v>1+0,0463015945096684i</v>
      </c>
      <c r="AX215">
        <f t="shared" si="241"/>
        <v>1.0010713449370818</v>
      </c>
      <c r="AY215">
        <f t="shared" si="242"/>
        <v>4.6268549304812563E-2</v>
      </c>
      <c r="AZ215" t="str">
        <f t="shared" si="218"/>
        <v>1+6,83720212259436i</v>
      </c>
      <c r="BA215">
        <f t="shared" si="243"/>
        <v>6.9099444907472902</v>
      </c>
      <c r="BB215">
        <f t="shared" si="244"/>
        <v>1.4255673873623578</v>
      </c>
      <c r="BC215" s="41" t="str">
        <f t="shared" si="245"/>
        <v>-0,0869545795457089+0,0168581593132045i</v>
      </c>
      <c r="BD215">
        <f t="shared" si="246"/>
        <v>-21.053906416801695</v>
      </c>
      <c r="BE215" s="43">
        <f t="shared" si="247"/>
        <v>169.02800210799583</v>
      </c>
      <c r="BF215" s="41" t="str">
        <f t="shared" si="248"/>
        <v>0,0538156838586098+0,107974261580751i</v>
      </c>
      <c r="BG215" s="20">
        <f t="shared" si="249"/>
        <v>-18.370006508709483</v>
      </c>
      <c r="BH215" s="43">
        <f t="shared" si="250"/>
        <v>63.507776722655919</v>
      </c>
      <c r="BI215" s="41" t="str">
        <f t="shared" si="203"/>
        <v>0,160414718440029+0,78018649386961i</v>
      </c>
      <c r="BJ215" s="20">
        <f t="shared" si="251"/>
        <v>-1.9762050085897374</v>
      </c>
      <c r="BK215" s="43">
        <f t="shared" si="204"/>
        <v>78.381296529027509</v>
      </c>
      <c r="BL215">
        <f t="shared" si="252"/>
        <v>-18.370006508709483</v>
      </c>
      <c r="BM215" s="43">
        <f t="shared" si="253"/>
        <v>63.507776722655919</v>
      </c>
    </row>
    <row r="216" spans="14:65" x14ac:dyDescent="0.35">
      <c r="N216" s="9">
        <v>98</v>
      </c>
      <c r="O216" s="34">
        <f t="shared" si="205"/>
        <v>954.99258602143675</v>
      </c>
      <c r="P216" s="33" t="str">
        <f t="shared" si="206"/>
        <v>59,1053597814893</v>
      </c>
      <c r="Q216" s="4" t="str">
        <f t="shared" si="207"/>
        <v>1+46,1052186476663i</v>
      </c>
      <c r="R216" s="4">
        <f t="shared" si="219"/>
        <v>46.11606213185506</v>
      </c>
      <c r="S216" s="4">
        <f t="shared" si="220"/>
        <v>1.5491102083503037</v>
      </c>
      <c r="T216" s="4" t="str">
        <f t="shared" si="208"/>
        <v>1+0,00780051400044193i</v>
      </c>
      <c r="U216" s="4">
        <f t="shared" si="221"/>
        <v>1.0000304235465394</v>
      </c>
      <c r="V216" s="4">
        <f t="shared" si="222"/>
        <v>7.8003557909440829E-3</v>
      </c>
      <c r="W216" t="str">
        <f t="shared" si="209"/>
        <v>1-0,288018978477856i</v>
      </c>
      <c r="X216" s="4">
        <f t="shared" si="223"/>
        <v>1.0406512057185289</v>
      </c>
      <c r="Y216" s="4">
        <f t="shared" si="224"/>
        <v>-0.28042911308802937</v>
      </c>
      <c r="Z216" t="str">
        <f t="shared" si="210"/>
        <v>0,99998115680084+0,0269472301833448i</v>
      </c>
      <c r="AA216" s="4">
        <f t="shared" si="225"/>
        <v>1.000344174357656</v>
      </c>
      <c r="AB216" s="4">
        <f t="shared" si="226"/>
        <v>2.6941217830904828E-2</v>
      </c>
      <c r="AC216" s="47" t="str">
        <f t="shared" si="227"/>
        <v>-0,365765835262442-1,28219850371997i</v>
      </c>
      <c r="AD216" s="20">
        <f t="shared" si="228"/>
        <v>2.498872133196858</v>
      </c>
      <c r="AE216" s="43">
        <f t="shared" si="229"/>
        <v>-105.92157218277681</v>
      </c>
      <c r="AF216" t="str">
        <f t="shared" si="211"/>
        <v>405,634542683733</v>
      </c>
      <c r="AG216" t="str">
        <f t="shared" si="212"/>
        <v>1+46,1872539499851i</v>
      </c>
      <c r="AH216">
        <f t="shared" si="230"/>
        <v>46.198078179080284</v>
      </c>
      <c r="AI216">
        <f t="shared" si="231"/>
        <v>1.5491487140179441</v>
      </c>
      <c r="AJ216" t="str">
        <f t="shared" si="213"/>
        <v>1+0,00780051400044193i</v>
      </c>
      <c r="AK216">
        <f t="shared" si="232"/>
        <v>1.0000304235465394</v>
      </c>
      <c r="AL216">
        <f t="shared" si="233"/>
        <v>7.8003557909440829E-3</v>
      </c>
      <c r="AM216" t="str">
        <f t="shared" si="214"/>
        <v>1-0,0420417132456545i</v>
      </c>
      <c r="AN216">
        <f t="shared" si="234"/>
        <v>1.000883362661519</v>
      </c>
      <c r="AO216">
        <f t="shared" si="235"/>
        <v>-4.2016969825570294E-2</v>
      </c>
      <c r="AP216" s="41" t="str">
        <f t="shared" si="236"/>
        <v>-0,110457965337637-8,7876631009263i</v>
      </c>
      <c r="AQ216">
        <f t="shared" si="237"/>
        <v>18.878154089630062</v>
      </c>
      <c r="AR216" s="43">
        <f t="shared" si="238"/>
        <v>-90.720150724759321</v>
      </c>
      <c r="AS216" t="str">
        <f t="shared" si="215"/>
        <v>-0,0000166666666666667</v>
      </c>
      <c r="AT216" t="str">
        <f t="shared" si="216"/>
        <v>0,00132908757776761i</v>
      </c>
      <c r="AU216">
        <f t="shared" si="239"/>
        <v>1.3290875777676101E-3</v>
      </c>
      <c r="AV216">
        <f t="shared" si="240"/>
        <v>1.5707963267948966</v>
      </c>
      <c r="AW216" t="str">
        <f t="shared" si="217"/>
        <v>1+0,0473800971931688i</v>
      </c>
      <c r="AX216">
        <f t="shared" si="241"/>
        <v>1.001121807578895</v>
      </c>
      <c r="AY216">
        <f t="shared" si="242"/>
        <v>4.734469076078382E-2</v>
      </c>
      <c r="AZ216" t="str">
        <f t="shared" si="218"/>
        <v>1+6,99646101885792i</v>
      </c>
      <c r="BA216">
        <f t="shared" si="243"/>
        <v>7.067564416996734</v>
      </c>
      <c r="BB216">
        <f t="shared" si="244"/>
        <v>1.4288284574823409</v>
      </c>
      <c r="BC216" s="41" t="str">
        <f t="shared" si="245"/>
        <v>-0,086945813684894+0,016659432214663i</v>
      </c>
      <c r="BD216">
        <f t="shared" si="246"/>
        <v>-21.058439910796899</v>
      </c>
      <c r="BE216" s="43">
        <f t="shared" si="247"/>
        <v>169.15318929898081</v>
      </c>
      <c r="BF216" s="41" t="str">
        <f t="shared" si="248"/>
        <v>0,0531625072234931+0,105388341072492i</v>
      </c>
      <c r="BG216" s="20">
        <f t="shared" si="249"/>
        <v>-18.559567777600051</v>
      </c>
      <c r="BH216" s="43">
        <f t="shared" si="250"/>
        <v>63.231617116203935</v>
      </c>
      <c r="BI216" s="41" t="str">
        <f t="shared" si="203"/>
        <v>0,156001335429436+0,762210351712644i</v>
      </c>
      <c r="BJ216" s="20">
        <f t="shared" si="251"/>
        <v>-2.1802858211668363</v>
      </c>
      <c r="BK216" s="43">
        <f t="shared" si="204"/>
        <v>78.433038574221442</v>
      </c>
      <c r="BL216">
        <f t="shared" si="252"/>
        <v>-18.559567777600051</v>
      </c>
      <c r="BM216" s="43">
        <f t="shared" si="253"/>
        <v>63.231617116203935</v>
      </c>
    </row>
    <row r="217" spans="14:65" x14ac:dyDescent="0.35">
      <c r="N217" s="9">
        <v>99</v>
      </c>
      <c r="O217" s="34">
        <f t="shared" si="205"/>
        <v>977.23722095581138</v>
      </c>
      <c r="P217" s="33" t="str">
        <f t="shared" si="206"/>
        <v>59,1053597814893</v>
      </c>
      <c r="Q217" s="4" t="str">
        <f t="shared" si="207"/>
        <v>1+47,1791471497289i</v>
      </c>
      <c r="R217" s="4">
        <f t="shared" si="219"/>
        <v>47.189743862154756</v>
      </c>
      <c r="S217" s="4">
        <f t="shared" si="220"/>
        <v>1.5496036951618524</v>
      </c>
      <c r="T217" s="4" t="str">
        <f t="shared" si="208"/>
        <v>1+0,00798221131284014i</v>
      </c>
      <c r="U217" s="4">
        <f t="shared" si="221"/>
        <v>1.0000318573412763</v>
      </c>
      <c r="V217" s="4">
        <f t="shared" si="222"/>
        <v>7.982041788600595E-3</v>
      </c>
      <c r="W217" t="str">
        <f t="shared" si="209"/>
        <v>1-0,294727802320252i</v>
      </c>
      <c r="X217" s="4">
        <f t="shared" si="223"/>
        <v>1.0425279264655338</v>
      </c>
      <c r="Y217" s="4">
        <f t="shared" si="224"/>
        <v>-0.28661292493931534</v>
      </c>
      <c r="Z217" t="str">
        <f t="shared" si="210"/>
        <v>0,999980268748223+0,0275749118079932i</v>
      </c>
      <c r="AA217" s="4">
        <f t="shared" si="225"/>
        <v>1.0003603918823389</v>
      </c>
      <c r="AB217" s="4">
        <f t="shared" si="226"/>
        <v>2.7568469581531824E-2</v>
      </c>
      <c r="AC217" s="47" t="str">
        <f t="shared" si="227"/>
        <v>-0,367015030566358-1,25268413064706i</v>
      </c>
      <c r="AD217" s="20">
        <f t="shared" si="228"/>
        <v>2.3144857961090164</v>
      </c>
      <c r="AE217" s="43">
        <f t="shared" si="229"/>
        <v>-106.32968225184644</v>
      </c>
      <c r="AF217" t="str">
        <f t="shared" si="211"/>
        <v>405,634542683733</v>
      </c>
      <c r="AG217" t="str">
        <f t="shared" si="212"/>
        <v>1+47,2630932997113i</v>
      </c>
      <c r="AH217">
        <f t="shared" si="230"/>
        <v>47.273671195044869</v>
      </c>
      <c r="AI217">
        <f t="shared" si="231"/>
        <v>1.5496413251284427</v>
      </c>
      <c r="AJ217" t="str">
        <f t="shared" si="213"/>
        <v>1+0,00798221131284014i</v>
      </c>
      <c r="AK217">
        <f t="shared" si="232"/>
        <v>1.0000318573412763</v>
      </c>
      <c r="AL217">
        <f t="shared" si="233"/>
        <v>7.982041788600595E-3</v>
      </c>
      <c r="AM217" t="str">
        <f t="shared" si="214"/>
        <v>1-0,0430209905477552i</v>
      </c>
      <c r="AN217">
        <f t="shared" si="234"/>
        <v>1.0009249750244571</v>
      </c>
      <c r="AO217">
        <f t="shared" si="235"/>
        <v>-4.2994478818563144E-2</v>
      </c>
      <c r="AP217" s="41" t="str">
        <f t="shared" si="236"/>
        <v>-0,119014513064492-8,58794515616418i</v>
      </c>
      <c r="AQ217">
        <f t="shared" si="237"/>
        <v>18.678619242074205</v>
      </c>
      <c r="AR217" s="43">
        <f t="shared" si="238"/>
        <v>-90.79397256120437</v>
      </c>
      <c r="AS217" t="str">
        <f t="shared" si="215"/>
        <v>-0,0000166666666666667</v>
      </c>
      <c r="AT217" t="str">
        <f t="shared" si="216"/>
        <v>0,00136004600445699i</v>
      </c>
      <c r="AU217">
        <f t="shared" si="239"/>
        <v>1.3600460044569901E-3</v>
      </c>
      <c r="AV217">
        <f t="shared" si="240"/>
        <v>1.5707963267948966</v>
      </c>
      <c r="AW217" t="str">
        <f t="shared" si="217"/>
        <v>1+0,0484837214313507i</v>
      </c>
      <c r="AX217">
        <f t="shared" si="241"/>
        <v>1.0011746457256261</v>
      </c>
      <c r="AY217">
        <f t="shared" si="242"/>
        <v>4.8445785159162064E-2</v>
      </c>
      <c r="AZ217" t="str">
        <f t="shared" si="218"/>
        <v>1+7,15942953136277i</v>
      </c>
      <c r="BA217">
        <f t="shared" si="243"/>
        <v>7.2289301569837665</v>
      </c>
      <c r="BB217">
        <f t="shared" si="244"/>
        <v>1.4320182367699406</v>
      </c>
      <c r="BC217" s="41" t="str">
        <f t="shared" si="245"/>
        <v>-0,0869366365958572+0,0164694991015i</v>
      </c>
      <c r="BD217">
        <f t="shared" si="246"/>
        <v>-21.062813265707035</v>
      </c>
      <c r="BE217" s="43">
        <f t="shared" si="247"/>
        <v>169.27286212786592</v>
      </c>
      <c r="BF217" s="41" t="str">
        <f t="shared" si="248"/>
        <v>0,0525381325017199+0,102859591319311i</v>
      </c>
      <c r="BG217" s="20">
        <f t="shared" si="249"/>
        <v>-18.748327469598028</v>
      </c>
      <c r="BH217" s="43">
        <f t="shared" si="250"/>
        <v>62.943179876019492</v>
      </c>
      <c r="BI217" s="41" t="str">
        <f t="shared" si="203"/>
        <v>0,151785876505098+0,744646957730616i</v>
      </c>
      <c r="BJ217" s="20">
        <f t="shared" si="251"/>
        <v>-2.3841940236328356</v>
      </c>
      <c r="BK217" s="43">
        <f t="shared" si="204"/>
        <v>78.47888956666155</v>
      </c>
      <c r="BL217">
        <f t="shared" si="252"/>
        <v>-18.748327469598028</v>
      </c>
      <c r="BM217" s="43">
        <f t="shared" si="253"/>
        <v>62.943179876019492</v>
      </c>
    </row>
    <row r="218" spans="14:65" x14ac:dyDescent="0.35">
      <c r="N218" s="9">
        <v>100</v>
      </c>
      <c r="O218" s="34">
        <f t="shared" si="205"/>
        <v>1000</v>
      </c>
      <c r="P218" s="33" t="str">
        <f t="shared" si="206"/>
        <v>59,1053597814893</v>
      </c>
      <c r="Q218" s="4" t="str">
        <f t="shared" si="207"/>
        <v>1+48,2780906601001i</v>
      </c>
      <c r="R218" s="4">
        <f t="shared" si="219"/>
        <v>48.288446214232692</v>
      </c>
      <c r="S218" s="4">
        <f t="shared" si="220"/>
        <v>1.5500859588178963</v>
      </c>
      <c r="T218" s="4" t="str">
        <f t="shared" si="208"/>
        <v>1+0,00816814089933347i</v>
      </c>
      <c r="U218" s="4">
        <f t="shared" si="221"/>
        <v>1.000033358706474</v>
      </c>
      <c r="V218" s="4">
        <f t="shared" si="222"/>
        <v>8.1679592511653479E-3</v>
      </c>
      <c r="W218" t="str">
        <f t="shared" si="209"/>
        <v>1-0,301592894744621i</v>
      </c>
      <c r="X218" s="4">
        <f t="shared" si="223"/>
        <v>1.0444894801578617</v>
      </c>
      <c r="Y218" s="4">
        <f t="shared" si="224"/>
        <v>-0.29291752436318524</v>
      </c>
      <c r="Z218" t="str">
        <f t="shared" si="210"/>
        <v>0,999979338842975+0,0282172140158792i</v>
      </c>
      <c r="AA218" s="4">
        <f t="shared" si="225"/>
        <v>1.0003773734344712</v>
      </c>
      <c r="AB218" s="4">
        <f t="shared" si="226"/>
        <v>2.8210311186380989E-2</v>
      </c>
      <c r="AC218" s="47" t="str">
        <f t="shared" si="227"/>
        <v>-0,368207184369867-1,22383157013604i</v>
      </c>
      <c r="AD218" s="20">
        <f t="shared" si="228"/>
        <v>2.1307666246365948</v>
      </c>
      <c r="AE218" s="43">
        <f t="shared" si="229"/>
        <v>-106.74466339158965</v>
      </c>
      <c r="AF218" t="str">
        <f t="shared" si="211"/>
        <v>405,634542683733</v>
      </c>
      <c r="AG218" t="str">
        <f t="shared" si="212"/>
        <v>1+48,363992167106i</v>
      </c>
      <c r="AH218">
        <f t="shared" si="230"/>
        <v>48.37432933219737</v>
      </c>
      <c r="AI218">
        <f t="shared" si="231"/>
        <v>1.550122732963797</v>
      </c>
      <c r="AJ218" t="str">
        <f t="shared" si="213"/>
        <v>1+0,00816814089933347i</v>
      </c>
      <c r="AK218">
        <f t="shared" si="232"/>
        <v>1.000033358706474</v>
      </c>
      <c r="AL218">
        <f t="shared" si="233"/>
        <v>8.1679592511653479E-3</v>
      </c>
      <c r="AM218" t="str">
        <f t="shared" si="214"/>
        <v>1-0,0440230781484944i</v>
      </c>
      <c r="AN218">
        <f t="shared" si="234"/>
        <v>1.0009685466635145</v>
      </c>
      <c r="AO218">
        <f t="shared" si="235"/>
        <v>-4.3994671803218463E-2</v>
      </c>
      <c r="AP218" s="41" t="str">
        <f t="shared" si="236"/>
        <v>-0,127186289603118-8,39276435988884i</v>
      </c>
      <c r="AQ218">
        <f t="shared" si="237"/>
        <v>18.479097847775396</v>
      </c>
      <c r="AR218" s="43">
        <f t="shared" si="238"/>
        <v>-90.868209749171299</v>
      </c>
      <c r="AS218" t="str">
        <f t="shared" si="215"/>
        <v>-0,0000166666666666667</v>
      </c>
      <c r="AT218" t="str">
        <f t="shared" si="216"/>
        <v>0,00139172554554028i</v>
      </c>
      <c r="AU218">
        <f t="shared" si="239"/>
        <v>1.39172554554028E-3</v>
      </c>
      <c r="AV218">
        <f t="shared" si="240"/>
        <v>1.5707963267948966</v>
      </c>
      <c r="AW218" t="str">
        <f t="shared" si="217"/>
        <v>1+0,0496130523803933i</v>
      </c>
      <c r="AX218">
        <f t="shared" si="241"/>
        <v>1.0012299710688348</v>
      </c>
      <c r="AY218">
        <f t="shared" si="242"/>
        <v>4.9572405628888205E-2</v>
      </c>
      <c r="AZ218" t="str">
        <f t="shared" si="218"/>
        <v>1+7,3261940681714i</v>
      </c>
      <c r="BA218">
        <f t="shared" si="243"/>
        <v>7.3941273673442911</v>
      </c>
      <c r="BB218">
        <f t="shared" si="244"/>
        <v>1.4351381567122417</v>
      </c>
      <c r="BC218" s="41" t="str">
        <f t="shared" si="245"/>
        <v>-0,0869270290800862+0,0162882564879475i</v>
      </c>
      <c r="BD218">
        <f t="shared" si="246"/>
        <v>-21.067035269637799</v>
      </c>
      <c r="BE218" s="43">
        <f t="shared" si="247"/>
        <v>169.38706977495011</v>
      </c>
      <c r="BF218" s="41" t="str">
        <f t="shared" si="248"/>
        <v>0,0519412391356394+0,100386589426622i</v>
      </c>
      <c r="BG218" s="20">
        <f t="shared" si="249"/>
        <v>-18.936268645001185</v>
      </c>
      <c r="BH218" s="43">
        <f t="shared" si="250"/>
        <v>62.642406383360516</v>
      </c>
      <c r="BI218" s="41" t="str">
        <f t="shared" si="203"/>
        <v>0,147759424831692+0,727486428667562i</v>
      </c>
      <c r="BJ218" s="20">
        <f t="shared" si="251"/>
        <v>-2.5879374218624052</v>
      </c>
      <c r="BK218" s="43">
        <f t="shared" si="204"/>
        <v>78.518860025778821</v>
      </c>
      <c r="BL218">
        <f t="shared" si="252"/>
        <v>-18.936268645001185</v>
      </c>
      <c r="BM218" s="43">
        <f t="shared" si="253"/>
        <v>62.642406383360516</v>
      </c>
    </row>
    <row r="219" spans="14:65" x14ac:dyDescent="0.35">
      <c r="N219" s="9">
        <v>1</v>
      </c>
      <c r="O219" s="34">
        <f>10^(3+(N219/100))</f>
        <v>1023.2929922807547</v>
      </c>
      <c r="P219" s="33" t="str">
        <f t="shared" si="206"/>
        <v>59,1053597814893</v>
      </c>
      <c r="Q219" s="4" t="str">
        <f t="shared" si="207"/>
        <v>1+49,4026318531753i</v>
      </c>
      <c r="R219" s="4">
        <f t="shared" si="219"/>
        <v>49.412751734955727</v>
      </c>
      <c r="S219" s="4">
        <f t="shared" si="220"/>
        <v>1.5505572541231827</v>
      </c>
      <c r="T219" s="4" t="str">
        <f t="shared" si="208"/>
        <v>1+0,00835840134224975i</v>
      </c>
      <c r="U219" s="4">
        <f t="shared" si="221"/>
        <v>1.0000349308264178</v>
      </c>
      <c r="V219" s="4">
        <f t="shared" si="222"/>
        <v>8.3582067030980364E-3</v>
      </c>
      <c r="W219" t="str">
        <f t="shared" si="209"/>
        <v>1-0,308617895713837i</v>
      </c>
      <c r="X219" s="4">
        <f t="shared" si="223"/>
        <v>1.0465395384574998</v>
      </c>
      <c r="Y219" s="4">
        <f t="shared" si="224"/>
        <v>-0.29934424862825021</v>
      </c>
      <c r="Z219" t="str">
        <f t="shared" si="210"/>
        <v>0,999978365112644+0,0288744773641355i</v>
      </c>
      <c r="AA219" s="4">
        <f t="shared" si="225"/>
        <v>1.0003951549944694</v>
      </c>
      <c r="AB219" s="4">
        <f t="shared" si="226"/>
        <v>2.8867081006729904E-2</v>
      </c>
      <c r="AC219" s="47" t="str">
        <f t="shared" si="227"/>
        <v>-0,36934481876661-1,19562568599909i</v>
      </c>
      <c r="AD219" s="20">
        <f t="shared" si="228"/>
        <v>1.947741127414784</v>
      </c>
      <c r="AE219" s="43">
        <f t="shared" si="229"/>
        <v>-107.16662056272821</v>
      </c>
      <c r="AF219" t="str">
        <f t="shared" si="211"/>
        <v>405,634542683733</v>
      </c>
      <c r="AG219" t="str">
        <f t="shared" si="212"/>
        <v>1+49,4905342633209i</v>
      </c>
      <c r="AH219">
        <f t="shared" si="230"/>
        <v>49.500636174386081</v>
      </c>
      <c r="AI219">
        <f t="shared" si="231"/>
        <v>1.550593191879758</v>
      </c>
      <c r="AJ219" t="str">
        <f t="shared" si="213"/>
        <v>1+0,00835840134224975i</v>
      </c>
      <c r="AK219">
        <f t="shared" si="232"/>
        <v>1.0000349308264178</v>
      </c>
      <c r="AL219">
        <f t="shared" si="233"/>
        <v>8.3582067030980364E-3</v>
      </c>
      <c r="AM219" t="str">
        <f t="shared" si="214"/>
        <v>1-0,0450485073679823i</v>
      </c>
      <c r="AN219">
        <f t="shared" si="234"/>
        <v>1.0010141697379129</v>
      </c>
      <c r="AO219">
        <f t="shared" si="235"/>
        <v>-4.5018071085904797E-2</v>
      </c>
      <c r="AP219" s="41" t="str">
        <f t="shared" si="236"/>
        <v>-0,134990582884914-8,20201831127419i</v>
      </c>
      <c r="AQ219">
        <f t="shared" si="237"/>
        <v>18.279590917124693</v>
      </c>
      <c r="AR219" s="43">
        <f t="shared" si="238"/>
        <v>-90.942901143085948</v>
      </c>
      <c r="AS219" t="str">
        <f t="shared" si="215"/>
        <v>-0,0000166666666666667</v>
      </c>
      <c r="AT219" t="str">
        <f t="shared" si="216"/>
        <v>0,00142414299792948i</v>
      </c>
      <c r="AU219">
        <f t="shared" si="239"/>
        <v>1.4241429979294799E-3</v>
      </c>
      <c r="AV219">
        <f t="shared" si="240"/>
        <v>1.5707963267948966</v>
      </c>
      <c r="AW219" t="str">
        <f t="shared" si="217"/>
        <v>1+0,0507686888265145i</v>
      </c>
      <c r="AX219">
        <f t="shared" si="241"/>
        <v>1.001287900538683</v>
      </c>
      <c r="AY219">
        <f t="shared" si="242"/>
        <v>5.0725138072630842E-2</v>
      </c>
      <c r="AZ219" t="str">
        <f t="shared" si="218"/>
        <v>1+7,49684305004862i</v>
      </c>
      <c r="BA219">
        <f t="shared" si="243"/>
        <v>7.5632437298464925</v>
      </c>
      <c r="BB219">
        <f t="shared" si="244"/>
        <v>1.4381896284524318</v>
      </c>
      <c r="BC219" s="41" t="str">
        <f t="shared" si="245"/>
        <v>-0,0869169710517425+0,0161156052987925i</v>
      </c>
      <c r="BD219">
        <f t="shared" si="246"/>
        <v>-21.071114430366123</v>
      </c>
      <c r="BE219" s="43">
        <f t="shared" si="247"/>
        <v>169.49585952303221</v>
      </c>
      <c r="BF219" s="41" t="str">
        <f t="shared" si="248"/>
        <v>0,0513705645615079+0,0979679478203059i</v>
      </c>
      <c r="BG219" s="20">
        <f t="shared" si="249"/>
        <v>-19.123373302951343</v>
      </c>
      <c r="BH219" s="43">
        <f t="shared" si="250"/>
        <v>62.329238960303961</v>
      </c>
      <c r="BI219" s="41" t="str">
        <f t="shared" si="203"/>
        <v>0,143913462342829+0,710719133174053i</v>
      </c>
      <c r="BJ219" s="20">
        <f t="shared" si="251"/>
        <v>-2.791523513241438</v>
      </c>
      <c r="BK219" s="43">
        <f t="shared" si="204"/>
        <v>78.552958379946261</v>
      </c>
      <c r="BL219">
        <f t="shared" si="252"/>
        <v>-19.123373302951343</v>
      </c>
      <c r="BM219" s="43">
        <f t="shared" si="253"/>
        <v>62.329238960303961</v>
      </c>
    </row>
    <row r="220" spans="14:65" x14ac:dyDescent="0.35">
      <c r="N220" s="9">
        <v>2</v>
      </c>
      <c r="O220" s="34">
        <f t="shared" ref="O220:O283" si="254">10^(3+(N220/100))</f>
        <v>1047.1285480509</v>
      </c>
      <c r="P220" s="33" t="str">
        <f t="shared" si="206"/>
        <v>59,1053597814893</v>
      </c>
      <c r="Q220" s="4" t="str">
        <f t="shared" si="207"/>
        <v>1+50,5533669755803i</v>
      </c>
      <c r="R220" s="4">
        <f t="shared" si="219"/>
        <v>50.563256546307343</v>
      </c>
      <c r="S220" s="4">
        <f t="shared" si="220"/>
        <v>1.5510178301267703</v>
      </c>
      <c r="T220" s="4" t="str">
        <f t="shared" si="208"/>
        <v>1+0,00855309352019423i</v>
      </c>
      <c r="U220" s="4">
        <f t="shared" si="221"/>
        <v>1.0000365770354429</v>
      </c>
      <c r="V220" s="4">
        <f t="shared" si="222"/>
        <v>8.5528849609976011E-3</v>
      </c>
      <c r="W220" t="str">
        <f t="shared" si="209"/>
        <v>1-0,315806529976403i</v>
      </c>
      <c r="X220" s="4">
        <f t="shared" si="223"/>
        <v>1.048681917635532</v>
      </c>
      <c r="Y220" s="4">
        <f t="shared" si="224"/>
        <v>-0.30589438095478655</v>
      </c>
      <c r="Z220" t="str">
        <f t="shared" si="210"/>
        <v>0,999977345491815+0,0295470503424891i</v>
      </c>
      <c r="AA220" s="4">
        <f t="shared" si="225"/>
        <v>1.0004137742358401</v>
      </c>
      <c r="AB220" s="4">
        <f t="shared" si="226"/>
        <v>2.953912517963167E-2</v>
      </c>
      <c r="AC220" s="47" t="str">
        <f t="shared" si="227"/>
        <v>-0,370430340806711-1,16805167437373i</v>
      </c>
      <c r="AD220" s="20">
        <f t="shared" si="228"/>
        <v>1.7654365993288939</v>
      </c>
      <c r="AE220" s="43">
        <f t="shared" si="229"/>
        <v>-107.5956556136545</v>
      </c>
      <c r="AF220" t="str">
        <f t="shared" si="211"/>
        <v>405,634542683733</v>
      </c>
      <c r="AG220" t="str">
        <f t="shared" si="212"/>
        <v>1+50,6433168958868i</v>
      </c>
      <c r="AH220">
        <f t="shared" si="230"/>
        <v>50.653188904719642</v>
      </c>
      <c r="AI220">
        <f t="shared" si="231"/>
        <v>1.551052950486373</v>
      </c>
      <c r="AJ220" t="str">
        <f t="shared" si="213"/>
        <v>1+0,00855309352019423i</v>
      </c>
      <c r="AK220">
        <f t="shared" si="232"/>
        <v>1.0000365770354429</v>
      </c>
      <c r="AL220">
        <f t="shared" si="233"/>
        <v>8.5528849609976011E-3</v>
      </c>
      <c r="AM220" t="str">
        <f t="shared" si="214"/>
        <v>1-0,0460978219023642i</v>
      </c>
      <c r="AN220">
        <f t="shared" si="234"/>
        <v>1.0010619407330108</v>
      </c>
      <c r="AO220">
        <f t="shared" si="235"/>
        <v>-4.6065210706760853E-2</v>
      </c>
      <c r="AP220" s="41" t="str">
        <f t="shared" si="236"/>
        <v>-0,142443905360458-8,01560688842913i</v>
      </c>
      <c r="AQ220">
        <f t="shared" si="237"/>
        <v>18.080099490775979</v>
      </c>
      <c r="AR220" s="43">
        <f t="shared" si="238"/>
        <v>-91.018085809135187</v>
      </c>
      <c r="AS220" t="str">
        <f t="shared" si="215"/>
        <v>-0,0000166666666666667</v>
      </c>
      <c r="AT220" t="str">
        <f t="shared" si="216"/>
        <v>0,00145731554978694i</v>
      </c>
      <c r="AU220">
        <f t="shared" si="239"/>
        <v>1.45731554978694E-3</v>
      </c>
      <c r="AV220">
        <f t="shared" si="240"/>
        <v>1.5707963267948966</v>
      </c>
      <c r="AW220" t="str">
        <f t="shared" si="217"/>
        <v>1+0,0519512435034545i</v>
      </c>
      <c r="AX220">
        <f t="shared" si="241"/>
        <v>1.0013485565483955</v>
      </c>
      <c r="AY220">
        <f t="shared" si="242"/>
        <v>5.1904581423497229E-2</v>
      </c>
      <c r="AZ220" t="str">
        <f t="shared" si="218"/>
        <v>1+7,67146695734344i</v>
      </c>
      <c r="BA220">
        <f t="shared" si="243"/>
        <v>7.7363689982841573</v>
      </c>
      <c r="BB220">
        <f t="shared" si="244"/>
        <v>1.4411740424914823</v>
      </c>
      <c r="BC220" s="41" t="str">
        <f t="shared" si="245"/>
        <v>-0,0869064414975114+0,0159514508029334i</v>
      </c>
      <c r="BD220">
        <f t="shared" si="246"/>
        <v>-21.075058989816998</v>
      </c>
      <c r="BE220" s="43">
        <f t="shared" si="247"/>
        <v>169.59927672561</v>
      </c>
      <c r="BF220" s="41" t="str">
        <f t="shared" si="248"/>
        <v>0,0508249015612782+0,0956023131477387i</v>
      </c>
      <c r="BG220" s="20">
        <f t="shared" si="249"/>
        <v>-19.309622390488105</v>
      </c>
      <c r="BH220" s="43">
        <f t="shared" si="250"/>
        <v>62.003621111955489</v>
      </c>
      <c r="BI220" s="41" t="str">
        <f t="shared" si="203"/>
        <v>0,140239851864317+0,69433568416778i</v>
      </c>
      <c r="BJ220" s="20">
        <f t="shared" si="251"/>
        <v>-2.9949594990410255</v>
      </c>
      <c r="BK220" s="43">
        <f t="shared" si="204"/>
        <v>78.581190916474796</v>
      </c>
      <c r="BL220">
        <f t="shared" si="252"/>
        <v>-19.309622390488105</v>
      </c>
      <c r="BM220" s="43">
        <f t="shared" si="253"/>
        <v>62.003621111955489</v>
      </c>
    </row>
    <row r="221" spans="14:65" x14ac:dyDescent="0.35">
      <c r="N221" s="9">
        <v>3</v>
      </c>
      <c r="O221" s="34">
        <f t="shared" si="254"/>
        <v>1071.5193052376069</v>
      </c>
      <c r="P221" s="33" t="str">
        <f t="shared" si="206"/>
        <v>59,1053597814893</v>
      </c>
      <c r="Q221" s="4" t="str">
        <f t="shared" si="207"/>
        <v>1+51,7309061623086i</v>
      </c>
      <c r="R221" s="4">
        <f t="shared" si="219"/>
        <v>51.740570661460417</v>
      </c>
      <c r="S221" s="4">
        <f t="shared" si="220"/>
        <v>1.5514679302500878</v>
      </c>
      <c r="T221" s="4" t="str">
        <f t="shared" si="208"/>
        <v>1+0,00875232066153668i</v>
      </c>
      <c r="U221" s="4">
        <f t="shared" si="221"/>
        <v>1.0000383008250047</v>
      </c>
      <c r="V221" s="4">
        <f t="shared" si="222"/>
        <v>8.7520971867934647E-3</v>
      </c>
      <c r="W221" t="str">
        <f t="shared" si="209"/>
        <v>1-0,323162609041355i</v>
      </c>
      <c r="X221" s="4">
        <f t="shared" si="223"/>
        <v>1.0509205830520285</v>
      </c>
      <c r="Y221" s="4">
        <f t="shared" si="224"/>
        <v>-0.31256914527341534</v>
      </c>
      <c r="Z221" t="str">
        <f t="shared" si="210"/>
        <v>0,999976277817738+0,0302352895580358i</v>
      </c>
      <c r="AA221" s="4">
        <f t="shared" si="225"/>
        <v>1.0004332706047294</v>
      </c>
      <c r="AB221" s="4">
        <f t="shared" si="226"/>
        <v>3.0226797791501153E-2</v>
      </c>
      <c r="AC221" s="47" t="str">
        <f t="shared" si="227"/>
        <v>-0,371466047551405-1,14109505659292i</v>
      </c>
      <c r="AD221" s="20">
        <f t="shared" si="228"/>
        <v>1.5838811250154274</v>
      </c>
      <c r="AE221" s="43">
        <f t="shared" si="229"/>
        <v>-108.03186699436226</v>
      </c>
      <c r="AF221" t="str">
        <f t="shared" si="211"/>
        <v>405,634542683733</v>
      </c>
      <c r="AG221" t="str">
        <f t="shared" si="212"/>
        <v>1+51,8229512854145i</v>
      </c>
      <c r="AH221">
        <f t="shared" si="230"/>
        <v>51.83259862220342</v>
      </c>
      <c r="AI221">
        <f t="shared" si="231"/>
        <v>1.5515022517758326</v>
      </c>
      <c r="AJ221" t="str">
        <f t="shared" si="213"/>
        <v>1+0,00875232066153668i</v>
      </c>
      <c r="AK221">
        <f t="shared" si="232"/>
        <v>1.0000383008250047</v>
      </c>
      <c r="AL221">
        <f t="shared" si="233"/>
        <v>8.7520971867934647E-3</v>
      </c>
      <c r="AM221" t="str">
        <f t="shared" si="214"/>
        <v>1-0,0471715781120956i</v>
      </c>
      <c r="AN221">
        <f t="shared" si="234"/>
        <v>1.0011119606625352</v>
      </c>
      <c r="AO221">
        <f t="shared" si="235"/>
        <v>-4.7136636682327121E-2</v>
      </c>
      <c r="AP221" s="41" t="str">
        <f t="shared" si="236"/>
        <v>-0,149562028673052-7,83343220013474i</v>
      </c>
      <c r="AQ221">
        <f t="shared" si="237"/>
        <v>17.880624641809167</v>
      </c>
      <c r="AR221" s="43">
        <f t="shared" si="238"/>
        <v>-91.09380304344613</v>
      </c>
      <c r="AS221" t="str">
        <f t="shared" si="215"/>
        <v>-0,0000166666666666667</v>
      </c>
      <c r="AT221" t="str">
        <f t="shared" si="216"/>
        <v>0,00149126078963875i</v>
      </c>
      <c r="AU221">
        <f t="shared" si="239"/>
        <v>1.4912607896387499E-3</v>
      </c>
      <c r="AV221">
        <f t="shared" si="240"/>
        <v>1.5707963267948966</v>
      </c>
      <c r="AW221" t="str">
        <f t="shared" si="217"/>
        <v>1+0,053161343417356i</v>
      </c>
      <c r="AX221">
        <f t="shared" si="241"/>
        <v>1.0014120672500098</v>
      </c>
      <c r="AY221">
        <f t="shared" si="242"/>
        <v>5.3111347904851558E-2</v>
      </c>
      <c r="AZ221" t="str">
        <f t="shared" si="218"/>
        <v>1+7,8501583779629i</v>
      </c>
      <c r="BA221">
        <f t="shared" si="243"/>
        <v>7.9135950464438798</v>
      </c>
      <c r="BB221">
        <f t="shared" si="244"/>
        <v>1.4440927684416371</v>
      </c>
      <c r="BC221" s="41" t="str">
        <f t="shared" si="245"/>
        <v>-0,0868954184347212+0,0157957025482682i</v>
      </c>
      <c r="BD221">
        <f t="shared" si="246"/>
        <v>-21.078876938262525</v>
      </c>
      <c r="BE221" s="43">
        <f t="shared" si="247"/>
        <v>169.69736477786972</v>
      </c>
      <c r="BF221" s="41" t="str">
        <f t="shared" si="248"/>
        <v>0,0503030957295124+0,0932883652225308i</v>
      </c>
      <c r="BG221" s="20">
        <f t="shared" si="249"/>
        <v>-19.494995813247098</v>
      </c>
      <c r="BH221" s="43">
        <f t="shared" si="250"/>
        <v>61.665497783507448</v>
      </c>
      <c r="BI221" s="41" t="str">
        <f t="shared" si="203"/>
        <v>0,136730820028845+0,678326931493292i</v>
      </c>
      <c r="BJ221" s="20">
        <f t="shared" si="251"/>
        <v>-3.1982522964533566</v>
      </c>
      <c r="BK221" s="43">
        <f t="shared" si="204"/>
        <v>78.603561734423593</v>
      </c>
      <c r="BL221">
        <f t="shared" si="252"/>
        <v>-19.494995813247098</v>
      </c>
      <c r="BM221" s="43">
        <f t="shared" si="253"/>
        <v>61.665497783507448</v>
      </c>
    </row>
    <row r="222" spans="14:65" x14ac:dyDescent="0.35">
      <c r="N222" s="9">
        <v>4</v>
      </c>
      <c r="O222" s="34">
        <f t="shared" si="254"/>
        <v>1096.4781961431863</v>
      </c>
      <c r="P222" s="33" t="str">
        <f t="shared" si="206"/>
        <v>59,1053597814893</v>
      </c>
      <c r="Q222" s="4" t="str">
        <f t="shared" si="207"/>
        <v>1+52,9358737602237i</v>
      </c>
      <c r="R222" s="4">
        <f t="shared" si="219"/>
        <v>52.945318308216251</v>
      </c>
      <c r="S222" s="4">
        <f t="shared" si="220"/>
        <v>1.5519077924122731</v>
      </c>
      <c r="T222" s="4" t="str">
        <f t="shared" si="208"/>
        <v>1+0,00895618839914454i</v>
      </c>
      <c r="U222" s="4">
        <f t="shared" si="221"/>
        <v>1.0000401058510808</v>
      </c>
      <c r="V222" s="4">
        <f t="shared" si="222"/>
        <v>8.9559489421616109E-3</v>
      </c>
      <c r="W222" t="str">
        <f t="shared" si="209"/>
        <v>1-0,330690033199183i</v>
      </c>
      <c r="X222" s="4">
        <f t="shared" si="223"/>
        <v>1.0532596536739063</v>
      </c>
      <c r="Y222" s="4">
        <f t="shared" si="224"/>
        <v>-0.31936970077773696</v>
      </c>
      <c r="Z222" t="str">
        <f t="shared" si="210"/>
        <v>0,999975159825731+0,0309395599243175i</v>
      </c>
      <c r="AA222" s="4">
        <f t="shared" si="225"/>
        <v>1.0004536854031809</v>
      </c>
      <c r="AB222" s="4">
        <f t="shared" si="226"/>
        <v>3.0930461055207945E-2</v>
      </c>
      <c r="AC222" s="47" t="str">
        <f t="shared" si="227"/>
        <v>-0,37245413089902-1,11474167218108i</v>
      </c>
      <c r="AD222" s="20">
        <f t="shared" si="228"/>
        <v>1.4031035802594316</v>
      </c>
      <c r="AE222" s="43">
        <f t="shared" si="229"/>
        <v>-108.47534945854493</v>
      </c>
      <c r="AF222" t="str">
        <f t="shared" si="211"/>
        <v>405,634542683733</v>
      </c>
      <c r="AG222" t="str">
        <f t="shared" si="212"/>
        <v>1+53,0300628896715i</v>
      </c>
      <c r="AH222">
        <f t="shared" si="230"/>
        <v>53.039490665753135</v>
      </c>
      <c r="AI222">
        <f t="shared" si="231"/>
        <v>1.5519413332476018</v>
      </c>
      <c r="AJ222" t="str">
        <f t="shared" si="213"/>
        <v>1+0,00895618839914454i</v>
      </c>
      <c r="AK222">
        <f t="shared" si="232"/>
        <v>1.0000401058510808</v>
      </c>
      <c r="AL222">
        <f t="shared" si="233"/>
        <v>8.9559489421616109E-3</v>
      </c>
      <c r="AM222" t="str">
        <f t="shared" si="214"/>
        <v>1-0,0482703453169316i</v>
      </c>
      <c r="AN222">
        <f t="shared" si="234"/>
        <v>1.0011643352801856</v>
      </c>
      <c r="AO222">
        <f t="shared" si="235"/>
        <v>-4.8232907251662738E-2</v>
      </c>
      <c r="AP222" s="41" t="str">
        <f t="shared" si="236"/>
        <v>-0,1563600167918-7,65539853844385i</v>
      </c>
      <c r="AQ222">
        <f t="shared" si="237"/>
        <v>17.681167477958734</v>
      </c>
      <c r="AR222" s="43">
        <f t="shared" si="238"/>
        <v>-91.170092390239319</v>
      </c>
      <c r="AS222" t="str">
        <f t="shared" si="215"/>
        <v>-0,0000166666666666667</v>
      </c>
      <c r="AT222" t="str">
        <f t="shared" si="216"/>
        <v>0,0015259967157004i</v>
      </c>
      <c r="AU222">
        <f t="shared" si="239"/>
        <v>1.5259967157003999E-3</v>
      </c>
      <c r="AV222">
        <f t="shared" si="240"/>
        <v>1.5707963267948966</v>
      </c>
      <c r="AW222" t="str">
        <f t="shared" si="217"/>
        <v>1+0,054399630179211i</v>
      </c>
      <c r="AX222">
        <f t="shared" si="241"/>
        <v>1.0014785668019235</v>
      </c>
      <c r="AY222">
        <f t="shared" si="242"/>
        <v>5.4346063293110515E-2</v>
      </c>
      <c r="AZ222" t="str">
        <f t="shared" si="218"/>
        <v>1+8,03301205646348i</v>
      </c>
      <c r="BA222">
        <f t="shared" si="243"/>
        <v>8.0950159171732103</v>
      </c>
      <c r="BB222">
        <f t="shared" si="244"/>
        <v>1.446947154828127</v>
      </c>
      <c r="BC222" s="41" t="str">
        <f t="shared" si="245"/>
        <v>-0,0868838788676638+0,0156482742978137i</v>
      </c>
      <c r="BD222">
        <f t="shared" si="246"/>
        <v>-21.082576028249271</v>
      </c>
      <c r="BE222" s="43">
        <f t="shared" si="247"/>
        <v>169.79016509026806</v>
      </c>
      <c r="BF222" s="41" t="str">
        <f t="shared" si="248"/>
        <v>0,0498040430502845+0,0910248160108563i</v>
      </c>
      <c r="BG222" s="20">
        <f t="shared" si="249"/>
        <v>-19.679472447989834</v>
      </c>
      <c r="BH222" s="43">
        <f t="shared" si="250"/>
        <v>61.314815631723164</v>
      </c>
      <c r="BI222" s="41" t="str">
        <f t="shared" si="203"/>
        <v>0,133378940947336+0,662683954865877i</v>
      </c>
      <c r="BJ222" s="20">
        <f t="shared" si="251"/>
        <v>-3.4014085502905385</v>
      </c>
      <c r="BK222" s="43">
        <f t="shared" si="204"/>
        <v>78.620072700028771</v>
      </c>
      <c r="BL222">
        <f t="shared" si="252"/>
        <v>-19.679472447989834</v>
      </c>
      <c r="BM222" s="43">
        <f t="shared" si="253"/>
        <v>61.314815631723164</v>
      </c>
    </row>
    <row r="223" spans="14:65" x14ac:dyDescent="0.35">
      <c r="N223" s="9">
        <v>5</v>
      </c>
      <c r="O223" s="34">
        <f t="shared" si="254"/>
        <v>1122.0184543019636</v>
      </c>
      <c r="P223" s="33" t="str">
        <f t="shared" si="206"/>
        <v>59,1053597814893</v>
      </c>
      <c r="Q223" s="4" t="str">
        <f t="shared" si="207"/>
        <v>1+54,1689086590955i</v>
      </c>
      <c r="R223" s="4">
        <f t="shared" si="219"/>
        <v>54.178138259979285</v>
      </c>
      <c r="S223" s="4">
        <f t="shared" si="220"/>
        <v>1.5523376491528447</v>
      </c>
      <c r="T223" s="4" t="str">
        <f t="shared" si="208"/>
        <v>1+0,00916480482639079i</v>
      </c>
      <c r="U223" s="4">
        <f t="shared" si="221"/>
        <v>1.0000419959419233</v>
      </c>
      <c r="V223" s="4">
        <f t="shared" si="222"/>
        <v>9.1645482441927474E-3</v>
      </c>
      <c r="W223" t="str">
        <f t="shared" si="209"/>
        <v>1-0,338392793589814i</v>
      </c>
      <c r="X223" s="4">
        <f t="shared" si="223"/>
        <v>1.0557034066221054</v>
      </c>
      <c r="Y223" s="4">
        <f t="shared" si="224"/>
        <v>-0.32629713627648604</v>
      </c>
      <c r="Z223" t="str">
        <f t="shared" si="210"/>
        <v>0,999973989144384+0,0316602348548045i</v>
      </c>
      <c r="AA223" s="4">
        <f t="shared" si="225"/>
        <v>1.0004750618763039</v>
      </c>
      <c r="AB223" s="4">
        <f t="shared" si="226"/>
        <v>3.1650485490720366E-2</v>
      </c>
      <c r="AC223" s="47" t="str">
        <f t="shared" si="227"/>
        <v>-0,37339668219214-1,08897767197525i</v>
      </c>
      <c r="AD223" s="20">
        <f t="shared" si="228"/>
        <v>1.2231336310960514</v>
      </c>
      <c r="AE223" s="43">
        <f t="shared" si="229"/>
        <v>-108.92619375418762</v>
      </c>
      <c r="AF223" t="str">
        <f t="shared" si="211"/>
        <v>405,634542683733</v>
      </c>
      <c r="AG223" t="str">
        <f t="shared" si="212"/>
        <v>1+54,2652917352086i</v>
      </c>
      <c r="AH223">
        <f t="shared" si="230"/>
        <v>54.274504945759745</v>
      </c>
      <c r="AI223">
        <f t="shared" si="231"/>
        <v>1.5523704270308876</v>
      </c>
      <c r="AJ223" t="str">
        <f t="shared" si="213"/>
        <v>1+0,00916480482639079i</v>
      </c>
      <c r="AK223">
        <f t="shared" si="232"/>
        <v>1.0000419959419233</v>
      </c>
      <c r="AL223">
        <f t="shared" si="233"/>
        <v>9.1645482441927474E-3</v>
      </c>
      <c r="AM223" t="str">
        <f t="shared" si="214"/>
        <v>1-0,0493947060977882i</v>
      </c>
      <c r="AN223">
        <f t="shared" si="234"/>
        <v>1.001219175301036</v>
      </c>
      <c r="AO223">
        <f t="shared" si="235"/>
        <v>-4.9354593125878504E-2</v>
      </c>
      <c r="AP223" s="41" t="str">
        <f t="shared" si="236"/>
        <v>-0,162852257671782-7,48141233213838i</v>
      </c>
      <c r="AQ223">
        <f t="shared" si="237"/>
        <v>17.481729143911142</v>
      </c>
      <c r="AR223" s="43">
        <f t="shared" si="238"/>
        <v>-91.24699365995312</v>
      </c>
      <c r="AS223" t="str">
        <f t="shared" si="215"/>
        <v>-0,0000166666666666667</v>
      </c>
      <c r="AT223" t="str">
        <f t="shared" si="216"/>
        <v>0,00156154174541966i</v>
      </c>
      <c r="AU223">
        <f t="shared" si="239"/>
        <v>1.5615417454196601E-3</v>
      </c>
      <c r="AV223">
        <f t="shared" si="240"/>
        <v>1.5707963267948966</v>
      </c>
      <c r="AW223" t="str">
        <f t="shared" si="217"/>
        <v>1+0,0556667603450513i</v>
      </c>
      <c r="AX223">
        <f t="shared" si="241"/>
        <v>1.0015481956487733</v>
      </c>
      <c r="AY223">
        <f t="shared" si="242"/>
        <v>5.5609367183372838E-2</v>
      </c>
      <c r="AZ223" t="str">
        <f t="shared" si="218"/>
        <v>1+8,22012494428589i</v>
      </c>
      <c r="BA223">
        <f t="shared" si="243"/>
        <v>8.2807278725768487</v>
      </c>
      <c r="BB223">
        <f t="shared" si="244"/>
        <v>1.4497385289356977</v>
      </c>
      <c r="BC223" s="41" t="str">
        <f t="shared" si="245"/>
        <v>-0,0868717987420485+0,0155090839669511i</v>
      </c>
      <c r="BD223">
        <f t="shared" si="246"/>
        <v>-21.086163788260947</v>
      </c>
      <c r="BE223" s="43">
        <f t="shared" si="247"/>
        <v>169.87771706451946</v>
      </c>
      <c r="BF223" s="41" t="str">
        <f t="shared" si="248"/>
        <v>0,0493266875791433+0,0888104086573196i</v>
      </c>
      <c r="BG223" s="20">
        <f t="shared" si="249"/>
        <v>-19.863030157164893</v>
      </c>
      <c r="BH223" s="43">
        <f t="shared" si="250"/>
        <v>60.951523310331865</v>
      </c>
      <c r="BI223" s="41" t="str">
        <f t="shared" si="203"/>
        <v>0,130177120603669+0,647398057085366i</v>
      </c>
      <c r="BJ223" s="20">
        <f t="shared" si="251"/>
        <v>-3.604434644349801</v>
      </c>
      <c r="BK223" s="43">
        <f t="shared" si="204"/>
        <v>78.630723404566325</v>
      </c>
      <c r="BL223">
        <f t="shared" si="252"/>
        <v>-19.863030157164893</v>
      </c>
      <c r="BM223" s="43">
        <f t="shared" si="253"/>
        <v>60.951523310331865</v>
      </c>
    </row>
    <row r="224" spans="14:65" x14ac:dyDescent="0.35">
      <c r="N224" s="9">
        <v>6</v>
      </c>
      <c r="O224" s="34">
        <f t="shared" si="254"/>
        <v>1148.1536214968839</v>
      </c>
      <c r="P224" s="33" t="str">
        <f t="shared" si="206"/>
        <v>59,1053597814893</v>
      </c>
      <c r="Q224" s="4" t="str">
        <f t="shared" si="207"/>
        <v>1+55,4306646303487i</v>
      </c>
      <c r="R224" s="4">
        <f t="shared" si="219"/>
        <v>55.439684174444849</v>
      </c>
      <c r="S224" s="4">
        <f t="shared" si="220"/>
        <v>1.5527577277517515</v>
      </c>
      <c r="T224" s="4" t="str">
        <f t="shared" si="208"/>
        <v>1+0,00937828055446653i</v>
      </c>
      <c r="U224" s="4">
        <f t="shared" si="221"/>
        <v>1.0000439751061743</v>
      </c>
      <c r="V224" s="4">
        <f t="shared" si="222"/>
        <v>9.3780056223408924E-3</v>
      </c>
      <c r="W224" t="str">
        <f t="shared" si="209"/>
        <v>1-0,346274974318765i</v>
      </c>
      <c r="X224" s="4">
        <f t="shared" si="223"/>
        <v>1.0582562817387202</v>
      </c>
      <c r="Y224" s="4">
        <f t="shared" si="224"/>
        <v>-0.3333524643526079</v>
      </c>
      <c r="Z224" t="str">
        <f t="shared" si="210"/>
        <v>0,999972763290526+0,0323976964608844i</v>
      </c>
      <c r="AA224" s="4">
        <f t="shared" si="225"/>
        <v>1.0004974453035158</v>
      </c>
      <c r="AB224" s="4">
        <f t="shared" si="226"/>
        <v>3.2387250109342458E-2</v>
      </c>
      <c r="AC224" s="47" t="str">
        <f t="shared" si="227"/>
        <v>-0,374295696615359-1,06378951137083i</v>
      </c>
      <c r="AD224" s="20">
        <f t="shared" si="228"/>
        <v>1.0440017304205709</v>
      </c>
      <c r="AE224" s="43">
        <f t="shared" si="229"/>
        <v>-109.38448630307852</v>
      </c>
      <c r="AF224" t="str">
        <f t="shared" si="211"/>
        <v>405,634542683733</v>
      </c>
      <c r="AG224" t="str">
        <f t="shared" si="212"/>
        <v>1+55,5292927567097i</v>
      </c>
      <c r="AH224">
        <f t="shared" si="230"/>
        <v>55.538296283378848</v>
      </c>
      <c r="AI224">
        <f t="shared" si="231"/>
        <v>1.5527897600044878</v>
      </c>
      <c r="AJ224" t="str">
        <f t="shared" si="213"/>
        <v>1+0,00937828055446653i</v>
      </c>
      <c r="AK224">
        <f t="shared" si="232"/>
        <v>1.0000439751061743</v>
      </c>
      <c r="AL224">
        <f t="shared" si="233"/>
        <v>9.3780056223408924E-3</v>
      </c>
      <c r="AM224" t="str">
        <f t="shared" si="214"/>
        <v>1-0,0505452566056341i</v>
      </c>
      <c r="AN224">
        <f t="shared" si="234"/>
        <v>1.0012765966331827</v>
      </c>
      <c r="AO224">
        <f t="shared" si="235"/>
        <v>-5.0502277741002341E-2</v>
      </c>
      <c r="AP224" s="41" t="str">
        <f t="shared" si="236"/>
        <v>-0,169052493506016-7,31138210104015i</v>
      </c>
      <c r="AQ224">
        <f t="shared" si="237"/>
        <v>17.282310823676053</v>
      </c>
      <c r="AR224" s="43">
        <f t="shared" si="238"/>
        <v>-91.324546947335946</v>
      </c>
      <c r="AS224" t="str">
        <f t="shared" si="215"/>
        <v>-0,0000166666666666667</v>
      </c>
      <c r="AT224" t="str">
        <f t="shared" si="216"/>
        <v>0,0015979147252418i</v>
      </c>
      <c r="AU224">
        <f t="shared" si="239"/>
        <v>1.5979147252418E-3</v>
      </c>
      <c r="AV224">
        <f t="shared" si="240"/>
        <v>1.5707963267948966</v>
      </c>
      <c r="AW224" t="str">
        <f t="shared" si="217"/>
        <v>1+0,0569634057640631i</v>
      </c>
      <c r="AX224">
        <f t="shared" si="241"/>
        <v>1.0016211008141958</v>
      </c>
      <c r="AY224">
        <f t="shared" si="242"/>
        <v>5.6901913257720767E-2</v>
      </c>
      <c r="AZ224" t="str">
        <f t="shared" si="218"/>
        <v>1+8,41159625115998i</v>
      </c>
      <c r="BA224">
        <f t="shared" si="243"/>
        <v>8.4708294453688904</v>
      </c>
      <c r="BB224">
        <f t="shared" si="244"/>
        <v>1.452468196696725</v>
      </c>
      <c r="BC224" s="41" t="str">
        <f t="shared" si="245"/>
        <v>-0,086859152897512+0,015378053561687i</v>
      </c>
      <c r="BD224">
        <f t="shared" si="246"/>
        <v>-21.089647536125227</v>
      </c>
      <c r="BE224" s="43">
        <f t="shared" si="247"/>
        <v>169.96005807181297</v>
      </c>
      <c r="BF224" s="41" t="str">
        <f t="shared" si="248"/>
        <v>0,0488700192254157+0,0866439165484686i</v>
      </c>
      <c r="BG224" s="20">
        <f t="shared" si="249"/>
        <v>-20.045645805704659</v>
      </c>
      <c r="BH224" s="43">
        <f t="shared" si="250"/>
        <v>60.575571768734463</v>
      </c>
      <c r="BI224" s="41" t="str">
        <f t="shared" si="203"/>
        <v>0,1271185819409+0,632460757506507i</v>
      </c>
      <c r="BJ224" s="20">
        <f t="shared" si="251"/>
        <v>-3.8073367124491724</v>
      </c>
      <c r="BK224" s="43">
        <f t="shared" si="204"/>
        <v>78.635511124476992</v>
      </c>
      <c r="BL224">
        <f t="shared" si="252"/>
        <v>-20.045645805704659</v>
      </c>
      <c r="BM224" s="43">
        <f t="shared" si="253"/>
        <v>60.575571768734463</v>
      </c>
    </row>
    <row r="225" spans="14:65" x14ac:dyDescent="0.35">
      <c r="N225" s="9">
        <v>7</v>
      </c>
      <c r="O225" s="34">
        <f t="shared" si="254"/>
        <v>1174.8975549395295</v>
      </c>
      <c r="P225" s="33" t="str">
        <f t="shared" si="206"/>
        <v>59,1053597814893</v>
      </c>
      <c r="Q225" s="4" t="str">
        <f t="shared" si="207"/>
        <v>1+56,7218106737004i</v>
      </c>
      <c r="R225" s="4">
        <f t="shared" si="219"/>
        <v>56.730624940177705</v>
      </c>
      <c r="S225" s="4">
        <f t="shared" si="220"/>
        <v>1.5531682503468498</v>
      </c>
      <c r="T225" s="4" t="str">
        <f t="shared" si="208"/>
        <v>1+0,00959672877102845i</v>
      </c>
      <c r="U225" s="4">
        <f t="shared" si="221"/>
        <v>1.0000460475413644</v>
      </c>
      <c r="V225" s="4">
        <f t="shared" si="222"/>
        <v>9.5964341766808132E-3</v>
      </c>
      <c r="W225" t="str">
        <f t="shared" si="209"/>
        <v>1-0,35434075462259i</v>
      </c>
      <c r="X225" s="4">
        <f t="shared" si="223"/>
        <v>1.0609228861639788</v>
      </c>
      <c r="Y225" s="4">
        <f t="shared" si="224"/>
        <v>-0.34053661533860236</v>
      </c>
      <c r="Z225" t="str">
        <f t="shared" si="210"/>
        <v>0,999971479663954+0,0331523357544619i</v>
      </c>
      <c r="AA225" s="4">
        <f t="shared" si="225"/>
        <v>1.0005208830940482</v>
      </c>
      <c r="AB225" s="4">
        <f t="shared" si="226"/>
        <v>3.3141142601583226E-2</v>
      </c>
      <c r="AC225" s="47" t="str">
        <f t="shared" si="227"/>
        <v>-0,375153077392644-1,03916394369115i</v>
      </c>
      <c r="AD225" s="20">
        <f t="shared" si="228"/>
        <v>0.86573911190635755</v>
      </c>
      <c r="AE225" s="43">
        <f t="shared" si="229"/>
        <v>-109.85030886977781</v>
      </c>
      <c r="AF225" t="str">
        <f t="shared" si="211"/>
        <v>405,634542683733</v>
      </c>
      <c r="AG225" t="str">
        <f t="shared" si="212"/>
        <v>1+56,8227361442474i</v>
      </c>
      <c r="AH225">
        <f t="shared" si="230"/>
        <v>56.831534757727241</v>
      </c>
      <c r="AI225">
        <f t="shared" si="231"/>
        <v>1.5531995539140726</v>
      </c>
      <c r="AJ225" t="str">
        <f t="shared" si="213"/>
        <v>1+0,00959672877102845i</v>
      </c>
      <c r="AK225">
        <f t="shared" si="232"/>
        <v>1.0000460475413644</v>
      </c>
      <c r="AL225">
        <f t="shared" si="233"/>
        <v>9.5964341766808132E-3</v>
      </c>
      <c r="AM225" t="str">
        <f t="shared" si="214"/>
        <v>1-0,0517226068775779i</v>
      </c>
      <c r="AN225">
        <f t="shared" si="234"/>
        <v>1.001336720620098</v>
      </c>
      <c r="AO225">
        <f t="shared" si="235"/>
        <v>-5.1676557514082906E-2</v>
      </c>
      <c r="AP225" s="41" t="str">
        <f t="shared" si="236"/>
        <v>-0,174973849631104-7,14521841116945i</v>
      </c>
      <c r="AQ225">
        <f t="shared" si="237"/>
        <v>17.082913743035913</v>
      </c>
      <c r="AR225" s="43">
        <f t="shared" si="238"/>
        <v>-91.40279264950162</v>
      </c>
      <c r="AS225" t="str">
        <f t="shared" si="215"/>
        <v>-0,0000166666666666667</v>
      </c>
      <c r="AT225" t="str">
        <f t="shared" si="216"/>
        <v>0,00163513494060216i</v>
      </c>
      <c r="AU225">
        <f t="shared" si="239"/>
        <v>1.6351349406021601E-3</v>
      </c>
      <c r="AV225">
        <f t="shared" si="240"/>
        <v>1.5707963267948966</v>
      </c>
      <c r="AW225" t="str">
        <f t="shared" si="217"/>
        <v>1+0,0582902539348109i</v>
      </c>
      <c r="AX225">
        <f t="shared" si="241"/>
        <v>1.0016974362070539</v>
      </c>
      <c r="AY225">
        <f t="shared" si="242"/>
        <v>5.8224369556012727E-2</v>
      </c>
      <c r="AZ225" t="str">
        <f t="shared" si="218"/>
        <v>1+8,60752749770706i</v>
      </c>
      <c r="BA225">
        <f t="shared" si="243"/>
        <v>8.6654214914095888</v>
      </c>
      <c r="BB225">
        <f t="shared" si="244"/>
        <v>1.4551374426178603</v>
      </c>
      <c r="BC225" s="41" t="str">
        <f t="shared" si="245"/>
        <v>-0,0868459150181268+0,0152551091178203i</v>
      </c>
      <c r="BD225">
        <f t="shared" si="246"/>
        <v>-21.093034392172481</v>
      </c>
      <c r="BE225" s="43">
        <f t="shared" si="247"/>
        <v>170.03722343309386</v>
      </c>
      <c r="BF225" s="41" t="str">
        <f t="shared" si="248"/>
        <v>0,0484330716303433+0,0845241424121922i</v>
      </c>
      <c r="BG225" s="20">
        <f t="shared" si="249"/>
        <v>-20.227295280266127</v>
      </c>
      <c r="BH225" s="43">
        <f t="shared" si="250"/>
        <v>60.186914563316037</v>
      </c>
      <c r="BI225" s="41" t="str">
        <f t="shared" si="203"/>
        <v>0,124196850608506+0,61786378575349i</v>
      </c>
      <c r="BJ225" s="20">
        <f t="shared" si="251"/>
        <v>-4.0101206491365602</v>
      </c>
      <c r="BK225" s="43">
        <f t="shared" si="204"/>
        <v>78.634430783592251</v>
      </c>
      <c r="BL225">
        <f t="shared" si="252"/>
        <v>-20.227295280266127</v>
      </c>
      <c r="BM225" s="43">
        <f t="shared" si="253"/>
        <v>60.186914563316037</v>
      </c>
    </row>
    <row r="226" spans="14:65" x14ac:dyDescent="0.35">
      <c r="N226" s="9">
        <v>8</v>
      </c>
      <c r="O226" s="34">
        <f t="shared" si="254"/>
        <v>1202.2644346174138</v>
      </c>
      <c r="P226" s="33" t="str">
        <f t="shared" si="206"/>
        <v>59,1053597814893</v>
      </c>
      <c r="Q226" s="4" t="str">
        <f t="shared" si="207"/>
        <v>1+58,0430313718734i</v>
      </c>
      <c r="R226" s="4">
        <f t="shared" si="219"/>
        <v>58.051645031267462</v>
      </c>
      <c r="S226" s="4">
        <f t="shared" si="220"/>
        <v>1.5535694340488571</v>
      </c>
      <c r="T226" s="4" t="str">
        <f t="shared" si="208"/>
        <v>1+0,00982026530021253i</v>
      </c>
      <c r="U226" s="4">
        <f t="shared" si="221"/>
        <v>1.0000482176428127</v>
      </c>
      <c r="V226" s="4">
        <f t="shared" si="222"/>
        <v>9.819949637503822E-3</v>
      </c>
      <c r="W226" t="str">
        <f t="shared" si="209"/>
        <v>1-0,362594411084771i</v>
      </c>
      <c r="X226" s="4">
        <f t="shared" si="223"/>
        <v>1.063707998912254</v>
      </c>
      <c r="Y226" s="4">
        <f t="shared" si="224"/>
        <v>-0.3478504311195818</v>
      </c>
      <c r="Z226" t="str">
        <f t="shared" si="210"/>
        <v>0,999970135541927+0,0339245528552796i</v>
      </c>
      <c r="AA226" s="4">
        <f t="shared" si="225"/>
        <v>1.0005454248869317</v>
      </c>
      <c r="AB226" s="4">
        <f t="shared" si="226"/>
        <v>3.3912559528698101E-2</v>
      </c>
      <c r="AC226" s="47" t="str">
        <f t="shared" si="227"/>
        <v>-0,375970639792922-1,01508801367981i</v>
      </c>
      <c r="AD226" s="20">
        <f t="shared" si="228"/>
        <v>0.68837778102477154</v>
      </c>
      <c r="AE226" s="43">
        <f t="shared" si="229"/>
        <v>-110.3237382207061</v>
      </c>
      <c r="AF226" t="str">
        <f t="shared" si="211"/>
        <v>405,634542683733</v>
      </c>
      <c r="AG226" t="str">
        <f t="shared" si="212"/>
        <v>1+58,1463076986267i</v>
      </c>
      <c r="AH226">
        <f t="shared" si="230"/>
        <v>58.154906061168859</v>
      </c>
      <c r="AI226">
        <f t="shared" si="231"/>
        <v>1.5536000254869446</v>
      </c>
      <c r="AJ226" t="str">
        <f t="shared" si="213"/>
        <v>1+0,00982026530021253i</v>
      </c>
      <c r="AK226">
        <f t="shared" si="232"/>
        <v>1.0000482176428127</v>
      </c>
      <c r="AL226">
        <f t="shared" si="233"/>
        <v>9.819949637503822E-3</v>
      </c>
      <c r="AM226" t="str">
        <f t="shared" si="214"/>
        <v>1-0,0529273811603178i</v>
      </c>
      <c r="AN226">
        <f t="shared" si="234"/>
        <v>1.00139967429418</v>
      </c>
      <c r="AO226">
        <f t="shared" si="235"/>
        <v>-5.2878042102421641E-2</v>
      </c>
      <c r="AP226" s="41" t="str">
        <f t="shared" si="236"/>
        <v>-0,180628862145826-6,9828338307445i</v>
      </c>
      <c r="AQ226">
        <f t="shared" si="237"/>
        <v>16.883539172078113</v>
      </c>
      <c r="AR226" s="43">
        <f t="shared" si="238"/>
        <v>-91.481771483942893</v>
      </c>
      <c r="AS226" t="str">
        <f t="shared" si="215"/>
        <v>-0,0000166666666666667</v>
      </c>
      <c r="AT226" t="str">
        <f t="shared" si="216"/>
        <v>0,00167322212615159i</v>
      </c>
      <c r="AU226">
        <f t="shared" si="239"/>
        <v>1.6732221261515901E-3</v>
      </c>
      <c r="AV226">
        <f t="shared" si="240"/>
        <v>1.5707963267948966</v>
      </c>
      <c r="AW226" t="str">
        <f t="shared" si="217"/>
        <v>1+0,0596480083697577i</v>
      </c>
      <c r="AX226">
        <f t="shared" si="241"/>
        <v>1.0017773629417259</v>
      </c>
      <c r="AY226">
        <f t="shared" si="242"/>
        <v>5.9577418748963155E-2</v>
      </c>
      <c r="AZ226" t="str">
        <f t="shared" si="218"/>
        <v>1+8,80802256926754i</v>
      </c>
      <c r="BA226">
        <f t="shared" si="243"/>
        <v>8.864607243455648</v>
      </c>
      <c r="BB226">
        <f t="shared" si="244"/>
        <v>1.4577475297423177</v>
      </c>
      <c r="BC226" s="41" t="str">
        <f t="shared" si="245"/>
        <v>-0,0868320575808207+0,0151401806408916i</v>
      </c>
      <c r="BD226">
        <f t="shared" si="246"/>
        <v>-21.096331292157842</v>
      </c>
      <c r="BE226" s="43">
        <f t="shared" si="247"/>
        <v>170.10924640125708</v>
      </c>
      <c r="BF226" s="41" t="str">
        <f t="shared" si="248"/>
        <v>0,0480149201367132+0,0824499174513098i</v>
      </c>
      <c r="BG226" s="20">
        <f t="shared" si="249"/>
        <v>-20.407953511133066</v>
      </c>
      <c r="BH226" s="43">
        <f t="shared" si="250"/>
        <v>59.785508180550977</v>
      </c>
      <c r="BI226" s="41" t="str">
        <f t="shared" si="203"/>
        <v>0,121405741341405+0,603599075666663i</v>
      </c>
      <c r="BJ226" s="20">
        <f t="shared" si="251"/>
        <v>-4.2127921200797243</v>
      </c>
      <c r="BK226" s="43">
        <f t="shared" si="204"/>
        <v>78.627474917314217</v>
      </c>
      <c r="BL226">
        <f t="shared" si="252"/>
        <v>-20.407953511133066</v>
      </c>
      <c r="BM226" s="43">
        <f t="shared" si="253"/>
        <v>59.785508180550977</v>
      </c>
    </row>
    <row r="227" spans="14:65" x14ac:dyDescent="0.35">
      <c r="N227" s="9">
        <v>9</v>
      </c>
      <c r="O227" s="34">
        <f t="shared" si="254"/>
        <v>1230.2687708123824</v>
      </c>
      <c r="P227" s="33" t="str">
        <f t="shared" si="206"/>
        <v>59,1053597814893</v>
      </c>
      <c r="Q227" s="4" t="str">
        <f t="shared" si="207"/>
        <v>1+59,39502725357i</v>
      </c>
      <c r="R227" s="4">
        <f t="shared" si="219"/>
        <v>59.403444870245721</v>
      </c>
      <c r="S227" s="4">
        <f t="shared" si="220"/>
        <v>1.5539614910538271</v>
      </c>
      <c r="T227" s="4" t="str">
        <f t="shared" si="208"/>
        <v>1+0,0100490086640453i</v>
      </c>
      <c r="U227" s="4">
        <f t="shared" si="221"/>
        <v>1.0000504900129443</v>
      </c>
      <c r="V227" s="4">
        <f t="shared" si="222"/>
        <v>1.0048670426281268E-2</v>
      </c>
      <c r="W227" t="str">
        <f t="shared" si="209"/>
        <v>1-0,371040319903213i</v>
      </c>
      <c r="X227" s="4">
        <f t="shared" si="223"/>
        <v>1.0666165754355585</v>
      </c>
      <c r="Y227" s="4">
        <f t="shared" si="224"/>
        <v>-0.35529465877772537</v>
      </c>
      <c r="Z227" t="str">
        <f t="shared" si="210"/>
        <v>0,999968728073379+0,0347147572030657i</v>
      </c>
      <c r="AA227" s="4">
        <f t="shared" si="225"/>
        <v>1.0005711226556357</v>
      </c>
      <c r="AB227" s="4">
        <f t="shared" si="226"/>
        <v>3.470190651793563E-2</v>
      </c>
      <c r="AC227" s="47" t="str">
        <f t="shared" si="227"/>
        <v>-0,376750114952102-0,991549051114944i</v>
      </c>
      <c r="AD227" s="20">
        <f t="shared" si="228"/>
        <v>0.51195050296103628</v>
      </c>
      <c r="AE227" s="43">
        <f t="shared" si="229"/>
        <v>-110.80484577413651</v>
      </c>
      <c r="AF227" t="str">
        <f t="shared" si="211"/>
        <v>405,634542683733</v>
      </c>
      <c r="AG227" t="str">
        <f t="shared" si="212"/>
        <v>1+59,5007091950052i</v>
      </c>
      <c r="AH227">
        <f t="shared" si="230"/>
        <v>59.509111862878413</v>
      </c>
      <c r="AI227">
        <f t="shared" si="231"/>
        <v>1.5539913865443247</v>
      </c>
      <c r="AJ227" t="str">
        <f t="shared" si="213"/>
        <v>1+0,0100490086640453i</v>
      </c>
      <c r="AK227">
        <f t="shared" si="232"/>
        <v>1.0000504900129443</v>
      </c>
      <c r="AL227">
        <f t="shared" si="233"/>
        <v>1.0048670426281268E-2</v>
      </c>
      <c r="AM227" t="str">
        <f t="shared" si="214"/>
        <v>1-0,0541602182411256i</v>
      </c>
      <c r="AN227">
        <f t="shared" si="234"/>
        <v>1.0014655906419982</v>
      </c>
      <c r="AO227">
        <f t="shared" si="235"/>
        <v>-5.4107354665808738E-2</v>
      </c>
      <c r="AP227" s="41" t="str">
        <f t="shared" si="236"/>
        <v>-0,186029504299406-6,8241428870154i</v>
      </c>
      <c r="AQ227">
        <f t="shared" si="237"/>
        <v>16.684188427815275</v>
      </c>
      <c r="AR227" s="43">
        <f t="shared" si="238"/>
        <v>-91.561524506497193</v>
      </c>
      <c r="AS227" t="str">
        <f t="shared" si="215"/>
        <v>-0,0000166666666666667</v>
      </c>
      <c r="AT227" t="str">
        <f t="shared" si="216"/>
        <v>0,00171219647622003i</v>
      </c>
      <c r="AU227">
        <f t="shared" si="239"/>
        <v>1.71219647622003E-3</v>
      </c>
      <c r="AV227">
        <f t="shared" si="240"/>
        <v>1.5707963267948966</v>
      </c>
      <c r="AW227" t="str">
        <f t="shared" si="217"/>
        <v>1+0,0610373889682768i</v>
      </c>
      <c r="AX227">
        <f t="shared" si="241"/>
        <v>1.0018610496730895</v>
      </c>
      <c r="AY227">
        <f t="shared" si="242"/>
        <v>6.0961758413287423E-2</v>
      </c>
      <c r="AZ227" t="str">
        <f t="shared" si="218"/>
        <v>1+9,01318777098219i</v>
      </c>
      <c r="BA227">
        <f t="shared" si="243"/>
        <v>9.0684923661534231</v>
      </c>
      <c r="BB227">
        <f t="shared" si="244"/>
        <v>1.4602996996450732</v>
      </c>
      <c r="BC227" s="41" t="str">
        <f t="shared" si="245"/>
        <v>-0,086817551801639+0,0150332020467958i</v>
      </c>
      <c r="BD227">
        <f t="shared" si="246"/>
        <v>-21.099544999956716</v>
      </c>
      <c r="BE227" s="43">
        <f t="shared" si="247"/>
        <v>170.17615814510697</v>
      </c>
      <c r="BF227" s="41" t="str">
        <f t="shared" si="248"/>
        <v>0,0476146798458472+0,0804201005098091i</v>
      </c>
      <c r="BG227" s="20">
        <f t="shared" si="249"/>
        <v>-20.587594496995681</v>
      </c>
      <c r="BH227" s="43">
        <f t="shared" si="250"/>
        <v>59.371312370970415</v>
      </c>
      <c r="BI227" s="41" t="str">
        <f t="shared" si="203"/>
        <v>0,118739344942854+0,589658759470448i</v>
      </c>
      <c r="BJ227" s="20">
        <f t="shared" si="251"/>
        <v>-4.4153565721414321</v>
      </c>
      <c r="BK227" s="43">
        <f t="shared" si="204"/>
        <v>78.614633638609746</v>
      </c>
      <c r="BL227">
        <f t="shared" si="252"/>
        <v>-20.587594496995681</v>
      </c>
      <c r="BM227" s="43">
        <f t="shared" si="253"/>
        <v>59.371312370970415</v>
      </c>
    </row>
    <row r="228" spans="14:65" x14ac:dyDescent="0.35">
      <c r="N228" s="9">
        <v>10</v>
      </c>
      <c r="O228" s="34">
        <f t="shared" si="254"/>
        <v>1258.925411794168</v>
      </c>
      <c r="P228" s="33" t="str">
        <f t="shared" si="206"/>
        <v>59,1053597814893</v>
      </c>
      <c r="Q228" s="4" t="str">
        <f t="shared" si="207"/>
        <v>1+60,7785151649026i</v>
      </c>
      <c r="R228" s="4">
        <f t="shared" si="219"/>
        <v>60.786741199461368</v>
      </c>
      <c r="S228" s="4">
        <f t="shared" si="220"/>
        <v>1.5543446287531961</v>
      </c>
      <c r="T228" s="4" t="str">
        <f t="shared" si="208"/>
        <v>1+0,0102830801452862i</v>
      </c>
      <c r="U228" s="4">
        <f t="shared" si="221"/>
        <v>1.0000528694710467</v>
      </c>
      <c r="V228" s="4">
        <f t="shared" si="222"/>
        <v>1.0282717718027103E-2</v>
      </c>
      <c r="W228" t="str">
        <f t="shared" si="209"/>
        <v>1-0,379682959210567i</v>
      </c>
      <c r="X228" s="4">
        <f t="shared" si="223"/>
        <v>1.0696537521623029</v>
      </c>
      <c r="Y228" s="4">
        <f t="shared" si="224"/>
        <v>-0.3628699440942299</v>
      </c>
      <c r="Z228" t="str">
        <f t="shared" si="210"/>
        <v>0,999967254272883+0,0355233677746249i</v>
      </c>
      <c r="AA228" s="4">
        <f t="shared" si="225"/>
        <v>1.0005980308176206</v>
      </c>
      <c r="AB228" s="4">
        <f t="shared" si="226"/>
        <v>3.5509598461524454E-2</v>
      </c>
      <c r="AC228" s="47" t="str">
        <f t="shared" si="227"/>
        <v>-0,377493153519408-0,968534664544198i</v>
      </c>
      <c r="AD228" s="20">
        <f t="shared" si="228"/>
        <v>0.33649078721735975</v>
      </c>
      <c r="AE228" s="43">
        <f t="shared" si="229"/>
        <v>-111.29369724201672</v>
      </c>
      <c r="AF228" t="str">
        <f t="shared" si="211"/>
        <v>405,634542683733</v>
      </c>
      <c r="AG228" t="str">
        <f t="shared" si="212"/>
        <v>1+60,8866587549839i</v>
      </c>
      <c r="AH228">
        <f t="shared" si="230"/>
        <v>60.894870180876957</v>
      </c>
      <c r="AI228">
        <f t="shared" si="231"/>
        <v>1.5543738441112129</v>
      </c>
      <c r="AJ228" t="str">
        <f t="shared" si="213"/>
        <v>1+0,0102830801452862i</v>
      </c>
      <c r="AK228">
        <f t="shared" si="232"/>
        <v>1.0000528694710467</v>
      </c>
      <c r="AL228">
        <f t="shared" si="233"/>
        <v>1.0282717718027103E-2</v>
      </c>
      <c r="AM228" t="str">
        <f t="shared" si="214"/>
        <v>1-0,0554217717865401i</v>
      </c>
      <c r="AN228">
        <f t="shared" si="234"/>
        <v>1.0015346088817696</v>
      </c>
      <c r="AO228">
        <f t="shared" si="235"/>
        <v>-5.5365132131621968E-2</v>
      </c>
      <c r="AP228" s="41" t="str">
        <f t="shared" si="236"/>
        <v>-0,191187211703667-6,66906202392405i</v>
      </c>
      <c r="AQ228">
        <f t="shared" si="237"/>
        <v>16.484862876897914</v>
      </c>
      <c r="AR228" s="43">
        <f t="shared" si="238"/>
        <v>-91.642093129256978</v>
      </c>
      <c r="AS228" t="str">
        <f t="shared" si="215"/>
        <v>-0,0000166666666666667</v>
      </c>
      <c r="AT228" t="str">
        <f t="shared" si="216"/>
        <v>0,00175207865552376i</v>
      </c>
      <c r="AU228">
        <f t="shared" si="239"/>
        <v>1.7520786555237601E-3</v>
      </c>
      <c r="AV228">
        <f t="shared" si="240"/>
        <v>1.5707963267948966</v>
      </c>
      <c r="AW228" t="str">
        <f t="shared" si="217"/>
        <v>1+0,0624591323983523i</v>
      </c>
      <c r="AX228">
        <f t="shared" si="241"/>
        <v>1.0019486729468505</v>
      </c>
      <c r="AY228">
        <f t="shared" si="242"/>
        <v>6.2378101308662823E-2</v>
      </c>
      <c r="AZ228" t="str">
        <f t="shared" si="218"/>
        <v>1+9,22313188415667i</v>
      </c>
      <c r="BA228">
        <f t="shared" si="243"/>
        <v>9.2771850123055835</v>
      </c>
      <c r="BB228">
        <f t="shared" si="244"/>
        <v>1.4627951724583999</v>
      </c>
      <c r="BC228" s="41" t="str">
        <f t="shared" si="245"/>
        <v>-0,0868023675797785+0,0149341111029278i</v>
      </c>
      <c r="BD228">
        <f t="shared" si="246"/>
        <v>-21.102682120044719</v>
      </c>
      <c r="BE228" s="43">
        <f t="shared" si="247"/>
        <v>170.23798773495182</v>
      </c>
      <c r="BF228" s="41" t="str">
        <f t="shared" si="248"/>
        <v>0,0472315037579814+0,0784335772702695i</v>
      </c>
      <c r="BG228" s="20">
        <f t="shared" si="249"/>
        <v>-20.766191332827361</v>
      </c>
      <c r="BH228" s="43">
        <f t="shared" si="250"/>
        <v>58.94429049293506</v>
      </c>
      <c r="BI228" s="41" t="str">
        <f t="shared" si="203"/>
        <v>0,116192015844453+0,576035162151955i</v>
      </c>
      <c r="BJ228" s="20">
        <f t="shared" si="251"/>
        <v>-4.6178192431468084</v>
      </c>
      <c r="BK228" s="43">
        <f t="shared" si="204"/>
        <v>78.595894605694824</v>
      </c>
      <c r="BL228">
        <f t="shared" si="252"/>
        <v>-20.766191332827361</v>
      </c>
      <c r="BM228" s="43">
        <f t="shared" si="253"/>
        <v>58.94429049293506</v>
      </c>
    </row>
    <row r="229" spans="14:65" x14ac:dyDescent="0.35">
      <c r="N229" s="9">
        <v>11</v>
      </c>
      <c r="O229" s="34">
        <f t="shared" si="254"/>
        <v>1288.2495516931347</v>
      </c>
      <c r="P229" s="33" t="str">
        <f t="shared" si="206"/>
        <v>59,1053597814893</v>
      </c>
      <c r="Q229" s="4" t="str">
        <f t="shared" si="207"/>
        <v>1+62,1942286494744i</v>
      </c>
      <c r="R229" s="4">
        <f t="shared" si="219"/>
        <v>62.202267461107091</v>
      </c>
      <c r="S229" s="4">
        <f t="shared" si="220"/>
        <v>1.5547190498414456</v>
      </c>
      <c r="T229" s="4" t="str">
        <f t="shared" si="208"/>
        <v>1+0,0105226038517327i</v>
      </c>
      <c r="U229" s="4">
        <f t="shared" si="221"/>
        <v>1.0000553610634866</v>
      </c>
      <c r="V229" s="4">
        <f t="shared" si="222"/>
        <v>1.0522215505088917E-2</v>
      </c>
      <c r="W229" t="str">
        <f t="shared" si="209"/>
        <v>1-0,388526911448592i</v>
      </c>
      <c r="X229" s="4">
        <f t="shared" si="223"/>
        <v>1.07282485099842</v>
      </c>
      <c r="Y229" s="4">
        <f t="shared" si="224"/>
        <v>-0.37057682492734551</v>
      </c>
      <c r="Z229" t="str">
        <f t="shared" si="210"/>
        <v>0,999965711014309+0,0363508133059856i</v>
      </c>
      <c r="AA229" s="4">
        <f t="shared" si="225"/>
        <v>1.0006262063489837</v>
      </c>
      <c r="AB229" s="4">
        <f t="shared" si="226"/>
        <v>3.6336059719430054E-2</v>
      </c>
      <c r="AC229" s="47" t="str">
        <f t="shared" si="227"/>
        <v>-0,378201329135552-0,946032735139298i</v>
      </c>
      <c r="AD229" s="20">
        <f t="shared" si="228"/>
        <v>0.16203286869661021</v>
      </c>
      <c r="AE229" s="43">
        <f t="shared" si="229"/>
        <v>-111.79035226468955</v>
      </c>
      <c r="AF229" t="str">
        <f t="shared" si="211"/>
        <v>405,634542683733</v>
      </c>
      <c r="AG229" t="str">
        <f t="shared" si="212"/>
        <v>1+62,3048912273646i</v>
      </c>
      <c r="AH229">
        <f t="shared" si="230"/>
        <v>62.312915762735201</v>
      </c>
      <c r="AI229">
        <f t="shared" si="231"/>
        <v>1.5547476005238687</v>
      </c>
      <c r="AJ229" t="str">
        <f t="shared" si="213"/>
        <v>1+0,0105226038517327i</v>
      </c>
      <c r="AK229">
        <f t="shared" si="232"/>
        <v>1.0000553610634866</v>
      </c>
      <c r="AL229">
        <f t="shared" si="233"/>
        <v>1.0522215505088917E-2</v>
      </c>
      <c r="AM229" t="str">
        <f t="shared" si="214"/>
        <v>1-0,0567127106889497i</v>
      </c>
      <c r="AN229">
        <f t="shared" si="234"/>
        <v>1.0016068747536073</v>
      </c>
      <c r="AO229">
        <f t="shared" si="235"/>
        <v>-5.6652025462629763E-2</v>
      </c>
      <c r="AP229" s="41" t="str">
        <f t="shared" si="236"/>
        <v>-0,196112906421039-6,51750956058216i</v>
      </c>
      <c r="AQ229">
        <f t="shared" si="237"/>
        <v>16.285563938424907</v>
      </c>
      <c r="AR229" s="43">
        <f t="shared" si="238"/>
        <v>-91.723519138417018</v>
      </c>
      <c r="AS229" t="str">
        <f t="shared" si="215"/>
        <v>-0,0000166666666666667</v>
      </c>
      <c r="AT229" t="str">
        <f t="shared" si="216"/>
        <v>0,00179288981012215i</v>
      </c>
      <c r="AU229">
        <f t="shared" si="239"/>
        <v>1.7928898101221499E-3</v>
      </c>
      <c r="AV229">
        <f t="shared" si="240"/>
        <v>1.5707963267948966</v>
      </c>
      <c r="AW229" t="str">
        <f t="shared" si="217"/>
        <v>1+0,0639139924871696i</v>
      </c>
      <c r="AX229">
        <f t="shared" si="241"/>
        <v>1.0020404175659032</v>
      </c>
      <c r="AY229">
        <f t="shared" si="242"/>
        <v>6.3827175656230667E-2</v>
      </c>
      <c r="AZ229" t="str">
        <f t="shared" si="218"/>
        <v>1+9,43796622393871i</v>
      </c>
      <c r="BA229">
        <f t="shared" si="243"/>
        <v>9.4907958804416364</v>
      </c>
      <c r="BB229">
        <f t="shared" si="244"/>
        <v>1.4652351469253151</v>
      </c>
      <c r="BC229" s="41" t="str">
        <f t="shared" si="245"/>
        <v>-0,0867864734393032+0,0148428493697237i</v>
      </c>
      <c r="BD229">
        <f t="shared" si="246"/>
        <v>-21.105749109775399</v>
      </c>
      <c r="BE229" s="43">
        <f t="shared" si="247"/>
        <v>170.29476212970948</v>
      </c>
      <c r="BF229" s="41" t="str">
        <f t="shared" si="248"/>
        <v>0,0468645809922321+0,0764892594810898i</v>
      </c>
      <c r="BG229" s="20">
        <f t="shared" si="249"/>
        <v>-20.943716241078786</v>
      </c>
      <c r="BH229" s="43">
        <f t="shared" si="250"/>
        <v>58.504409865019923</v>
      </c>
      <c r="BI229" s="41" t="str">
        <f t="shared" si="203"/>
        <v>0,113758360217669+0,562720796040402i</v>
      </c>
      <c r="BJ229" s="20">
        <f t="shared" si="251"/>
        <v>-4.8201851713504924</v>
      </c>
      <c r="BK229" s="43">
        <f t="shared" si="204"/>
        <v>78.571242991292451</v>
      </c>
      <c r="BL229">
        <f t="shared" si="252"/>
        <v>-20.943716241078786</v>
      </c>
      <c r="BM229" s="43">
        <f t="shared" si="253"/>
        <v>58.504409865019923</v>
      </c>
    </row>
    <row r="230" spans="14:65" x14ac:dyDescent="0.35">
      <c r="N230" s="9">
        <v>12</v>
      </c>
      <c r="O230" s="34">
        <f t="shared" si="254"/>
        <v>1318.2567385564089</v>
      </c>
      <c r="P230" s="33" t="str">
        <f t="shared" si="206"/>
        <v>59,1053597814893</v>
      </c>
      <c r="Q230" s="4" t="str">
        <f t="shared" si="207"/>
        <v>1+63,6429183373141i</v>
      </c>
      <c r="R230" s="4">
        <f t="shared" si="219"/>
        <v>63.650774186101081</v>
      </c>
      <c r="S230" s="4">
        <f t="shared" si="220"/>
        <v>1.5550849524214276</v>
      </c>
      <c r="T230" s="4" t="str">
        <f t="shared" si="208"/>
        <v>1+0,0107677067820245i</v>
      </c>
      <c r="U230" s="4">
        <f t="shared" si="221"/>
        <v>1.000057970074407</v>
      </c>
      <c r="V230" s="4">
        <f t="shared" si="222"/>
        <v>1.0767290662401308E-2</v>
      </c>
      <c r="W230" t="str">
        <f t="shared" si="209"/>
        <v>1-0,39757686579783i</v>
      </c>
      <c r="X230" s="4">
        <f t="shared" si="223"/>
        <v>1.0761353837773506</v>
      </c>
      <c r="Y230" s="4">
        <f t="shared" si="224"/>
        <v>-0.37841572448775035</v>
      </c>
      <c r="Z230" t="str">
        <f t="shared" si="210"/>
        <v>0,999964095024199+0,0371975325197211i</v>
      </c>
      <c r="AA230" s="4">
        <f t="shared" si="225"/>
        <v>1.000655708904477</v>
      </c>
      <c r="AB230" s="4">
        <f t="shared" si="226"/>
        <v>3.7181724325906648E-2</v>
      </c>
      <c r="AC230" s="47" t="str">
        <f t="shared" si="227"/>
        <v>-0,378876141749912-0,924031410668932i</v>
      </c>
      <c r="AD230" s="20">
        <f t="shared" si="228"/>
        <v>-1.1388314937826499E-2</v>
      </c>
      <c r="AE230" s="43">
        <f t="shared" si="229"/>
        <v>-112.29486403973084</v>
      </c>
      <c r="AF230" t="str">
        <f t="shared" si="211"/>
        <v>405,634542683733</v>
      </c>
      <c r="AG230" t="str">
        <f t="shared" si="212"/>
        <v>1+63,7561585777769i</v>
      </c>
      <c r="AH230">
        <f t="shared" si="230"/>
        <v>63.764000475147704</v>
      </c>
      <c r="AI230">
        <f t="shared" si="231"/>
        <v>1.5551128535349579</v>
      </c>
      <c r="AJ230" t="str">
        <f t="shared" si="213"/>
        <v>1+0,0107677067820245i</v>
      </c>
      <c r="AK230">
        <f t="shared" si="232"/>
        <v>1.000057970074407</v>
      </c>
      <c r="AL230">
        <f t="shared" si="233"/>
        <v>1.0767290662401308E-2</v>
      </c>
      <c r="AM230" t="str">
        <f t="shared" si="214"/>
        <v>1-0,0580337194212481i</v>
      </c>
      <c r="AN230">
        <f t="shared" si="234"/>
        <v>1.0016825408231214</v>
      </c>
      <c r="AO230">
        <f t="shared" si="235"/>
        <v>-5.7968699927321322E-2</v>
      </c>
      <c r="AP230" s="41" t="str">
        <f t="shared" si="236"/>
        <v>-0,200817019978042-6,36940565055834i</v>
      </c>
      <c r="AQ230">
        <f t="shared" si="237"/>
        <v>16.086293086856941</v>
      </c>
      <c r="AR230" s="43">
        <f t="shared" si="238"/>
        <v>-91.805844712048838</v>
      </c>
      <c r="AS230" t="str">
        <f t="shared" si="215"/>
        <v>-0,0000166666666666667</v>
      </c>
      <c r="AT230" t="str">
        <f t="shared" si="216"/>
        <v>0,00183465157862957i</v>
      </c>
      <c r="AU230">
        <f t="shared" si="239"/>
        <v>1.8346515786295699E-3</v>
      </c>
      <c r="AV230">
        <f t="shared" si="240"/>
        <v>1.5707963267948966</v>
      </c>
      <c r="AW230" t="str">
        <f t="shared" si="217"/>
        <v>1+0,0654027406208055i</v>
      </c>
      <c r="AX230">
        <f t="shared" si="241"/>
        <v>1.0021364769734273</v>
      </c>
      <c r="AY230">
        <f t="shared" si="242"/>
        <v>6.5309725418340861E-2</v>
      </c>
      <c r="AZ230" t="str">
        <f t="shared" si="218"/>
        <v>1+9,65780469833894i</v>
      </c>
      <c r="BA230">
        <f t="shared" si="243"/>
        <v>9.7094382737240608</v>
      </c>
      <c r="BB230">
        <f t="shared" si="244"/>
        <v>1.4676208004786533</v>
      </c>
      <c r="BC230" s="41" t="str">
        <f t="shared" si="245"/>
        <v>-0,086769836468476+0,0147593621424604i</v>
      </c>
      <c r="BD230">
        <f t="shared" si="246"/>
        <v>-21.108752291467091</v>
      </c>
      <c r="BE230" s="43">
        <f t="shared" si="247"/>
        <v>170.34650616540912</v>
      </c>
      <c r="BF230" s="41" t="str">
        <f t="shared" si="248"/>
        <v>0,0465131350825183+0,0745860842122533i</v>
      </c>
      <c r="BG230" s="20">
        <f t="shared" si="249"/>
        <v>-21.12014060640492</v>
      </c>
      <c r="BH230" s="43">
        <f t="shared" si="250"/>
        <v>58.051642125678264</v>
      </c>
      <c r="BI230" s="41" t="str">
        <f t="shared" si="203"/>
        <v>0,111433224612405+0,549708355578109i</v>
      </c>
      <c r="BJ230" s="20">
        <f t="shared" si="251"/>
        <v>-5.0224592046101435</v>
      </c>
      <c r="BK230" s="43">
        <f t="shared" si="204"/>
        <v>78.540661453360343</v>
      </c>
      <c r="BL230">
        <f t="shared" si="252"/>
        <v>-21.12014060640492</v>
      </c>
      <c r="BM230" s="43">
        <f t="shared" si="253"/>
        <v>58.051642125678264</v>
      </c>
    </row>
    <row r="231" spans="14:65" x14ac:dyDescent="0.35">
      <c r="N231" s="9">
        <v>13</v>
      </c>
      <c r="O231" s="34">
        <f t="shared" si="254"/>
        <v>1348.9628825916541</v>
      </c>
      <c r="P231" s="33" t="str">
        <f t="shared" si="206"/>
        <v>59,1053597814893</v>
      </c>
      <c r="Q231" s="4" t="str">
        <f t="shared" si="207"/>
        <v>1+65,1253523428697i</v>
      </c>
      <c r="R231" s="4">
        <f t="shared" si="219"/>
        <v>65.133029392029073</v>
      </c>
      <c r="S231" s="4">
        <f t="shared" si="220"/>
        <v>1.5554425301073984</v>
      </c>
      <c r="T231" s="4" t="str">
        <f t="shared" si="208"/>
        <v>1+0,0110185188929797i</v>
      </c>
      <c r="U231" s="4">
        <f t="shared" si="221"/>
        <v>1.0000607020369288</v>
      </c>
      <c r="V231" s="4">
        <f t="shared" si="222"/>
        <v>1.1018073014231855E-2</v>
      </c>
      <c r="W231" t="str">
        <f t="shared" si="209"/>
        <v>1-0,406837620663865i</v>
      </c>
      <c r="X231" s="4">
        <f t="shared" si="223"/>
        <v>1.0795910566447995</v>
      </c>
      <c r="Y231" s="4">
        <f t="shared" si="224"/>
        <v>-0.38638694453523786</v>
      </c>
      <c r="Z231" t="str">
        <f t="shared" si="210"/>
        <v>0,999962402874822+0,0380639743575661i</v>
      </c>
      <c r="AA231" s="4">
        <f t="shared" si="225"/>
        <v>1.000686600943113</v>
      </c>
      <c r="AB231" s="4">
        <f t="shared" si="226"/>
        <v>3.8047036199868718E-2</v>
      </c>
      <c r="AC231" s="47" t="str">
        <f t="shared" si="227"/>
        <v>-0,379519020783572-0,902519099588682i</v>
      </c>
      <c r="AD231" s="20">
        <f t="shared" si="228"/>
        <v>-0.18373714982492845</v>
      </c>
      <c r="AE231" s="43">
        <f t="shared" si="229"/>
        <v>-112.80727894628043</v>
      </c>
      <c r="AF231" t="str">
        <f t="shared" si="211"/>
        <v>405,634542683733</v>
      </c>
      <c r="AG231" t="str">
        <f t="shared" si="212"/>
        <v>1+65,2412302873795i</v>
      </c>
      <c r="AH231">
        <f t="shared" si="230"/>
        <v>65.248893702582293</v>
      </c>
      <c r="AI231">
        <f t="shared" si="231"/>
        <v>1.5554697964164113</v>
      </c>
      <c r="AJ231" t="str">
        <f t="shared" si="213"/>
        <v>1+0,0110185188929797i</v>
      </c>
      <c r="AK231">
        <f t="shared" si="232"/>
        <v>1.0000607020369288</v>
      </c>
      <c r="AL231">
        <f t="shared" si="233"/>
        <v>1.1018073014231855E-2</v>
      </c>
      <c r="AM231" t="str">
        <f t="shared" si="214"/>
        <v>1-0,0593854983997506i</v>
      </c>
      <c r="AN231">
        <f t="shared" si="234"/>
        <v>1.0017617667989664</v>
      </c>
      <c r="AO231">
        <f t="shared" si="235"/>
        <v>-5.9315835372565164E-2</v>
      </c>
      <c r="AP231" s="41" t="str">
        <f t="shared" si="236"/>
        <v>-0,205309515351804-6,22467224196519i</v>
      </c>
      <c r="AQ231">
        <f t="shared" si="237"/>
        <v>15.887051855038488</v>
      </c>
      <c r="AR231" s="43">
        <f t="shared" si="238"/>
        <v>-91.889112437792051</v>
      </c>
      <c r="AS231" t="str">
        <f t="shared" si="215"/>
        <v>-0,0000166666666666667</v>
      </c>
      <c r="AT231" t="str">
        <f t="shared" si="216"/>
        <v>0,00187738610368846i</v>
      </c>
      <c r="AU231">
        <f t="shared" si="239"/>
        <v>1.8773861036884599E-3</v>
      </c>
      <c r="AV231">
        <f t="shared" si="240"/>
        <v>1.5707963267948966</v>
      </c>
      <c r="AW231" t="str">
        <f t="shared" si="217"/>
        <v>1+0,0669261661532261i</v>
      </c>
      <c r="AX231">
        <f t="shared" si="241"/>
        <v>1.0022370536534604</v>
      </c>
      <c r="AY231">
        <f t="shared" si="242"/>
        <v>6.6826510579204093E-2</v>
      </c>
      <c r="AZ231" t="str">
        <f t="shared" si="218"/>
        <v>1+9,88276386862637i</v>
      </c>
      <c r="BA231">
        <f t="shared" si="243"/>
        <v>9.9332281602219759</v>
      </c>
      <c r="BB231">
        <f t="shared" si="244"/>
        <v>1.4699532893436185</v>
      </c>
      <c r="BC231" s="41" t="str">
        <f t="shared" si="245"/>
        <v>-0,08675242225662+0,0146835983931607i</v>
      </c>
      <c r="BD231">
        <f t="shared" si="246"/>
        <v>-21.111697864312777</v>
      </c>
      <c r="BE231" s="43">
        <f t="shared" si="247"/>
        <v>170.39324254498732</v>
      </c>
      <c r="BF231" s="41" t="str">
        <f t="shared" si="248"/>
        <v>0,0461764223459526+0,0727230131384302i</v>
      </c>
      <c r="BG231" s="20">
        <f t="shared" si="249"/>
        <v>-21.295435014137709</v>
      </c>
      <c r="BH231" s="43">
        <f t="shared" si="250"/>
        <v>57.585963598706876</v>
      </c>
      <c r="BI231" s="41" t="str">
        <f t="shared" si="203"/>
        <v>0,109211685099174+0,536990712274305i</v>
      </c>
      <c r="BJ231" s="20">
        <f t="shared" si="251"/>
        <v>-5.2246460092742941</v>
      </c>
      <c r="BK231" s="43">
        <f t="shared" si="204"/>
        <v>78.504130107195252</v>
      </c>
      <c r="BL231">
        <f t="shared" si="252"/>
        <v>-21.295435014137709</v>
      </c>
      <c r="BM231" s="43">
        <f t="shared" si="253"/>
        <v>57.585963598706876</v>
      </c>
    </row>
    <row r="232" spans="14:65" x14ac:dyDescent="0.35">
      <c r="N232" s="9">
        <v>14</v>
      </c>
      <c r="O232" s="34">
        <f t="shared" si="254"/>
        <v>1380.3842646028863</v>
      </c>
      <c r="P232" s="33" t="str">
        <f t="shared" si="206"/>
        <v>59,1053597814893</v>
      </c>
      <c r="Q232" s="4" t="str">
        <f t="shared" si="207"/>
        <v>1+66,6423166722736i</v>
      </c>
      <c r="R232" s="4">
        <f t="shared" si="219"/>
        <v>66.649818990358824</v>
      </c>
      <c r="S232" s="4">
        <f t="shared" si="220"/>
        <v>1.5557919721258058</v>
      </c>
      <c r="T232" s="4" t="str">
        <f t="shared" si="208"/>
        <v>1+0,0112751731684992i</v>
      </c>
      <c r="U232" s="4">
        <f t="shared" si="221"/>
        <v>1.0000635627448786</v>
      </c>
      <c r="V232" s="4">
        <f t="shared" si="222"/>
        <v>1.1274695402453124E-2</v>
      </c>
      <c r="W232" t="str">
        <f t="shared" si="209"/>
        <v>1-0,416314086221509i</v>
      </c>
      <c r="X232" s="4">
        <f t="shared" si="223"/>
        <v>1.0831977743636894</v>
      </c>
      <c r="Y232" s="4">
        <f t="shared" si="224"/>
        <v>-0.39449065852355453</v>
      </c>
      <c r="Z232" t="str">
        <f t="shared" si="210"/>
        <v>0,999960630976902+0,0389505982184517i</v>
      </c>
      <c r="AA232" s="4">
        <f t="shared" si="225"/>
        <v>1.0007189478596372</v>
      </c>
      <c r="AB232" s="4">
        <f t="shared" si="226"/>
        <v>3.893244935910059E-2</v>
      </c>
      <c r="AC232" s="47" t="str">
        <f t="shared" si="227"/>
        <v>-0,380131328144811-0,881484465246586i</v>
      </c>
      <c r="AD232" s="20">
        <f t="shared" si="228"/>
        <v>-0.35497737658374934</v>
      </c>
      <c r="AE232" s="43">
        <f t="shared" si="229"/>
        <v>-113.32763616640706</v>
      </c>
      <c r="AF232" t="str">
        <f t="shared" si="211"/>
        <v>405,634542683733</v>
      </c>
      <c r="AG232" t="str">
        <f t="shared" si="212"/>
        <v>1+66,7608937608503i</v>
      </c>
      <c r="AH232">
        <f t="shared" si="230"/>
        <v>66.768382755219847</v>
      </c>
      <c r="AI232">
        <f t="shared" si="231"/>
        <v>1.5558186180600408</v>
      </c>
      <c r="AJ232" t="str">
        <f t="shared" si="213"/>
        <v>1+0,0112751731684992i</v>
      </c>
      <c r="AK232">
        <f t="shared" si="232"/>
        <v>1.0000635627448786</v>
      </c>
      <c r="AL232">
        <f t="shared" si="233"/>
        <v>1.1274695402453124E-2</v>
      </c>
      <c r="AM232" t="str">
        <f t="shared" si="214"/>
        <v>1-0,0607687643555648i</v>
      </c>
      <c r="AN232">
        <f t="shared" si="234"/>
        <v>1.0018447198649609</v>
      </c>
      <c r="AO232">
        <f t="shared" si="235"/>
        <v>-6.0694126498377549E-2</v>
      </c>
      <c r="AP232" s="41" t="str">
        <f t="shared" si="236"/>
        <v>-0,209599907975028-6,08323303833618i</v>
      </c>
      <c r="AQ232">
        <f t="shared" si="237"/>
        <v>15.687841837333163</v>
      </c>
      <c r="AR232" s="43">
        <f t="shared" si="238"/>
        <v>-91.973365330450591</v>
      </c>
      <c r="AS232" t="str">
        <f t="shared" si="215"/>
        <v>-0,0000166666666666667</v>
      </c>
      <c r="AT232" t="str">
        <f t="shared" si="216"/>
        <v>0,00192111604370967i</v>
      </c>
      <c r="AU232">
        <f t="shared" si="239"/>
        <v>1.9211160437096701E-3</v>
      </c>
      <c r="AV232">
        <f t="shared" si="240"/>
        <v>1.5707963267948966</v>
      </c>
      <c r="AW232" t="str">
        <f t="shared" si="217"/>
        <v>1+0,0684850768248137i</v>
      </c>
      <c r="AX232">
        <f t="shared" si="241"/>
        <v>1.0023423595497203</v>
      </c>
      <c r="AY232">
        <f t="shared" si="242"/>
        <v>6.837830742609384E-2</v>
      </c>
      <c r="AZ232" t="str">
        <f t="shared" si="218"/>
        <v>1+10,1129630111308i</v>
      </c>
      <c r="BA232">
        <f t="shared" si="243"/>
        <v>10.16228423458524</v>
      </c>
      <c r="BB232">
        <f t="shared" si="244"/>
        <v>1.4722337486617965</v>
      </c>
      <c r="BC232" s="41" t="str">
        <f t="shared" si="245"/>
        <v>-0,0867341948284318+0,0146155107124508i</v>
      </c>
      <c r="BD232">
        <f t="shared" si="246"/>
        <v>-21.114591916126177</v>
      </c>
      <c r="BE232" s="43">
        <f t="shared" si="247"/>
        <v>170.4349918292817</v>
      </c>
      <c r="BF232" s="41" t="str">
        <f t="shared" si="248"/>
        <v>0,045853730320373+0,0708990318482948i</v>
      </c>
      <c r="BG232" s="20">
        <f t="shared" si="249"/>
        <v>-21.469569292709924</v>
      </c>
      <c r="BH232" s="43">
        <f t="shared" si="250"/>
        <v>57.107355662874653</v>
      </c>
      <c r="BI232" s="41" t="str">
        <f t="shared" si="203"/>
        <v>0,107089036892465+0,524560909833466i</v>
      </c>
      <c r="BJ232" s="20">
        <f t="shared" si="251"/>
        <v>-5.4267500787930079</v>
      </c>
      <c r="BK232" s="43">
        <f t="shared" si="204"/>
        <v>78.461626498831052</v>
      </c>
      <c r="BL232">
        <f t="shared" si="252"/>
        <v>-21.469569292709924</v>
      </c>
      <c r="BM232" s="43">
        <f t="shared" si="253"/>
        <v>57.107355662874653</v>
      </c>
    </row>
    <row r="233" spans="14:65" x14ac:dyDescent="0.35">
      <c r="N233" s="9">
        <v>15</v>
      </c>
      <c r="O233" s="34">
        <f t="shared" si="254"/>
        <v>1412.5375446227545</v>
      </c>
      <c r="P233" s="33" t="str">
        <f t="shared" si="206"/>
        <v>59,1053597814893</v>
      </c>
      <c r="Q233" s="4" t="str">
        <f t="shared" si="207"/>
        <v>1+68,1946156400924i</v>
      </c>
      <c r="R233" s="4">
        <f t="shared" si="219"/>
        <v>68.201947203140278</v>
      </c>
      <c r="S233" s="4">
        <f t="shared" si="220"/>
        <v>1.5561334634138755</v>
      </c>
      <c r="T233" s="4" t="str">
        <f t="shared" si="208"/>
        <v>1+0,0115378056900772i</v>
      </c>
      <c r="U233" s="4">
        <f t="shared" si="221"/>
        <v>1.0000665582650696</v>
      </c>
      <c r="V233" s="4">
        <f t="shared" si="222"/>
        <v>1.1537293756375577E-2</v>
      </c>
      <c r="W233" t="str">
        <f t="shared" si="209"/>
        <v>1-0,426011287018235i</v>
      </c>
      <c r="X233" s="4">
        <f t="shared" si="223"/>
        <v>1.0869616445242827</v>
      </c>
      <c r="Y233" s="4">
        <f t="shared" si="224"/>
        <v>-0.40272690472307193</v>
      </c>
      <c r="Z233" t="str">
        <f t="shared" si="210"/>
        <v>0,999958775572005+0,0398578742020848i</v>
      </c>
      <c r="AA233" s="4">
        <f t="shared" si="225"/>
        <v>1.0007528181221239</v>
      </c>
      <c r="AB233" s="4">
        <f t="shared" si="226"/>
        <v>3.9838428138318546E-2</v>
      </c>
      <c r="AC233" s="47" t="str">
        <f t="shared" si="227"/>
        <v>-0,380714361103251-0,860916420202972i</v>
      </c>
      <c r="AD233" s="20">
        <f t="shared" si="228"/>
        <v>-0.52507212528757163</v>
      </c>
      <c r="AE233" s="43">
        <f t="shared" si="229"/>
        <v>-113.85596730520774</v>
      </c>
      <c r="AF233" t="str">
        <f t="shared" si="211"/>
        <v>405,634542683733</v>
      </c>
      <c r="AG233" t="str">
        <f t="shared" si="212"/>
        <v>1+68,315954743878i</v>
      </c>
      <c r="AH233">
        <f t="shared" si="230"/>
        <v>68.323273286396244</v>
      </c>
      <c r="AI233">
        <f t="shared" si="231"/>
        <v>1.5561595030759572</v>
      </c>
      <c r="AJ233" t="str">
        <f t="shared" si="213"/>
        <v>1+0,0115378056900772i</v>
      </c>
      <c r="AK233">
        <f t="shared" si="232"/>
        <v>1.0000665582650696</v>
      </c>
      <c r="AL233">
        <f t="shared" si="233"/>
        <v>1.1537293756375577E-2</v>
      </c>
      <c r="AM233" t="str">
        <f t="shared" si="214"/>
        <v>1-0,0621842507146099i</v>
      </c>
      <c r="AN233">
        <f t="shared" si="234"/>
        <v>1.0019315750274256</v>
      </c>
      <c r="AO233">
        <f t="shared" si="235"/>
        <v>-6.2104283134554683E-2</v>
      </c>
      <c r="AP233" s="41" t="str">
        <f t="shared" si="236"/>
        <v>-0,213697285802892-5,94501346028315i</v>
      </c>
      <c r="AQ233">
        <f t="shared" si="237"/>
        <v>15.488664692879293</v>
      </c>
      <c r="AR233" s="43">
        <f t="shared" si="238"/>
        <v>-92.058646849480311</v>
      </c>
      <c r="AS233" t="str">
        <f t="shared" si="215"/>
        <v>-0,0000166666666666667</v>
      </c>
      <c r="AT233" t="str">
        <f t="shared" si="216"/>
        <v>0,00196586458488623i</v>
      </c>
      <c r="AU233">
        <f t="shared" si="239"/>
        <v>1.9658645848862301E-3</v>
      </c>
      <c r="AV233">
        <f t="shared" si="240"/>
        <v>1.5707963267948966</v>
      </c>
      <c r="AW233" t="str">
        <f t="shared" si="217"/>
        <v>1+0,0700802991906408i</v>
      </c>
      <c r="AX233">
        <f t="shared" si="241"/>
        <v>1.0024526165034682</v>
      </c>
      <c r="AY233">
        <f t="shared" si="242"/>
        <v>6.9965908830697893E-2</v>
      </c>
      <c r="AZ233" t="str">
        <f t="shared" si="218"/>
        <v>1+10,3485241804846i</v>
      </c>
      <c r="BA233">
        <f t="shared" si="243"/>
        <v>10.396727981152267</v>
      </c>
      <c r="BB233">
        <f t="shared" si="244"/>
        <v>1.4744632926347327</v>
      </c>
      <c r="BC233" s="41" t="str">
        <f t="shared" si="245"/>
        <v>-0,086715116575667+0,0145550552512054i</v>
      </c>
      <c r="BD233">
        <f t="shared" si="246"/>
        <v>-21.117440434938</v>
      </c>
      <c r="BE233" s="43">
        <f t="shared" si="247"/>
        <v>170.47177242913693</v>
      </c>
      <c r="BF233" s="41" t="str">
        <f t="shared" si="248"/>
        <v>0,0455443762678232+0,0691131491790214i</v>
      </c>
      <c r="BG233" s="20">
        <f t="shared" si="249"/>
        <v>-21.64251256022558</v>
      </c>
      <c r="BH233" s="43">
        <f t="shared" si="250"/>
        <v>56.615805123929178</v>
      </c>
      <c r="BI233" s="41" t="str">
        <f t="shared" si="203"/>
        <v>0,105060784433882+0,512412159450469i</v>
      </c>
      <c r="BJ233" s="20">
        <f t="shared" si="251"/>
        <v>-5.6287757420587115</v>
      </c>
      <c r="BK233" s="43">
        <f t="shared" si="204"/>
        <v>78.413125579656665</v>
      </c>
      <c r="BL233">
        <f t="shared" si="252"/>
        <v>-21.64251256022558</v>
      </c>
      <c r="BM233" s="43">
        <f t="shared" si="253"/>
        <v>56.615805123929178</v>
      </c>
    </row>
    <row r="234" spans="14:65" x14ac:dyDescent="0.35">
      <c r="N234" s="9">
        <v>16</v>
      </c>
      <c r="O234" s="34">
        <f t="shared" si="254"/>
        <v>1445.4397707459289</v>
      </c>
      <c r="P234" s="33" t="str">
        <f t="shared" si="206"/>
        <v>59,1053597814893</v>
      </c>
      <c r="Q234" s="4" t="str">
        <f t="shared" si="207"/>
        <v>1+69,7830722957862i</v>
      </c>
      <c r="R234" s="4">
        <f t="shared" si="219"/>
        <v>69.790236989416528</v>
      </c>
      <c r="S234" s="4">
        <f t="shared" si="220"/>
        <v>1.5564671847160383</v>
      </c>
      <c r="T234" s="4" t="str">
        <f t="shared" si="208"/>
        <v>1+0,011806555708953i</v>
      </c>
      <c r="U234" s="4">
        <f t="shared" si="221"/>
        <v>1.0000696949501613</v>
      </c>
      <c r="V234" s="4">
        <f t="shared" si="222"/>
        <v>1.1806007164173356E-2</v>
      </c>
      <c r="W234" t="str">
        <f t="shared" si="209"/>
        <v>1-0,435934364638266i</v>
      </c>
      <c r="X234" s="4">
        <f t="shared" si="223"/>
        <v>1.0908889816441307</v>
      </c>
      <c r="Y234" s="4">
        <f t="shared" si="224"/>
        <v>-0.41109557935395585</v>
      </c>
      <c r="Z234" t="str">
        <f t="shared" si="210"/>
        <v>0,999956832724569+0,0407862833582013i</v>
      </c>
      <c r="AA234" s="4">
        <f t="shared" si="225"/>
        <v>1.0007882834159916</v>
      </c>
      <c r="AB234" s="4">
        <f t="shared" si="226"/>
        <v>4.076544741109471E-2</v>
      </c>
      <c r="AC234" s="47" t="str">
        <f t="shared" si="227"/>
        <v>-0,381269355028665-0,840804120663077i</v>
      </c>
      <c r="AD234" s="20">
        <f t="shared" si="228"/>
        <v>-0.69398395490380904</v>
      </c>
      <c r="AE234" s="43">
        <f t="shared" si="229"/>
        <v>-114.3922960115151</v>
      </c>
      <c r="AF234" t="str">
        <f t="shared" si="211"/>
        <v>405,634542683733</v>
      </c>
      <c r="AG234" t="str">
        <f t="shared" si="212"/>
        <v>1+69,9072377503796i</v>
      </c>
      <c r="AH234">
        <f t="shared" si="230"/>
        <v>69.914389719771549</v>
      </c>
      <c r="AI234">
        <f t="shared" si="231"/>
        <v>1.5564926318888326</v>
      </c>
      <c r="AJ234" t="str">
        <f t="shared" si="213"/>
        <v>1+0,011806555708953i</v>
      </c>
      <c r="AK234">
        <f t="shared" si="232"/>
        <v>1.0000696949501613</v>
      </c>
      <c r="AL234">
        <f t="shared" si="233"/>
        <v>1.1806007164173356E-2</v>
      </c>
      <c r="AM234" t="str">
        <f t="shared" si="214"/>
        <v>1-0,0636327079864898i</v>
      </c>
      <c r="AN234">
        <f t="shared" si="234"/>
        <v>1.0020225154784168</v>
      </c>
      <c r="AO234">
        <f t="shared" si="235"/>
        <v>-6.3547030518903522E-2</v>
      </c>
      <c r="AP234" s="41" t="str">
        <f t="shared" si="236"/>
        <v>-0,21761032848348-5,80994060792329i</v>
      </c>
      <c r="AQ234">
        <f t="shared" si="237"/>
        <v>15.289522148970416</v>
      </c>
      <c r="AR234" s="43">
        <f t="shared" si="238"/>
        <v>-92.145000916353609</v>
      </c>
      <c r="AS234" t="str">
        <f t="shared" si="215"/>
        <v>-0,0000166666666666667</v>
      </c>
      <c r="AT234" t="str">
        <f t="shared" si="216"/>
        <v>0,00201165545348699i</v>
      </c>
      <c r="AU234">
        <f t="shared" si="239"/>
        <v>2.0116554534869899E-3</v>
      </c>
      <c r="AV234">
        <f t="shared" si="240"/>
        <v>1.5707963267948966</v>
      </c>
      <c r="AW234" t="str">
        <f t="shared" si="217"/>
        <v>1+0,0717126790587214i</v>
      </c>
      <c r="AX234">
        <f t="shared" si="241"/>
        <v>1.0025680567112534</v>
      </c>
      <c r="AY234">
        <f t="shared" si="242"/>
        <v>7.159012453019041E-2</v>
      </c>
      <c r="AZ234" t="str">
        <f t="shared" si="218"/>
        <v>1+10,5895722743379i</v>
      </c>
      <c r="BA234">
        <f t="shared" si="243"/>
        <v>10.636683738526118</v>
      </c>
      <c r="BB234">
        <f t="shared" si="244"/>
        <v>1.4766430146853027</v>
      </c>
      <c r="BC234" s="41" t="str">
        <f t="shared" si="245"/>
        <v>-0,0866951481861172+0,0145021916618083i</v>
      </c>
      <c r="BD234">
        <f t="shared" si="246"/>
        <v>-21.120249320456516</v>
      </c>
      <c r="BE234" s="43">
        <f t="shared" si="247"/>
        <v>170.50360059854643</v>
      </c>
      <c r="BF234" s="41" t="str">
        <f t="shared" si="248"/>
        <v>0,0452477057409296+0,0673643965749837i</v>
      </c>
      <c r="BG234" s="20">
        <f t="shared" si="249"/>
        <v>-21.814233275360323</v>
      </c>
      <c r="BH234" s="43">
        <f t="shared" si="250"/>
        <v>56.111304587031306</v>
      </c>
      <c r="BI234" s="41" t="str">
        <f t="shared" si="203"/>
        <v>0,103122631914532+0,500537835265193i</v>
      </c>
      <c r="BJ234" s="20">
        <f t="shared" si="251"/>
        <v>-5.8307271714860986</v>
      </c>
      <c r="BK234" s="43">
        <f t="shared" si="204"/>
        <v>78.358599682192747</v>
      </c>
      <c r="BL234">
        <f t="shared" si="252"/>
        <v>-21.814233275360323</v>
      </c>
      <c r="BM234" s="43">
        <f t="shared" si="253"/>
        <v>56.111304587031306</v>
      </c>
    </row>
    <row r="235" spans="14:65" x14ac:dyDescent="0.35">
      <c r="N235" s="9">
        <v>17</v>
      </c>
      <c r="O235" s="34">
        <f t="shared" si="254"/>
        <v>1479.1083881682086</v>
      </c>
      <c r="P235" s="33" t="str">
        <f t="shared" si="206"/>
        <v>59,1053597814893</v>
      </c>
      <c r="Q235" s="4" t="str">
        <f t="shared" si="207"/>
        <v>1+71,4085288600992i</v>
      </c>
      <c r="R235" s="4">
        <f t="shared" si="219"/>
        <v>71.415530481566961</v>
      </c>
      <c r="S235" s="4">
        <f t="shared" si="220"/>
        <v>1.5567933126782429</v>
      </c>
      <c r="T235" s="4" t="str">
        <f t="shared" si="208"/>
        <v>1+0,0120815657199439i</v>
      </c>
      <c r="U235" s="4">
        <f t="shared" si="221"/>
        <v>1.0000729794521224</v>
      </c>
      <c r="V235" s="4">
        <f t="shared" si="222"/>
        <v>1.2080977945939273E-2</v>
      </c>
      <c r="W235" t="str">
        <f t="shared" si="209"/>
        <v>1-0,4460885804287i</v>
      </c>
      <c r="X235" s="4">
        <f t="shared" si="223"/>
        <v>1.0949863111422411</v>
      </c>
      <c r="Y235" s="4">
        <f t="shared" si="224"/>
        <v>-0.41959642976537209</v>
      </c>
      <c r="Z235" t="str">
        <f t="shared" si="210"/>
        <v>0,999954798313555+0,0417363179416245i</v>
      </c>
      <c r="AA235" s="4">
        <f t="shared" si="225"/>
        <v>1.0008254187947199</v>
      </c>
      <c r="AB235" s="4">
        <f t="shared" si="226"/>
        <v>4.1713992815646951E-2</v>
      </c>
      <c r="AC235" s="47" t="str">
        <f t="shared" si="227"/>
        <v>-0,381797486000138-0,821136961021029i</v>
      </c>
      <c r="AD235" s="20">
        <f t="shared" si="228"/>
        <v>-0.86167489735263059</v>
      </c>
      <c r="AE235" s="43">
        <f t="shared" si="229"/>
        <v>-114.93663760124954</v>
      </c>
      <c r="AF235" t="str">
        <f t="shared" si="211"/>
        <v>405,634542683733</v>
      </c>
      <c r="AG235" t="str">
        <f t="shared" si="212"/>
        <v>1+71,535586499668i</v>
      </c>
      <c r="AH235">
        <f t="shared" si="230"/>
        <v>71.542575686450391</v>
      </c>
      <c r="AI235">
        <f t="shared" si="231"/>
        <v>1.5568181808320514</v>
      </c>
      <c r="AJ235" t="str">
        <f t="shared" si="213"/>
        <v>1+0,0120815657199439i</v>
      </c>
      <c r="AK235">
        <f t="shared" si="232"/>
        <v>1.0000729794521224</v>
      </c>
      <c r="AL235">
        <f t="shared" si="233"/>
        <v>1.2080977945939273E-2</v>
      </c>
      <c r="AM235" t="str">
        <f t="shared" si="214"/>
        <v>1-0,0651149041624226i</v>
      </c>
      <c r="AN235">
        <f t="shared" si="234"/>
        <v>1.0021177329755628</v>
      </c>
      <c r="AO235">
        <f t="shared" si="235"/>
        <v>-6.5023109576771668E-2</v>
      </c>
      <c r="AP235" s="41" t="str">
        <f t="shared" si="236"/>
        <v>-0,22134732567146-5,6779432240656i</v>
      </c>
      <c r="AQ235">
        <f t="shared" si="237"/>
        <v>15.090416004567572</v>
      </c>
      <c r="AR235" s="43">
        <f t="shared" si="238"/>
        <v>-92.232471931783905</v>
      </c>
      <c r="AS235" t="str">
        <f t="shared" si="215"/>
        <v>-0,0000166666666666667</v>
      </c>
      <c r="AT235" t="str">
        <f t="shared" si="216"/>
        <v>0,0020585129284366i</v>
      </c>
      <c r="AU235">
        <f t="shared" si="239"/>
        <v>2.0585129284365999E-3</v>
      </c>
      <c r="AV235">
        <f t="shared" si="240"/>
        <v>1.5707963267948966</v>
      </c>
      <c r="AW235" t="str">
        <f t="shared" si="217"/>
        <v>1+0,0733830819384684i</v>
      </c>
      <c r="AX235">
        <f t="shared" si="241"/>
        <v>1.0026889232033971</v>
      </c>
      <c r="AY235">
        <f t="shared" si="242"/>
        <v>7.3251781407549565E-2</v>
      </c>
      <c r="AZ235" t="str">
        <f t="shared" si="218"/>
        <v>1+10,8362350995805i</v>
      </c>
      <c r="BA235">
        <f t="shared" si="243"/>
        <v>10.88227876565292</v>
      </c>
      <c r="BB235">
        <f t="shared" si="244"/>
        <v>1.4787739876352024</v>
      </c>
      <c r="BC235" s="41" t="str">
        <f t="shared" si="245"/>
        <v>-0,0866742485697937+0,0144568830388464i</v>
      </c>
      <c r="BD235">
        <f t="shared" si="246"/>
        <v>-21.123024395407445</v>
      </c>
      <c r="BE235" s="43">
        <f t="shared" si="247"/>
        <v>170.53049042876063</v>
      </c>
      <c r="BF235" s="41" t="str">
        <f t="shared" si="248"/>
        <v>0,0449630912092531+0,0656518274697521i</v>
      </c>
      <c r="BG235" s="20">
        <f t="shared" si="249"/>
        <v>-21.98469929276007</v>
      </c>
      <c r="BH235" s="43">
        <f t="shared" si="250"/>
        <v>55.593852827511093</v>
      </c>
      <c r="BI235" s="41" t="str">
        <f t="shared" si="203"/>
        <v>0,101270474217034+0,488931469969644i</v>
      </c>
      <c r="BJ235" s="20">
        <f t="shared" si="251"/>
        <v>-6.0326083908398687</v>
      </c>
      <c r="BK235" s="43">
        <f t="shared" si="204"/>
        <v>78.298018496976752</v>
      </c>
      <c r="BL235">
        <f t="shared" si="252"/>
        <v>-21.98469929276007</v>
      </c>
      <c r="BM235" s="43">
        <f t="shared" si="253"/>
        <v>55.593852827511093</v>
      </c>
    </row>
    <row r="236" spans="14:65" x14ac:dyDescent="0.35">
      <c r="N236" s="9">
        <v>18</v>
      </c>
      <c r="O236" s="34">
        <f t="shared" si="254"/>
        <v>1513.5612484362093</v>
      </c>
      <c r="P236" s="33" t="str">
        <f t="shared" si="206"/>
        <v>59,1053597814893</v>
      </c>
      <c r="Q236" s="4" t="str">
        <f t="shared" si="207"/>
        <v>1+73,0718471716175i</v>
      </c>
      <c r="R236" s="4">
        <f t="shared" si="219"/>
        <v>73.078689431818802</v>
      </c>
      <c r="S236" s="4">
        <f t="shared" si="220"/>
        <v>1.5571120199401982</v>
      </c>
      <c r="T236" s="4" t="str">
        <f t="shared" si="208"/>
        <v>1+0,012362981536998i</v>
      </c>
      <c r="U236" s="4">
        <f t="shared" si="221"/>
        <v>1.0000764187363305</v>
      </c>
      <c r="V236" s="4">
        <f t="shared" si="222"/>
        <v>1.2362351728404112E-2</v>
      </c>
      <c r="W236" t="str">
        <f t="shared" si="209"/>
        <v>1-0,456479318289158i</v>
      </c>
      <c r="X236" s="4">
        <f t="shared" si="223"/>
        <v>1.0992603731717678</v>
      </c>
      <c r="Y236" s="4">
        <f t="shared" si="224"/>
        <v>-0.42822904769923459</v>
      </c>
      <c r="Z236" t="str">
        <f t="shared" si="210"/>
        <v>0,999952668023703+0,0427084816732659i</v>
      </c>
      <c r="AA236" s="4">
        <f t="shared" si="225"/>
        <v>1.0008643028375812</v>
      </c>
      <c r="AB236" s="4">
        <f t="shared" si="226"/>
        <v>4.2684560984494635E-2</v>
      </c>
      <c r="AC236" s="47" t="str">
        <f t="shared" si="227"/>
        <v>-0,382299873291029-0,801904568513623i</v>
      </c>
      <c r="AD236" s="20">
        <f t="shared" si="228"/>
        <v>-1.0281065063193291</v>
      </c>
      <c r="AE236" s="43">
        <f t="shared" si="229"/>
        <v>-115.4889986856229</v>
      </c>
      <c r="AF236" t="str">
        <f t="shared" si="211"/>
        <v>405,634542683733</v>
      </c>
      <c r="AG236" t="str">
        <f t="shared" si="212"/>
        <v>1+73,201864363804i</v>
      </c>
      <c r="AH236">
        <f t="shared" si="230"/>
        <v>73.208694472287632</v>
      </c>
      <c r="AI236">
        <f t="shared" si="231"/>
        <v>1.5571363222397958</v>
      </c>
      <c r="AJ236" t="str">
        <f t="shared" si="213"/>
        <v>1+0,012362981536998i</v>
      </c>
      <c r="AK236">
        <f t="shared" si="232"/>
        <v>1.0000764187363305</v>
      </c>
      <c r="AL236">
        <f t="shared" si="233"/>
        <v>1.2362351728404112E-2</v>
      </c>
      <c r="AM236" t="str">
        <f t="shared" si="214"/>
        <v>1-0,0666316251224399i</v>
      </c>
      <c r="AN236">
        <f t="shared" si="234"/>
        <v>1.0022174282392307</v>
      </c>
      <c r="AO236">
        <f t="shared" si="235"/>
        <v>-6.6533277201553831E-2</v>
      </c>
      <c r="AP236" s="41" t="str">
        <f t="shared" si="236"/>
        <v>-0,224916194523081-5,54895165814565i</v>
      </c>
      <c r="AQ236">
        <f t="shared" si="237"/>
        <v>14.891348133948938</v>
      </c>
      <c r="AR236" s="43">
        <f t="shared" si="238"/>
        <v>-92.32110479279244</v>
      </c>
      <c r="AS236" t="str">
        <f t="shared" si="215"/>
        <v>-0,0000166666666666667</v>
      </c>
      <c r="AT236" t="str">
        <f t="shared" si="216"/>
        <v>0,00210646185418851i</v>
      </c>
      <c r="AU236">
        <f t="shared" si="239"/>
        <v>2.1064618541885099E-3</v>
      </c>
      <c r="AV236">
        <f t="shared" si="240"/>
        <v>1.5707963267948966</v>
      </c>
      <c r="AW236" t="str">
        <f t="shared" si="217"/>
        <v>1+0,0750923934995991i</v>
      </c>
      <c r="AX236">
        <f t="shared" si="241"/>
        <v>1.0028154703441201</v>
      </c>
      <c r="AY236">
        <f t="shared" si="242"/>
        <v>7.4951723770613057E-2</v>
      </c>
      <c r="AZ236" t="str">
        <f t="shared" si="218"/>
        <v>1+11,0886434401075i</v>
      </c>
      <c r="BA236">
        <f t="shared" si="243"/>
        <v>11.133643309440044</v>
      </c>
      <c r="BB236">
        <f t="shared" si="244"/>
        <v>1.4808572638970179</v>
      </c>
      <c r="BC236" s="41" t="str">
        <f t="shared" si="245"/>
        <v>-0,0866523747822524+0,0144190958590476i</v>
      </c>
      <c r="BD236">
        <f t="shared" si="246"/>
        <v>-21.125771416766415</v>
      </c>
      <c r="BE236" s="43">
        <f t="shared" si="247"/>
        <v>170.55245384330345</v>
      </c>
      <c r="BF236" s="41" t="str">
        <f t="shared" si="248"/>
        <v>0,044689930742828+0,0639745166905578i</v>
      </c>
      <c r="BG236" s="20">
        <f t="shared" si="249"/>
        <v>-22.153877923085741</v>
      </c>
      <c r="BH236" s="43">
        <f t="shared" si="250"/>
        <v>55.063455157680544</v>
      </c>
      <c r="BI236" s="41" t="str">
        <f t="shared" si="203"/>
        <v>0,0995003882584353+0,477586750561157i</v>
      </c>
      <c r="BJ236" s="20">
        <f t="shared" si="251"/>
        <v>-6.234423282817481</v>
      </c>
      <c r="BK236" s="43">
        <f t="shared" si="204"/>
        <v>78.231349050511</v>
      </c>
      <c r="BL236">
        <f t="shared" si="252"/>
        <v>-22.153877923085741</v>
      </c>
      <c r="BM236" s="43">
        <f t="shared" si="253"/>
        <v>55.063455157680544</v>
      </c>
    </row>
    <row r="237" spans="14:65" x14ac:dyDescent="0.35">
      <c r="N237" s="9">
        <v>19</v>
      </c>
      <c r="O237" s="34">
        <f t="shared" si="254"/>
        <v>1548.8166189124822</v>
      </c>
      <c r="P237" s="33" t="str">
        <f t="shared" si="206"/>
        <v>59,1053597814893</v>
      </c>
      <c r="Q237" s="4" t="str">
        <f t="shared" si="207"/>
        <v>1+74,7739091437264i</v>
      </c>
      <c r="R237" s="4">
        <f t="shared" si="219"/>
        <v>74.780595669159055</v>
      </c>
      <c r="S237" s="4">
        <f t="shared" si="220"/>
        <v>1.5574234752255849</v>
      </c>
      <c r="T237" s="4" t="str">
        <f t="shared" si="208"/>
        <v>1+0,0126509523705064i</v>
      </c>
      <c r="U237" s="4">
        <f t="shared" si="221"/>
        <v>1.0000800200963325</v>
      </c>
      <c r="V237" s="4">
        <f t="shared" si="222"/>
        <v>1.265027752135575E-2</v>
      </c>
      <c r="W237" t="str">
        <f t="shared" si="209"/>
        <v>1-0,467112087526391i</v>
      </c>
      <c r="X237" s="4">
        <f t="shared" si="223"/>
        <v>1.103718126295506</v>
      </c>
      <c r="Y237" s="4">
        <f t="shared" si="224"/>
        <v>-0.43699286267975773</v>
      </c>
      <c r="Z237" t="str">
        <f t="shared" si="210"/>
        <v>0,999950437336384+0,043703290007204i</v>
      </c>
      <c r="AA237" s="4">
        <f t="shared" si="225"/>
        <v>1.0009050178147172</v>
      </c>
      <c r="AB237" s="4">
        <f t="shared" si="226"/>
        <v>4.3677659777969155E-2</v>
      </c>
      <c r="AC237" s="47" t="str">
        <f t="shared" si="227"/>
        <v>-0,382777581734889-0,783096797982417i</v>
      </c>
      <c r="AD237" s="20">
        <f t="shared" si="228"/>
        <v>-1.1932399109327037</v>
      </c>
      <c r="AE237" s="43">
        <f t="shared" si="229"/>
        <v>-116.04937680655667</v>
      </c>
      <c r="AF237" t="str">
        <f t="shared" si="211"/>
        <v>405,634542683733</v>
      </c>
      <c r="AG237" t="str">
        <f t="shared" si="212"/>
        <v>1+74,9069548253669i</v>
      </c>
      <c r="AH237">
        <f t="shared" si="230"/>
        <v>74.913629475613831</v>
      </c>
      <c r="AI237">
        <f t="shared" si="231"/>
        <v>1.5574472245371001</v>
      </c>
      <c r="AJ237" t="str">
        <f t="shared" si="213"/>
        <v>1+0,0126509523705064i</v>
      </c>
      <c r="AK237">
        <f t="shared" si="232"/>
        <v>1.0000800200963325</v>
      </c>
      <c r="AL237">
        <f t="shared" si="233"/>
        <v>1.265027752135575E-2</v>
      </c>
      <c r="AM237" t="str">
        <f t="shared" si="214"/>
        <v>1-0,068183675052071i</v>
      </c>
      <c r="AN237">
        <f t="shared" si="234"/>
        <v>1.0023218113677894</v>
      </c>
      <c r="AO237">
        <f t="shared" si="235"/>
        <v>-6.8078306535817687E-2</v>
      </c>
      <c r="AP237" s="41" t="str">
        <f t="shared" si="236"/>
        <v>-0,228324496408832-5,42289783089799i</v>
      </c>
      <c r="AQ237">
        <f t="shared" si="237"/>
        <v>14.692320490503761</v>
      </c>
      <c r="AR237" s="43">
        <f t="shared" si="238"/>
        <v>-92.410944909597049</v>
      </c>
      <c r="AS237" t="str">
        <f t="shared" si="215"/>
        <v>-0,0000166666666666667</v>
      </c>
      <c r="AT237" t="str">
        <f t="shared" si="216"/>
        <v>0,00215552765389782i</v>
      </c>
      <c r="AU237">
        <f t="shared" si="239"/>
        <v>2.15552765389782E-3</v>
      </c>
      <c r="AV237">
        <f t="shared" si="240"/>
        <v>1.5707963267948966</v>
      </c>
      <c r="AW237" t="str">
        <f t="shared" si="217"/>
        <v>1+0,0768415200417286i</v>
      </c>
      <c r="AX237">
        <f t="shared" si="241"/>
        <v>1.0029479643542447</v>
      </c>
      <c r="AY237">
        <f t="shared" si="242"/>
        <v>7.6690813629311114E-2</v>
      </c>
      <c r="AZ237" t="str">
        <f t="shared" si="218"/>
        <v>1+11,3469311261619i</v>
      </c>
      <c r="BA237">
        <f t="shared" si="243"/>
        <v>11.390910673947968</v>
      </c>
      <c r="BB237">
        <f t="shared" si="244"/>
        <v>1.4828938756793955</v>
      </c>
      <c r="BC237" s="41" t="str">
        <f t="shared" si="245"/>
        <v>-0,086629481944959+0,0143887999202604i</v>
      </c>
      <c r="BD237">
        <f t="shared" si="246"/>
        <v>-21.128496086901187</v>
      </c>
      <c r="BE237" s="43">
        <f t="shared" si="247"/>
        <v>170.56950059384286</v>
      </c>
      <c r="BF237" s="41" t="str">
        <f t="shared" si="248"/>
        <v>0,0444276467502032+0,0623315598844286i</v>
      </c>
      <c r="BG237" s="20">
        <f t="shared" si="249"/>
        <v>-22.321735997833887</v>
      </c>
      <c r="BH237" s="43">
        <f t="shared" si="250"/>
        <v>54.520123787286209</v>
      </c>
      <c r="BI237" s="41" t="str">
        <f t="shared" si="203"/>
        <v>0,0978086247160461+0,466497514235414i</v>
      </c>
      <c r="BJ237" s="20">
        <f t="shared" si="251"/>
        <v>-6.4361755963974225</v>
      </c>
      <c r="BK237" s="43">
        <f t="shared" si="204"/>
        <v>78.158555684245812</v>
      </c>
      <c r="BL237">
        <f t="shared" si="252"/>
        <v>-22.321735997833887</v>
      </c>
      <c r="BM237" s="43">
        <f t="shared" si="253"/>
        <v>54.520123787286209</v>
      </c>
    </row>
    <row r="238" spans="14:65" x14ac:dyDescent="0.35">
      <c r="N238" s="9">
        <v>20</v>
      </c>
      <c r="O238" s="34">
        <f t="shared" si="254"/>
        <v>1584.8931924611156</v>
      </c>
      <c r="P238" s="33" t="str">
        <f t="shared" si="206"/>
        <v>59,1053597814893</v>
      </c>
      <c r="Q238" s="4" t="str">
        <f t="shared" si="207"/>
        <v>1+76,5156172322131i</v>
      </c>
      <c r="R238" s="4">
        <f t="shared" si="219"/>
        <v>76.522151566893015</v>
      </c>
      <c r="S238" s="4">
        <f t="shared" si="220"/>
        <v>1.5577278434302784</v>
      </c>
      <c r="T238" s="4" t="str">
        <f t="shared" si="208"/>
        <v>1+0,0129456309064168i</v>
      </c>
      <c r="U238" s="4">
        <f t="shared" si="221"/>
        <v>1.0000837911693026</v>
      </c>
      <c r="V238" s="4">
        <f t="shared" si="222"/>
        <v>1.294490779579587E-2</v>
      </c>
      <c r="W238" t="str">
        <f t="shared" si="209"/>
        <v>1-0,477992525775391i</v>
      </c>
      <c r="X238" s="4">
        <f t="shared" si="223"/>
        <v>1.1083667509886508</v>
      </c>
      <c r="Y238" s="4">
        <f t="shared" si="224"/>
        <v>-0.4458871355728522</v>
      </c>
      <c r="Z238" t="str">
        <f t="shared" si="210"/>
        <v>0,99994810152001+0,0447212704039854i</v>
      </c>
      <c r="AA238" s="4">
        <f t="shared" si="225"/>
        <v>1.0009476498598808</v>
      </c>
      <c r="AB238" s="4">
        <f t="shared" si="226"/>
        <v>4.4693808521567568E-2</v>
      </c>
      <c r="AC238" s="47" t="str">
        <f t="shared" si="227"/>
        <v>-0,383231623977336-0,764703726742603i</v>
      </c>
      <c r="AD238" s="20">
        <f t="shared" si="228"/>
        <v>-1.3570358743962998</v>
      </c>
      <c r="AE238" s="43">
        <f t="shared" si="229"/>
        <v>-116.61776008183892</v>
      </c>
      <c r="AF238" t="str">
        <f t="shared" si="211"/>
        <v>405,634542683733</v>
      </c>
      <c r="AG238" t="str">
        <f t="shared" si="212"/>
        <v>1+76,651761945889i</v>
      </c>
      <c r="AH238">
        <f t="shared" si="230"/>
        <v>76.658284675625481</v>
      </c>
      <c r="AI238">
        <f t="shared" si="231"/>
        <v>1.5577510523279248</v>
      </c>
      <c r="AJ238" t="str">
        <f t="shared" si="213"/>
        <v>1+0,0129456309064168i</v>
      </c>
      <c r="AK238">
        <f t="shared" si="232"/>
        <v>1.0000837911693026</v>
      </c>
      <c r="AL238">
        <f t="shared" si="233"/>
        <v>1.294490779579587E-2</v>
      </c>
      <c r="AM238" t="str">
        <f t="shared" si="214"/>
        <v>1-0,0697718768687324i</v>
      </c>
      <c r="AN238">
        <f t="shared" si="234"/>
        <v>1.0024311022717649</v>
      </c>
      <c r="AO238">
        <f t="shared" si="235"/>
        <v>-6.9658987252659219E-2</v>
      </c>
      <c r="AP238" s="41" t="str">
        <f t="shared" si="236"/>
        <v>-0,231579452878504-5,29971519975491i</v>
      </c>
      <c r="AQ238">
        <f t="shared" si="237"/>
        <v>14.493335110676773</v>
      </c>
      <c r="AR238" s="43">
        <f t="shared" si="238"/>
        <v>-92.502038222300612</v>
      </c>
      <c r="AS238" t="str">
        <f t="shared" si="215"/>
        <v>-0,0000166666666666667</v>
      </c>
      <c r="AT238" t="str">
        <f t="shared" si="216"/>
        <v>0,00220573634290102i</v>
      </c>
      <c r="AU238">
        <f t="shared" si="239"/>
        <v>2.2057363429010199E-3</v>
      </c>
      <c r="AV238">
        <f t="shared" si="240"/>
        <v>1.5707963267948966</v>
      </c>
      <c r="AW238" t="str">
        <f t="shared" si="217"/>
        <v>1+0,0786313889749021i</v>
      </c>
      <c r="AX238">
        <f t="shared" si="241"/>
        <v>1.0030866838574433</v>
      </c>
      <c r="AY238">
        <f t="shared" si="242"/>
        <v>7.8469930970475901E-2</v>
      </c>
      <c r="AZ238" t="str">
        <f t="shared" si="218"/>
        <v>1+11,6112351052939i</v>
      </c>
      <c r="BA238">
        <f t="shared" si="243"/>
        <v>11.654217291195897</v>
      </c>
      <c r="BB238">
        <f t="shared" si="244"/>
        <v>1.4848848352039754</v>
      </c>
      <c r="BC238" s="41" t="str">
        <f t="shared" si="245"/>
        <v>-0,0866055231626405+0,0143659682792636i</v>
      </c>
      <c r="BD238">
        <f t="shared" si="246"/>
        <v>-21.131204064636279</v>
      </c>
      <c r="BE238" s="43">
        <f t="shared" si="247"/>
        <v>170.58163825687544</v>
      </c>
      <c r="BF238" s="41" t="str">
        <f t="shared" si="248"/>
        <v>0,0441756847684444+0,0607220729652949i</v>
      </c>
      <c r="BG238" s="20">
        <f t="shared" si="249"/>
        <v>-22.488239939032585</v>
      </c>
      <c r="BH238" s="43">
        <f t="shared" si="250"/>
        <v>53.963878175036477</v>
      </c>
      <c r="BI238" s="41" t="str">
        <f t="shared" si="203"/>
        <v>0,0961916001190711+0,45565774441359i</v>
      </c>
      <c r="BJ238" s="20">
        <f t="shared" si="251"/>
        <v>-6.6378689539595106</v>
      </c>
      <c r="BK238" s="43">
        <f t="shared" si="204"/>
        <v>78.07960003457481</v>
      </c>
      <c r="BL238">
        <f t="shared" si="252"/>
        <v>-22.488239939032585</v>
      </c>
      <c r="BM238" s="43">
        <f t="shared" si="253"/>
        <v>53.963878175036477</v>
      </c>
    </row>
    <row r="239" spans="14:65" x14ac:dyDescent="0.35">
      <c r="N239" s="9">
        <v>21</v>
      </c>
      <c r="O239" s="34">
        <f t="shared" si="254"/>
        <v>1621.8100973589308</v>
      </c>
      <c r="P239" s="33" t="str">
        <f t="shared" si="206"/>
        <v>59,1053597814893</v>
      </c>
      <c r="Q239" s="4" t="str">
        <f t="shared" si="207"/>
        <v>1+78,2978949137599i</v>
      </c>
      <c r="R239" s="4">
        <f t="shared" si="219"/>
        <v>78.304280521094043</v>
      </c>
      <c r="S239" s="4">
        <f t="shared" si="220"/>
        <v>1.5580252857086272</v>
      </c>
      <c r="T239" s="4" t="str">
        <f t="shared" si="208"/>
        <v>1+0,0132471733871894i</v>
      </c>
      <c r="U239" s="4">
        <f t="shared" si="221"/>
        <v>1.0000877399522254</v>
      </c>
      <c r="V239" s="4">
        <f t="shared" si="222"/>
        <v>1.3246398563870583E-2</v>
      </c>
      <c r="W239" t="str">
        <f t="shared" si="209"/>
        <v>1-0,489126401988534i</v>
      </c>
      <c r="X239" s="4">
        <f t="shared" si="223"/>
        <v>1.1132136529535779</v>
      </c>
      <c r="Y239" s="4">
        <f t="shared" si="224"/>
        <v>-0.45491095236191142</v>
      </c>
      <c r="Z239" t="str">
        <f t="shared" si="210"/>
        <v>0,999945655620002+0,0457629626102908i</v>
      </c>
      <c r="AA239" s="4">
        <f t="shared" si="225"/>
        <v>1.0009922891512133</v>
      </c>
      <c r="AB239" s="4">
        <f t="shared" si="226"/>
        <v>4.573353824712343E-2</v>
      </c>
      <c r="AC239" s="47" t="str">
        <f t="shared" si="227"/>
        <v>-0,383662962618563-0,746715649557075i</v>
      </c>
      <c r="AD239" s="20">
        <f t="shared" si="228"/>
        <v>-1.5194548576311682</v>
      </c>
      <c r="AE239" s="43">
        <f t="shared" si="229"/>
        <v>-117.19412686268535</v>
      </c>
      <c r="AF239" t="str">
        <f t="shared" si="211"/>
        <v>405,634542683733</v>
      </c>
      <c r="AG239" t="str">
        <f t="shared" si="212"/>
        <v>1+78,4372108452005i</v>
      </c>
      <c r="AH239">
        <f t="shared" si="230"/>
        <v>78.44358511168673</v>
      </c>
      <c r="AI239">
        <f t="shared" si="231"/>
        <v>1.5580479664812834</v>
      </c>
      <c r="AJ239" t="str">
        <f t="shared" si="213"/>
        <v>1+0,0132471733871894i</v>
      </c>
      <c r="AK239">
        <f t="shared" si="232"/>
        <v>1.0000877399522254</v>
      </c>
      <c r="AL239">
        <f t="shared" si="233"/>
        <v>1.3246398563870583E-2</v>
      </c>
      <c r="AM239" t="str">
        <f t="shared" si="214"/>
        <v>1-0,0713970726580493i</v>
      </c>
      <c r="AN239">
        <f t="shared" si="234"/>
        <v>1.0025455311277083</v>
      </c>
      <c r="AO239">
        <f t="shared" si="235"/>
        <v>-7.1276125836862644E-2</v>
      </c>
      <c r="AP239" s="41" t="str">
        <f t="shared" si="236"/>
        <v>-0,234687960911942-5,17933872496026i</v>
      </c>
      <c r="AQ239">
        <f t="shared" si="237"/>
        <v>14.294394118069839</v>
      </c>
      <c r="AR239" s="43">
        <f t="shared" si="238"/>
        <v>-92.594431217355535</v>
      </c>
      <c r="AS239" t="str">
        <f t="shared" si="215"/>
        <v>-0,0000166666666666667</v>
      </c>
      <c r="AT239" t="str">
        <f t="shared" si="216"/>
        <v>0,00225711454250959i</v>
      </c>
      <c r="AU239">
        <f t="shared" si="239"/>
        <v>2.2571145425095899E-3</v>
      </c>
      <c r="AV239">
        <f t="shared" si="240"/>
        <v>1.5707963267948966</v>
      </c>
      <c r="AW239" t="str">
        <f t="shared" si="217"/>
        <v>1+0,0804629493113192i</v>
      </c>
      <c r="AX239">
        <f t="shared" si="241"/>
        <v>1.0032319204510369</v>
      </c>
      <c r="AY239">
        <f t="shared" si="242"/>
        <v>8.0289974029571901E-2</v>
      </c>
      <c r="AZ239" t="str">
        <f t="shared" si="218"/>
        <v>1+11,8816955149714i</v>
      </c>
      <c r="BA239">
        <f t="shared" si="243"/>
        <v>11.923702793616229</v>
      </c>
      <c r="BB239">
        <f t="shared" si="244"/>
        <v>1.4868311349327981</v>
      </c>
      <c r="BC239" s="41" t="str">
        <f t="shared" si="245"/>
        <v>-0,0865804494375265+0,0143505771881835i</v>
      </c>
      <c r="BD239">
        <f t="shared" si="246"/>
        <v>-21.133900976257436</v>
      </c>
      <c r="BE239" s="43">
        <f t="shared" si="247"/>
        <v>170.58887223118606</v>
      </c>
      <c r="BF239" s="41" t="str">
        <f t="shared" si="248"/>
        <v>0,0439335123026415+0,0591451915813812i</v>
      </c>
      <c r="BG239" s="20">
        <f t="shared" si="249"/>
        <v>-22.653355833888611</v>
      </c>
      <c r="BH239" s="43">
        <f t="shared" si="250"/>
        <v>53.394745368500686</v>
      </c>
      <c r="BI239" s="41" t="str">
        <f t="shared" si="203"/>
        <v>0,0946458892896227+0,445061566898041i</v>
      </c>
      <c r="BJ239" s="20">
        <f t="shared" si="251"/>
        <v>-6.8395068581875869</v>
      </c>
      <c r="BK239" s="43">
        <f t="shared" si="204"/>
        <v>77.994441013830524</v>
      </c>
      <c r="BL239">
        <f t="shared" si="252"/>
        <v>-22.653355833888611</v>
      </c>
      <c r="BM239" s="43">
        <f t="shared" si="253"/>
        <v>53.394745368500686</v>
      </c>
    </row>
    <row r="240" spans="14:65" x14ac:dyDescent="0.35">
      <c r="N240" s="9">
        <v>22</v>
      </c>
      <c r="O240" s="34">
        <f t="shared" si="254"/>
        <v>1659.5869074375626</v>
      </c>
      <c r="P240" s="33" t="str">
        <f t="shared" si="206"/>
        <v>59,1053597814893</v>
      </c>
      <c r="Q240" s="4" t="str">
        <f t="shared" si="207"/>
        <v>1+80,1216871755857i</v>
      </c>
      <c r="R240" s="4">
        <f t="shared" si="219"/>
        <v>80.127927440202868</v>
      </c>
      <c r="S240" s="4">
        <f t="shared" si="220"/>
        <v>1.5583159595578211</v>
      </c>
      <c r="T240" s="4" t="str">
        <f t="shared" si="208"/>
        <v>1+0,0135557396946391i</v>
      </c>
      <c r="U240" s="4">
        <f t="shared" si="221"/>
        <v>1.0000918748188432</v>
      </c>
      <c r="V240" s="4">
        <f t="shared" si="222"/>
        <v>1.3554909460614096E-2</v>
      </c>
      <c r="W240" t="str">
        <f t="shared" si="209"/>
        <v>1-0,500519619494367i</v>
      </c>
      <c r="X240" s="4">
        <f t="shared" si="223"/>
        <v>1.1182664662319022</v>
      </c>
      <c r="Y240" s="4">
        <f t="shared" si="224"/>
        <v>-0.46406321818891072</v>
      </c>
      <c r="Z240" t="str">
        <f t="shared" si="210"/>
        <v>0,999943094448278+0,0468289189451168i</v>
      </c>
      <c r="AA240" s="4">
        <f t="shared" si="225"/>
        <v>1.0010390301004082</v>
      </c>
      <c r="AB240" s="4">
        <f t="shared" si="226"/>
        <v>4.6797391937767212E-2</v>
      </c>
      <c r="AC240" s="47" t="str">
        <f t="shared" si="227"/>
        <v>-0,384072512250986-0,729123073714182i</v>
      </c>
      <c r="AD240" s="20">
        <f t="shared" si="228"/>
        <v>-1.6804570879557066</v>
      </c>
      <c r="AE240" s="43">
        <f t="shared" si="229"/>
        <v>-117.77844540650391</v>
      </c>
      <c r="AF240" t="str">
        <f t="shared" si="211"/>
        <v>405,634542683733</v>
      </c>
      <c r="AG240" t="str">
        <f t="shared" si="212"/>
        <v>1+80,2642481919419i</v>
      </c>
      <c r="AH240">
        <f t="shared" si="230"/>
        <v>80.270477373799451</v>
      </c>
      <c r="AI240">
        <f t="shared" si="231"/>
        <v>1.5583381242154668</v>
      </c>
      <c r="AJ240" t="str">
        <f t="shared" si="213"/>
        <v>1+0,0135557396946391i</v>
      </c>
      <c r="AK240">
        <f t="shared" si="232"/>
        <v>1.0000918748188432</v>
      </c>
      <c r="AL240">
        <f t="shared" si="233"/>
        <v>1.3554909460614096E-2</v>
      </c>
      <c r="AM240" t="str">
        <f t="shared" si="214"/>
        <v>1-0,0730601241203419i</v>
      </c>
      <c r="AN240">
        <f t="shared" si="234"/>
        <v>1.0026653388526401</v>
      </c>
      <c r="AO240">
        <f t="shared" si="235"/>
        <v>-7.2930545865403235E-2</v>
      </c>
      <c r="AP240" s="41" t="str">
        <f t="shared" si="236"/>
        <v>-0,237656607487228-5,06170483638718i</v>
      </c>
      <c r="AQ240">
        <f t="shared" si="237"/>
        <v>14.095499727707956</v>
      </c>
      <c r="AR240" s="43">
        <f t="shared" si="238"/>
        <v>-92.688170943777422</v>
      </c>
      <c r="AS240" t="str">
        <f t="shared" si="215"/>
        <v>-0,0000166666666666667</v>
      </c>
      <c r="AT240" t="str">
        <f t="shared" si="216"/>
        <v>0,00230968949412505i</v>
      </c>
      <c r="AU240">
        <f t="shared" si="239"/>
        <v>2.3096894941250501E-3</v>
      </c>
      <c r="AV240">
        <f t="shared" si="240"/>
        <v>1.5707963267948966</v>
      </c>
      <c r="AW240" t="str">
        <f t="shared" si="217"/>
        <v>1+0,0823371721685147i</v>
      </c>
      <c r="AX240">
        <f t="shared" si="241"/>
        <v>1.0033839793023944</v>
      </c>
      <c r="AY240">
        <f t="shared" si="242"/>
        <v>8.2151859558644041E-2</v>
      </c>
      <c r="AZ240" t="str">
        <f t="shared" si="218"/>
        <v>1+12,158455756884i</v>
      </c>
      <c r="BA240">
        <f t="shared" si="243"/>
        <v>12.199510088200498</v>
      </c>
      <c r="BB240">
        <f t="shared" si="244"/>
        <v>1.4887337478050244</v>
      </c>
      <c r="BC240" s="41" t="str">
        <f t="shared" si="245"/>
        <v>-0,0865542095804299+0,0143426060292818i</v>
      </c>
      <c r="BD240">
        <f t="shared" si="246"/>
        <v>-21.136592426468866</v>
      </c>
      <c r="BE240" s="43">
        <f t="shared" si="247"/>
        <v>170.59120573605961</v>
      </c>
      <c r="BF240" s="41" t="str">
        <f t="shared" si="248"/>
        <v>0,0437006177125956+0,0576000706022921i</v>
      </c>
      <c r="BG240" s="20">
        <f t="shared" si="249"/>
        <v>-22.817049514424575</v>
      </c>
      <c r="BH240" s="43">
        <f t="shared" si="250"/>
        <v>52.812760329555672</v>
      </c>
      <c r="BI240" s="41" t="str">
        <f t="shared" si="203"/>
        <v>0,0931682181174351+0,434703246151487i</v>
      </c>
      <c r="BJ240" s="20">
        <f t="shared" si="251"/>
        <v>-7.0410926987609077</v>
      </c>
      <c r="BK240" s="43">
        <f t="shared" si="204"/>
        <v>77.903034792282213</v>
      </c>
      <c r="BL240">
        <f t="shared" si="252"/>
        <v>-22.817049514424575</v>
      </c>
      <c r="BM240" s="43">
        <f t="shared" si="253"/>
        <v>52.812760329555672</v>
      </c>
    </row>
    <row r="241" spans="14:65" x14ac:dyDescent="0.35">
      <c r="N241" s="9">
        <v>23</v>
      </c>
      <c r="O241" s="34">
        <f t="shared" si="254"/>
        <v>1698.2436524617447</v>
      </c>
      <c r="P241" s="33" t="str">
        <f t="shared" si="206"/>
        <v>59,1053597814893</v>
      </c>
      <c r="Q241" s="4" t="str">
        <f t="shared" si="207"/>
        <v>1+81,9879610164873i</v>
      </c>
      <c r="R241" s="4">
        <f t="shared" si="219"/>
        <v>81.994059246027334</v>
      </c>
      <c r="S241" s="4">
        <f t="shared" si="220"/>
        <v>1.5586000189003941</v>
      </c>
      <c r="T241" s="4" t="str">
        <f t="shared" si="208"/>
        <v>1+0,0138714934347062i</v>
      </c>
      <c r="U241" s="4">
        <f t="shared" si="221"/>
        <v>1.000096204537398</v>
      </c>
      <c r="V241" s="4">
        <f t="shared" si="222"/>
        <v>1.3870603827542368E-2</v>
      </c>
      <c r="W241" t="str">
        <f t="shared" si="209"/>
        <v>1-0,512178219127614i</v>
      </c>
      <c r="X241" s="4">
        <f t="shared" si="223"/>
        <v>1.1235330560997012</v>
      </c>
      <c r="Y241" s="4">
        <f t="shared" si="224"/>
        <v>-0.47334265171175283</v>
      </c>
      <c r="Z241" t="str">
        <f t="shared" si="210"/>
        <v>0,999940412572249+0,0479197045926213i</v>
      </c>
      <c r="AA241" s="4">
        <f t="shared" si="225"/>
        <v>1.0010879715506544</v>
      </c>
      <c r="AB241" s="4">
        <f t="shared" si="226"/>
        <v>4.7885924776631721E-2</v>
      </c>
      <c r="AC241" s="47" t="str">
        <f t="shared" si="227"/>
        <v>-0,384461141396342-0,711916714207597i</v>
      </c>
      <c r="AD241" s="20">
        <f t="shared" si="228"/>
        <v>-1.840002632792842</v>
      </c>
      <c r="AE241" s="43">
        <f t="shared" si="229"/>
        <v>-118.37067356778296</v>
      </c>
      <c r="AF241" t="str">
        <f t="shared" si="211"/>
        <v>405,634542683733</v>
      </c>
      <c r="AG241" t="str">
        <f t="shared" si="212"/>
        <v>1+82,1338427054971i</v>
      </c>
      <c r="AH241">
        <f t="shared" si="230"/>
        <v>82.139930104495093</v>
      </c>
      <c r="AI241">
        <f t="shared" si="231"/>
        <v>1.558621679180404</v>
      </c>
      <c r="AJ241" t="str">
        <f t="shared" si="213"/>
        <v>1+0,0138714934347062i</v>
      </c>
      <c r="AK241">
        <f t="shared" si="232"/>
        <v>1.000096204537398</v>
      </c>
      <c r="AL241">
        <f t="shared" si="233"/>
        <v>1.3870603827542368E-2</v>
      </c>
      <c r="AM241" t="str">
        <f t="shared" si="214"/>
        <v>1-0,0747619130275077i</v>
      </c>
      <c r="AN241">
        <f t="shared" si="234"/>
        <v>1.00279077759996</v>
      </c>
      <c r="AO241">
        <f t="shared" si="235"/>
        <v>-7.4623088286783046E-2</v>
      </c>
      <c r="AP241" s="41" t="str">
        <f t="shared" si="236"/>
        <v>-0,240491683496704-4,94675140104825i</v>
      </c>
      <c r="AQ241">
        <f t="shared" si="237"/>
        <v>13.896654250476615</v>
      </c>
      <c r="AR241" s="43">
        <f t="shared" si="238"/>
        <v>-92.783305029079187</v>
      </c>
      <c r="AS241" t="str">
        <f t="shared" si="215"/>
        <v>-0,0000166666666666667</v>
      </c>
      <c r="AT241" t="str">
        <f t="shared" si="216"/>
        <v>0,00236348907368264i</v>
      </c>
      <c r="AU241">
        <f t="shared" si="239"/>
        <v>2.3634890736826402E-3</v>
      </c>
      <c r="AV241">
        <f t="shared" si="240"/>
        <v>1.5707963267948966</v>
      </c>
      <c r="AW241" t="str">
        <f t="shared" si="217"/>
        <v>1+0,0842550512842547i</v>
      </c>
      <c r="AX241">
        <f t="shared" si="241"/>
        <v>1.0035431797720078</v>
      </c>
      <c r="AY241">
        <f t="shared" si="242"/>
        <v>8.4056523089711802E-2</v>
      </c>
      <c r="AZ241" t="str">
        <f t="shared" si="218"/>
        <v>1+12,4416625729749i</v>
      </c>
      <c r="BA241">
        <f t="shared" si="243"/>
        <v>12.48178543237162</v>
      </c>
      <c r="BB241">
        <f t="shared" si="244"/>
        <v>1.4905936274818332</v>
      </c>
      <c r="BC241" s="41" t="str">
        <f t="shared" si="245"/>
        <v>-0,0865267501185677+0,0143420372478678i</v>
      </c>
      <c r="BD241">
        <f t="shared" si="246"/>
        <v>-21.139284009321702</v>
      </c>
      <c r="BE241" s="43">
        <f t="shared" si="247"/>
        <v>170.58863981022023</v>
      </c>
      <c r="BF241" s="41" t="str">
        <f t="shared" si="248"/>
        <v>0,0434765091444456+0,0560858836252084i</v>
      </c>
      <c r="BG241" s="20">
        <f t="shared" si="249"/>
        <v>-22.979286642114545</v>
      </c>
      <c r="BH241" s="43">
        <f t="shared" si="250"/>
        <v>52.217966242437306</v>
      </c>
      <c r="BI241" s="41" t="str">
        <f t="shared" si="203"/>
        <v>0,0917554566532892+0,424577181694664i</v>
      </c>
      <c r="BJ241" s="20">
        <f t="shared" si="251"/>
        <v>-7.2426297588450916</v>
      </c>
      <c r="BK241" s="43">
        <f t="shared" si="204"/>
        <v>77.805334781141042</v>
      </c>
      <c r="BL241">
        <f t="shared" si="252"/>
        <v>-22.979286642114545</v>
      </c>
      <c r="BM241" s="43">
        <f t="shared" si="253"/>
        <v>52.217966242437306</v>
      </c>
    </row>
    <row r="242" spans="14:65" x14ac:dyDescent="0.35">
      <c r="N242" s="9">
        <v>24</v>
      </c>
      <c r="O242" s="34">
        <f t="shared" si="254"/>
        <v>1737.8008287493772</v>
      </c>
      <c r="P242" s="33" t="str">
        <f t="shared" si="206"/>
        <v>59,1053597814893</v>
      </c>
      <c r="Q242" s="4" t="str">
        <f t="shared" si="207"/>
        <v>1+83,8977059595594i</v>
      </c>
      <c r="R242" s="4">
        <f t="shared" si="219"/>
        <v>83.903665386422134</v>
      </c>
      <c r="S242" s="4">
        <f t="shared" si="220"/>
        <v>1.5588776141648997</v>
      </c>
      <c r="T242" s="4" t="str">
        <f t="shared" si="208"/>
        <v>1+0,0141946020242034i</v>
      </c>
      <c r="U242" s="4">
        <f t="shared" si="221"/>
        <v>1.0001007382892113</v>
      </c>
      <c r="V242" s="4">
        <f t="shared" si="222"/>
        <v>1.4193648798138983E-2</v>
      </c>
      <c r="W242" t="str">
        <f t="shared" si="209"/>
        <v>1-0,524108382432126i</v>
      </c>
      <c r="X242" s="4">
        <f t="shared" si="223"/>
        <v>1.1290215217326991</v>
      </c>
      <c r="Y242" s="4">
        <f t="shared" si="224"/>
        <v>-0.482747779830624</v>
      </c>
      <c r="Z242" t="str">
        <f t="shared" si="210"/>
        <v>0,999937604303297+0,0490358979017935i</v>
      </c>
      <c r="AA242" s="4">
        <f t="shared" si="225"/>
        <v>1.0011392169837581</v>
      </c>
      <c r="AB242" s="4">
        <f t="shared" si="226"/>
        <v>4.8999704399258791E-2</v>
      </c>
      <c r="AC242" s="47" t="str">
        <f t="shared" si="227"/>
        <v>-0,384829674346282-0,695087489016715i</v>
      </c>
      <c r="AD242" s="20">
        <f t="shared" si="228"/>
        <v>-1.9980514783564747</v>
      </c>
      <c r="AE242" s="43">
        <f t="shared" si="229"/>
        <v>-118.97075851011921</v>
      </c>
      <c r="AF242" t="str">
        <f t="shared" si="211"/>
        <v>405,634542683733</v>
      </c>
      <c r="AG242" t="str">
        <f t="shared" si="212"/>
        <v>1+84,0469856696252i</v>
      </c>
      <c r="AH242">
        <f t="shared" si="230"/>
        <v>84.052934512426063</v>
      </c>
      <c r="AI242">
        <f t="shared" si="231"/>
        <v>1.5588987815381954</v>
      </c>
      <c r="AJ242" t="str">
        <f t="shared" si="213"/>
        <v>1+0,0141946020242034i</v>
      </c>
      <c r="AK242">
        <f t="shared" si="232"/>
        <v>1.0001007382892113</v>
      </c>
      <c r="AL242">
        <f t="shared" si="233"/>
        <v>1.4193648798138983E-2</v>
      </c>
      <c r="AM242" t="str">
        <f t="shared" si="214"/>
        <v>1-0,0765033416905522i</v>
      </c>
      <c r="AN242">
        <f t="shared" si="234"/>
        <v>1.0029221112777509</v>
      </c>
      <c r="AO242">
        <f t="shared" si="235"/>
        <v>-7.6354611698661951E-2</v>
      </c>
      <c r="AP242" s="41" t="str">
        <f t="shared" si="236"/>
        <v>-0,243199197039852-4,83441769128639i</v>
      </c>
      <c r="AQ242">
        <f t="shared" si="237"/>
        <v>13.697860097737426</v>
      </c>
      <c r="AR242" s="43">
        <f t="shared" si="238"/>
        <v>-92.87988169489438</v>
      </c>
      <c r="AS242" t="str">
        <f t="shared" si="215"/>
        <v>-0,0000166666666666667</v>
      </c>
      <c r="AT242" t="str">
        <f t="shared" si="216"/>
        <v>0,00241854180643157i</v>
      </c>
      <c r="AU242">
        <f t="shared" si="239"/>
        <v>2.4185418064315701E-3</v>
      </c>
      <c r="AV242">
        <f t="shared" si="240"/>
        <v>1.5707963267948966</v>
      </c>
      <c r="AW242" t="str">
        <f t="shared" si="217"/>
        <v>1+0,0862176035434338i</v>
      </c>
      <c r="AX242">
        <f t="shared" si="241"/>
        <v>1.0037098560643771</v>
      </c>
      <c r="AY242">
        <f t="shared" si="242"/>
        <v>8.6004919192797749E-2</v>
      </c>
      <c r="AZ242" t="str">
        <f t="shared" si="218"/>
        <v>1+12,731466123247i</v>
      </c>
      <c r="BA242">
        <f t="shared" si="243"/>
        <v>12.77067851162913</v>
      </c>
      <c r="BB242">
        <f t="shared" si="244"/>
        <v>1.492411708598514</v>
      </c>
      <c r="BC242" s="41" t="str">
        <f t="shared" si="245"/>
        <v>-0,0864980152000924+0,014348856283072i</v>
      </c>
      <c r="BD242">
        <f t="shared" si="246"/>
        <v>-21.141981319125346</v>
      </c>
      <c r="BE242" s="43">
        <f t="shared" si="247"/>
        <v>170.58117331149194</v>
      </c>
      <c r="BF242" s="41" t="str">
        <f t="shared" si="248"/>
        <v>0,0432607135051135+0,0546018224997057i</v>
      </c>
      <c r="BG242" s="20">
        <f t="shared" si="249"/>
        <v>-23.140032797481819</v>
      </c>
      <c r="BH242" s="43">
        <f t="shared" si="250"/>
        <v>51.610414801372741</v>
      </c>
      <c r="BI242" s="41" t="str">
        <f t="shared" ref="BI242:BI305" si="255">IMPRODUCT(AP242,BC242)</f>
        <v>0,0904046125068125+0,414677904618002i</v>
      </c>
      <c r="BJ242" s="20">
        <f t="shared" si="251"/>
        <v>-7.4441212213879302</v>
      </c>
      <c r="BK242" s="43">
        <f t="shared" ref="BK242:BK305" si="256">(180/PI())*IMARGUMENT(BI242)</f>
        <v>77.701291616597544</v>
      </c>
      <c r="BL242">
        <f t="shared" si="252"/>
        <v>-23.140032797481819</v>
      </c>
      <c r="BM242" s="43">
        <f t="shared" si="253"/>
        <v>51.610414801372741</v>
      </c>
    </row>
    <row r="243" spans="14:65" x14ac:dyDescent="0.35">
      <c r="N243" s="9">
        <v>25</v>
      </c>
      <c r="O243" s="34">
        <f t="shared" si="254"/>
        <v>1778.2794100389244</v>
      </c>
      <c r="P243" s="33" t="str">
        <f t="shared" si="206"/>
        <v>59,1053597814893</v>
      </c>
      <c r="Q243" s="4" t="str">
        <f t="shared" si="207"/>
        <v>1+85,8519345768487i</v>
      </c>
      <c r="R243" s="4">
        <f t="shared" si="219"/>
        <v>85.857758359903102</v>
      </c>
      <c r="S243" s="4">
        <f t="shared" si="220"/>
        <v>1.5591488923647927</v>
      </c>
      <c r="T243" s="4" t="str">
        <f t="shared" si="208"/>
        <v>1+0,0145252367795816i</v>
      </c>
      <c r="U243" s="4">
        <f t="shared" si="221"/>
        <v>1.0001054856881362</v>
      </c>
      <c r="V243" s="4">
        <f t="shared" si="222"/>
        <v>1.4524215385269703E-2</v>
      </c>
      <c r="W243" t="str">
        <f t="shared" si="209"/>
        <v>1-0,536316434938398i</v>
      </c>
      <c r="X243" s="4">
        <f t="shared" si="223"/>
        <v>1.1347401986291985</v>
      </c>
      <c r="Y243" s="4">
        <f t="shared" si="224"/>
        <v>-0.49227693283737639</v>
      </c>
      <c r="Z243" t="str">
        <f t="shared" si="210"/>
        <v>0,999934663684707+0,0501780906931i</v>
      </c>
      <c r="AA243" s="4">
        <f t="shared" si="225"/>
        <v>1.0011928747368577</v>
      </c>
      <c r="AB243" s="4">
        <f t="shared" si="226"/>
        <v>5.0139311149639272E-2</v>
      </c>
      <c r="AC243" s="47" t="str">
        <f t="shared" si="227"/>
        <v>-0,385178892910376-0,67862651448613i</v>
      </c>
      <c r="AD243" s="20">
        <f t="shared" si="228"/>
        <v>-2.1545636132254096</v>
      </c>
      <c r="AE243" s="43">
        <f t="shared" si="229"/>
        <v>-119.57863644247907</v>
      </c>
      <c r="AF243" t="str">
        <f t="shared" si="211"/>
        <v>405,634542683733</v>
      </c>
      <c r="AG243" t="str">
        <f t="shared" si="212"/>
        <v>1+86,0046914580488i</v>
      </c>
      <c r="AH243">
        <f t="shared" si="230"/>
        <v>86.010504897914487</v>
      </c>
      <c r="AI243">
        <f t="shared" si="231"/>
        <v>1.5591695780418613</v>
      </c>
      <c r="AJ243" t="str">
        <f t="shared" si="213"/>
        <v>1+0,0145252367795816i</v>
      </c>
      <c r="AK243">
        <f t="shared" si="232"/>
        <v>1.0001054856881362</v>
      </c>
      <c r="AL243">
        <f t="shared" si="233"/>
        <v>1.4524215385269703E-2</v>
      </c>
      <c r="AM243" t="str">
        <f t="shared" si="214"/>
        <v>1-0,0782853334380024i</v>
      </c>
      <c r="AN243">
        <f t="shared" si="234"/>
        <v>1.0030596160904393</v>
      </c>
      <c r="AO243">
        <f t="shared" si="235"/>
        <v>-7.8125992623176585E-2</v>
      </c>
      <c r="AP243" s="41" t="str">
        <f t="shared" si="236"/>
        <v>-0,245784886120829-4,72464435363554i</v>
      </c>
      <c r="AQ243">
        <f t="shared" si="237"/>
        <v>13.49911978613026</v>
      </c>
      <c r="AR243" s="43">
        <f t="shared" si="238"/>
        <v>-92.977949772255371</v>
      </c>
      <c r="AS243" t="str">
        <f t="shared" si="215"/>
        <v>-0,0000166666666666667</v>
      </c>
      <c r="AT243" t="str">
        <f t="shared" si="216"/>
        <v>0,00247487688205947i</v>
      </c>
      <c r="AU243">
        <f t="shared" si="239"/>
        <v>2.4748768820594702E-3</v>
      </c>
      <c r="AV243">
        <f t="shared" si="240"/>
        <v>1.5707963267948966</v>
      </c>
      <c r="AW243" t="str">
        <f t="shared" si="217"/>
        <v>1+0,0882258695172364i</v>
      </c>
      <c r="AX243">
        <f t="shared" si="241"/>
        <v>1.003884357907858</v>
      </c>
      <c r="AY243">
        <f t="shared" si="242"/>
        <v>8.7998021727685519E-2</v>
      </c>
      <c r="AZ243" t="str">
        <f t="shared" si="218"/>
        <v>1+13,0280200653786i</v>
      </c>
      <c r="BA243">
        <f t="shared" si="243"/>
        <v>13.066342519003069</v>
      </c>
      <c r="BB243">
        <f t="shared" si="244"/>
        <v>1.4941889070227563</v>
      </c>
      <c r="BC243" s="41" t="str">
        <f t="shared" si="245"/>
        <v>-0,086467946495235+0,0143630514962055i</v>
      </c>
      <c r="BD243">
        <f t="shared" si="246"/>
        <v>-21.144689961361053</v>
      </c>
      <c r="BE243" s="43">
        <f t="shared" si="247"/>
        <v>170.56880291717243</v>
      </c>
      <c r="BF243" s="41" t="str">
        <f t="shared" si="248"/>
        <v>0,043052775477523+0,0531470968707113i</v>
      </c>
      <c r="BG243" s="20">
        <f t="shared" si="249"/>
        <v>-23.299253574586466</v>
      </c>
      <c r="BH243" s="43">
        <f t="shared" si="250"/>
        <v>50.990166474693289</v>
      </c>
      <c r="BI243" s="41" t="str">
        <f t="shared" si="255"/>
        <v>0,0891128245349571+0,40500007420283i</v>
      </c>
      <c r="BJ243" s="20">
        <f t="shared" si="251"/>
        <v>-7.6455701752307803</v>
      </c>
      <c r="BK243" s="43">
        <f t="shared" si="256"/>
        <v>77.590853144917077</v>
      </c>
      <c r="BL243">
        <f t="shared" si="252"/>
        <v>-23.299253574586466</v>
      </c>
      <c r="BM243" s="43">
        <f t="shared" si="253"/>
        <v>50.990166474693289</v>
      </c>
    </row>
    <row r="244" spans="14:65" x14ac:dyDescent="0.35">
      <c r="N244" s="9">
        <v>26</v>
      </c>
      <c r="O244" s="34">
        <f t="shared" si="254"/>
        <v>1819.7008586099832</v>
      </c>
      <c r="P244" s="33" t="str">
        <f t="shared" si="206"/>
        <v>59,1053597814893</v>
      </c>
      <c r="Q244" s="4" t="str">
        <f t="shared" si="207"/>
        <v>1+87,8516830262345i</v>
      </c>
      <c r="R244" s="4">
        <f t="shared" si="219"/>
        <v>87.85737425248935</v>
      </c>
      <c r="S244" s="4">
        <f t="shared" si="220"/>
        <v>1.5594139971755632</v>
      </c>
      <c r="T244" s="4" t="str">
        <f t="shared" si="208"/>
        <v>1+0,0148635730077644i</v>
      </c>
      <c r="U244" s="4">
        <f t="shared" si="221"/>
        <v>1.0001104568009263</v>
      </c>
      <c r="V244" s="4">
        <f t="shared" si="222"/>
        <v>1.4862478570569184E-2</v>
      </c>
      <c r="W244" t="str">
        <f t="shared" si="209"/>
        <v>1-0,548808849517455i</v>
      </c>
      <c r="X244" s="4">
        <f t="shared" si="223"/>
        <v>1.1406976607798722</v>
      </c>
      <c r="Y244" s="4">
        <f t="shared" si="224"/>
        <v>-0.5019282400429842</v>
      </c>
      <c r="Z244" t="str">
        <f t="shared" si="210"/>
        <v>0,999931584479033+0,051346888572277i</v>
      </c>
      <c r="AA244" s="4">
        <f t="shared" si="225"/>
        <v>1.0012490582291718</v>
      </c>
      <c r="AB244" s="4">
        <f t="shared" si="226"/>
        <v>5.1305338339821684E-2</v>
      </c>
      <c r="AC244" s="47" t="str">
        <f t="shared" si="227"/>
        <v>-0,385509538075232-0,662525100802551i</v>
      </c>
      <c r="AD244" s="20">
        <f t="shared" si="228"/>
        <v>-2.3094991166701826</v>
      </c>
      <c r="AE244" s="43">
        <f t="shared" si="229"/>
        <v>-120.19423238284296</v>
      </c>
      <c r="AF244" t="str">
        <f t="shared" si="211"/>
        <v>405,634542683733</v>
      </c>
      <c r="AG244" t="str">
        <f t="shared" si="212"/>
        <v>1+88,0079980722891i</v>
      </c>
      <c r="AH244">
        <f t="shared" si="230"/>
        <v>88.013679190748761</v>
      </c>
      <c r="AI244">
        <f t="shared" si="231"/>
        <v>1.5594342121123395</v>
      </c>
      <c r="AJ244" t="str">
        <f t="shared" si="213"/>
        <v>1+0,0148635730077644i</v>
      </c>
      <c r="AK244">
        <f t="shared" si="232"/>
        <v>1.0001104568009263</v>
      </c>
      <c r="AL244">
        <f t="shared" si="233"/>
        <v>1.4862478570569184E-2</v>
      </c>
      <c r="AM244" t="str">
        <f t="shared" si="214"/>
        <v>1-0,0801088331054694i</v>
      </c>
      <c r="AN244">
        <f t="shared" si="234"/>
        <v>1.0032035811048123</v>
      </c>
      <c r="AO244">
        <f t="shared" si="235"/>
        <v>-7.9938125779315625E-2</v>
      </c>
      <c r="AP244" s="41" t="str">
        <f t="shared" si="236"/>
        <v>-0,248254230777168-4,61737337833922i</v>
      </c>
      <c r="AQ244">
        <f t="shared" si="237"/>
        <v>13.300435942568924</v>
      </c>
      <c r="AR244" s="43">
        <f t="shared" si="238"/>
        <v>-93.077558716489321</v>
      </c>
      <c r="AS244" t="str">
        <f t="shared" si="215"/>
        <v>-0,0000166666666666667</v>
      </c>
      <c r="AT244" t="str">
        <f t="shared" si="216"/>
        <v>0,00253252417016909i</v>
      </c>
      <c r="AU244">
        <f t="shared" si="239"/>
        <v>2.5325241701690902E-3</v>
      </c>
      <c r="AV244">
        <f t="shared" si="240"/>
        <v>1.5707963267948966</v>
      </c>
      <c r="AW244" t="str">
        <f t="shared" si="217"/>
        <v>1+0,0902809140148636i</v>
      </c>
      <c r="AX244">
        <f t="shared" si="241"/>
        <v>1.0040670512646848</v>
      </c>
      <c r="AY244">
        <f t="shared" si="242"/>
        <v>9.0036824088466E-2</v>
      </c>
      <c r="AZ244" t="str">
        <f t="shared" si="218"/>
        <v>1+13,3314816361948i</v>
      </c>
      <c r="BA244">
        <f t="shared" si="243"/>
        <v>13.368934236363016</v>
      </c>
      <c r="BB244">
        <f t="shared" si="244"/>
        <v>1.4959261201182836</v>
      </c>
      <c r="BC244" s="41" t="str">
        <f t="shared" si="245"/>
        <v>-0,0864364830940322+0,0143846140964156i</v>
      </c>
      <c r="BD244">
        <f t="shared" si="246"/>
        <v>-21.147415563610181</v>
      </c>
      <c r="BE244" s="43">
        <f t="shared" si="247"/>
        <v>170.55152312512692</v>
      </c>
      <c r="BF244" s="41" t="str">
        <f t="shared" si="248"/>
        <v>0,0428522565746615+0,051720933739192i</v>
      </c>
      <c r="BG244" s="20">
        <f t="shared" si="249"/>
        <v>-23.45691468028037</v>
      </c>
      <c r="BH244" s="43">
        <f t="shared" si="250"/>
        <v>50.357290742283958</v>
      </c>
      <c r="BI244" s="41" t="str">
        <f t="shared" si="255"/>
        <v>0,0878773568080651+0,39553847464812i</v>
      </c>
      <c r="BJ244" s="20">
        <f t="shared" si="251"/>
        <v>-7.8469796210412657</v>
      </c>
      <c r="BK244" s="43">
        <f t="shared" si="256"/>
        <v>77.473964408637613</v>
      </c>
      <c r="BL244">
        <f t="shared" si="252"/>
        <v>-23.45691468028037</v>
      </c>
      <c r="BM244" s="43">
        <f t="shared" si="253"/>
        <v>50.357290742283958</v>
      </c>
    </row>
    <row r="245" spans="14:65" x14ac:dyDescent="0.35">
      <c r="N245" s="9">
        <v>27</v>
      </c>
      <c r="O245" s="34">
        <f t="shared" si="254"/>
        <v>1862.0871366628687</v>
      </c>
      <c r="P245" s="33" t="str">
        <f t="shared" si="206"/>
        <v>59,1053597814893</v>
      </c>
      <c r="Q245" s="4" t="str">
        <f t="shared" si="207"/>
        <v>1+89,8980116008157i</v>
      </c>
      <c r="R245" s="4">
        <f t="shared" si="219"/>
        <v>89.903573287052353</v>
      </c>
      <c r="S245" s="4">
        <f t="shared" si="220"/>
        <v>1.5596730690101512</v>
      </c>
      <c r="T245" s="4" t="str">
        <f t="shared" si="208"/>
        <v>1+0,0152097900990987i</v>
      </c>
      <c r="U245" s="4">
        <f t="shared" si="221"/>
        <v>1.0001156621685607</v>
      </c>
      <c r="V245" s="4">
        <f t="shared" si="222"/>
        <v>1.5208617395840358E-2</v>
      </c>
      <c r="W245" t="str">
        <f t="shared" si="209"/>
        <v>1-0,561592249812875i</v>
      </c>
      <c r="X245" s="4">
        <f t="shared" si="223"/>
        <v>1.1469027225749735</v>
      </c>
      <c r="Y245" s="4">
        <f t="shared" si="224"/>
        <v>-0.51169962593848028</v>
      </c>
      <c r="Z245" t="str">
        <f t="shared" si="210"/>
        <v>0,999928360154865+0,0525429112514317i</v>
      </c>
      <c r="AA245" s="4">
        <f t="shared" si="225"/>
        <v>1.0013078861992315</v>
      </c>
      <c r="AB245" s="4">
        <f t="shared" si="226"/>
        <v>5.249839251300227E-2</v>
      </c>
      <c r="AC245" s="47" t="str">
        <f t="shared" si="227"/>
        <v>-0,385822311578238-0,646774747567685i</v>
      </c>
      <c r="AD245" s="20">
        <f t="shared" si="228"/>
        <v>-2.4628182515493231</v>
      </c>
      <c r="AE245" s="43">
        <f t="shared" si="229"/>
        <v>-120.81745995240122</v>
      </c>
      <c r="AF245" t="str">
        <f t="shared" si="211"/>
        <v>405,634542683733</v>
      </c>
      <c r="AG245" t="str">
        <f t="shared" si="212"/>
        <v>1+90,0579676920315i</v>
      </c>
      <c r="AH245">
        <f t="shared" si="230"/>
        <v>90.063519500511347</v>
      </c>
      <c r="AI245">
        <f t="shared" si="231"/>
        <v>1.5596928239137708</v>
      </c>
      <c r="AJ245" t="str">
        <f t="shared" si="213"/>
        <v>1+0,0152097900990987i</v>
      </c>
      <c r="AK245">
        <f t="shared" si="232"/>
        <v>1.0001156621685607</v>
      </c>
      <c r="AL245">
        <f t="shared" si="233"/>
        <v>1.5208617395840358E-2</v>
      </c>
      <c r="AM245" t="str">
        <f t="shared" si="214"/>
        <v>1-0,0819748075366153i</v>
      </c>
      <c r="AN245">
        <f t="shared" si="234"/>
        <v>1.0033543088414307</v>
      </c>
      <c r="AO245">
        <f t="shared" si="235"/>
        <v>-8.179192435165096E-2</v>
      </c>
      <c r="AP245" s="41" t="str">
        <f t="shared" si="236"/>
        <v>-0,250612464665023-4,51254806951546i</v>
      </c>
      <c r="AQ245">
        <f t="shared" si="237"/>
        <v>13.101811309437918</v>
      </c>
      <c r="AR245" s="43">
        <f t="shared" si="238"/>
        <v>-93.17875862169214</v>
      </c>
      <c r="AS245" t="str">
        <f t="shared" si="215"/>
        <v>-0,0000166666666666667</v>
      </c>
      <c r="AT245" t="str">
        <f t="shared" si="216"/>
        <v>0,00259151423611567i</v>
      </c>
      <c r="AU245">
        <f t="shared" si="239"/>
        <v>2.59151423611567E-3</v>
      </c>
      <c r="AV245">
        <f t="shared" si="240"/>
        <v>1.5707963267948966</v>
      </c>
      <c r="AW245" t="str">
        <f t="shared" si="217"/>
        <v>1+0,0923838266481111i</v>
      </c>
      <c r="AX245">
        <f t="shared" si="241"/>
        <v>1.004258319072413</v>
      </c>
      <c r="AY245">
        <f t="shared" si="242"/>
        <v>9.2122339439835388E-2</v>
      </c>
      <c r="AZ245" t="str">
        <f t="shared" si="218"/>
        <v>1+13,6420117350377i</v>
      </c>
      <c r="BA245">
        <f t="shared" si="243"/>
        <v>13.6786141176256</v>
      </c>
      <c r="BB245">
        <f t="shared" si="244"/>
        <v>1.4976242270130014</v>
      </c>
      <c r="BC245" s="41" t="str">
        <f t="shared" si="245"/>
        <v>-0,0864035614005787+0,0144135380633306i</v>
      </c>
      <c r="BD245">
        <f t="shared" si="246"/>
        <v>-21.150163786513684</v>
      </c>
      <c r="BE245" s="43">
        <f t="shared" si="247"/>
        <v>170.52932625561309</v>
      </c>
      <c r="BF245" s="41" t="str">
        <f t="shared" si="248"/>
        <v>0,0426587342306314+0,0503225770401931i</v>
      </c>
      <c r="BG245" s="20">
        <f t="shared" si="249"/>
        <v>-23.612982038063002</v>
      </c>
      <c r="BH245" s="43">
        <f t="shared" si="250"/>
        <v>49.711866303211842</v>
      </c>
      <c r="BI245" s="41" t="str">
        <f t="shared" si="255"/>
        <v>0,0866955928410048+0,386288011898847i</v>
      </c>
      <c r="BJ245" s="20">
        <f t="shared" si="251"/>
        <v>-8.0483524770757722</v>
      </c>
      <c r="BK245" s="43">
        <f t="shared" si="256"/>
        <v>77.35056763392096</v>
      </c>
      <c r="BL245">
        <f t="shared" si="252"/>
        <v>-23.612982038063002</v>
      </c>
      <c r="BM245" s="43">
        <f t="shared" si="253"/>
        <v>49.711866303211842</v>
      </c>
    </row>
    <row r="246" spans="14:65" x14ac:dyDescent="0.35">
      <c r="N246" s="9">
        <v>28</v>
      </c>
      <c r="O246" s="34">
        <f t="shared" si="254"/>
        <v>1905.4607179632501</v>
      </c>
      <c r="P246" s="33" t="str">
        <f t="shared" si="206"/>
        <v>59,1053597814893</v>
      </c>
      <c r="Q246" s="4" t="str">
        <f t="shared" si="207"/>
        <v>1+91,9920052910894i</v>
      </c>
      <c r="R246" s="4">
        <f t="shared" si="219"/>
        <v>91.997440385457566</v>
      </c>
      <c r="S246" s="4">
        <f t="shared" si="220"/>
        <v>1.5599262450926858</v>
      </c>
      <c r="T246" s="4" t="str">
        <f t="shared" si="208"/>
        <v>1+0,015564071622469i</v>
      </c>
      <c r="U246" s="4">
        <f t="shared" si="221"/>
        <v>1.0001211128285761</v>
      </c>
      <c r="V246" s="4">
        <f t="shared" si="222"/>
        <v>1.5562815056506696E-2</v>
      </c>
      <c r="W246" t="str">
        <f t="shared" si="209"/>
        <v>1-0,574673413752702i</v>
      </c>
      <c r="X246" s="4">
        <f t="shared" si="223"/>
        <v>1.1533644404411747</v>
      </c>
      <c r="Y246" s="4">
        <f t="shared" si="224"/>
        <v>-0.52158880694461252</v>
      </c>
      <c r="Z246" t="str">
        <f t="shared" si="210"/>
        <v>0,999924983872981+0,0537667928776201i</v>
      </c>
      <c r="AA246" s="4">
        <f t="shared" si="225"/>
        <v>1.0013694829530839</v>
      </c>
      <c r="AB246" s="4">
        <f t="shared" si="226"/>
        <v>5.3719093709994621E-2</v>
      </c>
      <c r="AC246" s="47" t="str">
        <f t="shared" si="227"/>
        <v>-0,386117877399282-0,63136713946563i</v>
      </c>
      <c r="AD246" s="20">
        <f t="shared" si="228"/>
        <v>-2.6144815615418411</v>
      </c>
      <c r="AE246" s="43">
        <f t="shared" si="229"/>
        <v>-121.44822120346105</v>
      </c>
      <c r="AF246" t="str">
        <f t="shared" si="211"/>
        <v>405,634542683733</v>
      </c>
      <c r="AG246" t="str">
        <f t="shared" si="212"/>
        <v>1+92,1556872383031i</v>
      </c>
      <c r="AH246">
        <f t="shared" si="230"/>
        <v>92.161112679719437</v>
      </c>
      <c r="AI246">
        <f t="shared" si="231"/>
        <v>1.5599455504271083</v>
      </c>
      <c r="AJ246" t="str">
        <f t="shared" si="213"/>
        <v>1+0,015564071622469i</v>
      </c>
      <c r="AK246">
        <f t="shared" si="232"/>
        <v>1.0001211128285761</v>
      </c>
      <c r="AL246">
        <f t="shared" si="233"/>
        <v>1.5562815056506696E-2</v>
      </c>
      <c r="AM246" t="str">
        <f t="shared" si="214"/>
        <v>1-0,0838842460957827i</v>
      </c>
      <c r="AN246">
        <f t="shared" si="234"/>
        <v>1.0035121158925078</v>
      </c>
      <c r="AO246">
        <f t="shared" si="235"/>
        <v>-8.3688320254664453E-2</v>
      </c>
      <c r="AP246" s="41" t="str">
        <f t="shared" si="236"/>
        <v>-0,252864586125215-4,41011301595721i</v>
      </c>
      <c r="AQ246">
        <f t="shared" si="237"/>
        <v>12.903248749999408</v>
      </c>
      <c r="AR246" s="43">
        <f t="shared" si="238"/>
        <v>-93.281600234736416</v>
      </c>
      <c r="AS246" t="str">
        <f t="shared" si="215"/>
        <v>-0,0000166666666666667</v>
      </c>
      <c r="AT246" t="str">
        <f t="shared" si="216"/>
        <v>0,00265187835721298i</v>
      </c>
      <c r="AU246">
        <f t="shared" si="239"/>
        <v>2.65187835721298E-3</v>
      </c>
      <c r="AV246">
        <f t="shared" si="240"/>
        <v>1.5707963267948966</v>
      </c>
      <c r="AW246" t="str">
        <f t="shared" si="217"/>
        <v>1+0,0945357224090929i</v>
      </c>
      <c r="AX246">
        <f t="shared" si="241"/>
        <v>1.0044585620180702</v>
      </c>
      <c r="AY246">
        <f t="shared" si="242"/>
        <v>9.425560094403436E-2</v>
      </c>
      <c r="AZ246" t="str">
        <f t="shared" si="218"/>
        <v>1+13,959775009076i</v>
      </c>
      <c r="BA246">
        <f t="shared" si="243"/>
        <v>13.995546373901337</v>
      </c>
      <c r="BB246">
        <f t="shared" si="244"/>
        <v>1.4992840888708814</v>
      </c>
      <c r="BC246" s="41" t="str">
        <f t="shared" si="245"/>
        <v>-0,0863691150237522+0,0144498200663708i</v>
      </c>
      <c r="BD246">
        <f t="shared" si="246"/>
        <v>-21.152940334779039</v>
      </c>
      <c r="BE246" s="43">
        <f t="shared" si="247"/>
        <v>170.50220245385606</v>
      </c>
      <c r="BF246" s="41" t="str">
        <f t="shared" si="248"/>
        <v>0,0424718009269232+0,0489512872378957i</v>
      </c>
      <c r="BG246" s="20">
        <f t="shared" si="249"/>
        <v>-23.76742189632089</v>
      </c>
      <c r="BH246" s="43">
        <f t="shared" si="250"/>
        <v>49.053981250394997</v>
      </c>
      <c r="BI246" s="41" t="str">
        <f t="shared" si="255"/>
        <v>0,0855650300774237+0,377243710572288i</v>
      </c>
      <c r="BJ246" s="20">
        <f t="shared" si="251"/>
        <v>-8.2496915847796419</v>
      </c>
      <c r="BK246" s="43">
        <f t="shared" si="256"/>
        <v>77.220602219119627</v>
      </c>
      <c r="BL246">
        <f t="shared" si="252"/>
        <v>-23.76742189632089</v>
      </c>
      <c r="BM246" s="43">
        <f t="shared" si="253"/>
        <v>49.053981250394997</v>
      </c>
    </row>
    <row r="247" spans="14:65" x14ac:dyDescent="0.35">
      <c r="N247" s="9">
        <v>29</v>
      </c>
      <c r="O247" s="34">
        <f t="shared" si="254"/>
        <v>1949.8445997580463</v>
      </c>
      <c r="P247" s="33" t="str">
        <f t="shared" si="206"/>
        <v>59,1053597814893</v>
      </c>
      <c r="Q247" s="4" t="str">
        <f t="shared" si="207"/>
        <v>1+94,1347743602253i</v>
      </c>
      <c r="R247" s="4">
        <f t="shared" si="219"/>
        <v>94.140085743802743</v>
      </c>
      <c r="S247" s="4">
        <f t="shared" si="220"/>
        <v>1.5601736595305775</v>
      </c>
      <c r="T247" s="4" t="str">
        <f t="shared" si="208"/>
        <v>1+0,0159266054226282i</v>
      </c>
      <c r="U247" s="4">
        <f t="shared" si="221"/>
        <v>1.0001268203384448</v>
      </c>
      <c r="V247" s="4">
        <f t="shared" si="222"/>
        <v>1.592525899716225E-2</v>
      </c>
      <c r="W247" t="str">
        <f t="shared" si="209"/>
        <v>1-0,588059277143195i</v>
      </c>
      <c r="X247" s="4">
        <f t="shared" si="223"/>
        <v>1.1600921142022202</v>
      </c>
      <c r="Y247" s="4">
        <f t="shared" si="224"/>
        <v>-0.53159328880483292</v>
      </c>
      <c r="Z247" t="str">
        <f t="shared" si="210"/>
        <v>0,999921448471835+0,0550191823690791i</v>
      </c>
      <c r="AA247" s="4">
        <f t="shared" si="225"/>
        <v>1.0014339786239403</v>
      </c>
      <c r="AB247" s="4">
        <f t="shared" si="226"/>
        <v>5.4968075738971639E-2</v>
      </c>
      <c r="AC247" s="47" t="str">
        <f t="shared" si="227"/>
        <v>-0,386396863173667-0,616294142023247i</v>
      </c>
      <c r="AD247" s="20">
        <f t="shared" si="228"/>
        <v>-2.7644499724322538</v>
      </c>
      <c r="AE247" s="43">
        <f t="shared" si="229"/>
        <v>-122.08640648418711</v>
      </c>
      <c r="AF247" t="str">
        <f t="shared" si="211"/>
        <v>405,634542683733</v>
      </c>
      <c r="AG247" t="str">
        <f t="shared" si="212"/>
        <v>1+94,3022689497719i</v>
      </c>
      <c r="AH247">
        <f t="shared" si="230"/>
        <v>94.307570900087939</v>
      </c>
      <c r="AI247">
        <f t="shared" si="231"/>
        <v>1.5601925255220854</v>
      </c>
      <c r="AJ247" t="str">
        <f t="shared" si="213"/>
        <v>1+0,0159266054226282i</v>
      </c>
      <c r="AK247">
        <f t="shared" si="232"/>
        <v>1.0001268203384448</v>
      </c>
      <c r="AL247">
        <f t="shared" si="233"/>
        <v>1.592525899716225E-2</v>
      </c>
      <c r="AM247" t="str">
        <f t="shared" si="214"/>
        <v>1-0,0858381611925681i</v>
      </c>
      <c r="AN247">
        <f t="shared" si="234"/>
        <v>1.0036773335673779</v>
      </c>
      <c r="AO247">
        <f t="shared" si="235"/>
        <v>-8.5628264391867645E-2</v>
      </c>
      <c r="AP247" s="41" t="str">
        <f t="shared" si="236"/>
        <v>-0,255015368753221-4,31001406255638i</v>
      </c>
      <c r="AQ247">
        <f t="shared" si="237"/>
        <v>12.704751254017593</v>
      </c>
      <c r="AR247" s="43">
        <f t="shared" si="238"/>
        <v>-93.386134968766711</v>
      </c>
      <c r="AS247" t="str">
        <f t="shared" si="215"/>
        <v>-0,0000166666666666667</v>
      </c>
      <c r="AT247" t="str">
        <f t="shared" si="216"/>
        <v>0,00271364853931703i</v>
      </c>
      <c r="AU247">
        <f t="shared" si="239"/>
        <v>2.7136485393170302E-3</v>
      </c>
      <c r="AV247">
        <f t="shared" si="240"/>
        <v>1.5707963267948966</v>
      </c>
      <c r="AW247" t="str">
        <f t="shared" si="217"/>
        <v>1+0,0967377422614228i</v>
      </c>
      <c r="AX247">
        <f t="shared" si="241"/>
        <v>1.0046681993463502</v>
      </c>
      <c r="AY247">
        <f t="shared" si="242"/>
        <v>9.6437661977246569E-2</v>
      </c>
      <c r="AZ247" t="str">
        <f t="shared" si="218"/>
        <v>1+14,2849399406034i</v>
      </c>
      <c r="BA247">
        <f t="shared" si="243"/>
        <v>14.319899060630501</v>
      </c>
      <c r="BB247">
        <f t="shared" si="244"/>
        <v>1.5009065491669036</v>
      </c>
      <c r="BC247" s="41" t="str">
        <f t="shared" si="245"/>
        <v>-0,0863330746643917+0,0144934593803866i</v>
      </c>
      <c r="BD247">
        <f t="shared" si="246"/>
        <v>-21.155750968248764</v>
      </c>
      <c r="BE247" s="43">
        <f t="shared" si="247"/>
        <v>170.47013969340273</v>
      </c>
      <c r="BF247" s="41" t="str">
        <f t="shared" si="248"/>
        <v>0,0422910633522431+0,0476063409374039i</v>
      </c>
      <c r="BG247" s="20">
        <f t="shared" si="249"/>
        <v>-23.92020094068101</v>
      </c>
      <c r="BH247" s="43">
        <f t="shared" si="250"/>
        <v>48.38373320921562</v>
      </c>
      <c r="BI247" s="41" t="str">
        <f t="shared" si="255"/>
        <v>0,0844832746156951+0,368400710978859i</v>
      </c>
      <c r="BJ247" s="20">
        <f t="shared" si="251"/>
        <v>-8.4509997142311732</v>
      </c>
      <c r="BK247" s="43">
        <f t="shared" si="256"/>
        <v>77.084004724636003</v>
      </c>
      <c r="BL247">
        <f t="shared" si="252"/>
        <v>-23.92020094068101</v>
      </c>
      <c r="BM247" s="43">
        <f t="shared" si="253"/>
        <v>48.38373320921562</v>
      </c>
    </row>
    <row r="248" spans="14:65" x14ac:dyDescent="0.35">
      <c r="N248" s="9">
        <v>30</v>
      </c>
      <c r="O248" s="34">
        <f t="shared" si="254"/>
        <v>1995.2623149688804</v>
      </c>
      <c r="P248" s="33" t="str">
        <f t="shared" si="206"/>
        <v>59,1053597814893</v>
      </c>
      <c r="Q248" s="4" t="str">
        <f t="shared" si="207"/>
        <v>1+96,3274549327487i</v>
      </c>
      <c r="R248" s="4">
        <f t="shared" si="219"/>
        <v>96.332645421065493</v>
      </c>
      <c r="S248" s="4">
        <f t="shared" si="220"/>
        <v>1.5604154433850048</v>
      </c>
      <c r="T248" s="4" t="str">
        <f t="shared" si="208"/>
        <v>1+0,0162975837197961i</v>
      </c>
      <c r="U248" s="4">
        <f t="shared" si="221"/>
        <v>1.0001327968000568</v>
      </c>
      <c r="V248" s="4">
        <f t="shared" si="222"/>
        <v>1.6296141009262188E-2</v>
      </c>
      <c r="W248" t="str">
        <f t="shared" si="209"/>
        <v>1-0,601756937346318i</v>
      </c>
      <c r="X248" s="4">
        <f t="shared" si="223"/>
        <v>1.1670952881596346</v>
      </c>
      <c r="Y248" s="4">
        <f t="shared" si="224"/>
        <v>-0.54171036467478251</v>
      </c>
      <c r="Z248" t="str">
        <f t="shared" si="210"/>
        <v>0,999917746452365+0,0563007437592955i</v>
      </c>
      <c r="AA248" s="4">
        <f t="shared" si="225"/>
        <v>1.001501509443808</v>
      </c>
      <c r="AB248" s="4">
        <f t="shared" si="226"/>
        <v>5.6245986448355011E-2</v>
      </c>
      <c r="AC248" s="47" t="str">
        <f t="shared" si="227"/>
        <v>-0,386659861529215-0,601547797462003i</v>
      </c>
      <c r="AD248" s="20">
        <f t="shared" si="228"/>
        <v>-2.912684897112376</v>
      </c>
      <c r="AE248" s="43">
        <f t="shared" si="229"/>
        <v>-122.73189434321354</v>
      </c>
      <c r="AF248" t="str">
        <f t="shared" si="211"/>
        <v>405,634542683733</v>
      </c>
      <c r="AG248" t="str">
        <f t="shared" si="212"/>
        <v>1+96,4988509724767i</v>
      </c>
      <c r="AH248">
        <f t="shared" si="230"/>
        <v>96.504032242224298</v>
      </c>
      <c r="AI248">
        <f t="shared" si="231"/>
        <v>1.5604338800275808</v>
      </c>
      <c r="AJ248" t="str">
        <f t="shared" si="213"/>
        <v>1+0,0162975837197961i</v>
      </c>
      <c r="AK248">
        <f t="shared" si="232"/>
        <v>1.0001327968000568</v>
      </c>
      <c r="AL248">
        <f t="shared" si="233"/>
        <v>1.6296141009262188E-2</v>
      </c>
      <c r="AM248" t="str">
        <f t="shared" si="214"/>
        <v>1-0,0878375888186208i</v>
      </c>
      <c r="AN248">
        <f t="shared" si="234"/>
        <v>1.0038503085667052</v>
      </c>
      <c r="AO248">
        <f t="shared" si="235"/>
        <v>-8.7612726908841476E-2</v>
      </c>
      <c r="AP248" s="41" t="str">
        <f t="shared" si="236"/>
        <v>-0,257069371495306-4,21219828233996i</v>
      </c>
      <c r="AQ248">
        <f t="shared" si="237"/>
        <v>12.506321943608388</v>
      </c>
      <c r="AR248" s="43">
        <f t="shared" si="238"/>
        <v>-93.492414916131921</v>
      </c>
      <c r="AS248" t="str">
        <f t="shared" si="215"/>
        <v>-0,0000166666666666667</v>
      </c>
      <c r="AT248" t="str">
        <f t="shared" si="216"/>
        <v>0,00277685753379602i</v>
      </c>
      <c r="AU248">
        <f t="shared" si="239"/>
        <v>2.7768575337960202E-3</v>
      </c>
      <c r="AV248">
        <f t="shared" si="240"/>
        <v>1.5707963267948966</v>
      </c>
      <c r="AW248" t="str">
        <f t="shared" si="217"/>
        <v>1+0,0989910537451759i</v>
      </c>
      <c r="AX248">
        <f t="shared" si="241"/>
        <v>1.0048876697032263</v>
      </c>
      <c r="AY248">
        <f t="shared" si="242"/>
        <v>9.8669596334191728E-2</v>
      </c>
      <c r="AZ248" t="str">
        <f t="shared" si="218"/>
        <v>1+14,6176789363709i</v>
      </c>
      <c r="BA248">
        <f t="shared" si="243"/>
        <v>14.651844166753261</v>
      </c>
      <c r="BB248">
        <f t="shared" si="244"/>
        <v>1.5024924339643924</v>
      </c>
      <c r="BC248" s="41" t="str">
        <f t="shared" si="245"/>
        <v>-0,086295367998904+0,0145444577972678i</v>
      </c>
      <c r="BD248">
        <f t="shared" si="246"/>
        <v>-21.158601513045557</v>
      </c>
      <c r="BE248" s="43">
        <f t="shared" si="247"/>
        <v>170.43312378028958</v>
      </c>
      <c r="BF248" s="41" t="str">
        <f t="shared" si="248"/>
        <v>0,0421161415942944+0,0462870305130046i</v>
      </c>
      <c r="BG248" s="20">
        <f t="shared" si="249"/>
        <v>-24.071286410157935</v>
      </c>
      <c r="BH248" s="43">
        <f t="shared" si="250"/>
        <v>47.701229437075988</v>
      </c>
      <c r="BI248" s="41" t="str">
        <f t="shared" si="255"/>
        <v>0,0834480361656519+0,359754266234195i</v>
      </c>
      <c r="BJ248" s="20">
        <f t="shared" si="251"/>
        <v>-8.6522795694371606</v>
      </c>
      <c r="BK248" s="43">
        <f t="shared" si="256"/>
        <v>76.940708864157656</v>
      </c>
      <c r="BL248">
        <f t="shared" si="252"/>
        <v>-24.071286410157935</v>
      </c>
      <c r="BM248" s="43">
        <f t="shared" si="253"/>
        <v>47.701229437075988</v>
      </c>
    </row>
    <row r="249" spans="14:65" x14ac:dyDescent="0.35">
      <c r="N249" s="9">
        <v>31</v>
      </c>
      <c r="O249" s="34">
        <f t="shared" si="254"/>
        <v>2041.7379446695318</v>
      </c>
      <c r="P249" s="33" t="str">
        <f t="shared" si="206"/>
        <v>59,1053597814893</v>
      </c>
      <c r="Q249" s="4" t="str">
        <f t="shared" si="207"/>
        <v>1+98,5712095969216i</v>
      </c>
      <c r="R249" s="4">
        <f t="shared" si="219"/>
        <v>98.576281941450034</v>
      </c>
      <c r="S249" s="4">
        <f t="shared" si="220"/>
        <v>1.5606517247398264</v>
      </c>
      <c r="T249" s="4" t="str">
        <f t="shared" si="208"/>
        <v>1+0,0166772032115762i</v>
      </c>
      <c r="U249" s="4">
        <f t="shared" si="221"/>
        <v>1.0001390548853495</v>
      </c>
      <c r="V249" s="4">
        <f t="shared" si="222"/>
        <v>1.6675657330995356E-2</v>
      </c>
      <c r="W249" t="str">
        <f t="shared" si="209"/>
        <v>1-0,615773657042814i</v>
      </c>
      <c r="X249" s="4">
        <f t="shared" si="223"/>
        <v>1.1743837518919789</v>
      </c>
      <c r="Y249" s="4">
        <f t="shared" si="224"/>
        <v>-0.55193711395927481</v>
      </c>
      <c r="Z249" t="str">
        <f t="shared" si="210"/>
        <v>0,999913869962093+0,0576121565490813i</v>
      </c>
      <c r="AA249" s="4">
        <f t="shared" si="225"/>
        <v>1.0015722180276394</v>
      </c>
      <c r="AB249" s="4">
        <f t="shared" si="226"/>
        <v>5.7553488002694261E-2</v>
      </c>
      <c r="AC249" s="47" t="str">
        <f t="shared" si="227"/>
        <v>-0,386907431350471-0,587120320640005i</v>
      </c>
      <c r="AD249" s="20">
        <f t="shared" si="228"/>
        <v>-3.0591483439088223</v>
      </c>
      <c r="AE249" s="43">
        <f t="shared" si="229"/>
        <v>-123.38455147704109</v>
      </c>
      <c r="AF249" t="str">
        <f t="shared" si="211"/>
        <v>405,634542683733</v>
      </c>
      <c r="AG249" t="str">
        <f t="shared" si="212"/>
        <v>1+98,74659796328i</v>
      </c>
      <c r="AH249">
        <f t="shared" si="230"/>
        <v>98.751661299046773</v>
      </c>
      <c r="AI249">
        <f t="shared" si="231"/>
        <v>1.5606697418004079</v>
      </c>
      <c r="AJ249" t="str">
        <f t="shared" si="213"/>
        <v>1+0,0166772032115762i</v>
      </c>
      <c r="AK249">
        <f t="shared" si="232"/>
        <v>1.0001390548853495</v>
      </c>
      <c r="AL249">
        <f t="shared" si="233"/>
        <v>1.6675657330995356E-2</v>
      </c>
      <c r="AM249" t="str">
        <f t="shared" si="214"/>
        <v>1-0,0898835890969327i</v>
      </c>
      <c r="AN249">
        <f t="shared" si="234"/>
        <v>1.0040314036866307</v>
      </c>
      <c r="AO249">
        <f t="shared" si="235"/>
        <v>-8.9642697439233712E-2</v>
      </c>
      <c r="AP249" s="41" t="str">
        <f t="shared" si="236"/>
        <v>-0,259030948291903-4,11661394910782i</v>
      </c>
      <c r="AQ249">
        <f t="shared" si="237"/>
        <v>12.307964079324504</v>
      </c>
      <c r="AR249" s="43">
        <f t="shared" si="238"/>
        <v>-93.600492860699148</v>
      </c>
      <c r="AS249" t="str">
        <f t="shared" si="215"/>
        <v>-0,0000166666666666667</v>
      </c>
      <c r="AT249" t="str">
        <f t="shared" si="216"/>
        <v>0,00284153885489549i</v>
      </c>
      <c r="AU249">
        <f t="shared" si="239"/>
        <v>2.8415388548954901E-3</v>
      </c>
      <c r="AV249">
        <f t="shared" si="240"/>
        <v>1.5707963267948966</v>
      </c>
      <c r="AW249" t="str">
        <f t="shared" si="217"/>
        <v>1+0,101296851595926i</v>
      </c>
      <c r="AX249">
        <f t="shared" si="241"/>
        <v>1.0051174320164022</v>
      </c>
      <c r="AY249">
        <f t="shared" si="242"/>
        <v>0.10095249841952385</v>
      </c>
      <c r="AZ249" t="str">
        <f t="shared" si="218"/>
        <v>1+14,9581684189983i</v>
      </c>
      <c r="BA249">
        <f t="shared" si="243"/>
        <v>14.991557705959648</v>
      </c>
      <c r="BB249">
        <f t="shared" si="244"/>
        <v>1.5040425521941383</v>
      </c>
      <c r="BC249" s="41" t="str">
        <f t="shared" si="245"/>
        <v>-0,0862559195592765+0,0146028195331446i</v>
      </c>
      <c r="BD249">
        <f t="shared" si="246"/>
        <v>-21.161497872810401</v>
      </c>
      <c r="BE249" s="43">
        <f t="shared" si="247"/>
        <v>170.39113835806916</v>
      </c>
      <c r="BF249" s="41" t="str">
        <f t="shared" si="248"/>
        <v>0,0419466683620005+0,0449926637526974i</v>
      </c>
      <c r="BG249" s="20">
        <f t="shared" si="249"/>
        <v>-24.220646216719221</v>
      </c>
      <c r="BH249" s="43">
        <f t="shared" si="250"/>
        <v>47.006586881028042</v>
      </c>
      <c r="BI249" s="41" t="str">
        <f t="shared" si="255"/>
        <v>0,0824571232256767+0,351299739459434i</v>
      </c>
      <c r="BJ249" s="20">
        <f t="shared" si="251"/>
        <v>-8.8535337934858838</v>
      </c>
      <c r="BK249" s="43">
        <f t="shared" si="256"/>
        <v>76.790645497370008</v>
      </c>
      <c r="BL249">
        <f t="shared" si="252"/>
        <v>-24.220646216719221</v>
      </c>
      <c r="BM249" s="43">
        <f t="shared" si="253"/>
        <v>47.006586881028042</v>
      </c>
    </row>
    <row r="250" spans="14:65" x14ac:dyDescent="0.35">
      <c r="N250" s="9">
        <v>32</v>
      </c>
      <c r="O250" s="34">
        <f t="shared" si="254"/>
        <v>2089.2961308540398</v>
      </c>
      <c r="P250" s="33" t="str">
        <f t="shared" si="206"/>
        <v>59,1053597814893</v>
      </c>
      <c r="Q250" s="4" t="str">
        <f t="shared" si="207"/>
        <v>1+100,867228021168i</v>
      </c>
      <c r="R250" s="4">
        <f t="shared" si="219"/>
        <v>100.87218491077856</v>
      </c>
      <c r="S250" s="4">
        <f t="shared" si="220"/>
        <v>1.5608826287689532</v>
      </c>
      <c r="T250" s="4" t="str">
        <f t="shared" si="208"/>
        <v>1+0,0170656651772481i</v>
      </c>
      <c r="U250" s="4">
        <f t="shared" si="221"/>
        <v>1.0001456078631461</v>
      </c>
      <c r="V250" s="4">
        <f t="shared" si="222"/>
        <v>1.7064008749386409E-2</v>
      </c>
      <c r="W250" t="str">
        <f t="shared" si="209"/>
        <v>1-0,630116868083007i</v>
      </c>
      <c r="X250" s="4">
        <f t="shared" si="223"/>
        <v>1.1819675407737462</v>
      </c>
      <c r="Y250" s="4">
        <f t="shared" si="224"/>
        <v>-0.56227040194516664</v>
      </c>
      <c r="Z250" t="str">
        <f t="shared" si="210"/>
        <v>0,999909810778463+0,058954116066857i</v>
      </c>
      <c r="AA250" s="4">
        <f t="shared" si="225"/>
        <v>1.0016462536705493</v>
      </c>
      <c r="AB250" s="4">
        <f t="shared" si="226"/>
        <v>5.8891257161388273E-2</v>
      </c>
      <c r="AC250" s="47" t="str">
        <f t="shared" si="227"/>
        <v>-0,387140098972736-0,573004095082657i</v>
      </c>
      <c r="AD250" s="20">
        <f t="shared" si="228"/>
        <v>-3.2038030277958667</v>
      </c>
      <c r="AE250" s="43">
        <f t="shared" si="229"/>
        <v>-124.04423272298172</v>
      </c>
      <c r="AF250" t="str">
        <f t="shared" si="211"/>
        <v>405,634542683733</v>
      </c>
      <c r="AG250" t="str">
        <f t="shared" si="212"/>
        <v>1+101,04670170739i</v>
      </c>
      <c r="AH250">
        <f t="shared" si="230"/>
        <v>101.05164979327282</v>
      </c>
      <c r="AI250">
        <f t="shared" si="231"/>
        <v>1.5609002357925712</v>
      </c>
      <c r="AJ250" t="str">
        <f t="shared" si="213"/>
        <v>1+0,0170656651772481i</v>
      </c>
      <c r="AK250">
        <f t="shared" si="232"/>
        <v>1.0001456078631461</v>
      </c>
      <c r="AL250">
        <f t="shared" si="233"/>
        <v>1.7064008749386409E-2</v>
      </c>
      <c r="AM250" t="str">
        <f t="shared" si="214"/>
        <v>1-0,0919772468439346i</v>
      </c>
      <c r="AN250">
        <f t="shared" si="234"/>
        <v>1.0042209985540982</v>
      </c>
      <c r="AO250">
        <f t="shared" si="235"/>
        <v>-9.1719185342723289E-2</v>
      </c>
      <c r="AP250" s="41" t="str">
        <f t="shared" si="236"/>
        <v>-0,260904257288522-4,02321051066005i</v>
      </c>
      <c r="AQ250">
        <f t="shared" si="237"/>
        <v>12.109681066482645</v>
      </c>
      <c r="AR250" s="43">
        <f t="shared" si="238"/>
        <v>-93.710422289491419</v>
      </c>
      <c r="AS250" t="str">
        <f t="shared" si="215"/>
        <v>-0,0000166666666666667</v>
      </c>
      <c r="AT250" t="str">
        <f t="shared" si="216"/>
        <v>0,00290772679750803i</v>
      </c>
      <c r="AU250">
        <f t="shared" si="239"/>
        <v>2.9077267975080299E-3</v>
      </c>
      <c r="AV250">
        <f t="shared" si="240"/>
        <v>1.5707963267948966</v>
      </c>
      <c r="AW250" t="str">
        <f t="shared" si="217"/>
        <v>1+0,103656358378215i</v>
      </c>
      <c r="AX250">
        <f t="shared" si="241"/>
        <v>1.0053579664140693</v>
      </c>
      <c r="AY250">
        <f t="shared" si="242"/>
        <v>0.1032874834246017</v>
      </c>
      <c r="AZ250" t="str">
        <f t="shared" si="218"/>
        <v>1+15,3065889205164i</v>
      </c>
      <c r="BA250">
        <f t="shared" si="243"/>
        <v>15.339219810071027</v>
      </c>
      <c r="BB250">
        <f t="shared" si="244"/>
        <v>1.5055576959347678</v>
      </c>
      <c r="BC250" s="41" t="str">
        <f t="shared" si="245"/>
        <v>-0,0862146506095063+0,0146685511307892i</v>
      </c>
      <c r="BD250">
        <f t="shared" si="246"/>
        <v>-21.164446040047281</v>
      </c>
      <c r="BE250" s="43">
        <f t="shared" si="247"/>
        <v>170.34416491374554</v>
      </c>
      <c r="BF250" s="41" t="str">
        <f t="shared" si="248"/>
        <v>0,0417822882367357+0,0437225635188072i</v>
      </c>
      <c r="BG250" s="20">
        <f t="shared" si="249"/>
        <v>-24.368249067843145</v>
      </c>
      <c r="BH250" s="43">
        <f t="shared" si="250"/>
        <v>46.299932190763805</v>
      </c>
      <c r="BI250" s="41" t="str">
        <f t="shared" si="255"/>
        <v>0,0815084384702081+0,343032601066772i</v>
      </c>
      <c r="BJ250" s="20">
        <f t="shared" si="251"/>
        <v>-9.0547649735646445</v>
      </c>
      <c r="BK250" s="43">
        <f t="shared" si="256"/>
        <v>76.633742624254126</v>
      </c>
      <c r="BL250">
        <f t="shared" si="252"/>
        <v>-24.368249067843145</v>
      </c>
      <c r="BM250" s="43">
        <f t="shared" si="253"/>
        <v>46.299932190763805</v>
      </c>
    </row>
    <row r="251" spans="14:65" x14ac:dyDescent="0.35">
      <c r="N251" s="9">
        <v>33</v>
      </c>
      <c r="O251" s="34">
        <f t="shared" si="254"/>
        <v>2137.9620895022344</v>
      </c>
      <c r="P251" s="33" t="str">
        <f t="shared" si="206"/>
        <v>59,1053597814893</v>
      </c>
      <c r="Q251" s="4" t="str">
        <f t="shared" si="207"/>
        <v>1+103,216727584846i</v>
      </c>
      <c r="R251" s="4">
        <f t="shared" si="219"/>
        <v>103.22157164723035</v>
      </c>
      <c r="S251" s="4">
        <f t="shared" si="220"/>
        <v>1.561108277802213</v>
      </c>
      <c r="T251" s="4" t="str">
        <f t="shared" si="208"/>
        <v>1+0,0174631755844876i</v>
      </c>
      <c r="U251" s="4">
        <f t="shared" si="221"/>
        <v>1.0001524696272537</v>
      </c>
      <c r="V251" s="4">
        <f t="shared" si="222"/>
        <v>1.7461400704669262E-2</v>
      </c>
      <c r="W251" t="str">
        <f t="shared" si="209"/>
        <v>1-0,644794175427236i</v>
      </c>
      <c r="X251" s="4">
        <f t="shared" si="223"/>
        <v>1.1898569362174971</v>
      </c>
      <c r="Y251" s="4">
        <f t="shared" si="224"/>
        <v>-0.57270688027474193</v>
      </c>
      <c r="Z251" t="str">
        <f t="shared" si="210"/>
        <v>0,999905560291402+0,0603273338373209i</v>
      </c>
      <c r="AA251" s="4">
        <f t="shared" si="225"/>
        <v>1.0017237726587016</v>
      </c>
      <c r="AB251" s="4">
        <f t="shared" si="226"/>
        <v>6.0259985560052541E-2</v>
      </c>
      <c r="AC251" s="47" t="str">
        <f t="shared" si="227"/>
        <v>-0,387358359308531-0,559191669100708i</v>
      </c>
      <c r="AD251" s="20">
        <f t="shared" si="228"/>
        <v>-3.3466124839985274</v>
      </c>
      <c r="AE251" s="43">
        <f t="shared" si="229"/>
        <v>-124.71078110019613</v>
      </c>
      <c r="AF251" t="str">
        <f t="shared" si="211"/>
        <v>405,634542683733</v>
      </c>
      <c r="AG251" t="str">
        <f t="shared" si="212"/>
        <v>1+103,400381750256i</v>
      </c>
      <c r="AH251">
        <f t="shared" si="230"/>
        <v>103.40521720928143</v>
      </c>
      <c r="AI251">
        <f t="shared" si="231"/>
        <v>1.5611254841170155</v>
      </c>
      <c r="AJ251" t="str">
        <f t="shared" si="213"/>
        <v>1+0,0174631755844876i</v>
      </c>
      <c r="AK251">
        <f t="shared" si="232"/>
        <v>1.0001524696272537</v>
      </c>
      <c r="AL251">
        <f t="shared" si="233"/>
        <v>1.7461400704669262E-2</v>
      </c>
      <c r="AM251" t="str">
        <f t="shared" si="214"/>
        <v>1-0,0941196721446751i</v>
      </c>
      <c r="AN251">
        <f t="shared" si="234"/>
        <v>1.0044194903946364</v>
      </c>
      <c r="AO251">
        <f t="shared" si="235"/>
        <v>-9.384321993383829E-2</v>
      </c>
      <c r="AP251" s="41" t="str">
        <f t="shared" si="236"/>
        <v>-0,262693269633484-3,93193856260362i</v>
      </c>
      <c r="AQ251">
        <f t="shared" si="237"/>
        <v>11.911476461743177</v>
      </c>
      <c r="AR251" s="43">
        <f t="shared" si="238"/>
        <v>-93.822257403584985</v>
      </c>
      <c r="AS251" t="str">
        <f t="shared" si="215"/>
        <v>-0,0000166666666666667</v>
      </c>
      <c r="AT251" t="str">
        <f t="shared" si="216"/>
        <v>0,00297545645535693i</v>
      </c>
      <c r="AU251">
        <f t="shared" si="239"/>
        <v>2.9754564553569301E-3</v>
      </c>
      <c r="AV251">
        <f t="shared" si="240"/>
        <v>1.5707963267948966</v>
      </c>
      <c r="AW251" t="str">
        <f t="shared" si="217"/>
        <v>1+0,106070825133769i</v>
      </c>
      <c r="AX251">
        <f t="shared" si="241"/>
        <v>1.0056097751834747</v>
      </c>
      <c r="AY251">
        <f t="shared" si="242"/>
        <v>0.10567568748804795</v>
      </c>
      <c r="AZ251" t="str">
        <f t="shared" si="218"/>
        <v>1+15,6631251780866i</v>
      </c>
      <c r="BA251">
        <f t="shared" si="243"/>
        <v>15.695014824599893</v>
      </c>
      <c r="BB251">
        <f t="shared" si="244"/>
        <v>1.5070386406938334</v>
      </c>
      <c r="BC251" s="41" t="str">
        <f t="shared" si="245"/>
        <v>-0,0861714790184498+0,014741661356799i</v>
      </c>
      <c r="BD251">
        <f t="shared" si="246"/>
        <v>-21.167452107590513</v>
      </c>
      <c r="BE251" s="43">
        <f t="shared" si="247"/>
        <v>170.29218278468062</v>
      </c>
      <c r="BF251" s="41" t="str">
        <f t="shared" si="248"/>
        <v>0,0416226569512021+0,042476067424552i</v>
      </c>
      <c r="BG251" s="20">
        <f t="shared" si="249"/>
        <v>-24.514064591589033</v>
      </c>
      <c r="BH251" s="43">
        <f t="shared" si="250"/>
        <v>45.581401684484476</v>
      </c>
      <c r="BI251" s="41" t="str">
        <f t="shared" si="255"/>
        <v>0,0805999743381513+0,334948426127584i</v>
      </c>
      <c r="BJ251" s="20">
        <f t="shared" si="251"/>
        <v>-9.255975645847343</v>
      </c>
      <c r="BK251" s="43">
        <f t="shared" si="256"/>
        <v>76.469925381095607</v>
      </c>
      <c r="BL251">
        <f t="shared" si="252"/>
        <v>-24.514064591589033</v>
      </c>
      <c r="BM251" s="43">
        <f t="shared" si="253"/>
        <v>45.581401684484476</v>
      </c>
    </row>
    <row r="252" spans="14:65" x14ac:dyDescent="0.35">
      <c r="N252" s="9">
        <v>34</v>
      </c>
      <c r="O252" s="34">
        <f t="shared" si="254"/>
        <v>2187.7616239495528</v>
      </c>
      <c r="P252" s="33" t="str">
        <f t="shared" si="206"/>
        <v>59,1053597814893</v>
      </c>
      <c r="Q252" s="4" t="str">
        <f t="shared" si="207"/>
        <v>1+105,620954023724i</v>
      </c>
      <c r="R252" s="4">
        <f t="shared" si="219"/>
        <v>105.62568782678585</v>
      </c>
      <c r="S252" s="4">
        <f t="shared" si="220"/>
        <v>1.5613287913897411</v>
      </c>
      <c r="T252" s="4" t="str">
        <f t="shared" si="208"/>
        <v>1+0,0178699451985746i</v>
      </c>
      <c r="U252" s="4">
        <f t="shared" si="221"/>
        <v>1.0001596547258844</v>
      </c>
      <c r="V252" s="4">
        <f t="shared" si="222"/>
        <v>1.7868043396980719E-2</v>
      </c>
      <c r="W252" t="str">
        <f t="shared" si="209"/>
        <v>1-0,659813361178139i</v>
      </c>
      <c r="X252" s="4">
        <f t="shared" si="223"/>
        <v>1.1980624656457581</v>
      </c>
      <c r="Y252" s="4">
        <f t="shared" si="224"/>
        <v>-0.58324298830012311</v>
      </c>
      <c r="Z252" t="str">
        <f t="shared" si="210"/>
        <v>0,999901109485057+0,0617325379587121i</v>
      </c>
      <c r="AA252" s="4">
        <f t="shared" si="225"/>
        <v>1.001804938594471</v>
      </c>
      <c r="AB252" s="4">
        <f t="shared" si="226"/>
        <v>6.1660379994341069E-2</v>
      </c>
      <c r="AC252" s="47" t="str">
        <f t="shared" si="227"/>
        <v>-0,387562676908965-0,545675751994223i</v>
      </c>
      <c r="AD252" s="20">
        <f t="shared" si="228"/>
        <v>-3.4875411834435632</v>
      </c>
      <c r="AE252" s="43">
        <f t="shared" si="229"/>
        <v>-125.38402790113405</v>
      </c>
      <c r="AF252" t="str">
        <f t="shared" si="211"/>
        <v>405,634542683733</v>
      </c>
      <c r="AG252" t="str">
        <f t="shared" si="212"/>
        <v>1+105,808886044191i</v>
      </c>
      <c r="AH252">
        <f t="shared" si="230"/>
        <v>105.81361143970372</v>
      </c>
      <c r="AI252">
        <f t="shared" si="231"/>
        <v>1.561345606111904</v>
      </c>
      <c r="AJ252" t="str">
        <f t="shared" si="213"/>
        <v>1+0,0178699451985746i</v>
      </c>
      <c r="AK252">
        <f t="shared" si="232"/>
        <v>1.0001596547258844</v>
      </c>
      <c r="AL252">
        <f t="shared" si="233"/>
        <v>1.7868043396980719E-2</v>
      </c>
      <c r="AM252" t="str">
        <f t="shared" si="214"/>
        <v>1-0,0963120009414083i</v>
      </c>
      <c r="AN252">
        <f t="shared" si="234"/>
        <v>1.004627294833929</v>
      </c>
      <c r="AO252">
        <f t="shared" si="235"/>
        <v>-9.6015850700477662E-2</v>
      </c>
      <c r="AP252" s="41" t="str">
        <f t="shared" si="236"/>
        <v>-0,264401777880976-3,84274982272651i</v>
      </c>
      <c r="AQ252">
        <f t="shared" si="237"/>
        <v>11.713353979949495</v>
      </c>
      <c r="AR252" s="43">
        <f t="shared" si="238"/>
        <v>-93.936053128199518</v>
      </c>
      <c r="AS252" t="str">
        <f t="shared" si="215"/>
        <v>-0,0000166666666666667</v>
      </c>
      <c r="AT252" t="str">
        <f t="shared" si="216"/>
        <v>0,00304476373960328i</v>
      </c>
      <c r="AU252">
        <f t="shared" si="239"/>
        <v>3.0447637396032799E-3</v>
      </c>
      <c r="AV252">
        <f t="shared" si="240"/>
        <v>1.5707963267948966</v>
      </c>
      <c r="AW252" t="str">
        <f t="shared" si="217"/>
        <v>1+0,108541532044824i</v>
      </c>
      <c r="AX252">
        <f t="shared" si="241"/>
        <v>1.0058733837708589</v>
      </c>
      <c r="AY252">
        <f t="shared" si="242"/>
        <v>0.10811826783844751</v>
      </c>
      <c r="AZ252" t="str">
        <f t="shared" si="218"/>
        <v>1+16,0279662319523i</v>
      </c>
      <c r="BA252">
        <f t="shared" si="243"/>
        <v>16.059131406542608</v>
      </c>
      <c r="BB252">
        <f t="shared" si="244"/>
        <v>1.5084861456891745</v>
      </c>
      <c r="BC252" s="41" t="str">
        <f t="shared" si="245"/>
        <v>-0,0861263191291445+0,0148221610931315i</v>
      </c>
      <c r="BD252">
        <f t="shared" si="246"/>
        <v>-21.170522280206903</v>
      </c>
      <c r="BE252" s="43">
        <f t="shared" si="247"/>
        <v>170.23516916653827</v>
      </c>
      <c r="BF252" s="41" t="str">
        <f t="shared" si="248"/>
        <v>0,0414674406946811+0,0412525275264604i</v>
      </c>
      <c r="BG252" s="20">
        <f t="shared" si="249"/>
        <v>-24.658063463650471</v>
      </c>
      <c r="BH252" s="43">
        <f t="shared" si="250"/>
        <v>44.851141265404195</v>
      </c>
      <c r="BI252" s="41" t="str">
        <f t="shared" si="255"/>
        <v>0,079729808813145+0,327042891820545i</v>
      </c>
      <c r="BJ252" s="20">
        <f t="shared" si="251"/>
        <v>-9.4571683002574023</v>
      </c>
      <c r="BK252" s="43">
        <f t="shared" si="256"/>
        <v>76.299116038338752</v>
      </c>
      <c r="BL252">
        <f t="shared" si="252"/>
        <v>-24.658063463650471</v>
      </c>
      <c r="BM252" s="43">
        <f t="shared" si="253"/>
        <v>44.851141265404195</v>
      </c>
    </row>
    <row r="253" spans="14:65" x14ac:dyDescent="0.35">
      <c r="N253" s="9">
        <v>35</v>
      </c>
      <c r="O253" s="34">
        <f t="shared" si="254"/>
        <v>2238.7211385683418</v>
      </c>
      <c r="P253" s="33" t="str">
        <f t="shared" si="206"/>
        <v>59,1053597814893</v>
      </c>
      <c r="Q253" s="4" t="str">
        <f t="shared" si="207"/>
        <v>1+108,081182090485i</v>
      </c>
      <c r="R253" s="4">
        <f t="shared" si="219"/>
        <v>108.08580814369931</v>
      </c>
      <c r="S253" s="4">
        <f t="shared" si="220"/>
        <v>1.5615442863649296</v>
      </c>
      <c r="T253" s="4" t="str">
        <f t="shared" si="208"/>
        <v>1+0,0182861896941425i</v>
      </c>
      <c r="U253" s="4">
        <f t="shared" si="221"/>
        <v>1.0001671783924577</v>
      </c>
      <c r="V253" s="4">
        <f t="shared" si="222"/>
        <v>1.8284151895416097E-2</v>
      </c>
      <c r="W253" t="str">
        <f t="shared" si="209"/>
        <v>1-0,675182388706801i</v>
      </c>
      <c r="X253" s="4">
        <f t="shared" si="223"/>
        <v>1.2065949022019866</v>
      </c>
      <c r="Y253" s="4">
        <f t="shared" si="224"/>
        <v>-0.59387495535397528</v>
      </c>
      <c r="Z253" t="str">
        <f t="shared" si="210"/>
        <v>0,999896448918672+0,0631704734888559i</v>
      </c>
      <c r="AA253" s="4">
        <f t="shared" si="225"/>
        <v>1.0018899227365134</v>
      </c>
      <c r="AB253" s="4">
        <f t="shared" si="226"/>
        <v>6.3093162705985126E-2</v>
      </c>
      <c r="AC253" s="47" t="str">
        <f t="shared" si="227"/>
        <v>-0,387753486962347-0,532449210341291i</v>
      </c>
      <c r="AD253" s="20">
        <f t="shared" si="228"/>
        <v>-3.6265546494665486</v>
      </c>
      <c r="AE253" s="43">
        <f t="shared" si="229"/>
        <v>-126.06379283538317</v>
      </c>
      <c r="AF253" t="str">
        <f t="shared" si="211"/>
        <v>405,634542683733</v>
      </c>
      <c r="AG253" t="str">
        <f t="shared" si="212"/>
        <v>1+108,273491610054i</v>
      </c>
      <c r="AH253">
        <f t="shared" si="230"/>
        <v>108.27810944707353</v>
      </c>
      <c r="AI253">
        <f t="shared" si="231"/>
        <v>1.5615607184034577</v>
      </c>
      <c r="AJ253" t="str">
        <f t="shared" si="213"/>
        <v>1+0,0182861896941425i</v>
      </c>
      <c r="AK253">
        <f t="shared" si="232"/>
        <v>1.0001671783924577</v>
      </c>
      <c r="AL253">
        <f t="shared" si="233"/>
        <v>1.8284151895416097E-2</v>
      </c>
      <c r="AM253" t="str">
        <f t="shared" si="214"/>
        <v>1-0,0985553956358807i</v>
      </c>
      <c r="AN253">
        <f t="shared" si="234"/>
        <v>1.0048448467345319</v>
      </c>
      <c r="AO253">
        <f t="shared" si="235"/>
        <v>-9.8238147510858215E-2</v>
      </c>
      <c r="AP253" s="41" t="str">
        <f t="shared" si="236"/>
        <v>-0,266033404017052-3,75559710592907i</v>
      </c>
      <c r="AQ253">
        <f t="shared" si="237"/>
        <v>11.515317501237002</v>
      </c>
      <c r="AR253" s="43">
        <f t="shared" si="238"/>
        <v>-94.051865121907269</v>
      </c>
      <c r="AS253" t="str">
        <f t="shared" si="215"/>
        <v>-0,0000166666666666667</v>
      </c>
      <c r="AT253" t="str">
        <f t="shared" si="216"/>
        <v>0,00311568539788658i</v>
      </c>
      <c r="AU253">
        <f t="shared" si="239"/>
        <v>3.11568539788658E-3</v>
      </c>
      <c r="AV253">
        <f t="shared" si="240"/>
        <v>1.5707963267948966</v>
      </c>
      <c r="AW253" t="str">
        <f t="shared" si="217"/>
        <v>1+0,111069789112885i</v>
      </c>
      <c r="AX253">
        <f t="shared" si="241"/>
        <v>1.0061493418243539</v>
      </c>
      <c r="AY253">
        <f t="shared" si="242"/>
        <v>0.11061640291737511</v>
      </c>
      <c r="AZ253" t="str">
        <f t="shared" si="218"/>
        <v>1+16,4013055256694i</v>
      </c>
      <c r="BA253">
        <f t="shared" si="243"/>
        <v>16.431762624452485</v>
      </c>
      <c r="BB253">
        <f t="shared" si="244"/>
        <v>1.5099009541300954</v>
      </c>
      <c r="BC253" s="41" t="str">
        <f t="shared" si="245"/>
        <v>-0,0860790816246227+0,0149100632225261i</v>
      </c>
      <c r="BD253">
        <f t="shared" si="246"/>
        <v>-21.173662886350026</v>
      </c>
      <c r="BE253" s="43">
        <f t="shared" si="247"/>
        <v>170.1730991223464</v>
      </c>
      <c r="BF253" s="41" t="str">
        <f t="shared" si="248"/>
        <v>0,0413163154434367+0,0400513100325703i</v>
      </c>
      <c r="BG253" s="20">
        <f t="shared" si="249"/>
        <v>-24.800217535816579</v>
      </c>
      <c r="BH253" s="43">
        <f t="shared" si="250"/>
        <v>44.109306286963161</v>
      </c>
      <c r="BI253" s="41" t="str">
        <f t="shared" si="255"/>
        <v>0,0788961013869985+0,319311774957267i</v>
      </c>
      <c r="BJ253" s="20">
        <f t="shared" si="251"/>
        <v>-9.6583453851130265</v>
      </c>
      <c r="BK253" s="43">
        <f t="shared" si="256"/>
        <v>76.121234000439102</v>
      </c>
      <c r="BL253">
        <f t="shared" si="252"/>
        <v>-24.800217535816579</v>
      </c>
      <c r="BM253" s="43">
        <f t="shared" si="253"/>
        <v>44.109306286963161</v>
      </c>
    </row>
    <row r="254" spans="14:65" x14ac:dyDescent="0.35">
      <c r="N254" s="9">
        <v>36</v>
      </c>
      <c r="O254" s="34">
        <f t="shared" si="254"/>
        <v>2290.8676527677749</v>
      </c>
      <c r="P254" s="33" t="str">
        <f t="shared" si="206"/>
        <v>59,1053597814893</v>
      </c>
      <c r="Q254" s="4" t="str">
        <f t="shared" si="207"/>
        <v>1+110,598716230613i</v>
      </c>
      <c r="R254" s="4">
        <f t="shared" si="219"/>
        <v>110.60323698635432</v>
      </c>
      <c r="S254" s="4">
        <f t="shared" si="220"/>
        <v>1.561754876905963</v>
      </c>
      <c r="T254" s="4" t="str">
        <f t="shared" si="208"/>
        <v>1+0,0187121297695326i</v>
      </c>
      <c r="U254" s="4">
        <f t="shared" si="221"/>
        <v>1.0001750565778531</v>
      </c>
      <c r="V254" s="4">
        <f t="shared" si="222"/>
        <v>1.8709946249497456E-2</v>
      </c>
      <c r="W254" t="str">
        <f t="shared" si="209"/>
        <v>1-0,690909406875049i</v>
      </c>
      <c r="X254" s="4">
        <f t="shared" si="223"/>
        <v>1.2154652642130221</v>
      </c>
      <c r="Y254" s="4">
        <f t="shared" si="224"/>
        <v>-0.60459880396612886</v>
      </c>
      <c r="Z254" t="str">
        <f t="shared" si="210"/>
        <v>0,99989156870656+0,0646419028402033i</v>
      </c>
      <c r="AA254" s="4">
        <f t="shared" si="225"/>
        <v>1.0019789043554101</v>
      </c>
      <c r="AB254" s="4">
        <f t="shared" si="226"/>
        <v>6.4559071670805421E-2</v>
      </c>
      <c r="AC254" s="47" t="str">
        <f t="shared" si="227"/>
        <v>-0,387931196232277-0,51950506437015i</v>
      </c>
      <c r="AD254" s="20">
        <f t="shared" si="228"/>
        <v>-3.7636195751412416</v>
      </c>
      <c r="AE254" s="43">
        <f t="shared" si="229"/>
        <v>-126.74988422760859</v>
      </c>
      <c r="AF254" t="str">
        <f t="shared" si="211"/>
        <v>405,634542683733</v>
      </c>
      <c r="AG254" t="str">
        <f t="shared" si="212"/>
        <v>1+110,795505214337i</v>
      </c>
      <c r="AH254">
        <f t="shared" si="230"/>
        <v>110.80001794088382</v>
      </c>
      <c r="AI254">
        <f t="shared" si="231"/>
        <v>1.5617709349673834</v>
      </c>
      <c r="AJ254" t="str">
        <f t="shared" si="213"/>
        <v>1+0,0187121297695326i</v>
      </c>
      <c r="AK254">
        <f t="shared" si="232"/>
        <v>1.0001750565778531</v>
      </c>
      <c r="AL254">
        <f t="shared" si="233"/>
        <v>1.8709946249497456E-2</v>
      </c>
      <c r="AM254" t="str">
        <f t="shared" si="214"/>
        <v>1-0,100851045705654i</v>
      </c>
      <c r="AN254">
        <f t="shared" si="234"/>
        <v>1.0050726010691584</v>
      </c>
      <c r="AO254">
        <f t="shared" si="235"/>
        <v>-0.10051120080755713</v>
      </c>
      <c r="AP254" s="41" t="str">
        <f t="shared" si="236"/>
        <v>-0,267591607125483-3,67043429970192i</v>
      </c>
      <c r="AQ254">
        <f t="shared" si="237"/>
        <v>11.317371078421161</v>
      </c>
      <c r="AR254" s="43">
        <f t="shared" si="238"/>
        <v>-94.169749784883734</v>
      </c>
      <c r="AS254" t="str">
        <f t="shared" si="215"/>
        <v>-0,0000166666666666667</v>
      </c>
      <c r="AT254" t="str">
        <f t="shared" si="216"/>
        <v>0,00318825903380881i</v>
      </c>
      <c r="AU254">
        <f t="shared" si="239"/>
        <v>3.1882590338088101E-3</v>
      </c>
      <c r="AV254">
        <f t="shared" si="240"/>
        <v>1.5707963267948966</v>
      </c>
      <c r="AW254" t="str">
        <f t="shared" si="217"/>
        <v>1+0,113656936853316i</v>
      </c>
      <c r="AX254">
        <f t="shared" si="241"/>
        <v>1.00643822428149</v>
      </c>
      <c r="AY254">
        <f t="shared" si="242"/>
        <v>0.11317129248088993</v>
      </c>
      <c r="AZ254" t="str">
        <f t="shared" si="218"/>
        <v>1+16,783341008673i</v>
      </c>
      <c r="BA254">
        <f t="shared" si="243"/>
        <v>16.813106060850409</v>
      </c>
      <c r="BB254">
        <f t="shared" si="244"/>
        <v>1.5112837934979864</v>
      </c>
      <c r="BC254" s="41" t="str">
        <f t="shared" si="245"/>
        <v>-0,086029673390311+0,0150053825073428i</v>
      </c>
      <c r="BD254">
        <f t="shared" si="246"/>
        <v>-21.176880390077926</v>
      </c>
      <c r="BE254" s="43">
        <f t="shared" si="247"/>
        <v>170.10594559275967</v>
      </c>
      <c r="BF254" s="41" t="str">
        <f t="shared" si="248"/>
        <v>0,0411689663151513+0,0388717950263801i</v>
      </c>
      <c r="BG254" s="20">
        <f t="shared" si="249"/>
        <v>-24.940499965219168</v>
      </c>
      <c r="BH254" s="43">
        <f t="shared" si="250"/>
        <v>43.356061365151049</v>
      </c>
      <c r="BI254" s="41" t="str">
        <f t="shared" si="255"/>
        <v>0,0780970891980919+0,311750949583279i</v>
      </c>
      <c r="BJ254" s="20">
        <f t="shared" si="251"/>
        <v>-9.8595093116567565</v>
      </c>
      <c r="BK254" s="43">
        <f t="shared" si="256"/>
        <v>75.936195807875947</v>
      </c>
      <c r="BL254">
        <f t="shared" si="252"/>
        <v>-24.940499965219168</v>
      </c>
      <c r="BM254" s="43">
        <f t="shared" si="253"/>
        <v>43.356061365151049</v>
      </c>
    </row>
    <row r="255" spans="14:65" x14ac:dyDescent="0.35">
      <c r="N255" s="9">
        <v>37</v>
      </c>
      <c r="O255" s="34">
        <f t="shared" si="254"/>
        <v>2344.2288153199238</v>
      </c>
      <c r="P255" s="33" t="str">
        <f t="shared" si="206"/>
        <v>59,1053597814893</v>
      </c>
      <c r="Q255" s="4" t="str">
        <f t="shared" si="207"/>
        <v>1+113,174891274035i</v>
      </c>
      <c r="R255" s="4">
        <f t="shared" si="219"/>
        <v>113.17930912887587</v>
      </c>
      <c r="S255" s="4">
        <f t="shared" si="220"/>
        <v>1.5619606745959767</v>
      </c>
      <c r="T255" s="4" t="str">
        <f t="shared" si="208"/>
        <v>1+0,0191479912638108i</v>
      </c>
      <c r="U255" s="4">
        <f t="shared" si="221"/>
        <v>1.0001833059841776</v>
      </c>
      <c r="V255" s="4">
        <f t="shared" si="222"/>
        <v>1.9145651603098134E-2</v>
      </c>
      <c r="W255" t="str">
        <f t="shared" si="209"/>
        <v>1-0,707002754356091i</v>
      </c>
      <c r="X255" s="4">
        <f t="shared" si="223"/>
        <v>1.2246848144184279</v>
      </c>
      <c r="Y255" s="4">
        <f t="shared" si="224"/>
        <v>-0.61541035404913247</v>
      </c>
      <c r="Z255" t="str">
        <f t="shared" si="210"/>
        <v>0,999886458497137+0,0661476061840735i</v>
      </c>
      <c r="AA255" s="4">
        <f t="shared" si="225"/>
        <v>1.0020720711055819</v>
      </c>
      <c r="AB255" s="4">
        <f t="shared" si="226"/>
        <v>6.6058860888419682E-2</v>
      </c>
      <c r="AC255" s="47" t="str">
        <f t="shared" si="227"/>
        <v>-0,388096183937328-0,506836484413507i</v>
      </c>
      <c r="AD255" s="20">
        <f t="shared" si="228"/>
        <v>-3.8987039405579296</v>
      </c>
      <c r="AE255" s="43">
        <f t="shared" si="229"/>
        <v>-127.4420992708863</v>
      </c>
      <c r="AF255" t="str">
        <f t="shared" si="211"/>
        <v>405,634542683733</v>
      </c>
      <c r="AG255" t="str">
        <f t="shared" si="212"/>
        <v>1+113,376264062037i</v>
      </c>
      <c r="AH255">
        <f t="shared" si="230"/>
        <v>113.38067407042851</v>
      </c>
      <c r="AI255">
        <f t="shared" si="231"/>
        <v>1.561976367188926</v>
      </c>
      <c r="AJ255" t="str">
        <f t="shared" si="213"/>
        <v>1+0,0191479912638108i</v>
      </c>
      <c r="AK255">
        <f t="shared" si="232"/>
        <v>1.0001833059841776</v>
      </c>
      <c r="AL255">
        <f t="shared" si="233"/>
        <v>1.9145651603098134E-2</v>
      </c>
      <c r="AM255" t="str">
        <f t="shared" si="214"/>
        <v>1-0,103200168334782i</v>
      </c>
      <c r="AN255">
        <f t="shared" si="234"/>
        <v>1.0053110338319815</v>
      </c>
      <c r="AO255">
        <f t="shared" si="235"/>
        <v>-0.10283612178720009</v>
      </c>
      <c r="AP255" s="41" t="str">
        <f t="shared" si="236"/>
        <v>-0,269079690709545-3,58721634013896i</v>
      </c>
      <c r="AQ255">
        <f t="shared" si="237"/>
        <v>11.119518944671627</v>
      </c>
      <c r="AR255" s="43">
        <f t="shared" si="238"/>
        <v>-94.289764266116507</v>
      </c>
      <c r="AS255" t="str">
        <f t="shared" si="215"/>
        <v>-0,0000166666666666667</v>
      </c>
      <c r="AT255" t="str">
        <f t="shared" si="216"/>
        <v>0,00326252312687236i</v>
      </c>
      <c r="AU255">
        <f t="shared" si="239"/>
        <v>3.2625231268723601E-3</v>
      </c>
      <c r="AV255">
        <f t="shared" si="240"/>
        <v>1.5707963267948966</v>
      </c>
      <c r="AW255" t="str">
        <f t="shared" si="217"/>
        <v>1+0,116304347006095i</v>
      </c>
      <c r="AX255">
        <f t="shared" si="241"/>
        <v>1.0067406325029868</v>
      </c>
      <c r="AY255">
        <f t="shared" si="242"/>
        <v>0.11578415767743885</v>
      </c>
      <c r="AZ255" t="str">
        <f t="shared" si="218"/>
        <v>1+17,1742752412333i</v>
      </c>
      <c r="BA255">
        <f t="shared" si="243"/>
        <v>17.203363917026202</v>
      </c>
      <c r="BB255">
        <f t="shared" si="244"/>
        <v>1.5126353758260156</v>
      </c>
      <c r="BC255" s="41" t="str">
        <f t="shared" si="245"/>
        <v>-0,0859779973731005+0,0151081354613127i</v>
      </c>
      <c r="BD255">
        <f t="shared" si="246"/>
        <v>-21.180181403148612</v>
      </c>
      <c r="BE255" s="43">
        <f t="shared" si="247"/>
        <v>170.03367940762132</v>
      </c>
      <c r="BF255" s="41" t="str">
        <f t="shared" si="248"/>
        <v>0,0410250869463287+0,0377133762065523i</v>
      </c>
      <c r="BG255" s="20">
        <f t="shared" si="249"/>
        <v>-25.078885343706542</v>
      </c>
      <c r="BH255" s="43">
        <f t="shared" si="250"/>
        <v>42.59158013673499</v>
      </c>
      <c r="BI255" s="41" t="str">
        <f t="shared" si="255"/>
        <v>0,0773310833368337+0,304356384652083i</v>
      </c>
      <c r="BJ255" s="20">
        <f t="shared" si="251"/>
        <v>-10.06066245847698</v>
      </c>
      <c r="BK255" s="43">
        <f t="shared" si="256"/>
        <v>75.743915141504814</v>
      </c>
      <c r="BL255">
        <f t="shared" si="252"/>
        <v>-25.078885343706542</v>
      </c>
      <c r="BM255" s="43">
        <f t="shared" si="253"/>
        <v>42.59158013673499</v>
      </c>
    </row>
    <row r="256" spans="14:65" x14ac:dyDescent="0.35">
      <c r="N256" s="9">
        <v>38</v>
      </c>
      <c r="O256" s="34">
        <f t="shared" si="254"/>
        <v>2398.8329190194918</v>
      </c>
      <c r="P256" s="33" t="str">
        <f t="shared" si="206"/>
        <v>59,1053597814893</v>
      </c>
      <c r="Q256" s="4" t="str">
        <f t="shared" si="207"/>
        <v>1+115,811073142856i</v>
      </c>
      <c r="R256" s="4">
        <f t="shared" si="219"/>
        <v>115.81539043883565</v>
      </c>
      <c r="S256" s="4">
        <f t="shared" si="220"/>
        <v>1.5621617884818602</v>
      </c>
      <c r="T256" s="4" t="str">
        <f t="shared" si="208"/>
        <v>1+0,0195940052765106i</v>
      </c>
      <c r="U256" s="4">
        <f t="shared" si="221"/>
        <v>1.0001919441001192</v>
      </c>
      <c r="V256" s="4">
        <f t="shared" si="222"/>
        <v>1.9591498310872753E-2</v>
      </c>
      <c r="W256" t="str">
        <f t="shared" si="209"/>
        <v>1-0,723470964055777i</v>
      </c>
      <c r="X256" s="4">
        <f t="shared" si="223"/>
        <v>1.2342650589852229</v>
      </c>
      <c r="Y256" s="4">
        <f t="shared" si="224"/>
        <v>-0.62630522806859978</v>
      </c>
      <c r="Z256" t="str">
        <f t="shared" si="210"/>
        <v>0,999881107450963+0,0676883818643093i</v>
      </c>
      <c r="AA256" s="4">
        <f t="shared" si="225"/>
        <v>1.0021696194141854</v>
      </c>
      <c r="AB256" s="4">
        <f t="shared" si="226"/>
        <v>6.7593300673336937E-2</v>
      </c>
      <c r="AC256" s="47" t="str">
        <f t="shared" si="227"/>
        <v>-0,388248802574294-0,494436787443895i</v>
      </c>
      <c r="AD256" s="20">
        <f t="shared" si="228"/>
        <v>-4.0317771293438707</v>
      </c>
      <c r="AE256" s="43">
        <f t="shared" si="229"/>
        <v>-128.14022433631854</v>
      </c>
      <c r="AF256" t="str">
        <f t="shared" si="211"/>
        <v>405,634542683733</v>
      </c>
      <c r="AG256" t="str">
        <f t="shared" si="212"/>
        <v>1+116,017136505655i</v>
      </c>
      <c r="AH256">
        <f t="shared" si="230"/>
        <v>116.0214461337721</v>
      </c>
      <c r="AI256">
        <f t="shared" si="231"/>
        <v>1.5621771239215703</v>
      </c>
      <c r="AJ256" t="str">
        <f t="shared" si="213"/>
        <v>1+0,0195940052765106i</v>
      </c>
      <c r="AK256">
        <f t="shared" si="232"/>
        <v>1.0001919441001192</v>
      </c>
      <c r="AL256">
        <f t="shared" si="233"/>
        <v>1.9591498310872753E-2</v>
      </c>
      <c r="AM256" t="str">
        <f t="shared" si="214"/>
        <v>1-0,105604009059176i</v>
      </c>
      <c r="AN256">
        <f t="shared" si="234"/>
        <v>1.0055606429894572</v>
      </c>
      <c r="AO256">
        <f t="shared" si="235"/>
        <v>-0.10521404256425208</v>
      </c>
      <c r="AP256" s="41" t="str">
        <f t="shared" si="236"/>
        <v>-0,270500809685145-3,50589918847596i</v>
      </c>
      <c r="AQ256">
        <f t="shared" si="237"/>
        <v>10.921765521483769</v>
      </c>
      <c r="AR256" s="43">
        <f t="shared" si="238"/>
        <v>-94.411966469482124</v>
      </c>
      <c r="AS256" t="str">
        <f t="shared" si="215"/>
        <v>-0,0000166666666666667</v>
      </c>
      <c r="AT256" t="str">
        <f t="shared" si="216"/>
        <v>0,00333851705288238i</v>
      </c>
      <c r="AU256">
        <f t="shared" si="239"/>
        <v>3.3385170528823799E-3</v>
      </c>
      <c r="AV256">
        <f t="shared" si="240"/>
        <v>1.5707963267948966</v>
      </c>
      <c r="AW256" t="str">
        <f t="shared" si="217"/>
        <v>1+0,119013423263126i</v>
      </c>
      <c r="AX256">
        <f t="shared" si="241"/>
        <v>1.0070571954545622</v>
      </c>
      <c r="AY256">
        <f t="shared" si="242"/>
        <v>0.11845624110002927</v>
      </c>
      <c r="AZ256" t="str">
        <f t="shared" si="218"/>
        <v>1+17,5743155018549i</v>
      </c>
      <c r="BA256">
        <f t="shared" si="243"/>
        <v>17.602743120284902</v>
      </c>
      <c r="BB256">
        <f t="shared" si="244"/>
        <v>1.5139563979775645</v>
      </c>
      <c r="BC256" s="41" t="str">
        <f t="shared" si="245"/>
        <v>-0,0859239524371955+0,0152183402136767i</v>
      </c>
      <c r="BD256">
        <f t="shared" si="246"/>
        <v>-21.18357269730723</v>
      </c>
      <c r="BE256" s="43">
        <f t="shared" si="247"/>
        <v>169.95626929892705</v>
      </c>
      <c r="BF256" s="41" t="str">
        <f t="shared" si="248"/>
        <v>0,0408843788916703+0,0365754606424008i</v>
      </c>
      <c r="BG256" s="20">
        <f t="shared" si="249"/>
        <v>-25.215349826651096</v>
      </c>
      <c r="BH256" s="43">
        <f t="shared" si="250"/>
        <v>41.816044962608544</v>
      </c>
      <c r="BI256" s="41" t="str">
        <f t="shared" si="255"/>
        <v>0,0765964653106895+0,297124141770347i</v>
      </c>
      <c r="BJ256" s="20">
        <f t="shared" si="251"/>
        <v>-10.261807175823465</v>
      </c>
      <c r="BK256" s="43">
        <f t="shared" si="256"/>
        <v>75.544302829444916</v>
      </c>
      <c r="BL256">
        <f t="shared" si="252"/>
        <v>-25.215349826651096</v>
      </c>
      <c r="BM256" s="43">
        <f t="shared" si="253"/>
        <v>41.816044962608544</v>
      </c>
    </row>
    <row r="257" spans="14:65" x14ac:dyDescent="0.35">
      <c r="N257" s="9">
        <v>39</v>
      </c>
      <c r="O257" s="34">
        <f t="shared" si="254"/>
        <v>2454.7089156850338</v>
      </c>
      <c r="P257" s="33" t="str">
        <f t="shared" si="206"/>
        <v>59,1053597814893</v>
      </c>
      <c r="Q257" s="4" t="str">
        <f t="shared" si="207"/>
        <v>1+118,508659575598i</v>
      </c>
      <c r="R257" s="4">
        <f t="shared" si="219"/>
        <v>118.51287860146245</v>
      </c>
      <c r="S257" s="4">
        <f t="shared" si="220"/>
        <v>1.5623583251317459</v>
      </c>
      <c r="T257" s="4" t="str">
        <f t="shared" si="208"/>
        <v>1+0,0200504082901654i</v>
      </c>
      <c r="U257" s="4">
        <f t="shared" si="221"/>
        <v>1.0002009892379644</v>
      </c>
      <c r="V257" s="4">
        <f t="shared" si="222"/>
        <v>2.0047722057240092E-2</v>
      </c>
      <c r="W257" t="str">
        <f t="shared" si="209"/>
        <v>1-0,740322767636876i</v>
      </c>
      <c r="X257" s="4">
        <f t="shared" si="223"/>
        <v>1.244217746329606</v>
      </c>
      <c r="Y257" s="4">
        <f t="shared" si="224"/>
        <v>-0.63727885720648458</v>
      </c>
      <c r="Z257" t="str">
        <f t="shared" si="210"/>
        <v>0,999875504217753+0,0692650468205713i</v>
      </c>
      <c r="AA257" s="4">
        <f t="shared" si="225"/>
        <v>1.0022717548877458</v>
      </c>
      <c r="AB257" s="4">
        <f t="shared" si="226"/>
        <v>6.9163177947110147E-2</v>
      </c>
      <c r="AC257" s="47" t="str">
        <f t="shared" si="227"/>
        <v>-0,388389378686953-0,482299433688917i</v>
      </c>
      <c r="AD257" s="20">
        <f t="shared" si="228"/>
        <v>-4.1628100436912421</v>
      </c>
      <c r="AE257" s="43">
        <f t="shared" si="229"/>
        <v>-128.84403533937942</v>
      </c>
      <c r="AF257" t="str">
        <f t="shared" si="211"/>
        <v>405,634542683733</v>
      </c>
      <c r="AG257" t="str">
        <f t="shared" si="212"/>
        <v>1+118,719522770716i</v>
      </c>
      <c r="AH257">
        <f t="shared" si="230"/>
        <v>118.72373430324096</v>
      </c>
      <c r="AI257">
        <f t="shared" si="231"/>
        <v>1.5623733115444274</v>
      </c>
      <c r="AJ257" t="str">
        <f t="shared" si="213"/>
        <v>1+0,0200504082901654i</v>
      </c>
      <c r="AK257">
        <f t="shared" si="232"/>
        <v>1.0002009892379644</v>
      </c>
      <c r="AL257">
        <f t="shared" si="233"/>
        <v>2.0047722057240092E-2</v>
      </c>
      <c r="AM257" t="str">
        <f t="shared" si="214"/>
        <v>1-0,108063842427008i</v>
      </c>
      <c r="AN257">
        <f t="shared" si="234"/>
        <v>1.005821949472216</v>
      </c>
      <c r="AO257">
        <f t="shared" si="235"/>
        <v>-0.10764611631727034</v>
      </c>
      <c r="AP257" s="41" t="str">
        <f t="shared" si="236"/>
        <v>-0,271857977060033-3,42643980814362i</v>
      </c>
      <c r="AQ257">
        <f t="shared" si="237"/>
        <v>10.724115426954906</v>
      </c>
      <c r="AR257" s="43">
        <f t="shared" si="238"/>
        <v>-94.536415058596518</v>
      </c>
      <c r="AS257" t="str">
        <f t="shared" si="215"/>
        <v>-0,0000166666666666667</v>
      </c>
      <c r="AT257" t="str">
        <f t="shared" si="216"/>
        <v>0,00341628110482434i</v>
      </c>
      <c r="AU257">
        <f t="shared" si="239"/>
        <v>3.4162811048243399E-3</v>
      </c>
      <c r="AV257">
        <f t="shared" si="240"/>
        <v>1.5707963267948966</v>
      </c>
      <c r="AW257" t="str">
        <f t="shared" si="217"/>
        <v>1+0,1217856020125i</v>
      </c>
      <c r="AX257">
        <f t="shared" si="241"/>
        <v>1.0073885709385169</v>
      </c>
      <c r="AY257">
        <f t="shared" si="242"/>
        <v>0.12118880681038663</v>
      </c>
      <c r="AZ257" t="str">
        <f t="shared" si="218"/>
        <v>1+17,9836738971791i</v>
      </c>
      <c r="BA257">
        <f t="shared" si="243"/>
        <v>18.011455433697769</v>
      </c>
      <c r="BB257">
        <f t="shared" si="244"/>
        <v>1.515247541923108</v>
      </c>
      <c r="BC257" s="41" t="str">
        <f t="shared" si="245"/>
        <v>-0,0858674332169018+0,0153360163651712i</v>
      </c>
      <c r="BD257">
        <f t="shared" si="246"/>
        <v>-21.187061216776023</v>
      </c>
      <c r="BE257" s="43">
        <f t="shared" si="247"/>
        <v>169.87368191530493</v>
      </c>
      <c r="BF257" s="41" t="str">
        <f t="shared" si="248"/>
        <v>0,0407465510445219+0,0354574685452309i</v>
      </c>
      <c r="BG257" s="20">
        <f t="shared" si="249"/>
        <v>-25.34987126046726</v>
      </c>
      <c r="BH257" s="43">
        <f t="shared" si="250"/>
        <v>41.02964657592559</v>
      </c>
      <c r="BI257" s="41" t="str">
        <f t="shared" si="255"/>
        <v>0,075891683661649+0,290050373012311i</v>
      </c>
      <c r="BJ257" s="20">
        <f t="shared" si="251"/>
        <v>-10.462945789821115</v>
      </c>
      <c r="BK257" s="43">
        <f t="shared" si="256"/>
        <v>75.337266856708396</v>
      </c>
      <c r="BL257">
        <f t="shared" si="252"/>
        <v>-25.34987126046726</v>
      </c>
      <c r="BM257" s="43">
        <f t="shared" si="253"/>
        <v>41.02964657592559</v>
      </c>
    </row>
    <row r="258" spans="14:65" x14ac:dyDescent="0.35">
      <c r="N258" s="9">
        <v>40</v>
      </c>
      <c r="O258" s="34">
        <f t="shared" si="254"/>
        <v>2511.8864315095811</v>
      </c>
      <c r="P258" s="33" t="str">
        <f t="shared" si="206"/>
        <v>59,1053597814893</v>
      </c>
      <c r="Q258" s="4" t="str">
        <f t="shared" si="207"/>
        <v>1+121,269080868295i</v>
      </c>
      <c r="R258" s="4">
        <f t="shared" si="219"/>
        <v>121.27320386070896</v>
      </c>
      <c r="S258" s="4">
        <f t="shared" si="220"/>
        <v>1.5625503886911996</v>
      </c>
      <c r="T258" s="4" t="str">
        <f t="shared" si="208"/>
        <v>1+0,0205174422956942i</v>
      </c>
      <c r="U258" s="4">
        <f t="shared" si="221"/>
        <v>1.0002104605723523</v>
      </c>
      <c r="V258" s="4">
        <f t="shared" si="222"/>
        <v>2.0514563977965944E-2</v>
      </c>
      <c r="W258" t="str">
        <f t="shared" si="209"/>
        <v>1-0,757567100148712i</v>
      </c>
      <c r="X258" s="4">
        <f t="shared" si="223"/>
        <v>1.2545548657702175</v>
      </c>
      <c r="Y258" s="4">
        <f t="shared" si="224"/>
        <v>-0.64832648851705077</v>
      </c>
      <c r="Z258" t="str">
        <f t="shared" si="210"/>
        <v>0,999869636912297+0,0708784370214892i</v>
      </c>
      <c r="AA258" s="4">
        <f t="shared" si="225"/>
        <v>1.0023786927372997</v>
      </c>
      <c r="AB258" s="4">
        <f t="shared" si="226"/>
        <v>7.0769296531173975E-2</v>
      </c>
      <c r="AC258" s="47" t="str">
        <f t="shared" si="227"/>
        <v>-0,38851821358209-0,470418023325296i</v>
      </c>
      <c r="AD258" s="20">
        <f t="shared" si="228"/>
        <v>-4.2917752171385324</v>
      </c>
      <c r="AE258" s="43">
        <f t="shared" si="229"/>
        <v>-129.55329816295347</v>
      </c>
      <c r="AF258" t="str">
        <f t="shared" si="211"/>
        <v>405,634542683733</v>
      </c>
      <c r="AG258" t="str">
        <f t="shared" si="212"/>
        <v>1+121,48485569819i</v>
      </c>
      <c r="AH258">
        <f t="shared" si="230"/>
        <v>121.48897136781612</v>
      </c>
      <c r="AI258">
        <f t="shared" si="231"/>
        <v>1.5625650340183275</v>
      </c>
      <c r="AJ258" t="str">
        <f t="shared" si="213"/>
        <v>1+0,0205174422956942i</v>
      </c>
      <c r="AK258">
        <f t="shared" si="232"/>
        <v>1.0002104605723523</v>
      </c>
      <c r="AL258">
        <f t="shared" si="233"/>
        <v>2.0514563977965944E-2</v>
      </c>
      <c r="AM258" t="str">
        <f t="shared" si="214"/>
        <v>1-0,110580972674489i</v>
      </c>
      <c r="AN258">
        <f t="shared" si="234"/>
        <v>1.0060954982096064</v>
      </c>
      <c r="AO258">
        <f t="shared" si="235"/>
        <v>-0.11013351741584627</v>
      </c>
      <c r="AP258" s="41" t="str">
        <f t="shared" si="236"/>
        <v>-0,273154070313096-3,34879614232518i</v>
      </c>
      <c r="AQ258">
        <f t="shared" si="237"/>
        <v>10.526573484374868</v>
      </c>
      <c r="AR258" s="43">
        <f t="shared" si="238"/>
        <v>-94.663169460336036</v>
      </c>
      <c r="AS258" t="str">
        <f t="shared" si="215"/>
        <v>-0,0000166666666666667</v>
      </c>
      <c r="AT258" t="str">
        <f t="shared" si="216"/>
        <v>0,00349585651422789i</v>
      </c>
      <c r="AU258">
        <f t="shared" si="239"/>
        <v>3.4958565142278902E-3</v>
      </c>
      <c r="AV258">
        <f t="shared" si="240"/>
        <v>1.5707963267948966</v>
      </c>
      <c r="AW258" t="str">
        <f t="shared" si="217"/>
        <v>1+0,124622353100084i</v>
      </c>
      <c r="AX258">
        <f t="shared" si="241"/>
        <v>1.0077354468769082</v>
      </c>
      <c r="AY258">
        <f t="shared" si="242"/>
        <v>0.1239831403326485</v>
      </c>
      <c r="AZ258" t="str">
        <f t="shared" si="218"/>
        <v>1+18,4025674744458i</v>
      </c>
      <c r="BA258">
        <f t="shared" si="243"/>
        <v>18.42971756841462</v>
      </c>
      <c r="BB258">
        <f t="shared" si="244"/>
        <v>1.5165094750152681</v>
      </c>
      <c r="BC258" s="41" t="str">
        <f t="shared" si="245"/>
        <v>-0,0858083299665197+0,0154611848352876i</v>
      </c>
      <c r="BD258">
        <f t="shared" si="246"/>
        <v>-21.190654090960077</v>
      </c>
      <c r="BE258" s="43">
        <f t="shared" si="247"/>
        <v>169.78588183813602</v>
      </c>
      <c r="BF258" s="41" t="str">
        <f t="shared" si="248"/>
        <v>0,0406113190775378+0,0343588330556265i</v>
      </c>
      <c r="BG258" s="20">
        <f t="shared" si="249"/>
        <v>-25.48242930809861</v>
      </c>
      <c r="BH258" s="43">
        <f t="shared" si="250"/>
        <v>40.232583675182539</v>
      </c>
      <c r="BI258" s="41" t="str">
        <f t="shared" si="255"/>
        <v>0,0752152507293118+0,283131318801625i</v>
      </c>
      <c r="BJ258" s="20">
        <f t="shared" si="251"/>
        <v>-10.66408060658522</v>
      </c>
      <c r="BK258" s="43">
        <f t="shared" si="256"/>
        <v>75.122712377799971</v>
      </c>
      <c r="BL258">
        <f t="shared" si="252"/>
        <v>-25.48242930809861</v>
      </c>
      <c r="BM258" s="43">
        <f t="shared" si="253"/>
        <v>40.232583675182539</v>
      </c>
    </row>
    <row r="259" spans="14:65" x14ac:dyDescent="0.35">
      <c r="N259" s="9">
        <v>41</v>
      </c>
      <c r="O259" s="34">
        <f t="shared" si="254"/>
        <v>2570.3957827688669</v>
      </c>
      <c r="P259" s="33" t="str">
        <f t="shared" si="206"/>
        <v>59,1053597814893</v>
      </c>
      <c r="Q259" s="4" t="str">
        <f t="shared" si="207"/>
        <v>1+124,093800632854i</v>
      </c>
      <c r="R259" s="4">
        <f t="shared" si="219"/>
        <v>124.0978297775852</v>
      </c>
      <c r="S259" s="4">
        <f t="shared" si="220"/>
        <v>1.5627380809381508</v>
      </c>
      <c r="T259" s="4" t="str">
        <f t="shared" si="208"/>
        <v>1+0,0209953549207086i</v>
      </c>
      <c r="U259" s="4">
        <f t="shared" si="221"/>
        <v>1.0002203781808519</v>
      </c>
      <c r="V259" s="4">
        <f t="shared" si="222"/>
        <v>2.0992270784395896E-2</v>
      </c>
      <c r="W259" t="str">
        <f t="shared" si="209"/>
        <v>1-0,775213104764627i</v>
      </c>
      <c r="X259" s="4">
        <f t="shared" si="223"/>
        <v>1.2652886460404253</v>
      </c>
      <c r="Y259" s="4">
        <f t="shared" si="224"/>
        <v>-0.65944319306663002</v>
      </c>
      <c r="Z259" t="str">
        <f t="shared" si="210"/>
        <v>0,999863493089255+0,0725294079079025i</v>
      </c>
      <c r="AA259" s="4">
        <f t="shared" si="225"/>
        <v>1.0024906582228672</v>
      </c>
      <c r="AB259" s="4">
        <f t="shared" si="226"/>
        <v>7.2412477439968842E-2</v>
      </c>
      <c r="AC259" s="47" t="str">
        <f t="shared" si="227"/>
        <v>-0,388635583994525-0,45878629325072i</v>
      </c>
      <c r="AD259" s="20">
        <f t="shared" si="228"/>
        <v>-4.418646924337736</v>
      </c>
      <c r="AE259" s="43">
        <f t="shared" si="229"/>
        <v>-130.2677691365331</v>
      </c>
      <c r="AF259" t="str">
        <f t="shared" si="211"/>
        <v>405,634542683733</v>
      </c>
      <c r="AG259" t="str">
        <f t="shared" si="212"/>
        <v>1+124,314601504196i</v>
      </c>
      <c r="AH259">
        <f t="shared" si="230"/>
        <v>124.31862349281</v>
      </c>
      <c r="AI259">
        <f t="shared" si="231"/>
        <v>1.5627523929406535</v>
      </c>
      <c r="AJ259" t="str">
        <f t="shared" si="213"/>
        <v>1+0,0209953549207086i</v>
      </c>
      <c r="AK259">
        <f t="shared" si="232"/>
        <v>1.0002203781808519</v>
      </c>
      <c r="AL259">
        <f t="shared" si="233"/>
        <v>2.0992270784395896E-2</v>
      </c>
      <c r="AM259" t="str">
        <f t="shared" si="214"/>
        <v>1-0,113156734417394i</v>
      </c>
      <c r="AN259">
        <f t="shared" si="234"/>
        <v>1.0063818592085256</v>
      </c>
      <c r="AO259">
        <f t="shared" si="235"/>
        <v>-0.11267744152637361</v>
      </c>
      <c r="AP259" s="41" t="str">
        <f t="shared" si="236"/>
        <v>-0,274391837487248-3,2729270920086i</v>
      </c>
      <c r="AQ259">
        <f t="shared" si="237"/>
        <v>10.329144731140079</v>
      </c>
      <c r="AR259" s="43">
        <f t="shared" si="238"/>
        <v>-94.792289866921124</v>
      </c>
      <c r="AS259" t="str">
        <f t="shared" si="215"/>
        <v>-0,0000166666666666667</v>
      </c>
      <c r="AT259" t="str">
        <f t="shared" si="216"/>
        <v>0,00357728547302843i</v>
      </c>
      <c r="AU259">
        <f t="shared" si="239"/>
        <v>3.5772854730284302E-3</v>
      </c>
      <c r="AV259">
        <f t="shared" si="240"/>
        <v>1.5707963267948966</v>
      </c>
      <c r="AW259" t="str">
        <f t="shared" si="217"/>
        <v>1+0,127525180608854i</v>
      </c>
      <c r="AX259">
        <f t="shared" si="241"/>
        <v>1.0080985426481486</v>
      </c>
      <c r="AY259">
        <f t="shared" si="242"/>
        <v>0.12684054861402475</v>
      </c>
      <c r="AZ259" t="str">
        <f t="shared" si="218"/>
        <v>1+18,831218336574i</v>
      </c>
      <c r="BA259">
        <f t="shared" si="243"/>
        <v>18.857751298596575</v>
      </c>
      <c r="BB259">
        <f t="shared" si="244"/>
        <v>1.5177428502617882</v>
      </c>
      <c r="BC259" s="41" t="str">
        <f t="shared" si="245"/>
        <v>-0,0857465284075473+0,0155938677002154i</v>
      </c>
      <c r="BD259">
        <f t="shared" si="246"/>
        <v>-21.194358647380827</v>
      </c>
      <c r="BE259" s="43">
        <f t="shared" si="247"/>
        <v>169.69283159944899</v>
      </c>
      <c r="BF259" s="41" t="str">
        <f t="shared" si="248"/>
        <v>0,0404784049027942+0,0332790000468096i</v>
      </c>
      <c r="BG259" s="20">
        <f t="shared" si="249"/>
        <v>-25.613005571718567</v>
      </c>
      <c r="BH259" s="43">
        <f t="shared" si="250"/>
        <v>39.425062462915875</v>
      </c>
      <c r="BI259" s="41" t="str">
        <f t="shared" si="255"/>
        <v>0,0745657395531322+0,276363305858951i</v>
      </c>
      <c r="BJ259" s="20">
        <f t="shared" si="251"/>
        <v>-10.865213916240759</v>
      </c>
      <c r="BK259" s="43">
        <f t="shared" si="256"/>
        <v>74.900541732527856</v>
      </c>
      <c r="BL259">
        <f t="shared" si="252"/>
        <v>-25.613005571718567</v>
      </c>
      <c r="BM259" s="43">
        <f t="shared" si="253"/>
        <v>39.425062462915875</v>
      </c>
    </row>
    <row r="260" spans="14:65" x14ac:dyDescent="0.35">
      <c r="N260" s="9">
        <v>42</v>
      </c>
      <c r="O260" s="34">
        <f t="shared" si="254"/>
        <v>2630.2679918953822</v>
      </c>
      <c r="P260" s="33" t="str">
        <f t="shared" si="206"/>
        <v>59,1053597814893</v>
      </c>
      <c r="Q260" s="4" t="str">
        <f t="shared" si="207"/>
        <v>1+126,984316573084i</v>
      </c>
      <c r="R260" s="4">
        <f t="shared" si="219"/>
        <v>126.9882540061608</v>
      </c>
      <c r="S260" s="4">
        <f t="shared" si="220"/>
        <v>1.5629215013365862</v>
      </c>
      <c r="T260" s="4" t="str">
        <f t="shared" si="208"/>
        <v>1+0,0214843995608083i</v>
      </c>
      <c r="U260" s="4">
        <f t="shared" si="221"/>
        <v>1.0002307630864431</v>
      </c>
      <c r="V260" s="4">
        <f t="shared" si="222"/>
        <v>2.1481094890385837E-2</v>
      </c>
      <c r="W260" t="str">
        <f t="shared" si="209"/>
        <v>1-0,793270137629848i</v>
      </c>
      <c r="X260" s="4">
        <f t="shared" si="223"/>
        <v>1.2764315536899258</v>
      </c>
      <c r="Y260" s="4">
        <f t="shared" si="224"/>
        <v>-0.6706238750392487</v>
      </c>
      <c r="Z260" t="str">
        <f t="shared" si="210"/>
        <v>0,999857059716752+0,0742188348464288i</v>
      </c>
      <c r="AA260" s="4">
        <f t="shared" si="225"/>
        <v>1.0026078871180848</v>
      </c>
      <c r="AB260" s="4">
        <f t="shared" si="226"/>
        <v>7.4093559173917065E-2</v>
      </c>
      <c r="AC260" s="47" t="str">
        <f t="shared" si="227"/>
        <v>-0,38874174270277-0,447398113932442i</v>
      </c>
      <c r="AD260" s="20">
        <f t="shared" si="228"/>
        <v>-4.5434012870369198</v>
      </c>
      <c r="AE260" s="43">
        <f t="shared" si="229"/>
        <v>-130.98719557052348</v>
      </c>
      <c r="AF260" t="str">
        <f t="shared" si="211"/>
        <v>405,634542683733</v>
      </c>
      <c r="AG260" t="str">
        <f t="shared" si="212"/>
        <v>1+127,210260557418i</v>
      </c>
      <c r="AH260">
        <f t="shared" si="230"/>
        <v>127.21419099725541</v>
      </c>
      <c r="AI260">
        <f t="shared" si="231"/>
        <v>1.5629354875989405</v>
      </c>
      <c r="AJ260" t="str">
        <f t="shared" si="213"/>
        <v>1+0,0214843995608083i</v>
      </c>
      <c r="AK260">
        <f t="shared" si="232"/>
        <v>1.0002307630864431</v>
      </c>
      <c r="AL260">
        <f t="shared" si="233"/>
        <v>2.1481094890385837E-2</v>
      </c>
      <c r="AM260" t="str">
        <f t="shared" si="214"/>
        <v>1-0,115792493358694i</v>
      </c>
      <c r="AN260">
        <f t="shared" si="234"/>
        <v>1.0066816286782148</v>
      </c>
      <c r="AO260">
        <f t="shared" si="235"/>
        <v>-0.11527910569463569</v>
      </c>
      <c r="AP260" s="41" t="str">
        <f t="shared" si="236"/>
        <v>-0,275573903008667-3,19879249452278i</v>
      </c>
      <c r="AQ260">
        <f t="shared" si="237"/>
        <v>10.131834427998388</v>
      </c>
      <c r="AR260" s="43">
        <f t="shared" si="238"/>
        <v>-94.923837236446715</v>
      </c>
      <c r="AS260" t="str">
        <f t="shared" si="215"/>
        <v>-0,0000166666666666667</v>
      </c>
      <c r="AT260" t="str">
        <f t="shared" si="216"/>
        <v>0,00366061115593773i</v>
      </c>
      <c r="AU260">
        <f t="shared" si="239"/>
        <v>3.66061115593773E-3</v>
      </c>
      <c r="AV260">
        <f t="shared" si="240"/>
        <v>1.5707963267948966</v>
      </c>
      <c r="AW260" t="str">
        <f t="shared" si="217"/>
        <v>1+0,130495623656377i</v>
      </c>
      <c r="AX260">
        <f t="shared" si="241"/>
        <v>1.008478610478907</v>
      </c>
      <c r="AY260">
        <f t="shared" si="242"/>
        <v>0.1297623599496798</v>
      </c>
      <c r="AZ260" t="str">
        <f t="shared" si="218"/>
        <v>1+19,269853759925i</v>
      </c>
      <c r="BA260">
        <f t="shared" si="243"/>
        <v>19.295783579033415</v>
      </c>
      <c r="BB260">
        <f t="shared" si="244"/>
        <v>1.5189483065962157</v>
      </c>
      <c r="BC260" s="41" t="str">
        <f t="shared" si="245"/>
        <v>-0,0856819095734617+0,0157340880208575i</v>
      </c>
      <c r="BD260">
        <f t="shared" si="246"/>
        <v>-21.198182424845761</v>
      </c>
      <c r="BE260" s="43">
        <f t="shared" si="247"/>
        <v>169.59449170173247</v>
      </c>
      <c r="BF260" s="41" t="str">
        <f t="shared" si="248"/>
        <v>0,0403475361506673+0,0322174279442299i</v>
      </c>
      <c r="BG260" s="20">
        <f t="shared" si="249"/>
        <v>-25.741583711882679</v>
      </c>
      <c r="BH260" s="43">
        <f t="shared" si="250"/>
        <v>38.607296131208997</v>
      </c>
      <c r="BI260" s="41" t="str">
        <f t="shared" si="255"/>
        <v>0,0739417809076743+0,269742745213779i</v>
      </c>
      <c r="BJ260" s="20">
        <f t="shared" si="251"/>
        <v>-11.066347996847375</v>
      </c>
      <c r="BK260" s="43">
        <f t="shared" si="256"/>
        <v>74.670654465285736</v>
      </c>
      <c r="BL260">
        <f t="shared" si="252"/>
        <v>-25.741583711882679</v>
      </c>
      <c r="BM260" s="43">
        <f t="shared" si="253"/>
        <v>38.607296131208997</v>
      </c>
    </row>
    <row r="261" spans="14:65" x14ac:dyDescent="0.35">
      <c r="N261" s="9">
        <v>43</v>
      </c>
      <c r="O261" s="34">
        <f t="shared" si="254"/>
        <v>2691.5348039269184</v>
      </c>
      <c r="P261" s="33" t="str">
        <f t="shared" si="206"/>
        <v>59,1053597814893</v>
      </c>
      <c r="Q261" s="4" t="str">
        <f t="shared" si="207"/>
        <v>1+129,942161278798i</v>
      </c>
      <c r="R261" s="4">
        <f t="shared" si="219"/>
        <v>129.94600908764053</v>
      </c>
      <c r="S261" s="4">
        <f t="shared" si="220"/>
        <v>1.5631007470890339</v>
      </c>
      <c r="T261" s="4" t="str">
        <f t="shared" si="208"/>
        <v>1+0,0219848355139349i</v>
      </c>
      <c r="U261" s="4">
        <f t="shared" si="221"/>
        <v>1.0002416373019947</v>
      </c>
      <c r="V261" s="4">
        <f t="shared" si="222"/>
        <v>2.1981294541979262E-2</v>
      </c>
      <c r="W261" t="str">
        <f t="shared" si="209"/>
        <v>1-0,811747772822214i</v>
      </c>
      <c r="X261" s="4">
        <f t="shared" si="223"/>
        <v>1.2879962914084127</v>
      </c>
      <c r="Y261" s="4">
        <f t="shared" si="224"/>
        <v>-0.68186328178084754</v>
      </c>
      <c r="Z261" t="str">
        <f t="shared" si="210"/>
        <v>0,999850323148745+0,0759476135935934i</v>
      </c>
      <c r="AA261" s="4">
        <f t="shared" si="225"/>
        <v>1.0027306261958948</v>
      </c>
      <c r="AB261" s="4">
        <f t="shared" si="226"/>
        <v>7.5813398011764913E-2</v>
      </c>
      <c r="AC261" s="47" t="str">
        <f t="shared" si="227"/>
        <v>-0,388836919096795-0,436247486331764i</v>
      </c>
      <c r="AD261" s="20">
        <f t="shared" si="228"/>
        <v>-4.6660163755119859</v>
      </c>
      <c r="AE261" s="43">
        <f t="shared" si="229"/>
        <v>-131.71131634406001</v>
      </c>
      <c r="AF261" t="str">
        <f t="shared" si="211"/>
        <v>405,634542683733</v>
      </c>
      <c r="AG261" t="str">
        <f t="shared" si="212"/>
        <v>1+130,173368174615i</v>
      </c>
      <c r="AH261">
        <f t="shared" si="230"/>
        <v>130.1772091493894</v>
      </c>
      <c r="AI261">
        <f t="shared" si="231"/>
        <v>1.5631144150232681</v>
      </c>
      <c r="AJ261" t="str">
        <f t="shared" si="213"/>
        <v>1+0,0219848355139349i</v>
      </c>
      <c r="AK261">
        <f t="shared" si="232"/>
        <v>1.0002416373019947</v>
      </c>
      <c r="AL261">
        <f t="shared" si="233"/>
        <v>2.1981294541979262E-2</v>
      </c>
      <c r="AM261" t="str">
        <f t="shared" si="214"/>
        <v>1-0,118489647012667i</v>
      </c>
      <c r="AN261">
        <f t="shared" si="234"/>
        <v>1.0069954302027326</v>
      </c>
      <c r="AO261">
        <f t="shared" si="235"/>
        <v>-0.11793974840308023</v>
      </c>
      <c r="AP261" s="41" t="str">
        <f t="shared" si="236"/>
        <v>-0,276702773244699-3,12635310254875i</v>
      </c>
      <c r="AQ261">
        <f t="shared" si="237"/>
        <v>9.9346480686349672</v>
      </c>
      <c r="AR261" s="43">
        <f t="shared" si="238"/>
        <v>-95.057873291735717</v>
      </c>
      <c r="AS261" t="str">
        <f t="shared" si="215"/>
        <v>-0,0000166666666666667</v>
      </c>
      <c r="AT261" t="str">
        <f t="shared" si="216"/>
        <v>0,00374587774333584i</v>
      </c>
      <c r="AU261">
        <f t="shared" si="239"/>
        <v>3.7458777433358398E-3</v>
      </c>
      <c r="AV261">
        <f t="shared" si="240"/>
        <v>1.5707963267948966</v>
      </c>
      <c r="AW261" t="str">
        <f t="shared" si="217"/>
        <v>1+0,133535257210878i</v>
      </c>
      <c r="AX261">
        <f t="shared" si="241"/>
        <v>1.0088764368932279</v>
      </c>
      <c r="AY261">
        <f t="shared" si="242"/>
        <v>0.13274992386895182</v>
      </c>
      <c r="AZ261" t="str">
        <f t="shared" si="218"/>
        <v>1+19,7187063148063i</v>
      </c>
      <c r="BA261">
        <f t="shared" si="243"/>
        <v>19.74404666550355</v>
      </c>
      <c r="BB261">
        <f t="shared" si="244"/>
        <v>1.5201264691460763</v>
      </c>
      <c r="BC261" s="41" t="str">
        <f t="shared" si="245"/>
        <v>-0,0856143496523335+0,0158818696602762i</v>
      </c>
      <c r="BD261">
        <f t="shared" si="246"/>
        <v>-21.202133186867588</v>
      </c>
      <c r="BE261" s="43">
        <f t="shared" si="247"/>
        <v>169.49082063981999</v>
      </c>
      <c r="BF261" s="41" t="str">
        <f t="shared" si="248"/>
        <v>0,0402184456668333+0,0311735875615606i</v>
      </c>
      <c r="BG261" s="20">
        <f t="shared" si="249"/>
        <v>-25.868149562379571</v>
      </c>
      <c r="BH261" s="43">
        <f t="shared" si="250"/>
        <v>37.779504295760006</v>
      </c>
      <c r="BI261" s="41" t="str">
        <f t="shared" si="255"/>
        <v>0,0733420604650214+0,263266130278957i</v>
      </c>
      <c r="BJ261" s="20">
        <f t="shared" si="251"/>
        <v>-11.267485118232621</v>
      </c>
      <c r="BK261" s="43">
        <f t="shared" si="256"/>
        <v>74.432947348084241</v>
      </c>
      <c r="BL261">
        <f t="shared" si="252"/>
        <v>-25.868149562379571</v>
      </c>
      <c r="BM261" s="43">
        <f t="shared" si="253"/>
        <v>37.779504295760006</v>
      </c>
    </row>
    <row r="262" spans="14:65" x14ac:dyDescent="0.35">
      <c r="N262" s="9">
        <v>44</v>
      </c>
      <c r="O262" s="34">
        <f t="shared" si="254"/>
        <v>2754.228703338169</v>
      </c>
      <c r="P262" s="33" t="str">
        <f t="shared" si="206"/>
        <v>59,1053597814893</v>
      </c>
      <c r="Q262" s="4" t="str">
        <f t="shared" si="207"/>
        <v>1+132,96890303841i</v>
      </c>
      <c r="R262" s="4">
        <f t="shared" si="219"/>
        <v>132.97266326293564</v>
      </c>
      <c r="S262" s="4">
        <f t="shared" si="220"/>
        <v>1.5632759131878662</v>
      </c>
      <c r="T262" s="4" t="str">
        <f t="shared" si="208"/>
        <v>1+0,0224969281178547i</v>
      </c>
      <c r="U262" s="4">
        <f t="shared" si="221"/>
        <v>1.0002530238768288</v>
      </c>
      <c r="V262" s="4">
        <f t="shared" si="222"/>
        <v>2.2493133949879954E-2</v>
      </c>
      <c r="W262" t="str">
        <f t="shared" si="209"/>
        <v>1-0,830655807428483i</v>
      </c>
      <c r="X262" s="4">
        <f t="shared" si="223"/>
        <v>1.2999957963065361</v>
      </c>
      <c r="Y262" s="4">
        <f t="shared" si="224"/>
        <v>-0.69315601474563071</v>
      </c>
      <c r="Z262" t="str">
        <f t="shared" si="210"/>
        <v>0,999843269096068+0,0777166607707708i</v>
      </c>
      <c r="AA262" s="4">
        <f t="shared" si="225"/>
        <v>1.0028591337361752</v>
      </c>
      <c r="AB262" s="4">
        <f t="shared" si="226"/>
        <v>7.7572868301778578E-2</v>
      </c>
      <c r="AC262" s="47" t="str">
        <f t="shared" si="227"/>
        <v>-0,388921319699454-0,425328538903519i</v>
      </c>
      <c r="AD262" s="20">
        <f t="shared" si="228"/>
        <v>-4.7864723046951507</v>
      </c>
      <c r="AE262" s="43">
        <f t="shared" si="229"/>
        <v>-132.43986254422239</v>
      </c>
      <c r="AF262" t="str">
        <f t="shared" si="211"/>
        <v>405,634542683733</v>
      </c>
      <c r="AG262" t="str">
        <f t="shared" si="212"/>
        <v>1+133,205495434666i</v>
      </c>
      <c r="AH262">
        <f t="shared" si="230"/>
        <v>133.20924898067261</v>
      </c>
      <c r="AI262">
        <f t="shared" si="231"/>
        <v>1.563289270037471</v>
      </c>
      <c r="AJ262" t="str">
        <f t="shared" si="213"/>
        <v>1+0,0224969281178547i</v>
      </c>
      <c r="AK262">
        <f t="shared" si="232"/>
        <v>1.0002530238768288</v>
      </c>
      <c r="AL262">
        <f t="shared" si="233"/>
        <v>2.2493133949879954E-2</v>
      </c>
      <c r="AM262" t="str">
        <f t="shared" si="214"/>
        <v>1-0,121249625445883i</v>
      </c>
      <c r="AN262">
        <f t="shared" si="234"/>
        <v>1.007323915962868</v>
      </c>
      <c r="AO262">
        <f t="shared" si="235"/>
        <v>-0.12066062960052831</v>
      </c>
      <c r="AP262" s="41" t="str">
        <f t="shared" si="236"/>
        <v>-0,277780841812137-3,05557056359566i</v>
      </c>
      <c r="AQ262">
        <f t="shared" si="237"/>
        <v>9.7375913896063029</v>
      </c>
      <c r="AR262" s="43">
        <f t="shared" si="238"/>
        <v>-95.194460517385366</v>
      </c>
      <c r="AS262" t="str">
        <f t="shared" si="215"/>
        <v>-0,0000166666666666667</v>
      </c>
      <c r="AT262" t="str">
        <f t="shared" si="216"/>
        <v>0,00383313044469601i</v>
      </c>
      <c r="AU262">
        <f t="shared" si="239"/>
        <v>3.8331304446960102E-3</v>
      </c>
      <c r="AV262">
        <f t="shared" si="240"/>
        <v>1.5707963267948966</v>
      </c>
      <c r="AW262" t="str">
        <f t="shared" si="217"/>
        <v>1+0,1366456929263i</v>
      </c>
      <c r="AX262">
        <f t="shared" si="241"/>
        <v>1.0092928442207982</v>
      </c>
      <c r="AY262">
        <f t="shared" si="242"/>
        <v>0.13580461097982058</v>
      </c>
      <c r="AZ262" t="str">
        <f t="shared" si="218"/>
        <v>1+20,1780139887835i</v>
      </c>
      <c r="BA262">
        <f t="shared" si="243"/>
        <v>20.202778237943974</v>
      </c>
      <c r="BB262">
        <f t="shared" si="244"/>
        <v>1.5212779494983746</v>
      </c>
      <c r="BC262" s="41" t="str">
        <f t="shared" si="245"/>
        <v>-0,0855437198276332+0,0160372370899145i</v>
      </c>
      <c r="BD262">
        <f t="shared" si="246"/>
        <v>-21.206218935339244</v>
      </c>
      <c r="BE262" s="43">
        <f t="shared" si="247"/>
        <v>169.3817749250131</v>
      </c>
      <c r="BF262" s="41" t="str">
        <f t="shared" si="248"/>
        <v>0,0400908710268661+0,0301469619533166i</v>
      </c>
      <c r="BG262" s="20">
        <f t="shared" si="249"/>
        <v>-25.9926912400344</v>
      </c>
      <c r="BH262" s="43">
        <f t="shared" si="250"/>
        <v>36.941912380790683</v>
      </c>
      <c r="BI262" s="41" t="str">
        <f t="shared" si="255"/>
        <v>0,0727653160788088+0,256930034986613i</v>
      </c>
      <c r="BJ262" s="20">
        <f t="shared" si="251"/>
        <v>-11.468627545732947</v>
      </c>
      <c r="BK262" s="43">
        <f t="shared" si="256"/>
        <v>74.187314407627724</v>
      </c>
      <c r="BL262">
        <f t="shared" si="252"/>
        <v>-25.9926912400344</v>
      </c>
      <c r="BM262" s="43">
        <f t="shared" si="253"/>
        <v>36.941912380790683</v>
      </c>
    </row>
    <row r="263" spans="14:65" x14ac:dyDescent="0.35">
      <c r="N263" s="9">
        <v>45</v>
      </c>
      <c r="O263" s="34">
        <f t="shared" si="254"/>
        <v>2818.3829312644561</v>
      </c>
      <c r="P263" s="33" t="str">
        <f t="shared" si="206"/>
        <v>59,1053597814893</v>
      </c>
      <c r="Q263" s="4" t="str">
        <f t="shared" si="207"/>
        <v>1+136,066146670464i</v>
      </c>
      <c r="R263" s="4">
        <f t="shared" si="219"/>
        <v>136.06982130416802</v>
      </c>
      <c r="S263" s="4">
        <f t="shared" si="220"/>
        <v>1.5634470924654451</v>
      </c>
      <c r="T263" s="4" t="str">
        <f t="shared" si="208"/>
        <v>1+0,0230209488908446i</v>
      </c>
      <c r="U263" s="4">
        <f t="shared" si="221"/>
        <v>1.0002649469454754</v>
      </c>
      <c r="V263" s="4">
        <f t="shared" si="222"/>
        <v>2.3016883424770259E-2</v>
      </c>
      <c r="W263" t="str">
        <f t="shared" si="209"/>
        <v>1-0,850004266738878i</v>
      </c>
      <c r="X263" s="4">
        <f t="shared" si="223"/>
        <v>1.3124432381913884</v>
      </c>
      <c r="Y263" s="4">
        <f t="shared" si="224"/>
        <v>-0.70449654129876016</v>
      </c>
      <c r="Z263" t="str">
        <f t="shared" si="210"/>
        <v>0,999835882596131+0,0795269143501904i</v>
      </c>
      <c r="AA263" s="4">
        <f t="shared" si="225"/>
        <v>1.0029936800562835</v>
      </c>
      <c r="AB263" s="4">
        <f t="shared" si="226"/>
        <v>7.9372862751226736E-2</v>
      </c>
      <c r="AC263" s="47" t="str">
        <f t="shared" si="227"/>
        <v>-0,388995128642856-0,414635524669696i</v>
      </c>
      <c r="AD263" s="20">
        <f t="shared" si="228"/>
        <v>-4.9047513242736445</v>
      </c>
      <c r="AE263" s="43">
        <f t="shared" si="229"/>
        <v>-133.17255815398508</v>
      </c>
      <c r="AF263" t="str">
        <f t="shared" si="211"/>
        <v>405,634542683733</v>
      </c>
      <c r="AG263" t="str">
        <f t="shared" si="212"/>
        <v>1+136,30825001158i</v>
      </c>
      <c r="AH263">
        <f t="shared" si="230"/>
        <v>136.31191811877417</v>
      </c>
      <c r="AI263">
        <f t="shared" si="231"/>
        <v>1.5634601453091996</v>
      </c>
      <c r="AJ263" t="str">
        <f t="shared" si="213"/>
        <v>1+0,0230209488908446i</v>
      </c>
      <c r="AK263">
        <f t="shared" si="232"/>
        <v>1.0002649469454754</v>
      </c>
      <c r="AL263">
        <f t="shared" si="233"/>
        <v>2.3016883424770259E-2</v>
      </c>
      <c r="AM263" t="str">
        <f t="shared" si="214"/>
        <v>1-0,124073892035438i</v>
      </c>
      <c r="AN263">
        <f t="shared" si="234"/>
        <v>1.0076677680092885</v>
      </c>
      <c r="AO263">
        <f t="shared" si="235"/>
        <v>-0.12344303070189422</v>
      </c>
      <c r="AP263" s="41" t="str">
        <f t="shared" si="236"/>
        <v>-0,278810394646998-2,98640739993205i</v>
      </c>
      <c r="AQ263">
        <f t="shared" si="237"/>
        <v>9.5406703806300222</v>
      </c>
      <c r="AR263" s="43">
        <f t="shared" si="238"/>
        <v>-95.333662154865962</v>
      </c>
      <c r="AS263" t="str">
        <f t="shared" si="215"/>
        <v>-0,0000166666666666667</v>
      </c>
      <c r="AT263" t="str">
        <f t="shared" si="216"/>
        <v>0,00392241552255543i</v>
      </c>
      <c r="AU263">
        <f t="shared" si="239"/>
        <v>3.9224155225554298E-3</v>
      </c>
      <c r="AV263">
        <f t="shared" si="240"/>
        <v>1.5707963267948966</v>
      </c>
      <c r="AW263" t="str">
        <f t="shared" si="217"/>
        <v>1+0,13982857999683i</v>
      </c>
      <c r="AX263">
        <f t="shared" si="241"/>
        <v>1.0097286921663313</v>
      </c>
      <c r="AY263">
        <f t="shared" si="242"/>
        <v>0.13892781276841668</v>
      </c>
      <c r="AZ263" t="str">
        <f t="shared" si="218"/>
        <v>1+20,6480203128652i</v>
      </c>
      <c r="BA263">
        <f t="shared" si="243"/>
        <v>20.672221526495257</v>
      </c>
      <c r="BB263">
        <f t="shared" si="244"/>
        <v>1.5224033459622528</v>
      </c>
      <c r="BC263" s="41" t="str">
        <f t="shared" si="245"/>
        <v>-0,0854698861175985+0,0162002151839137i</v>
      </c>
      <c r="BD263">
        <f t="shared" si="246"/>
        <v>-21.210447924473787</v>
      </c>
      <c r="BE263" s="43">
        <f t="shared" si="247"/>
        <v>169.26730911161803</v>
      </c>
      <c r="BF263" s="41" t="str">
        <f t="shared" si="248"/>
        <v>0,0399645540679495+0,0291370462843212i</v>
      </c>
      <c r="BG263" s="20">
        <f t="shared" si="249"/>
        <v>-26.11519924874743</v>
      </c>
      <c r="BH263" s="43">
        <f t="shared" si="250"/>
        <v>36.094750957632989</v>
      </c>
      <c r="BI263" s="41" t="str">
        <f t="shared" si="255"/>
        <v>0,072210335184613+0,250731111984152i</v>
      </c>
      <c r="BJ263" s="20">
        <f t="shared" si="251"/>
        <v>-11.669777543843782</v>
      </c>
      <c r="BK263" s="43">
        <f t="shared" si="256"/>
        <v>73.933646956752042</v>
      </c>
      <c r="BL263">
        <f t="shared" si="252"/>
        <v>-26.11519924874743</v>
      </c>
      <c r="BM263" s="43">
        <f t="shared" si="253"/>
        <v>36.094750957632989</v>
      </c>
    </row>
    <row r="264" spans="14:65" x14ac:dyDescent="0.35">
      <c r="N264" s="9">
        <v>46</v>
      </c>
      <c r="O264" s="34">
        <f t="shared" si="254"/>
        <v>2884.0315031266077</v>
      </c>
      <c r="P264" s="33" t="str">
        <f t="shared" si="206"/>
        <v>59,1053597814893</v>
      </c>
      <c r="Q264" s="4" t="str">
        <f t="shared" si="207"/>
        <v>1+139,235534374531i</v>
      </c>
      <c r="R264" s="4">
        <f t="shared" si="219"/>
        <v>139.23912536554229</v>
      </c>
      <c r="S264" s="4">
        <f t="shared" si="220"/>
        <v>1.5636143756431389</v>
      </c>
      <c r="T264" s="4" t="str">
        <f t="shared" si="208"/>
        <v>1+0,0235571756756547i</v>
      </c>
      <c r="U264" s="4">
        <f t="shared" si="221"/>
        <v>1.0002774317787109</v>
      </c>
      <c r="V264" s="4">
        <f t="shared" si="222"/>
        <v>2.3552819515523234E-2</v>
      </c>
      <c r="W264" t="str">
        <f t="shared" si="209"/>
        <v>1-0,869803409562635i</v>
      </c>
      <c r="X264" s="4">
        <f t="shared" si="223"/>
        <v>1.3253520178755474</v>
      </c>
      <c r="Y264" s="4">
        <f t="shared" si="224"/>
        <v>-0.71587920732060506</v>
      </c>
      <c r="Z264" t="str">
        <f t="shared" si="210"/>
        <v>0,999828147981177+0,0813793341522615i</v>
      </c>
      <c r="AA264" s="4">
        <f t="shared" si="225"/>
        <v>1.0031345480654805</v>
      </c>
      <c r="AB264" s="4">
        <f t="shared" si="226"/>
        <v>8.1214292713537861E-2</v>
      </c>
      <c r="AC264" s="47" t="str">
        <f t="shared" si="227"/>
        <v>-0,389058508101055-0,404162818366496i</v>
      </c>
      <c r="AD264" s="20">
        <f t="shared" si="228"/>
        <v>-5.0208379020631702</v>
      </c>
      <c r="AE264" s="43">
        <f t="shared" si="229"/>
        <v>-133.90912078572967</v>
      </c>
      <c r="AF264" t="str">
        <f t="shared" si="211"/>
        <v>405,634542683733</v>
      </c>
      <c r="AG264" t="str">
        <f t="shared" si="212"/>
        <v>1+139,483277026902i</v>
      </c>
      <c r="AH264">
        <f t="shared" si="230"/>
        <v>139.48686163995333</v>
      </c>
      <c r="AI264">
        <f t="shared" si="231"/>
        <v>1.5636271313988477</v>
      </c>
      <c r="AJ264" t="str">
        <f t="shared" si="213"/>
        <v>1+0,0235571756756547i</v>
      </c>
      <c r="AK264">
        <f t="shared" si="232"/>
        <v>1.0002774317787109</v>
      </c>
      <c r="AL264">
        <f t="shared" si="233"/>
        <v>2.3552819515523234E-2</v>
      </c>
      <c r="AM264" t="str">
        <f t="shared" si="214"/>
        <v>1-0,126963944244863i</v>
      </c>
      <c r="AN264">
        <f t="shared" si="234"/>
        <v>1.0080276995887625</v>
      </c>
      <c r="AO264">
        <f t="shared" si="235"/>
        <v>-0.12628825455538711</v>
      </c>
      <c r="AP264" s="41" t="str">
        <f t="shared" si="236"/>
        <v>-0,279793614846624-2,91882698896342i</v>
      </c>
      <c r="AQ264">
        <f t="shared" si="237"/>
        <v>9.3438912952392066</v>
      </c>
      <c r="AR264" s="43">
        <f t="shared" si="238"/>
        <v>-95.475542195526415</v>
      </c>
      <c r="AS264" t="str">
        <f t="shared" si="215"/>
        <v>-0,0000166666666666667</v>
      </c>
      <c r="AT264" t="str">
        <f t="shared" si="216"/>
        <v>0,00401378031704423i</v>
      </c>
      <c r="AU264">
        <f t="shared" si="239"/>
        <v>4.0137803170442301E-3</v>
      </c>
      <c r="AV264">
        <f t="shared" si="240"/>
        <v>1.5707963267948966</v>
      </c>
      <c r="AW264" t="str">
        <f t="shared" si="217"/>
        <v>1+0,143085606031325i</v>
      </c>
      <c r="AX264">
        <f t="shared" si="241"/>
        <v>1.0101848794420512</v>
      </c>
      <c r="AY264">
        <f t="shared" si="242"/>
        <v>0.14212094135013878</v>
      </c>
      <c r="AZ264" t="str">
        <f t="shared" si="218"/>
        <v>1+21,1289744906256i</v>
      </c>
      <c r="BA264">
        <f t="shared" si="243"/>
        <v>21.152625440486275</v>
      </c>
      <c r="BB264">
        <f t="shared" si="244"/>
        <v>1.5235032438286613</v>
      </c>
      <c r="BC264" s="41" t="str">
        <f t="shared" si="245"/>
        <v>-0,0853927092135897+0,016370829000826i</v>
      </c>
      <c r="BD264">
        <f t="shared" si="246"/>
        <v>-21.214828675016868</v>
      </c>
      <c r="BE264" s="43">
        <f t="shared" si="247"/>
        <v>169.14737582608342</v>
      </c>
      <c r="BF264" s="41" t="str">
        <f t="shared" si="248"/>
        <v>0,0398392404373162+0,0281433477162762i</v>
      </c>
      <c r="BG264" s="20">
        <f t="shared" si="249"/>
        <v>-26.235666577080046</v>
      </c>
      <c r="BH264" s="43">
        <f t="shared" si="250"/>
        <v>35.238255040353756</v>
      </c>
      <c r="BI264" s="41" t="str">
        <f t="shared" si="255"/>
        <v>0,0716759523117329+0,244666090889154i</v>
      </c>
      <c r="BJ264" s="20">
        <f t="shared" si="251"/>
        <v>-11.87093737977766</v>
      </c>
      <c r="BK264" s="43">
        <f t="shared" si="256"/>
        <v>73.671833630557003</v>
      </c>
      <c r="BL264">
        <f t="shared" si="252"/>
        <v>-26.235666577080046</v>
      </c>
      <c r="BM264" s="43">
        <f t="shared" si="253"/>
        <v>35.238255040353756</v>
      </c>
    </row>
    <row r="265" spans="14:65" x14ac:dyDescent="0.35">
      <c r="N265" s="9">
        <v>47</v>
      </c>
      <c r="O265" s="34">
        <f t="shared" si="254"/>
        <v>2951.2092266663876</v>
      </c>
      <c r="P265" s="33" t="str">
        <f t="shared" si="206"/>
        <v>59,1053597814893</v>
      </c>
      <c r="Q265" s="4" t="str">
        <f t="shared" si="207"/>
        <v>1+142,478746601924i</v>
      </c>
      <c r="R265" s="4">
        <f t="shared" si="219"/>
        <v>142.48225585403705</v>
      </c>
      <c r="S265" s="4">
        <f t="shared" si="220"/>
        <v>1.5637778513792318</v>
      </c>
      <c r="T265" s="4" t="str">
        <f t="shared" si="208"/>
        <v>1+0,024105892786824i</v>
      </c>
      <c r="U265" s="4">
        <f t="shared" si="221"/>
        <v>1.0002905048369948</v>
      </c>
      <c r="V265" s="4">
        <f t="shared" si="222"/>
        <v>2.4101225150357682E-2</v>
      </c>
      <c r="W265" t="str">
        <f t="shared" si="209"/>
        <v>1-0,89006373366735i</v>
      </c>
      <c r="X265" s="4">
        <f t="shared" si="223"/>
        <v>1.3387357655601286</v>
      </c>
      <c r="Y265" s="4">
        <f t="shared" si="224"/>
        <v>-0.7272982505490645</v>
      </c>
      <c r="Z265" t="str">
        <f t="shared" si="210"/>
        <v>0,99982004884505+0,083274902354483i</v>
      </c>
      <c r="AA265" s="4">
        <f t="shared" si="225"/>
        <v>1.0032820338442561</v>
      </c>
      <c r="AB265" s="4">
        <f t="shared" si="226"/>
        <v>8.3098088472468828E-2</v>
      </c>
      <c r="AC265" s="47" t="str">
        <f t="shared" si="227"/>
        <v>-0,38911159868031-0,39390491366413i</v>
      </c>
      <c r="AD265" s="20">
        <f t="shared" si="228"/>
        <v>-5.1347188000045385</v>
      </c>
      <c r="AE265" s="43">
        <f t="shared" si="229"/>
        <v>-134.64926245664296</v>
      </c>
      <c r="AF265" t="str">
        <f t="shared" si="211"/>
        <v>405,634542683733</v>
      </c>
      <c r="AG265" t="str">
        <f t="shared" si="212"/>
        <v>1+142,732259921984i</v>
      </c>
      <c r="AH265">
        <f t="shared" si="230"/>
        <v>142.73576294130635</v>
      </c>
      <c r="AI265">
        <f t="shared" si="231"/>
        <v>1.5637903168073783</v>
      </c>
      <c r="AJ265" t="str">
        <f t="shared" si="213"/>
        <v>1+0,024105892786824i</v>
      </c>
      <c r="AK265">
        <f t="shared" si="232"/>
        <v>1.0002905048369948</v>
      </c>
      <c r="AL265">
        <f t="shared" si="233"/>
        <v>2.4101225150357682E-2</v>
      </c>
      <c r="AM265" t="str">
        <f t="shared" si="214"/>
        <v>1-0,129921314418092i</v>
      </c>
      <c r="AN265">
        <f t="shared" si="234"/>
        <v>1.0084044565253194</v>
      </c>
      <c r="AO265">
        <f t="shared" si="235"/>
        <v>-0.12919762537446114</v>
      </c>
      <c r="AP265" s="41" t="str">
        <f t="shared" si="236"/>
        <v>-0,280732587294149-2,85279354404632i</v>
      </c>
      <c r="AQ265">
        <f t="shared" si="237"/>
        <v>9.147260661806591</v>
      </c>
      <c r="AR265" s="43">
        <f t="shared" si="238"/>
        <v>-95.620165371347596</v>
      </c>
      <c r="AS265" t="str">
        <f t="shared" si="215"/>
        <v>-0,0000166666666666667</v>
      </c>
      <c r="AT265" t="str">
        <f t="shared" si="216"/>
        <v>0,00410727327098578i</v>
      </c>
      <c r="AU265">
        <f t="shared" si="239"/>
        <v>4.1072732709857796E-3</v>
      </c>
      <c r="AV265">
        <f t="shared" si="240"/>
        <v>1.5707963267948966</v>
      </c>
      <c r="AW265" t="str">
        <f t="shared" si="217"/>
        <v>1+0,1464184979481i</v>
      </c>
      <c r="AX265">
        <f t="shared" si="241"/>
        <v>1.0106623454652783</v>
      </c>
      <c r="AY265">
        <f t="shared" si="242"/>
        <v>0.14538542916877845</v>
      </c>
      <c r="AZ265" t="str">
        <f t="shared" si="218"/>
        <v>1+21,621131530336i</v>
      </c>
      <c r="BA265">
        <f t="shared" si="243"/>
        <v>21.644244700429937</v>
      </c>
      <c r="BB265">
        <f t="shared" si="244"/>
        <v>1.524578215626923</v>
      </c>
      <c r="BC265" s="41" t="str">
        <f t="shared" si="245"/>
        <v>-0,0853120443179358+0,0165491035520054i</v>
      </c>
      <c r="BD265">
        <f t="shared" si="246"/>
        <v>-21.219369988736219</v>
      </c>
      <c r="BE265" s="43">
        <f t="shared" si="247"/>
        <v>169.02192579893949</v>
      </c>
      <c r="BF265" s="41" t="str">
        <f t="shared" si="248"/>
        <v>0,0397146791571089+0,0271653853117201i</v>
      </c>
      <c r="BG265" s="20">
        <f t="shared" si="249"/>
        <v>-26.354088788740757</v>
      </c>
      <c r="BH265" s="43">
        <f t="shared" si="250"/>
        <v>34.372663342296512</v>
      </c>
      <c r="BI265" s="41" t="str">
        <f t="shared" si="255"/>
        <v>0,0711610467016422+0,238731776602048i</v>
      </c>
      <c r="BJ265" s="20">
        <f t="shared" si="251"/>
        <v>-12.072109326929612</v>
      </c>
      <c r="BK265" s="43">
        <f t="shared" si="256"/>
        <v>73.401760427591924</v>
      </c>
      <c r="BL265">
        <f t="shared" si="252"/>
        <v>-26.354088788740757</v>
      </c>
      <c r="BM265" s="43">
        <f t="shared" si="253"/>
        <v>34.372663342296512</v>
      </c>
    </row>
    <row r="266" spans="14:65" x14ac:dyDescent="0.35">
      <c r="N266" s="9">
        <v>48</v>
      </c>
      <c r="O266" s="34">
        <f t="shared" si="254"/>
        <v>3019.9517204020176</v>
      </c>
      <c r="P266" s="33" t="str">
        <f t="shared" si="206"/>
        <v>59,1053597814893</v>
      </c>
      <c r="Q266" s="4" t="str">
        <f t="shared" si="207"/>
        <v>1+145,797502946694i</v>
      </c>
      <c r="R266" s="4">
        <f t="shared" si="219"/>
        <v>145.80093232037731</v>
      </c>
      <c r="S266" s="4">
        <f t="shared" si="220"/>
        <v>1.5639376063157522</v>
      </c>
      <c r="T266" s="4" t="str">
        <f t="shared" si="208"/>
        <v>1+0,0246673911614282i</v>
      </c>
      <c r="U266" s="4">
        <f t="shared" si="221"/>
        <v>1.0003041938264134</v>
      </c>
      <c r="V266" s="4">
        <f t="shared" si="222"/>
        <v>2.4662389780985946E-2</v>
      </c>
      <c r="W266" t="str">
        <f t="shared" si="209"/>
        <v>1-0,910795981345043i</v>
      </c>
      <c r="X266" s="4">
        <f t="shared" si="223"/>
        <v>1.3526083393334081</v>
      </c>
      <c r="Y266" s="4">
        <f t="shared" si="224"/>
        <v>-0.73874781458835248</v>
      </c>
      <c r="Z266" t="str">
        <f t="shared" si="210"/>
        <v>0,999811568008398+0,0852146240122065i</v>
      </c>
      <c r="AA266" s="4">
        <f t="shared" si="225"/>
        <v>1.0034364472496267</v>
      </c>
      <c r="AB266" s="4">
        <f t="shared" si="226"/>
        <v>8.5025199522566985E-2</v>
      </c>
      <c r="AC266" s="47" t="str">
        <f t="shared" si="227"/>
        <v>-0,3891545197681-0,383856420458721i</v>
      </c>
      <c r="AD266" s="20">
        <f t="shared" si="228"/>
        <v>-5.2463831421841505</v>
      </c>
      <c r="AE266" s="43">
        <f t="shared" si="229"/>
        <v>-135.39269040185448</v>
      </c>
      <c r="AF266" t="str">
        <f t="shared" si="211"/>
        <v>405,634542683733</v>
      </c>
      <c r="AG266" t="str">
        <f t="shared" si="212"/>
        <v>1+146,056921350562i</v>
      </c>
      <c r="AH266">
        <f t="shared" si="230"/>
        <v>146.06034463332014</v>
      </c>
      <c r="AI266">
        <f t="shared" si="231"/>
        <v>1.5639497880230708</v>
      </c>
      <c r="AJ266" t="str">
        <f t="shared" si="213"/>
        <v>1+0,0246673911614282i</v>
      </c>
      <c r="AK266">
        <f t="shared" si="232"/>
        <v>1.0003041938264134</v>
      </c>
      <c r="AL266">
        <f t="shared" si="233"/>
        <v>2.4662389780985946E-2</v>
      </c>
      <c r="AM266" t="str">
        <f t="shared" si="214"/>
        <v>1-0,132947570591938i</v>
      </c>
      <c r="AN266">
        <f t="shared" si="234"/>
        <v>1.0087988186582588</v>
      </c>
      <c r="AO266">
        <f t="shared" si="235"/>
        <v>-0.13217248863167472</v>
      </c>
      <c r="AP266" s="41" t="str">
        <f t="shared" si="236"/>
        <v>-0,281629303075261-2,78827209573046i</v>
      </c>
      <c r="AQ266">
        <f t="shared" si="237"/>
        <v>8.9507852949467512</v>
      </c>
      <c r="AR266" s="43">
        <f t="shared" si="238"/>
        <v>-95.767597143280469</v>
      </c>
      <c r="AS266" t="str">
        <f t="shared" si="215"/>
        <v>-0,0000166666666666667</v>
      </c>
      <c r="AT266" t="str">
        <f t="shared" si="216"/>
        <v>0,0042029439555818i</v>
      </c>
      <c r="AU266">
        <f t="shared" si="239"/>
        <v>4.2029439555818001E-3</v>
      </c>
      <c r="AV266">
        <f t="shared" si="240"/>
        <v>1.5707963267948966</v>
      </c>
      <c r="AW266" t="str">
        <f t="shared" si="217"/>
        <v>1+0,149829022890564i</v>
      </c>
      <c r="AX266">
        <f t="shared" si="241"/>
        <v>1.0111620721231296</v>
      </c>
      <c r="AY266">
        <f t="shared" si="242"/>
        <v>0.14872272863987887</v>
      </c>
      <c r="AZ266" t="str">
        <f t="shared" si="218"/>
        <v>1+22,1247523801733i</v>
      </c>
      <c r="BA266">
        <f t="shared" si="243"/>
        <v>22.147339973097992</v>
      </c>
      <c r="BB266">
        <f t="shared" si="244"/>
        <v>1.5256288213780691</v>
      </c>
      <c r="BC266" s="41" t="str">
        <f t="shared" si="245"/>
        <v>-0,0852277409818097+0,0167350635559432i</v>
      </c>
      <c r="BD266">
        <f t="shared" si="246"/>
        <v>-21.224080963193849</v>
      </c>
      <c r="BE266" s="43">
        <f t="shared" si="247"/>
        <v>168.89090789974702</v>
      </c>
      <c r="BF266" s="41" t="str">
        <f t="shared" si="248"/>
        <v>0,0395906222054297+0,0262026899556588i</v>
      </c>
      <c r="BG266" s="20">
        <f t="shared" si="249"/>
        <v>-26.470464105378003</v>
      </c>
      <c r="BH266" s="43">
        <f t="shared" si="250"/>
        <v>33.498217497892554</v>
      </c>
      <c r="BI266" s="41" t="str">
        <f t="shared" si="255"/>
        <v>0,0706645400286981+0,232925047675543i</v>
      </c>
      <c r="BJ266" s="20">
        <f t="shared" si="251"/>
        <v>-12.273295668247094</v>
      </c>
      <c r="BK266" s="43">
        <f t="shared" si="256"/>
        <v>73.12331075646658</v>
      </c>
      <c r="BL266">
        <f t="shared" si="252"/>
        <v>-26.470464105378003</v>
      </c>
      <c r="BM266" s="43">
        <f t="shared" si="253"/>
        <v>33.498217497892554</v>
      </c>
    </row>
    <row r="267" spans="14:65" x14ac:dyDescent="0.35">
      <c r="N267" s="9">
        <v>49</v>
      </c>
      <c r="O267" s="34">
        <f t="shared" si="254"/>
        <v>3090.295432513592</v>
      </c>
      <c r="P267" s="33" t="str">
        <f t="shared" si="206"/>
        <v>59,1053597814893</v>
      </c>
      <c r="Q267" s="4" t="str">
        <f t="shared" si="207"/>
        <v>1+149,193563057384i</v>
      </c>
      <c r="R267" s="4">
        <f t="shared" si="219"/>
        <v>149.1969143707658</v>
      </c>
      <c r="S267" s="4">
        <f t="shared" si="220"/>
        <v>1.5640937251242459</v>
      </c>
      <c r="T267" s="4" t="str">
        <f t="shared" si="208"/>
        <v>1+0,0252419685133377i</v>
      </c>
      <c r="U267" s="4">
        <f t="shared" si="221"/>
        <v>1.0003185277572482</v>
      </c>
      <c r="V267" s="4">
        <f t="shared" si="222"/>
        <v>2.5236609529801283E-2</v>
      </c>
      <c r="W267" t="str">
        <f t="shared" si="209"/>
        <v>1-0,932011145107854i</v>
      </c>
      <c r="X267" s="4">
        <f t="shared" si="223"/>
        <v>1.3669838238272072</v>
      </c>
      <c r="Y267" s="4">
        <f t="shared" si="224"/>
        <v>-0.75022196350507497</v>
      </c>
      <c r="Z267" t="str">
        <f t="shared" si="210"/>
        <v>0,999802687482227+0,0871995275915302i</v>
      </c>
      <c r="AA267" s="4">
        <f t="shared" si="225"/>
        <v>1.0035981125474827</v>
      </c>
      <c r="AB267" s="4">
        <f t="shared" si="226"/>
        <v>8.6996594845151876E-2</v>
      </c>
      <c r="AC267" s="47" t="str">
        <f t="shared" si="227"/>
        <v>-0,389187369842002-0,374012062235722i</v>
      </c>
      <c r="AD267" s="20">
        <f t="shared" si="228"/>
        <v>-5.3558224743400951</v>
      </c>
      <c r="AE267" s="43">
        <f t="shared" si="229"/>
        <v>-136.13910792073236</v>
      </c>
      <c r="AF267" t="str">
        <f t="shared" si="211"/>
        <v>405,634542683733</v>
      </c>
      <c r="AG267" t="str">
        <f t="shared" si="212"/>
        <v>1+149,459024092131i</v>
      </c>
      <c r="AH267">
        <f t="shared" si="230"/>
        <v>149.46236945322457</v>
      </c>
      <c r="AI267">
        <f t="shared" si="231"/>
        <v>1.564105629567212</v>
      </c>
      <c r="AJ267" t="str">
        <f t="shared" si="213"/>
        <v>1+0,0252419685133377i</v>
      </c>
      <c r="AK267">
        <f t="shared" si="232"/>
        <v>1.0003185277572482</v>
      </c>
      <c r="AL267">
        <f t="shared" si="233"/>
        <v>2.5236609529801283E-2</v>
      </c>
      <c r="AM267" t="str">
        <f t="shared" si="214"/>
        <v>1-0,136044317327481i</v>
      </c>
      <c r="AN267">
        <f t="shared" si="234"/>
        <v>1.0092116013389365</v>
      </c>
      <c r="AO267">
        <f t="shared" si="235"/>
        <v>-0.13521421091140162</v>
      </c>
      <c r="AP267" s="41" t="str">
        <f t="shared" si="236"/>
        <v>-0,282485663696448-2,72522847341954i</v>
      </c>
      <c r="AQ267">
        <f t="shared" si="237"/>
        <v>8.7544723073009383</v>
      </c>
      <c r="AR267" s="43">
        <f t="shared" si="238"/>
        <v>-95.917903686991636</v>
      </c>
      <c r="AS267" t="str">
        <f t="shared" si="215"/>
        <v>-0,0000166666666666667</v>
      </c>
      <c r="AT267" t="str">
        <f t="shared" si="216"/>
        <v>0,00430084309669561i</v>
      </c>
      <c r="AU267">
        <f t="shared" si="239"/>
        <v>4.3008430966956102E-3</v>
      </c>
      <c r="AV267">
        <f t="shared" si="240"/>
        <v>1.5707963267948966</v>
      </c>
      <c r="AW267" t="str">
        <f t="shared" si="217"/>
        <v>1+0,153318989164187i</v>
      </c>
      <c r="AX267">
        <f t="shared" si="241"/>
        <v>1.0116850856063502</v>
      </c>
      <c r="AY267">
        <f t="shared" si="242"/>
        <v>0.15213431173434627</v>
      </c>
      <c r="AZ267" t="str">
        <f t="shared" si="218"/>
        <v>1+22,6401040665783i</v>
      </c>
      <c r="BA267">
        <f t="shared" si="243"/>
        <v>22.662178009747766</v>
      </c>
      <c r="BB267">
        <f t="shared" si="244"/>
        <v>1.52665560884486</v>
      </c>
      <c r="BC267" s="41" t="str">
        <f t="shared" si="245"/>
        <v>-0,0851396429437578+0,0169287331777994i</v>
      </c>
      <c r="BD267">
        <f t="shared" si="246"/>
        <v>-21.228971006803331</v>
      </c>
      <c r="BE267" s="43">
        <f t="shared" si="247"/>
        <v>168.75426917527983</v>
      </c>
      <c r="BF267" s="41" t="str">
        <f t="shared" si="248"/>
        <v>0,0394668241134353+0,0252548042951831i</v>
      </c>
      <c r="BG267" s="20">
        <f t="shared" si="249"/>
        <v>-26.584793481143425</v>
      </c>
      <c r="BH267" s="43">
        <f t="shared" si="250"/>
        <v>32.615161254547502</v>
      </c>
      <c r="BI267" s="41" t="str">
        <f t="shared" si="255"/>
        <v>0,070185394218907+0,227242854739831i</v>
      </c>
      <c r="BJ267" s="20">
        <f t="shared" si="251"/>
        <v>-12.474498699502391</v>
      </c>
      <c r="BK267" s="43">
        <f t="shared" si="256"/>
        <v>72.836365488288209</v>
      </c>
      <c r="BL267">
        <f t="shared" si="252"/>
        <v>-26.584793481143425</v>
      </c>
      <c r="BM267" s="43">
        <f t="shared" si="253"/>
        <v>32.615161254547502</v>
      </c>
    </row>
    <row r="268" spans="14:65" x14ac:dyDescent="0.35">
      <c r="N268" s="9">
        <v>50</v>
      </c>
      <c r="O268" s="34">
        <f t="shared" si="254"/>
        <v>3162.2776601683804</v>
      </c>
      <c r="P268" s="33" t="str">
        <f t="shared" si="206"/>
        <v>59,1053597814893</v>
      </c>
      <c r="Q268" s="4" t="str">
        <f t="shared" si="207"/>
        <v>1+152,668727570018i</v>
      </c>
      <c r="R268" s="4">
        <f t="shared" si="219"/>
        <v>152.67200259984926</v>
      </c>
      <c r="S268" s="4">
        <f t="shared" si="220"/>
        <v>1.5642462905505132</v>
      </c>
      <c r="T268" s="4" t="str">
        <f t="shared" si="208"/>
        <v>1+0,0258299294910699i</v>
      </c>
      <c r="U268" s="4">
        <f t="shared" si="221"/>
        <v>1.0003335370052899</v>
      </c>
      <c r="V268" s="4">
        <f t="shared" si="222"/>
        <v>2.5824187340155399E-2</v>
      </c>
      <c r="W268" t="str">
        <f t="shared" si="209"/>
        <v>1-0,953720473516427i</v>
      </c>
      <c r="X268" s="4">
        <f t="shared" si="223"/>
        <v>1.3818765290735631</v>
      </c>
      <c r="Y268" s="4">
        <f t="shared" si="224"/>
        <v>-0.76171469692573701</v>
      </c>
      <c r="Z268" t="str">
        <f t="shared" si="210"/>
        <v>0,999793388429752+0,0892306655146049i</v>
      </c>
      <c r="AA268" s="4">
        <f t="shared" si="225"/>
        <v>1.0037673690731455</v>
      </c>
      <c r="AB268" s="4">
        <f t="shared" si="226"/>
        <v>8.9013263178977189E-2</v>
      </c>
      <c r="AC268" s="47" t="str">
        <f t="shared" si="227"/>
        <v>-0,389210226739595-0,364366673504438i</v>
      </c>
      <c r="AD268" s="20">
        <f t="shared" si="228"/>
        <v>-5.4630308143818525</v>
      </c>
      <c r="AE268" s="43">
        <f t="shared" si="229"/>
        <v>-136.888215251367</v>
      </c>
      <c r="AF268" t="str">
        <f t="shared" si="211"/>
        <v>405,634542683733</v>
      </c>
      <c r="AG268" t="str">
        <f t="shared" si="212"/>
        <v>1+152,940371986598i</v>
      </c>
      <c r="AH268">
        <f t="shared" si="230"/>
        <v>152.94364119962282</v>
      </c>
      <c r="AI268">
        <f t="shared" si="231"/>
        <v>1.5642579240387549</v>
      </c>
      <c r="AJ268" t="str">
        <f t="shared" si="213"/>
        <v>1+0,0258299294910699i</v>
      </c>
      <c r="AK268">
        <f t="shared" si="232"/>
        <v>1.0003335370052899</v>
      </c>
      <c r="AL268">
        <f t="shared" si="233"/>
        <v>2.5824187340155399E-2</v>
      </c>
      <c r="AM268" t="str">
        <f t="shared" si="214"/>
        <v>1-0,139213196560831i</v>
      </c>
      <c r="AN268">
        <f t="shared" si="234"/>
        <v>1.0096436569882885</v>
      </c>
      <c r="AO268">
        <f t="shared" si="235"/>
        <v>-0.13832417971821154</v>
      </c>
      <c r="AP268" s="41" t="str">
        <f t="shared" si="236"/>
        <v>-0,283303485113694-2,66362928744209i</v>
      </c>
      <c r="AQ268">
        <f t="shared" si="237"/>
        <v>8.5583291217097699</v>
      </c>
      <c r="AR268" s="43">
        <f t="shared" si="238"/>
        <v>-96.071151875832911</v>
      </c>
      <c r="AS268" t="str">
        <f t="shared" si="215"/>
        <v>-0,0000166666666666667</v>
      </c>
      <c r="AT268" t="str">
        <f t="shared" si="216"/>
        <v>0,00440102260174767i</v>
      </c>
      <c r="AU268">
        <f t="shared" si="239"/>
        <v>4.40102260174767E-3</v>
      </c>
      <c r="AV268">
        <f t="shared" si="240"/>
        <v>1.5707963267948966</v>
      </c>
      <c r="AW268" t="str">
        <f t="shared" si="217"/>
        <v>1+0,156890247195281i</v>
      </c>
      <c r="AX268">
        <f t="shared" si="241"/>
        <v>1.0122324583142928</v>
      </c>
      <c r="AY268">
        <f t="shared" si="242"/>
        <v>0.15562166949812684</v>
      </c>
      <c r="AZ268" t="str">
        <f t="shared" si="218"/>
        <v>1+23,1674598358365i</v>
      </c>
      <c r="BA268">
        <f t="shared" si="243"/>
        <v>23.189031787573565</v>
      </c>
      <c r="BB268">
        <f t="shared" si="244"/>
        <v>1.5276591137783966</v>
      </c>
      <c r="BC268" s="41" t="str">
        <f t="shared" si="245"/>
        <v>-0,0850475879695732+0,017130135753369i</v>
      </c>
      <c r="BD268">
        <f t="shared" si="246"/>
        <v>-21.234049854173417</v>
      </c>
      <c r="BE268" s="43">
        <f t="shared" si="247"/>
        <v>168.61195489117532</v>
      </c>
      <c r="BF268" s="41" t="str">
        <f t="shared" si="248"/>
        <v>0,0393430415784277+0,0243212826974007i</v>
      </c>
      <c r="BG268" s="20">
        <f t="shared" si="249"/>
        <v>-26.697080668555273</v>
      </c>
      <c r="BH268" s="43">
        <f t="shared" si="250"/>
        <v>31.723739639808414</v>
      </c>
      <c r="BI268" s="41" t="str">
        <f t="shared" si="255"/>
        <v>0,0697226093628261+0,221682218982663i</v>
      </c>
      <c r="BJ268" s="20">
        <f t="shared" si="251"/>
        <v>-12.675720732463631</v>
      </c>
      <c r="BK268" s="43">
        <f t="shared" si="256"/>
        <v>72.540803015342448</v>
      </c>
      <c r="BL268">
        <f t="shared" si="252"/>
        <v>-26.697080668555273</v>
      </c>
      <c r="BM268" s="43">
        <f t="shared" si="253"/>
        <v>31.723739639808414</v>
      </c>
    </row>
    <row r="269" spans="14:65" x14ac:dyDescent="0.35">
      <c r="N269" s="9">
        <v>51</v>
      </c>
      <c r="O269" s="34">
        <f t="shared" si="254"/>
        <v>3235.9365692962833</v>
      </c>
      <c r="P269" s="33" t="str">
        <f t="shared" si="206"/>
        <v>59,1053597814893</v>
      </c>
      <c r="Q269" s="4" t="str">
        <f t="shared" si="207"/>
        <v>1+156,224839062819i</v>
      </c>
      <c r="R269" s="4">
        <f t="shared" si="219"/>
        <v>156.22803954541482</v>
      </c>
      <c r="S269" s="4">
        <f t="shared" si="220"/>
        <v>1.5643953834583375</v>
      </c>
      <c r="T269" s="4" t="str">
        <f t="shared" si="208"/>
        <v>1+0,0264315858393178i</v>
      </c>
      <c r="U269" s="4">
        <f t="shared" si="221"/>
        <v>1.0003492533760303</v>
      </c>
      <c r="V269" s="4">
        <f t="shared" si="222"/>
        <v>2.6425433129772306E-2</v>
      </c>
      <c r="W269" t="str">
        <f t="shared" si="209"/>
        <v>1-0,975935477144042i</v>
      </c>
      <c r="X269" s="4">
        <f t="shared" si="223"/>
        <v>1.3973009896040183</v>
      </c>
      <c r="Y269" s="4">
        <f t="shared" si="224"/>
        <v>-0.7732199655439489</v>
      </c>
      <c r="Z269" t="str">
        <f t="shared" si="210"/>
        <v>0,999783651126436+0,0913091147176431i</v>
      </c>
      <c r="AA269" s="4">
        <f t="shared" si="225"/>
        <v>1.0039445719212921</v>
      </c>
      <c r="AB269" s="4">
        <f t="shared" si="226"/>
        <v>9.1076213284674606E-2</v>
      </c>
      <c r="AC269" s="47" t="str">
        <f t="shared" si="227"/>
        <v>-0,389223147890389-0,354915197303174i</v>
      </c>
      <c r="AD269" s="20">
        <f t="shared" si="228"/>
        <v>-5.5680046935298888</v>
      </c>
      <c r="AE269" s="43">
        <f t="shared" si="229"/>
        <v>-137.639710467936</v>
      </c>
      <c r="AF269" t="str">
        <f t="shared" si="211"/>
        <v>405,634542683733</v>
      </c>
      <c r="AG269" t="str">
        <f t="shared" si="212"/>
        <v>1+156,502810890697i</v>
      </c>
      <c r="AH269">
        <f t="shared" si="230"/>
        <v>156.50600568888487</v>
      </c>
      <c r="AI269">
        <f t="shared" si="231"/>
        <v>1.5644067521579699</v>
      </c>
      <c r="AJ269" t="str">
        <f t="shared" si="213"/>
        <v>1+0,0264315858393178i</v>
      </c>
      <c r="AK269">
        <f t="shared" si="232"/>
        <v>1.0003492533760303</v>
      </c>
      <c r="AL269">
        <f t="shared" si="233"/>
        <v>2.6425433129772306E-2</v>
      </c>
      <c r="AM269" t="str">
        <f t="shared" si="214"/>
        <v>1-0,142455888473701i</v>
      </c>
      <c r="AN269">
        <f t="shared" si="234"/>
        <v>1.0100958767170727</v>
      </c>
      <c r="AO269">
        <f t="shared" si="235"/>
        <v>-0.14150380323752457</v>
      </c>
      <c r="AP269" s="41" t="str">
        <f t="shared" si="236"/>
        <v>-0,284084501580131-2,60344191152392i</v>
      </c>
      <c r="AQ269">
        <f t="shared" si="237"/>
        <v>8.3623634837785836</v>
      </c>
      <c r="AR269" s="43">
        <f t="shared" si="238"/>
        <v>-96.22740926083894</v>
      </c>
      <c r="AS269" t="str">
        <f t="shared" si="215"/>
        <v>-0,0000166666666666667</v>
      </c>
      <c r="AT269" t="str">
        <f t="shared" si="216"/>
        <v>0,00450353558723761i</v>
      </c>
      <c r="AU269">
        <f t="shared" si="239"/>
        <v>4.5035355872376096E-3</v>
      </c>
      <c r="AV269">
        <f t="shared" si="240"/>
        <v>1.5707963267948966</v>
      </c>
      <c r="AW269" t="str">
        <f t="shared" si="217"/>
        <v>1+0,160544690512126i</v>
      </c>
      <c r="AX269">
        <f t="shared" si="241"/>
        <v>1.0128053108330517</v>
      </c>
      <c r="AY269">
        <f t="shared" si="242"/>
        <v>0.15918631150359985</v>
      </c>
      <c r="AZ269" t="str">
        <f t="shared" si="218"/>
        <v>1+23,7070992989573i</v>
      </c>
      <c r="BA269">
        <f t="shared" si="243"/>
        <v>23.728180654458562</v>
      </c>
      <c r="BB269">
        <f t="shared" si="244"/>
        <v>1.5286398601612612</v>
      </c>
      <c r="BC269" s="41" t="str">
        <f t="shared" si="245"/>
        <v>-0,0849514076942783+0,0173392934967182i</v>
      </c>
      <c r="BD269">
        <f t="shared" si="246"/>
        <v>-21.239327581737811</v>
      </c>
      <c r="BE269" s="43">
        <f t="shared" si="247"/>
        <v>168.46390857729756</v>
      </c>
      <c r="BF269" s="41" t="str">
        <f t="shared" si="248"/>
        <v>0,0392190330929722+0,0234016912260091i</v>
      </c>
      <c r="BG269" s="20">
        <f t="shared" si="249"/>
        <v>-26.807332275267697</v>
      </c>
      <c r="BH269" s="43">
        <f t="shared" si="250"/>
        <v>30.824198109361522</v>
      </c>
      <c r="BI269" s="41" t="str">
        <f t="shared" si="255"/>
        <v>0,0692752217189299+0,216240230683473i</v>
      </c>
      <c r="BJ269" s="20">
        <f t="shared" si="251"/>
        <v>-12.87696409795922</v>
      </c>
      <c r="BK269" s="43">
        <f t="shared" si="256"/>
        <v>72.23649931645862</v>
      </c>
      <c r="BL269">
        <f t="shared" si="252"/>
        <v>-26.807332275267697</v>
      </c>
      <c r="BM269" s="43">
        <f t="shared" si="253"/>
        <v>30.824198109361522</v>
      </c>
    </row>
    <row r="270" spans="14:65" x14ac:dyDescent="0.35">
      <c r="N270" s="9">
        <v>52</v>
      </c>
      <c r="O270" s="34">
        <f t="shared" si="254"/>
        <v>3311.3112148259115</v>
      </c>
      <c r="P270" s="33" t="str">
        <f t="shared" si="206"/>
        <v>59,1053597814893</v>
      </c>
      <c r="Q270" s="4" t="str">
        <f t="shared" si="207"/>
        <v>1+159,863783033172i</v>
      </c>
      <c r="R270" s="4">
        <f t="shared" si="219"/>
        <v>159.86691066533152</v>
      </c>
      <c r="S270" s="4">
        <f t="shared" si="220"/>
        <v>1.5645410828722235</v>
      </c>
      <c r="T270" s="4" t="str">
        <f t="shared" si="208"/>
        <v>1+0,0270472565642412i</v>
      </c>
      <c r="U270" s="4">
        <f t="shared" si="221"/>
        <v>1.000365710171861</v>
      </c>
      <c r="V270" s="4">
        <f t="shared" si="222"/>
        <v>2.7040663947346416E-2</v>
      </c>
      <c r="W270" t="str">
        <f t="shared" si="209"/>
        <v>1-0,998667934679675i</v>
      </c>
      <c r="X270" s="4">
        <f t="shared" si="223"/>
        <v>1.4132719638333477</v>
      </c>
      <c r="Y270" s="4">
        <f t="shared" si="224"/>
        <v>-0.78473168694081363</v>
      </c>
      <c r="Z270" t="str">
        <f t="shared" si="210"/>
        <v>0,999773454918152+0,093435977221924i</v>
      </c>
      <c r="AA270" s="4">
        <f t="shared" si="225"/>
        <v>1.0041300926664802</v>
      </c>
      <c r="AB270" s="4">
        <f t="shared" si="226"/>
        <v>9.3186474202003239E-2</v>
      </c>
      <c r="AC270" s="47" t="str">
        <f>(IMDIV(IMPRODUCT(P270,T270,W270),IMPRODUCT(Q270,Z270)))</f>
        <v>-0,389226170510794-0,34565268277468i</v>
      </c>
      <c r="AD270" s="20">
        <f t="shared" si="228"/>
        <v>-5.6707431877617243</v>
      </c>
      <c r="AE270" s="43">
        <f t="shared" si="229"/>
        <v>-138.39329039536094</v>
      </c>
      <c r="AF270" t="str">
        <f t="shared" si="211"/>
        <v>405,634542683733</v>
      </c>
      <c r="AG270" t="str">
        <f t="shared" si="212"/>
        <v>1+160,148229656691i</v>
      </c>
      <c r="AH270">
        <f t="shared" si="230"/>
        <v>160.15135173382785</v>
      </c>
      <c r="AI270">
        <f t="shared" si="231"/>
        <v>1.5645521928091086</v>
      </c>
      <c r="AJ270" t="str">
        <f t="shared" si="213"/>
        <v>1+0,0270472565642412i</v>
      </c>
      <c r="AK270">
        <f t="shared" si="232"/>
        <v>1.000365710171861</v>
      </c>
      <c r="AL270">
        <f t="shared" si="233"/>
        <v>2.7040663947346416E-2</v>
      </c>
      <c r="AM270" t="str">
        <f t="shared" si="214"/>
        <v>1-0,145774112384267i</v>
      </c>
      <c r="AN270">
        <f t="shared" si="234"/>
        <v>1.0105691920108295</v>
      </c>
      <c r="AO270">
        <f t="shared" si="235"/>
        <v>-0.14475451004499137</v>
      </c>
      <c r="AP270" s="41" t="str">
        <f t="shared" si="236"/>
        <v>-0,284830369320754-2,54463446565351i</v>
      </c>
      <c r="AQ270">
        <f t="shared" si="237"/>
        <v>8.1665834748379957</v>
      </c>
      <c r="AR270" s="43">
        <f t="shared" si="238"/>
        <v>-96.386744047547722</v>
      </c>
      <c r="AS270" t="str">
        <f t="shared" si="215"/>
        <v>-0,0000166666666666667</v>
      </c>
      <c r="AT270" t="str">
        <f t="shared" si="216"/>
        <v>0,00460843640690723i</v>
      </c>
      <c r="AU270">
        <f t="shared" si="239"/>
        <v>4.6084364069072297E-3</v>
      </c>
      <c r="AV270">
        <f t="shared" si="240"/>
        <v>1.5707963267948966</v>
      </c>
      <c r="AW270" t="str">
        <f t="shared" si="217"/>
        <v>1+0,164284256748942i</v>
      </c>
      <c r="AX270">
        <f t="shared" si="241"/>
        <v>1.0134048139887399</v>
      </c>
      <c r="AY270">
        <f t="shared" si="242"/>
        <v>0.16282976522809572</v>
      </c>
      <c r="AZ270" t="str">
        <f t="shared" si="218"/>
        <v>1+24,2593085799271i</v>
      </c>
      <c r="BA270">
        <f t="shared" si="243"/>
        <v>24.279910477102767</v>
      </c>
      <c r="BB270">
        <f t="shared" si="244"/>
        <v>1.5295983604471153</v>
      </c>
      <c r="BC270" s="41" t="str">
        <f t="shared" si="245"/>
        <v>-0,0848509274670665+0,0175562271907132i</v>
      </c>
      <c r="BD270">
        <f t="shared" si="246"/>
        <v>-21.244814623668496</v>
      </c>
      <c r="BE270" s="43">
        <f t="shared" si="247"/>
        <v>168.31007207707418</v>
      </c>
      <c r="BF270" s="41" t="str">
        <f t="shared" si="248"/>
        <v>0,0390945585901672+0,0224956076368525i</v>
      </c>
      <c r="BG270" s="20">
        <f t="shared" si="249"/>
        <v>-26.915557811430233</v>
      </c>
      <c r="BH270" s="43">
        <f t="shared" si="250"/>
        <v>29.916781681713204</v>
      </c>
      <c r="BI270" s="41" t="str">
        <f t="shared" si="255"/>
        <v>0,0688423018039852+0,210914047800754i</v>
      </c>
      <c r="BJ270" s="20">
        <f t="shared" si="251"/>
        <v>-13.078231148830483</v>
      </c>
      <c r="BK270" s="43">
        <f t="shared" si="256"/>
        <v>71.923328029526473</v>
      </c>
      <c r="BL270">
        <f t="shared" si="252"/>
        <v>-26.915557811430233</v>
      </c>
      <c r="BM270" s="43">
        <f t="shared" si="253"/>
        <v>29.916781681713204</v>
      </c>
    </row>
    <row r="271" spans="14:65" x14ac:dyDescent="0.35">
      <c r="N271" s="9">
        <v>53</v>
      </c>
      <c r="O271" s="34">
        <f t="shared" si="254"/>
        <v>3388.4415613920314</v>
      </c>
      <c r="P271" s="33" t="str">
        <f t="shared" si="206"/>
        <v>59,1053597814893</v>
      </c>
      <c r="Q271" s="4" t="str">
        <f t="shared" si="207"/>
        <v>1+163,587488897336i</v>
      </c>
      <c r="R271" s="4">
        <f t="shared" si="219"/>
        <v>163.59054533724137</v>
      </c>
      <c r="S271" s="4">
        <f t="shared" si="220"/>
        <v>1.5646834660191709</v>
      </c>
      <c r="T271" s="4" t="str">
        <f t="shared" si="208"/>
        <v>1+0,0276772681026076i</v>
      </c>
      <c r="U271" s="4">
        <f t="shared" si="221"/>
        <v>1.0003829422624235</v>
      </c>
      <c r="V271" s="4">
        <f t="shared" si="222"/>
        <v>2.7670204132370761E-2</v>
      </c>
      <c r="W271" t="str">
        <f t="shared" si="209"/>
        <v>1-1,02192989917321i</v>
      </c>
      <c r="X271" s="4">
        <f t="shared" si="223"/>
        <v>1.4298044337685372</v>
      </c>
      <c r="Y271" s="4">
        <f t="shared" si="224"/>
        <v>-0.79624376161824317</v>
      </c>
      <c r="Z271" t="str">
        <f t="shared" si="210"/>
        <v>0,999762778177377+0,0956123807180991i</v>
      </c>
      <c r="AA271" s="4">
        <f t="shared" si="225"/>
        <v>1.0043243201155341</v>
      </c>
      <c r="AB271" s="4">
        <f t="shared" si="226"/>
        <v>9.5345095498861651E-2</v>
      </c>
      <c r="AC271" s="47" t="str">
        <f t="shared" si="227"/>
        <v>-0,38921931176314-0,336574282811653i</v>
      </c>
      <c r="AD271" s="20">
        <f t="shared" si="228"/>
        <v>-5.7712479393368357</v>
      </c>
      <c r="AE271" s="43">
        <f t="shared" si="229"/>
        <v>-139.14865153545227</v>
      </c>
      <c r="AF271" t="str">
        <f t="shared" si="211"/>
        <v>405,634542683733</v>
      </c>
      <c r="AG271" t="str">
        <f t="shared" si="212"/>
        <v>1+163,878561133861i</v>
      </c>
      <c r="AH271">
        <f t="shared" si="230"/>
        <v>163.88161214518433</v>
      </c>
      <c r="AI271">
        <f t="shared" si="231"/>
        <v>1.5646943230821031</v>
      </c>
      <c r="AJ271" t="str">
        <f t="shared" si="213"/>
        <v>1+0,0276772681026076i</v>
      </c>
      <c r="AK271">
        <f t="shared" si="232"/>
        <v>1.0003829422624235</v>
      </c>
      <c r="AL271">
        <f t="shared" si="233"/>
        <v>2.7670204132370761E-2</v>
      </c>
      <c r="AM271" t="str">
        <f t="shared" si="214"/>
        <v>1-0,149169627658768i</v>
      </c>
      <c r="AN271">
        <f t="shared" si="234"/>
        <v>1.0110645764815696</v>
      </c>
      <c r="AO271">
        <f t="shared" si="235"/>
        <v>-0.14807774876083107</v>
      </c>
      <c r="AP271" s="41" t="str">
        <f t="shared" si="236"/>
        <v>-0,285542670041969-2,48717579933215i</v>
      </c>
      <c r="AQ271">
        <f t="shared" si="237"/>
        <v>7.9709975253021206</v>
      </c>
      <c r="AR271" s="43">
        <f t="shared" si="238"/>
        <v>-96.549225069427635</v>
      </c>
      <c r="AS271" t="str">
        <f t="shared" si="215"/>
        <v>-0,0000166666666666667</v>
      </c>
      <c r="AT271" t="str">
        <f t="shared" si="216"/>
        <v>0,00471578068055968i</v>
      </c>
      <c r="AU271">
        <f t="shared" si="239"/>
        <v>4.7157806805596799E-3</v>
      </c>
      <c r="AV271">
        <f t="shared" si="240"/>
        <v>1.5707963267948966</v>
      </c>
      <c r="AW271" t="str">
        <f t="shared" si="217"/>
        <v>1+0,168110928673245i</v>
      </c>
      <c r="AX271">
        <f t="shared" si="241"/>
        <v>1.0140321909778707</v>
      </c>
      <c r="AY271">
        <f t="shared" si="242"/>
        <v>0.16655357535477186</v>
      </c>
      <c r="AZ271" t="str">
        <f t="shared" si="218"/>
        <v>1+24,8243804674158i</v>
      </c>
      <c r="BA271">
        <f t="shared" si="243"/>
        <v>24.844513792606509</v>
      </c>
      <c r="BB271">
        <f t="shared" si="244"/>
        <v>1.5305351157967138</v>
      </c>
      <c r="BC271" s="41" t="str">
        <f t="shared" si="245"/>
        <v>-0,0847459662001409+0,0177809558596714i</v>
      </c>
      <c r="BD271">
        <f t="shared" si="246"/>
        <v>-21.250521788068262</v>
      </c>
      <c r="BE271" s="43">
        <f t="shared" si="247"/>
        <v>168.15038560107581</v>
      </c>
      <c r="BF271" s="41" t="str">
        <f t="shared" si="248"/>
        <v>0,0389693791052957+0,0216026213928009i</v>
      </c>
      <c r="BG271" s="20">
        <f t="shared" si="249"/>
        <v>-27.021769727405108</v>
      </c>
      <c r="BH271" s="43">
        <f t="shared" si="250"/>
        <v>29.001734065623541</v>
      </c>
      <c r="BI271" s="41" t="str">
        <f t="shared" si="255"/>
        <v>0,0684229525672426+0,205700894611942i</v>
      </c>
      <c r="BJ271" s="20">
        <f t="shared" si="251"/>
        <v>-13.279524262766136</v>
      </c>
      <c r="BK271" s="43">
        <f t="shared" si="256"/>
        <v>71.60116053164819</v>
      </c>
      <c r="BL271">
        <f t="shared" si="252"/>
        <v>-27.021769727405108</v>
      </c>
      <c r="BM271" s="43">
        <f t="shared" si="253"/>
        <v>29.001734065623541</v>
      </c>
    </row>
    <row r="272" spans="14:65" x14ac:dyDescent="0.35">
      <c r="N272" s="9">
        <v>54</v>
      </c>
      <c r="O272" s="34">
        <f t="shared" si="254"/>
        <v>3467.3685045253224</v>
      </c>
      <c r="P272" s="33" t="str">
        <f t="shared" si="206"/>
        <v>59,1053597814893</v>
      </c>
      <c r="Q272" s="4" t="str">
        <f t="shared" si="207"/>
        <v>1+167,397931013449i</v>
      </c>
      <c r="R272" s="4">
        <f t="shared" si="219"/>
        <v>167.40091788154396</v>
      </c>
      <c r="S272" s="4">
        <f t="shared" si="220"/>
        <v>1.5648226083695034</v>
      </c>
      <c r="T272" s="4" t="str">
        <f t="shared" si="208"/>
        <v>1+0,028321954494874i</v>
      </c>
      <c r="U272" s="4">
        <f t="shared" si="221"/>
        <v>1.0004009861582552</v>
      </c>
      <c r="V272" s="4">
        <f t="shared" si="222"/>
        <v>2.8314385478242627E-2</v>
      </c>
      <c r="W272" t="str">
        <f t="shared" si="209"/>
        <v>1-1,04573370442612i</v>
      </c>
      <c r="X272" s="4">
        <f t="shared" si="223"/>
        <v>1.4469136050824789</v>
      </c>
      <c r="Y272" s="4">
        <f t="shared" si="224"/>
        <v>-0.80775008914241997</v>
      </c>
      <c r="Z272" t="str">
        <f t="shared" si="210"/>
        <v>0,99975159825731+0,0978394791641103i</v>
      </c>
      <c r="AA272" s="4">
        <f t="shared" si="225"/>
        <v>1.004527661093088</v>
      </c>
      <c r="AB272" s="4">
        <f t="shared" si="226"/>
        <v>9.7553147510942767E-2</v>
      </c>
      <c r="AC272" s="47" t="str">
        <f t="shared" si="227"/>
        <v>-0,389202568879691-0,3276752517721i</v>
      </c>
      <c r="AD272" s="20">
        <f t="shared" si="228"/>
        <v>-5.869523168263556</v>
      </c>
      <c r="AE272" s="43">
        <f t="shared" si="229"/>
        <v>-139.90549099858646</v>
      </c>
      <c r="AF272" t="str">
        <f t="shared" si="211"/>
        <v>405,634542683733</v>
      </c>
      <c r="AG272" t="str">
        <f t="shared" si="212"/>
        <v>1+167,695783193333i</v>
      </c>
      <c r="AH272">
        <f t="shared" si="230"/>
        <v>167.69876475640885</v>
      </c>
      <c r="AI272">
        <f t="shared" si="231"/>
        <v>1.5648332183133229</v>
      </c>
      <c r="AJ272" t="str">
        <f t="shared" si="213"/>
        <v>1+0,028321954494874i</v>
      </c>
      <c r="AK272">
        <f t="shared" si="232"/>
        <v>1.0004009861582552</v>
      </c>
      <c r="AL272">
        <f t="shared" si="233"/>
        <v>2.8314385478242627E-2</v>
      </c>
      <c r="AM272" t="str">
        <f t="shared" si="214"/>
        <v>1-0,152644234644347i</v>
      </c>
      <c r="AN272">
        <f t="shared" si="234"/>
        <v>1.0115830476882055</v>
      </c>
      <c r="AO272">
        <f t="shared" si="235"/>
        <v>-0.15147498764520262</v>
      </c>
      <c r="AP272" s="41" t="str">
        <f t="shared" si="236"/>
        <v>-0,286222914283381-2,4310354752006i</v>
      </c>
      <c r="AQ272">
        <f t="shared" si="237"/>
        <v>7.7756144284249382</v>
      </c>
      <c r="AR272" s="43">
        <f t="shared" si="238"/>
        <v>-96.714921757683726</v>
      </c>
      <c r="AS272" t="str">
        <f t="shared" si="215"/>
        <v>-0,0000166666666666667</v>
      </c>
      <c r="AT272" t="str">
        <f t="shared" si="216"/>
        <v>0,00482562532354968i</v>
      </c>
      <c r="AU272">
        <f t="shared" si="239"/>
        <v>4.8256253235496802E-3</v>
      </c>
      <c r="AV272">
        <f t="shared" si="240"/>
        <v>1.5707963267948966</v>
      </c>
      <c r="AW272" t="str">
        <f t="shared" si="217"/>
        <v>1+0,172026735237141i</v>
      </c>
      <c r="AX272">
        <f t="shared" si="241"/>
        <v>1.0146887195767722</v>
      </c>
      <c r="AY272">
        <f t="shared" si="242"/>
        <v>0.17035930299088262</v>
      </c>
      <c r="AZ272" t="str">
        <f t="shared" si="218"/>
        <v>1+25,4026145700178i</v>
      </c>
      <c r="BA272">
        <f t="shared" si="243"/>
        <v>25.422289963590625</v>
      </c>
      <c r="BB272">
        <f t="shared" si="244"/>
        <v>1.5314506163102919</v>
      </c>
      <c r="BC272" s="41" t="str">
        <f t="shared" si="245"/>
        <v>-0,08463633622249+0,0180134964233699i</v>
      </c>
      <c r="BD272">
        <f t="shared" si="246"/>
        <v>-21.256460273434378</v>
      </c>
      <c r="BE272" s="43">
        <f t="shared" si="247"/>
        <v>167.98478778512055</v>
      </c>
      <c r="BF272" s="41" t="str">
        <f t="shared" si="248"/>
        <v>0,0388432564541819+0,0207223336982918i</v>
      </c>
      <c r="BG272" s="20">
        <f t="shared" si="249"/>
        <v>-27.125983441697944</v>
      </c>
      <c r="BH272" s="43">
        <f t="shared" si="250"/>
        <v>28.079296786534051</v>
      </c>
      <c r="BI272" s="41" t="str">
        <f t="shared" si="255"/>
        <v>0,0680163076454805+0,200598060405149i</v>
      </c>
      <c r="BJ272" s="20">
        <f t="shared" si="251"/>
        <v>-13.480845845009423</v>
      </c>
      <c r="BK272" s="43">
        <f t="shared" si="256"/>
        <v>71.269866027436848</v>
      </c>
      <c r="BL272">
        <f t="shared" si="252"/>
        <v>-27.125983441697944</v>
      </c>
      <c r="BM272" s="43">
        <f t="shared" si="253"/>
        <v>28.079296786534051</v>
      </c>
    </row>
    <row r="273" spans="14:65" x14ac:dyDescent="0.35">
      <c r="N273" s="9">
        <v>55</v>
      </c>
      <c r="O273" s="34">
        <f t="shared" si="254"/>
        <v>3548.1338923357539</v>
      </c>
      <c r="P273" s="33" t="str">
        <f t="shared" si="206"/>
        <v>59,1053597814893</v>
      </c>
      <c r="Q273" s="4" t="str">
        <f t="shared" si="207"/>
        <v>1+171,297129728359i</v>
      </c>
      <c r="R273" s="4">
        <f t="shared" si="219"/>
        <v>171.30004860820753</v>
      </c>
      <c r="S273" s="4">
        <f t="shared" si="220"/>
        <v>1.5649585836767737</v>
      </c>
      <c r="T273" s="4" t="str">
        <f t="shared" si="208"/>
        <v>1+0,0289816575622989i</v>
      </c>
      <c r="U273" s="4">
        <f t="shared" si="221"/>
        <v>1.0004198800878852</v>
      </c>
      <c r="V273" s="4">
        <f t="shared" si="222"/>
        <v>2.8973547398688657E-2</v>
      </c>
      <c r="W273" t="str">
        <f t="shared" si="209"/>
        <v>1-1,07009197153104i</v>
      </c>
      <c r="X273" s="4">
        <f t="shared" si="223"/>
        <v>1.4646149075901105</v>
      </c>
      <c r="Y273" s="4">
        <f t="shared" si="224"/>
        <v>-0.81924458429331748</v>
      </c>
      <c r="Z273" t="str">
        <f t="shared" si="210"/>
        <v>0,999739891443844+0,100118453397032i</v>
      </c>
      <c r="AA273" s="4">
        <f t="shared" si="225"/>
        <v>1.0047405412616546</v>
      </c>
      <c r="AB273" s="4">
        <f t="shared" si="226"/>
        <v>9.9811721570817288E-2</v>
      </c>
      <c r="AC273" s="47" t="str">
        <f t="shared" si="227"/>
        <v>-0,389175919252584-0,318950943264432i</v>
      </c>
      <c r="AD273" s="20">
        <f t="shared" si="228"/>
        <v>-5.965575673663416</v>
      </c>
      <c r="AE273" s="43">
        <f t="shared" si="229"/>
        <v>-140.66350743488226</v>
      </c>
      <c r="AF273" t="str">
        <f t="shared" si="211"/>
        <v>405,634542683733</v>
      </c>
      <c r="AG273" t="str">
        <f t="shared" si="212"/>
        <v>1+171,60191977677i</v>
      </c>
      <c r="AH273">
        <f t="shared" si="230"/>
        <v>171.60483347235007</v>
      </c>
      <c r="AI273">
        <f t="shared" si="231"/>
        <v>1.5649689521254093</v>
      </c>
      <c r="AJ273" t="str">
        <f t="shared" si="213"/>
        <v>1+0,0289816575622989i</v>
      </c>
      <c r="AK273">
        <f t="shared" si="232"/>
        <v>1.0004198800878852</v>
      </c>
      <c r="AL273">
        <f t="shared" si="233"/>
        <v>2.8973547398688657E-2</v>
      </c>
      <c r="AM273" t="str">
        <f t="shared" si="214"/>
        <v>1-0,156199775623618i</v>
      </c>
      <c r="AN273">
        <f t="shared" si="234"/>
        <v>1.0121256690277491</v>
      </c>
      <c r="AO273">
        <f t="shared" si="235"/>
        <v>-0.1549477141304649</v>
      </c>
      <c r="AP273" s="41" t="str">
        <f t="shared" si="236"/>
        <v>-0,286872544618921-2,37618375303437i</v>
      </c>
      <c r="AQ273">
        <f t="shared" si="237"/>
        <v>7.5804433544546317</v>
      </c>
      <c r="AR273" s="43">
        <f t="shared" si="238"/>
        <v>-96.883904107205055</v>
      </c>
      <c r="AS273" t="str">
        <f t="shared" si="215"/>
        <v>-0,0000166666666666667</v>
      </c>
      <c r="AT273" t="str">
        <f t="shared" si="216"/>
        <v>0,00493802857696093i</v>
      </c>
      <c r="AU273">
        <f t="shared" si="239"/>
        <v>4.9380285769609301E-3</v>
      </c>
      <c r="AV273">
        <f t="shared" si="240"/>
        <v>1.5707963267948966</v>
      </c>
      <c r="AW273" t="str">
        <f t="shared" si="217"/>
        <v>1+0,176033752653102i</v>
      </c>
      <c r="AX273">
        <f t="shared" si="241"/>
        <v>1.0153757344319065</v>
      </c>
      <c r="AY273">
        <f t="shared" si="242"/>
        <v>0.17424852479825875</v>
      </c>
      <c r="AZ273" t="str">
        <f t="shared" si="218"/>
        <v>1+25,9943174751081i</v>
      </c>
      <c r="BA273">
        <f t="shared" si="243"/>
        <v>26.013545336933802</v>
      </c>
      <c r="BB273">
        <f t="shared" si="244"/>
        <v>1.5323453412562893</v>
      </c>
      <c r="BC273" s="41" t="str">
        <f t="shared" si="245"/>
        <v>-0,0845218431397208+0,0182538633316495i</v>
      </c>
      <c r="BD273">
        <f t="shared" si="246"/>
        <v>-21.262641685385354</v>
      </c>
      <c r="BE273" s="43">
        <f t="shared" si="247"/>
        <v>167.81321575319842</v>
      </c>
      <c r="BF273" s="41" t="str">
        <f t="shared" si="248"/>
        <v>0,0387159529286732+0,0198543575538566i</v>
      </c>
      <c r="BG273" s="20">
        <f t="shared" si="249"/>
        <v>-27.228217359048767</v>
      </c>
      <c r="BH273" s="43">
        <f t="shared" si="250"/>
        <v>27.149708318316158</v>
      </c>
      <c r="BI273" s="41" t="str">
        <f t="shared" si="255"/>
        <v>0,0676215296961484+0,195602898222048i</v>
      </c>
      <c r="BJ273" s="20">
        <f t="shared" si="251"/>
        <v>-13.682198330930714</v>
      </c>
      <c r="BK273" s="43">
        <f t="shared" si="256"/>
        <v>70.929311645993366</v>
      </c>
      <c r="BL273">
        <f t="shared" si="252"/>
        <v>-27.228217359048767</v>
      </c>
      <c r="BM273" s="43">
        <f t="shared" si="253"/>
        <v>27.149708318316158</v>
      </c>
    </row>
    <row r="274" spans="14:65" x14ac:dyDescent="0.35">
      <c r="N274" s="9">
        <v>56</v>
      </c>
      <c r="O274" s="34">
        <f t="shared" si="254"/>
        <v>3630.7805477010188</v>
      </c>
      <c r="P274" s="33" t="str">
        <f t="shared" si="206"/>
        <v>59,1053597814893</v>
      </c>
      <c r="Q274" s="4" t="str">
        <f t="shared" si="207"/>
        <v>1+175,287152448837i</v>
      </c>
      <c r="R274" s="4">
        <f t="shared" si="219"/>
        <v>175.29000488796223</v>
      </c>
      <c r="S274" s="4">
        <f t="shared" si="220"/>
        <v>1.5650914640167652</v>
      </c>
      <c r="T274" s="4" t="str">
        <f t="shared" si="208"/>
        <v>1+0,0296567270881811i</v>
      </c>
      <c r="U274" s="4">
        <f t="shared" si="221"/>
        <v>1.0004396640785405</v>
      </c>
      <c r="V274" s="4">
        <f t="shared" si="222"/>
        <v>2.9648037097555521E-2</v>
      </c>
      <c r="W274" t="str">
        <f t="shared" si="209"/>
        <v>1-1,09501761556361i</v>
      </c>
      <c r="X274" s="4">
        <f t="shared" si="223"/>
        <v>1.4829239961625187</v>
      </c>
      <c r="Y274" s="4">
        <f t="shared" si="224"/>
        <v>-0.83072119311605441</v>
      </c>
      <c r="Z274" t="str">
        <f t="shared" si="210"/>
        <v>0,999727632905257+0,102450511759171i</v>
      </c>
      <c r="AA274" s="4">
        <f t="shared" si="225"/>
        <v>1.0049634059775829</v>
      </c>
      <c r="AB274" s="4">
        <f t="shared" si="226"/>
        <v>0.10212193022516518</v>
      </c>
      <c r="AC274" s="47" t="str">
        <f t="shared" si="227"/>
        <v>-0,389139320490638-0,310396808002328i</v>
      </c>
      <c r="AD274" s="20">
        <f t="shared" si="228"/>
        <v>-6.0594148250798332</v>
      </c>
      <c r="AE274" s="43">
        <f t="shared" si="229"/>
        <v>-141.42240195882812</v>
      </c>
      <c r="AF274" t="str">
        <f t="shared" si="211"/>
        <v>405,634542683733</v>
      </c>
      <c r="AG274" t="str">
        <f t="shared" si="212"/>
        <v>1+175,599041969493i</v>
      </c>
      <c r="AH274">
        <f t="shared" si="230"/>
        <v>175.60188934235234</v>
      </c>
      <c r="AI274">
        <f t="shared" si="231"/>
        <v>1.5651015964662092</v>
      </c>
      <c r="AJ274" t="str">
        <f t="shared" si="213"/>
        <v>1+0,0296567270881811i</v>
      </c>
      <c r="AK274">
        <f t="shared" si="232"/>
        <v>1.0004396640785405</v>
      </c>
      <c r="AL274">
        <f t="shared" si="233"/>
        <v>2.9648037097555521E-2</v>
      </c>
      <c r="AM274" t="str">
        <f t="shared" si="214"/>
        <v>1-0,159838135791475i</v>
      </c>
      <c r="AN274">
        <f t="shared" si="234"/>
        <v>1.0126935516992759</v>
      </c>
      <c r="AO274">
        <f t="shared" si="235"/>
        <v>-0.15849743428600055</v>
      </c>
      <c r="AP274" s="41" t="str">
        <f t="shared" si="236"/>
        <v>-0,287492938714071-2,32259157409968i</v>
      </c>
      <c r="AQ274">
        <f t="shared" si="237"/>
        <v>7.3854938651833457</v>
      </c>
      <c r="AR274" s="43">
        <f t="shared" si="238"/>
        <v>-97.056242638403788</v>
      </c>
      <c r="AS274" t="str">
        <f t="shared" si="215"/>
        <v>-0,0000166666666666667</v>
      </c>
      <c r="AT274" t="str">
        <f t="shared" si="216"/>
        <v>0,00505305003848623i</v>
      </c>
      <c r="AU274">
        <f t="shared" si="239"/>
        <v>5.0530500384862297E-3</v>
      </c>
      <c r="AV274">
        <f t="shared" si="240"/>
        <v>1.5707963267948966</v>
      </c>
      <c r="AW274" t="str">
        <f t="shared" si="217"/>
        <v>1+0,180134105494804i</v>
      </c>
      <c r="AX274">
        <f t="shared" si="241"/>
        <v>1.0160946294329152</v>
      </c>
      <c r="AY274">
        <f t="shared" si="242"/>
        <v>0.17822283203064038</v>
      </c>
      <c r="AZ274" t="str">
        <f t="shared" si="218"/>
        <v>1+26,5998029113993i</v>
      </c>
      <c r="BA274">
        <f t="shared" si="243"/>
        <v>26.618593406213012</v>
      </c>
      <c r="BB274">
        <f t="shared" si="244"/>
        <v>1.5332197592963941</v>
      </c>
      <c r="BC274" s="41" t="str">
        <f t="shared" si="245"/>
        <v>-0,0844022857012017+0,0185020681788795i</v>
      </c>
      <c r="BD274">
        <f t="shared" si="246"/>
        <v>-21.269078053636807</v>
      </c>
      <c r="BE274" s="43">
        <f t="shared" si="247"/>
        <v>167.63560518552262</v>
      </c>
      <c r="BF274" s="41" t="str">
        <f t="shared" si="248"/>
        <v>0,038587231009788+0,0189983178309529i</v>
      </c>
      <c r="BG274" s="20">
        <f t="shared" si="249"/>
        <v>-27.328492878716638</v>
      </c>
      <c r="BH274" s="43">
        <f t="shared" si="250"/>
        <v>26.213203226694475</v>
      </c>
      <c r="BI274" s="41" t="str">
        <f t="shared" si="255"/>
        <v>0,0672378088061064+0,190712823651331i</v>
      </c>
      <c r="BJ274" s="20">
        <f t="shared" si="251"/>
        <v>-13.883584188453455</v>
      </c>
      <c r="BK274" s="43">
        <f t="shared" si="256"/>
        <v>70.579362547118876</v>
      </c>
      <c r="BL274">
        <f t="shared" si="252"/>
        <v>-27.328492878716638</v>
      </c>
      <c r="BM274" s="43">
        <f t="shared" si="253"/>
        <v>26.213203226694475</v>
      </c>
    </row>
    <row r="275" spans="14:65" x14ac:dyDescent="0.35">
      <c r="N275" s="9">
        <v>57</v>
      </c>
      <c r="O275" s="34">
        <f t="shared" si="254"/>
        <v>3715.352290971724</v>
      </c>
      <c r="P275" s="33" t="str">
        <f t="shared" ref="P275:P338" si="257">COMPLEX(Adc,0)</f>
        <v>59,1053597814893</v>
      </c>
      <c r="Q275" s="4" t="str">
        <f t="shared" ref="Q275:Q338" si="258">IMSUM(COMPLEX(1,0),IMDIV(COMPLEX(0,2*PI()*O275),COMPLEX(wp_lf,0)))</f>
        <v>1+179,370114737744i</v>
      </c>
      <c r="R275" s="4">
        <f t="shared" si="219"/>
        <v>179.37290224844847</v>
      </c>
      <c r="S275" s="4">
        <f t="shared" si="220"/>
        <v>1.565221319825612</v>
      </c>
      <c r="T275" s="4" t="str">
        <f t="shared" ref="T275:T338" si="259">IMSUM(COMPLEX(1,0),IMDIV(COMPLEX(0,2*PI()*O275),COMPLEX(wz_esr,0)))</f>
        <v>1+0,0303475210033185i</v>
      </c>
      <c r="U275" s="4">
        <f t="shared" si="221"/>
        <v>1.0004603800406324</v>
      </c>
      <c r="V275" s="4">
        <f t="shared" si="222"/>
        <v>3.0338209742005389E-2</v>
      </c>
      <c r="W275" t="str">
        <f t="shared" ref="W275:W338" si="260">IMSUB(COMPLEX(1,0),IMDIV(COMPLEX(0,2*PI()*O275),COMPLEX(wz_rhp,0)))</f>
        <v>1-1,12052385243022i</v>
      </c>
      <c r="X275" s="4">
        <f t="shared" si="223"/>
        <v>1.5018567521122184</v>
      </c>
      <c r="Y275" s="4">
        <f t="shared" si="224"/>
        <v>-0.8421739087711253</v>
      </c>
      <c r="Z275" t="str">
        <f t="shared" ref="Z275:Z338" si="261">IMSUM(COMPLEX(1,0),IMDIV(COMPLEX(0,2*PI()*O275),COMPLEX(Q*(wsl/2),0)),IMDIV(IMPOWER(COMPLEX(0,2*PI()*O275),2),IMPOWER(COMPLEX(wsl/2,0),2)))</f>
        <v>0,999714796639545+0,104836890738737i</v>
      </c>
      <c r="AA275" s="4">
        <f t="shared" si="225"/>
        <v>1.0051967211843724</v>
      </c>
      <c r="AB275" s="4">
        <f t="shared" si="226"/>
        <v>0.10448490743874725</v>
      </c>
      <c r="AC275" s="47" t="str">
        <f t="shared" si="227"/>
        <v>-0,389092710443937-0,302008391729393i</v>
      </c>
      <c r="AD275" s="20">
        <f t="shared" si="228"/>
        <v>-6.1510525438719803</v>
      </c>
      <c r="AE275" s="43">
        <f t="shared" si="229"/>
        <v>-142.18187906138078</v>
      </c>
      <c r="AF275" t="str">
        <f t="shared" ref="AF275:AF338" si="262">COMPLEX($B$72,0)</f>
        <v>405,634542683733</v>
      </c>
      <c r="AG275" t="str">
        <f t="shared" ref="AG275:AG338" si="263">IMSUM(COMPLEX(1,0),IMDIV(COMPLEX(0,2*PI()*O275),COMPLEX(wp_lf_DCM,0)))</f>
        <v>1+179,689269098596i</v>
      </c>
      <c r="AH275">
        <f t="shared" si="230"/>
        <v>179.69205165835143</v>
      </c>
      <c r="AI275">
        <f t="shared" si="231"/>
        <v>1.5652312216468263</v>
      </c>
      <c r="AJ275" t="str">
        <f t="shared" ref="AJ275:AJ338" si="264">IMSUM(COMPLEX(1,0),IMDIV(COMPLEX(0,2*PI()*O275),COMPLEX(wz1_dcm,0)))</f>
        <v>1+0,0303475210033185i</v>
      </c>
      <c r="AK275">
        <f t="shared" si="232"/>
        <v>1.0004603800406324</v>
      </c>
      <c r="AL275">
        <f t="shared" si="233"/>
        <v>3.0338209742005389E-2</v>
      </c>
      <c r="AM275" t="str">
        <f t="shared" ref="AM275:AM338" si="265">IMSUB(COMPLEX(1,0),IMDIV(COMPLEX(0,2*PI()*O275),COMPLEX(wz2_dcm,0)))</f>
        <v>1-0,163561244254636i</v>
      </c>
      <c r="AN275">
        <f t="shared" si="234"/>
        <v>1.0132878567426558</v>
      </c>
      <c r="AO275">
        <f t="shared" si="235"/>
        <v>-0.1621256722110464</v>
      </c>
      <c r="AP275" s="41" t="str">
        <f t="shared" si="236"/>
        <v>-0,288085412245619-2,27023054586251i</v>
      </c>
      <c r="AQ275">
        <f t="shared" si="237"/>
        <v>7.1907759288888187</v>
      </c>
      <c r="AR275" s="43">
        <f t="shared" si="238"/>
        <v>-97.232008354683813</v>
      </c>
      <c r="AS275" t="str">
        <f t="shared" ref="AS275:AS338" si="266">COMPLEX(Adc_ea,0)</f>
        <v>-0,0000166666666666667</v>
      </c>
      <c r="AT275" t="str">
        <f t="shared" ref="AT275:AT338" si="267">COMPLEX(0,2*PI()*O275*wp0_ea)</f>
        <v>0,00517075069402695i</v>
      </c>
      <c r="AU275">
        <f t="shared" si="239"/>
        <v>5.1707506940269496E-3</v>
      </c>
      <c r="AV275">
        <f t="shared" si="240"/>
        <v>1.5707963267948966</v>
      </c>
      <c r="AW275" t="str">
        <f t="shared" ref="AW275:AW338" si="268">IMSUM(COMPLEX(1,0),IMDIV(COMPLEX(0,2*PI()*O275),COMPLEX(wp1_ea,0)))</f>
        <v>1+0,184329967823595i</v>
      </c>
      <c r="AX275">
        <f t="shared" si="241"/>
        <v>1.0168468601701279</v>
      </c>
      <c r="AY275">
        <f t="shared" si="242"/>
        <v>0.18228382947229388</v>
      </c>
      <c r="AZ275" t="str">
        <f t="shared" ref="AZ275:AZ338" si="269">IMSUM(COMPLEX(1,0),IMDIV(COMPLEX(0,2*PI()*O275),COMPLEX(wz_ea,0)))</f>
        <v>1+27,2193919152841i</v>
      </c>
      <c r="BA275">
        <f t="shared" si="243"/>
        <v>27.23775497793152</v>
      </c>
      <c r="BB275">
        <f t="shared" si="244"/>
        <v>1.5340743287068841</v>
      </c>
      <c r="BC275" s="41" t="str">
        <f t="shared" si="245"/>
        <v>-0,0842774556758565+0,0187581192975664i</v>
      </c>
      <c r="BD275">
        <f t="shared" si="246"/>
        <v>-21.275781849212056</v>
      </c>
      <c r="BE275" s="43">
        <f t="shared" si="247"/>
        <v>167.4518903920245</v>
      </c>
      <c r="BF275" s="41" t="str">
        <f t="shared" si="248"/>
        <v>0,0384568530991639+0,0181538513673898i</v>
      </c>
      <c r="BG275" s="20">
        <f t="shared" si="249"/>
        <v>-27.426834393084029</v>
      </c>
      <c r="BH275" s="43">
        <f t="shared" si="250"/>
        <v>25.270011330643733</v>
      </c>
      <c r="BI275" s="41" t="str">
        <f t="shared" si="255"/>
        <v>0,0668643609736592+0,185925313672111i</v>
      </c>
      <c r="BJ275" s="20">
        <f t="shared" si="251"/>
        <v>-14.085005920323248</v>
      </c>
      <c r="BK275" s="43">
        <f t="shared" si="256"/>
        <v>70.219882037340668</v>
      </c>
      <c r="BL275">
        <f t="shared" si="252"/>
        <v>-27.426834393084029</v>
      </c>
      <c r="BM275" s="43">
        <f t="shared" si="253"/>
        <v>25.270011330643733</v>
      </c>
    </row>
    <row r="276" spans="14:65" x14ac:dyDescent="0.35">
      <c r="N276" s="9">
        <v>58</v>
      </c>
      <c r="O276" s="34">
        <f t="shared" si="254"/>
        <v>3801.8939632056172</v>
      </c>
      <c r="P276" s="33" t="str">
        <f t="shared" si="257"/>
        <v>59,1053597814893</v>
      </c>
      <c r="Q276" s="4" t="str">
        <f t="shared" si="258"/>
        <v>1+183,548181435728i</v>
      </c>
      <c r="R276" s="4">
        <f t="shared" ref="R276:R339" si="270">IMABS(Q276)</f>
        <v>183.55090549589485</v>
      </c>
      <c r="S276" s="4">
        <f t="shared" ref="S276:S339" si="271">IMARGUMENT(Q276)</f>
        <v>1.5653482199370552</v>
      </c>
      <c r="T276" s="4" t="str">
        <f t="shared" si="259"/>
        <v>1+0,0310544055757888i</v>
      </c>
      <c r="U276" s="4">
        <f t="shared" ref="U276:U339" si="272">IMABS(T276)</f>
        <v>1.0004820718561955</v>
      </c>
      <c r="V276" s="4">
        <f t="shared" ref="V276:V339" si="273">IMARGUMENT(T276)</f>
        <v>3.1044428639160116E-2</v>
      </c>
      <c r="W276" t="str">
        <f t="shared" si="260"/>
        <v>1-1,14662420587528i</v>
      </c>
      <c r="X276" s="4">
        <f t="shared" ref="X276:X339" si="274">IMABS(W276)</f>
        <v>1.5214292850800253</v>
      </c>
      <c r="Y276" s="4">
        <f t="shared" ref="Y276:Y339" si="275">IMARGUMENT(W276)</f>
        <v>-0.85359678708290099</v>
      </c>
      <c r="Z276" t="str">
        <f t="shared" si="261"/>
        <v>0,999701355419267+0,107278855625452i</v>
      </c>
      <c r="AA276" s="4">
        <f t="shared" ref="AA276:AA339" si="276">IMABS(Z276)</f>
        <v>1.0054409743448027</v>
      </c>
      <c r="AB276" s="4">
        <f t="shared" ref="AB276:AB339" si="277">IMARGUMENT(Z276)</f>
        <v>0.10690180878366357</v>
      </c>
      <c r="AC276" s="47" t="str">
        <f t="shared" ref="AC276:AC339" si="278">(IMDIV(IMPRODUCT(P276,T276,W276),IMPRODUCT(Q276,Z276)))</f>
        <v>-0,389036007197133-0,293781333213768i</v>
      </c>
      <c r="AD276" s="20">
        <f t="shared" ref="AD276:AD339" si="279">20*LOG(IMABS(AC276))</f>
        <v>-6.2405032749235909</v>
      </c>
      <c r="AE276" s="43">
        <f t="shared" ref="AE276:AE339" si="280">(180/PI())*IMARGUMENT(AC276)</f>
        <v>-142.94164750368637</v>
      </c>
      <c r="AF276" t="str">
        <f t="shared" si="262"/>
        <v>405,634542683733</v>
      </c>
      <c r="AG276" t="str">
        <f t="shared" si="263"/>
        <v>1+183,874769856644i</v>
      </c>
      <c r="AH276">
        <f t="shared" ref="AH276:AH339" si="281">IMABS(AG276)</f>
        <v>183.87748907855416</v>
      </c>
      <c r="AI276">
        <f t="shared" ref="AI276:AI339" si="282">IMARGUMENT(AG276)</f>
        <v>1.5653578963788128</v>
      </c>
      <c r="AJ276" t="str">
        <f t="shared" si="264"/>
        <v>1+0,0310544055757888i</v>
      </c>
      <c r="AK276">
        <f t="shared" ref="AK276:AK339" si="283">IMABS(AJ276)</f>
        <v>1.0004820718561955</v>
      </c>
      <c r="AL276">
        <f t="shared" ref="AL276:AL339" si="284">IMARGUMENT(AJ276)</f>
        <v>3.1044428639160116E-2</v>
      </c>
      <c r="AM276" t="str">
        <f t="shared" si="265"/>
        <v>1-0,16737107505449i</v>
      </c>
      <c r="AN276">
        <f t="shared" ref="AN276:AN339" si="285">IMABS(AM276)</f>
        <v>1.013909797154015</v>
      </c>
      <c r="AO276">
        <f t="shared" ref="AO276:AO339" si="286">IMARGUMENT(AM276)</f>
        <v>-0.16583396935083275</v>
      </c>
      <c r="AP276" s="41" t="str">
        <f t="shared" ref="AP276:AP339" si="287">(IMDIV(IMPRODUCT(AF276,AJ276,AM276),IMPRODUCT(AG276)))</f>
        <v>-0,288651221690173-2,21907292704296i</v>
      </c>
      <c r="AQ276">
        <f t="shared" ref="AQ276:AQ339" si="288">20*LOG(IMABS(AP276))</f>
        <v>6.9962999356612112</v>
      </c>
      <c r="AR276" s="43">
        <f t="shared" ref="AR276:AR339" si="289">(180/PI())*IMARGUMENT(AP276)</f>
        <v>-97.41127269526848</v>
      </c>
      <c r="AS276" t="str">
        <f t="shared" si="266"/>
        <v>-0,0000166666666666667</v>
      </c>
      <c r="AT276" t="str">
        <f t="shared" si="267"/>
        <v>0,00529119295002863i</v>
      </c>
      <c r="AU276">
        <f t="shared" ref="AU276:AU339" si="290">IMABS(AT276)</f>
        <v>5.2911929500286297E-3</v>
      </c>
      <c r="AV276">
        <f t="shared" ref="AV276:AV339" si="291">IMARGUMENT(AT276)</f>
        <v>1.5707963267948966</v>
      </c>
      <c r="AW276" t="str">
        <f t="shared" si="268"/>
        <v>1+0,188623564341221i</v>
      </c>
      <c r="AX276">
        <f t="shared" ref="AX276:AX339" si="292">IMABS(AW276)</f>
        <v>1.0176339464781954</v>
      </c>
      <c r="AY276">
        <f t="shared" ref="AY276:AY339" si="293">IMARGUMENT(AW276)</f>
        <v>0.18643313427220692</v>
      </c>
      <c r="AZ276" t="str">
        <f t="shared" si="269"/>
        <v>1+27,8534130010536i</v>
      </c>
      <c r="BA276">
        <f t="shared" ref="BA276:BA339" si="294">IMABS(AZ276)</f>
        <v>27.871358341624859</v>
      </c>
      <c r="BB276">
        <f t="shared" ref="BB276:BB339" si="295">IMARGUMENT(AZ276)</f>
        <v>1.5349094975962623</v>
      </c>
      <c r="BC276" s="41" t="str">
        <f t="shared" ref="BC276:BC339" si="296">IMPRODUCT(AS276,IMDIV(AZ276,IMPRODUCT(AT276,AW276)))</f>
        <v>-0,084147137738087+0,0190220213304325i</v>
      </c>
      <c r="BD276">
        <f t="shared" ref="BD276:BD339" si="297">20*LOG(IMABS(BC276))</f>
        <v>-21.282766001867529</v>
      </c>
      <c r="BE276" s="43">
        <f t="shared" ref="BE276:BE339" si="298">(180/PI())*IMARGUMENT(BC276)</f>
        <v>167.26200439161815</v>
      </c>
      <c r="BF276" s="41" t="str">
        <f t="shared" ref="BF276:BF339" si="299">IMPRODUCT(AC276,BC276)</f>
        <v>0,0383245812695678+0,0173206070836076i</v>
      </c>
      <c r="BG276" s="20">
        <f t="shared" ref="BG276:BG339" si="300">20*LOG(IMABS(BF276))</f>
        <v>-27.523269276791108</v>
      </c>
      <c r="BH276" s="43">
        <f t="shared" ref="BH276:BH339" si="301">(180/PI())*IMARGUMENT(BF276)</f>
        <v>24.320356887931748</v>
      </c>
      <c r="BI276" s="41" t="str">
        <f t="shared" si="255"/>
        <v>0,0665004266618265+0,181237905546698i</v>
      </c>
      <c r="BJ276" s="20">
        <f t="shared" ref="BJ276:BJ339" si="302">20*LOG(IMABS(BI276))</f>
        <v>-14.286466066206318</v>
      </c>
      <c r="BK276" s="43">
        <f t="shared" si="256"/>
        <v>69.850731696349683</v>
      </c>
      <c r="BL276">
        <f t="shared" ref="BL276:BL339" si="303">IF($B$31=0,BJ276,BG276)</f>
        <v>-27.523269276791108</v>
      </c>
      <c r="BM276" s="43">
        <f t="shared" ref="BM276:BM339" si="304">IF($B$31=0,BK276,BH276)</f>
        <v>24.320356887931748</v>
      </c>
    </row>
    <row r="277" spans="14:65" x14ac:dyDescent="0.35">
      <c r="N277" s="9">
        <v>59</v>
      </c>
      <c r="O277" s="34">
        <f t="shared" si="254"/>
        <v>3890.451449942811</v>
      </c>
      <c r="P277" s="33" t="str">
        <f t="shared" si="257"/>
        <v>59,1053597814893</v>
      </c>
      <c r="Q277" s="4" t="str">
        <f t="shared" si="258"/>
        <v>1+187,823567809057i</v>
      </c>
      <c r="R277" s="4">
        <f t="shared" si="270"/>
        <v>187.82622986293327</v>
      </c>
      <c r="S277" s="4">
        <f t="shared" si="271"/>
        <v>1.5654722316188556</v>
      </c>
      <c r="T277" s="4" t="str">
        <f t="shared" si="259"/>
        <v>1+0,0317777556051491i</v>
      </c>
      <c r="U277" s="4">
        <f t="shared" si="272"/>
        <v>1.0005047854714642</v>
      </c>
      <c r="V277" s="4">
        <f t="shared" si="273"/>
        <v>3.1767065416229263E-2</v>
      </c>
      <c r="W277" t="str">
        <f t="shared" si="260"/>
        <v>1-1,17333251465166i</v>
      </c>
      <c r="X277" s="4">
        <f t="shared" si="274"/>
        <v>1.5416579354509183</v>
      </c>
      <c r="Y277" s="4">
        <f t="shared" si="275"/>
        <v>-0.86498396168934821</v>
      </c>
      <c r="Z277" t="str">
        <f t="shared" si="261"/>
        <v>0,999687280733794+0,109777701181424i</v>
      </c>
      <c r="AA277" s="4">
        <f t="shared" si="276"/>
        <v>1.0056966754134198</v>
      </c>
      <c r="AB277" s="4">
        <f t="shared" si="277"/>
        <v>0.10937381161228947</v>
      </c>
      <c r="AC277" s="47" t="str">
        <f t="shared" si="278"/>
        <v>-0,388969109032365-0,285711362312955i</v>
      </c>
      <c r="AD277" s="20">
        <f t="shared" si="279"/>
        <v>-6.3277839489839414</v>
      </c>
      <c r="AE277" s="43">
        <f t="shared" si="280"/>
        <v>-143.70142118676935</v>
      </c>
      <c r="AF277" t="str">
        <f t="shared" si="262"/>
        <v>405,634542683733</v>
      </c>
      <c r="AG277" t="str">
        <f t="shared" si="263"/>
        <v>1+188,15776345154i</v>
      </c>
      <c r="AH277">
        <f t="shared" si="281"/>
        <v>188.16042077728696</v>
      </c>
      <c r="AI277">
        <f t="shared" si="282"/>
        <v>1.5654816878105178</v>
      </c>
      <c r="AJ277" t="str">
        <f t="shared" si="264"/>
        <v>1+0,0317777556051491i</v>
      </c>
      <c r="AK277">
        <f t="shared" si="283"/>
        <v>1.0005047854714642</v>
      </c>
      <c r="AL277">
        <f t="shared" si="284"/>
        <v>3.1767065416229263E-2</v>
      </c>
      <c r="AM277" t="str">
        <f t="shared" si="265"/>
        <v>1-0,171269648213756i</v>
      </c>
      <c r="AN277">
        <f t="shared" si="285"/>
        <v>1.0145606400798641</v>
      </c>
      <c r="AO277">
        <f t="shared" si="286"/>
        <v>-0.16962388373106441</v>
      </c>
      <c r="AP277" s="41" t="str">
        <f t="shared" si="287"/>
        <v>-0,28919156698728-2,16909161300791i</v>
      </c>
      <c r="AQ277">
        <f t="shared" si="288"/>
        <v>6.8020767131085087</v>
      </c>
      <c r="AR277" s="43">
        <f t="shared" si="289"/>
        <v>-97.59410748310124</v>
      </c>
      <c r="AS277" t="str">
        <f t="shared" si="266"/>
        <v>-0,0000166666666666667</v>
      </c>
      <c r="AT277" t="str">
        <f t="shared" si="267"/>
        <v>0,00541444066656963i</v>
      </c>
      <c r="AU277">
        <f t="shared" si="290"/>
        <v>5.4144406665696298E-3</v>
      </c>
      <c r="AV277">
        <f t="shared" si="291"/>
        <v>1.5707963267948966</v>
      </c>
      <c r="AW277" t="str">
        <f t="shared" si="268"/>
        <v>1+0,19301717156939i</v>
      </c>
      <c r="AX277">
        <f t="shared" si="292"/>
        <v>1.018457475067392</v>
      </c>
      <c r="AY277">
        <f t="shared" si="293"/>
        <v>0.19067237466792514</v>
      </c>
      <c r="AZ277" t="str">
        <f t="shared" si="269"/>
        <v>1+28,5022023350799i</v>
      </c>
      <c r="BA277">
        <f t="shared" si="294"/>
        <v>28.519739443933108</v>
      </c>
      <c r="BB277">
        <f t="shared" si="295"/>
        <v>1.5357257041191776</v>
      </c>
      <c r="BC277" s="41" t="str">
        <f t="shared" si="296"/>
        <v>-0,0840111093654133+0,0192937747803235i</v>
      </c>
      <c r="BD277">
        <f t="shared" si="297"/>
        <v>-21.290043917711117</v>
      </c>
      <c r="BE277" s="43">
        <f t="shared" si="298"/>
        <v>167.06587899757633</v>
      </c>
      <c r="BF277" s="41" t="str">
        <f t="shared" si="299"/>
        <v>0,0381901770353309+0,0164982461200413i</v>
      </c>
      <c r="BG277" s="20">
        <f t="shared" si="300"/>
        <v>-27.61782786669507</v>
      </c>
      <c r="BH277" s="43">
        <f t="shared" si="301"/>
        <v>23.364457810806936</v>
      </c>
      <c r="BI277" s="41" t="str">
        <f t="shared" si="255"/>
        <v>0,0661452694209869+0,176648195762187i</v>
      </c>
      <c r="BJ277" s="20">
        <f t="shared" si="302"/>
        <v>-14.487967204602604</v>
      </c>
      <c r="BK277" s="43">
        <f t="shared" si="256"/>
        <v>69.47177151447508</v>
      </c>
      <c r="BL277">
        <f t="shared" si="303"/>
        <v>-27.61782786669507</v>
      </c>
      <c r="BM277" s="43">
        <f t="shared" si="304"/>
        <v>23.364457810806936</v>
      </c>
    </row>
    <row r="278" spans="14:65" x14ac:dyDescent="0.35">
      <c r="N278" s="9">
        <v>60</v>
      </c>
      <c r="O278" s="34">
        <f t="shared" si="254"/>
        <v>3981.0717055349769</v>
      </c>
      <c r="P278" s="33" t="str">
        <f t="shared" si="257"/>
        <v>59,1053597814893</v>
      </c>
      <c r="Q278" s="4" t="str">
        <f t="shared" si="258"/>
        <v>1+192,198540724176i</v>
      </c>
      <c r="R278" s="4">
        <f t="shared" si="270"/>
        <v>192.20114218313779</v>
      </c>
      <c r="S278" s="4">
        <f t="shared" si="271"/>
        <v>1.5655934206083826</v>
      </c>
      <c r="T278" s="4" t="str">
        <f t="shared" si="259"/>
        <v>1+0,0325179546211594i</v>
      </c>
      <c r="U278" s="4">
        <f t="shared" si="272"/>
        <v>1.0005285689937813</v>
      </c>
      <c r="V278" s="4">
        <f t="shared" si="273"/>
        <v>3.2506500204160529E-2</v>
      </c>
      <c r="W278" t="str">
        <f t="shared" si="260"/>
        <v>1-1,2006629398582i</v>
      </c>
      <c r="X278" s="4">
        <f t="shared" si="274"/>
        <v>1.5625592773232431</v>
      </c>
      <c r="Y278" s="4">
        <f t="shared" si="275"/>
        <v>-0.87632965870069091</v>
      </c>
      <c r="Z278" t="str">
        <f t="shared" si="261"/>
        <v>0,99967254272883+0,112334752327642i</v>
      </c>
      <c r="AA278" s="4">
        <f t="shared" si="276"/>
        <v>1.0059643578509314</v>
      </c>
      <c r="AB278" s="4">
        <f t="shared" si="277"/>
        <v>0.11190211521219651</v>
      </c>
      <c r="AC278" s="47" t="str">
        <f t="shared" si="278"/>
        <v>-0,388891894362802-0,277794298109189i</v>
      </c>
      <c r="AD278" s="20">
        <f t="shared" si="279"/>
        <v>-6.4129139360389615</v>
      </c>
      <c r="AE278" s="43">
        <f t="shared" si="280"/>
        <v>-144.46091999180567</v>
      </c>
      <c r="AF278" t="str">
        <f t="shared" si="262"/>
        <v>405,634542683733</v>
      </c>
      <c r="AG278" t="str">
        <f t="shared" si="263"/>
        <v>1+192,540520783181i</v>
      </c>
      <c r="AH278">
        <f t="shared" si="281"/>
        <v>192.54311762163442</v>
      </c>
      <c r="AI278">
        <f t="shared" si="282"/>
        <v>1.5656026615626117</v>
      </c>
      <c r="AJ278" t="str">
        <f t="shared" si="264"/>
        <v>1+0,0325179546211594i</v>
      </c>
      <c r="AK278">
        <f t="shared" si="283"/>
        <v>1.0005285689937813</v>
      </c>
      <c r="AL278">
        <f t="shared" si="284"/>
        <v>3.2506500204160529E-2</v>
      </c>
      <c r="AM278" t="str">
        <f t="shared" si="265"/>
        <v>1-0,175259030807526i</v>
      </c>
      <c r="AN278">
        <f t="shared" si="285"/>
        <v>1.0152417090917776</v>
      </c>
      <c r="AO278">
        <f t="shared" si="286"/>
        <v>-0.17349698910562686</v>
      </c>
      <c r="AP278" s="41" t="str">
        <f t="shared" si="287"/>
        <v>-0,289707594082809-2,12026012149419i</v>
      </c>
      <c r="AQ278">
        <f t="shared" si="288"/>
        <v>6.6081175424280838</v>
      </c>
      <c r="AR278" s="43">
        <f t="shared" si="289"/>
        <v>-97.780584867526315</v>
      </c>
      <c r="AS278" t="str">
        <f t="shared" si="266"/>
        <v>-0,0000166666666666667</v>
      </c>
      <c r="AT278" t="str">
        <f t="shared" si="267"/>
        <v>0,00554055919122063i</v>
      </c>
      <c r="AU278">
        <f t="shared" si="290"/>
        <v>5.5405591912206301E-3</v>
      </c>
      <c r="AV278">
        <f t="shared" si="291"/>
        <v>1.5707963267948966</v>
      </c>
      <c r="AW278" t="str">
        <f t="shared" si="268"/>
        <v>1+0,197513119056808i</v>
      </c>
      <c r="AX278">
        <f t="shared" si="292"/>
        <v>1.0193191022440169</v>
      </c>
      <c r="AY278">
        <f t="shared" si="293"/>
        <v>0.19500318859297408</v>
      </c>
      <c r="AZ278" t="str">
        <f t="shared" si="269"/>
        <v>1+29,1661039140553i</v>
      </c>
      <c r="BA278">
        <f t="shared" si="294"/>
        <v>29.183242066731925</v>
      </c>
      <c r="BB278">
        <f t="shared" si="295"/>
        <v>1.5365233766866384</v>
      </c>
      <c r="BC278" s="41" t="str">
        <f t="shared" si="296"/>
        <v>-0,0838691407495528+0,0195733755373649i</v>
      </c>
      <c r="BD278">
        <f t="shared" si="297"/>
        <v>-21.29762949698701</v>
      </c>
      <c r="BE278" s="43">
        <f t="shared" si="298"/>
        <v>166.86344490936332</v>
      </c>
      <c r="BF278" s="41" t="str">
        <f t="shared" si="299"/>
        <v>0,0380534011437039+0,0156864419957424i</v>
      </c>
      <c r="BG278" s="20">
        <f t="shared" si="300"/>
        <v>-27.710543433025979</v>
      </c>
      <c r="BH278" s="43">
        <f t="shared" si="301"/>
        <v>22.402524917557642</v>
      </c>
      <c r="BI278" s="41" t="str">
        <f t="shared" si="255"/>
        <v>0,0657981745792501+0,172153839020251i</v>
      </c>
      <c r="BJ278" s="20">
        <f t="shared" si="302"/>
        <v>-14.689511954558919</v>
      </c>
      <c r="BK278" s="43">
        <f t="shared" si="256"/>
        <v>69.082860041837037</v>
      </c>
      <c r="BL278">
        <f t="shared" si="303"/>
        <v>-27.710543433025979</v>
      </c>
      <c r="BM278" s="43">
        <f t="shared" si="304"/>
        <v>22.402524917557642</v>
      </c>
    </row>
    <row r="279" spans="14:65" x14ac:dyDescent="0.35">
      <c r="N279" s="9">
        <v>61</v>
      </c>
      <c r="O279" s="34">
        <f t="shared" si="254"/>
        <v>4073.8027780411317</v>
      </c>
      <c r="P279" s="33" t="str">
        <f t="shared" si="257"/>
        <v>59,1053597814893</v>
      </c>
      <c r="Q279" s="4" t="str">
        <f t="shared" si="258"/>
        <v>1+196,675419849637i</v>
      </c>
      <c r="R279" s="4">
        <f t="shared" si="270"/>
        <v>196.67796209293758</v>
      </c>
      <c r="S279" s="4">
        <f t="shared" si="271"/>
        <v>1.5657118511473951</v>
      </c>
      <c r="T279" s="4" t="str">
        <f t="shared" si="259"/>
        <v>1+0,033275395087136i</v>
      </c>
      <c r="U279" s="4">
        <f t="shared" si="272"/>
        <v>1.0005534727930361</v>
      </c>
      <c r="V279" s="4">
        <f t="shared" si="273"/>
        <v>3.326312182484762E-2</v>
      </c>
      <c r="W279" t="str">
        <f t="shared" si="260"/>
        <v>1-1,2286299724481i</v>
      </c>
      <c r="X279" s="4">
        <f t="shared" si="274"/>
        <v>1.584150122052143</v>
      </c>
      <c r="Y279" s="4">
        <f t="shared" si="275"/>
        <v>-0.88762821078036913</v>
      </c>
      <c r="Z279" t="str">
        <f t="shared" si="261"/>
        <v>0,999657110143091+0,11495136484647i</v>
      </c>
      <c r="AA279" s="4">
        <f t="shared" si="276"/>
        <v>1.0062445796821478</v>
      </c>
      <c r="AB279" s="4">
        <f t="shared" si="277"/>
        <v>0.11448794094126123</v>
      </c>
      <c r="AC279" s="47" t="str">
        <f t="shared" si="278"/>
        <v>-0,3888042216377-0,27002604711577i</v>
      </c>
      <c r="AD279" s="20">
        <f t="shared" si="279"/>
        <v>-6.4959149901887709</v>
      </c>
      <c r="AE279" s="43">
        <f t="shared" si="280"/>
        <v>-145.21987058590892</v>
      </c>
      <c r="AF279" t="str">
        <f t="shared" si="262"/>
        <v>405,634542683733</v>
      </c>
      <c r="AG279" t="str">
        <f t="shared" si="263"/>
        <v>1+197,025365647516i</v>
      </c>
      <c r="AH279">
        <f t="shared" si="281"/>
        <v>197.0279033754797</v>
      </c>
      <c r="AI279">
        <f t="shared" si="282"/>
        <v>1.5657208817628079</v>
      </c>
      <c r="AJ279" t="str">
        <f t="shared" si="264"/>
        <v>1+0,033275395087136i</v>
      </c>
      <c r="AK279">
        <f t="shared" si="283"/>
        <v>1.0005534727930361</v>
      </c>
      <c r="AL279">
        <f t="shared" si="284"/>
        <v>3.326312182484762E-2</v>
      </c>
      <c r="AM279" t="str">
        <f t="shared" si="265"/>
        <v>1-0,179341338059258i</v>
      </c>
      <c r="AN279">
        <f t="shared" si="285"/>
        <v>1.0159543865434535</v>
      </c>
      <c r="AO279">
        <f t="shared" si="286"/>
        <v>-0.1774548740121866</v>
      </c>
      <c r="AP279" s="41" t="str">
        <f t="shared" si="287"/>
        <v>-0,290200397357974-2,07255257865573i</v>
      </c>
      <c r="AQ279">
        <f t="shared" si="288"/>
        <v>6.414434174833695</v>
      </c>
      <c r="AR279" s="43">
        <f t="shared" si="289"/>
        <v>-97.970777261441455</v>
      </c>
      <c r="AS279" t="str">
        <f t="shared" si="266"/>
        <v>-0,0000166666666666667</v>
      </c>
      <c r="AT279" t="str">
        <f t="shared" si="267"/>
        <v>0,0056696153936928i</v>
      </c>
      <c r="AU279">
        <f t="shared" si="290"/>
        <v>5.6696153936928E-3</v>
      </c>
      <c r="AV279">
        <f t="shared" si="291"/>
        <v>1.5707963267948966</v>
      </c>
      <c r="AW279" t="str">
        <f t="shared" si="268"/>
        <v>1+0,202113790614346i</v>
      </c>
      <c r="AX279">
        <f t="shared" si="292"/>
        <v>1.0202205567211924</v>
      </c>
      <c r="AY279">
        <f t="shared" si="293"/>
        <v>0.19942722216167832</v>
      </c>
      <c r="AZ279" t="str">
        <f t="shared" si="269"/>
        <v>1+29,8454697473851i</v>
      </c>
      <c r="BA279">
        <f t="shared" si="294"/>
        <v>29.862218009419177</v>
      </c>
      <c r="BB279">
        <f t="shared" si="295"/>
        <v>1.5373029341725244</v>
      </c>
      <c r="BC279" s="41" t="str">
        <f t="shared" si="296"/>
        <v>-0,0837209947228013+0,0198608143828544i</v>
      </c>
      <c r="BD279">
        <f t="shared" si="297"/>
        <v>-21.305537151995715</v>
      </c>
      <c r="BE279" s="43">
        <f t="shared" si="298"/>
        <v>166.6546318112814</v>
      </c>
      <c r="BF279" s="41" t="str">
        <f t="shared" si="299"/>
        <v>0,037914013388235+0,0148848807883817i</v>
      </c>
      <c r="BG279" s="20">
        <f t="shared" si="300"/>
        <v>-27.80145214218448</v>
      </c>
      <c r="BH279" s="43">
        <f t="shared" si="301"/>
        <v>21.434761225372398</v>
      </c>
      <c r="BI279" s="41" t="str">
        <f t="shared" si="255"/>
        <v>0,0654584479991495+0,167752547274607i</v>
      </c>
      <c r="BJ279" s="20">
        <f t="shared" si="302"/>
        <v>-14.89110297716203</v>
      </c>
      <c r="BK279" s="43">
        <f t="shared" si="256"/>
        <v>68.683854549839907</v>
      </c>
      <c r="BL279">
        <f t="shared" si="303"/>
        <v>-27.80145214218448</v>
      </c>
      <c r="BM279" s="43">
        <f t="shared" si="304"/>
        <v>21.434761225372398</v>
      </c>
    </row>
    <row r="280" spans="14:65" x14ac:dyDescent="0.35">
      <c r="N280" s="9">
        <v>62</v>
      </c>
      <c r="O280" s="34">
        <f t="shared" si="254"/>
        <v>4168.6938347033583</v>
      </c>
      <c r="P280" s="33" t="str">
        <f t="shared" si="257"/>
        <v>59,1053597814893</v>
      </c>
      <c r="Q280" s="4" t="str">
        <f t="shared" si="258"/>
        <v>1+201,256578886009i</v>
      </c>
      <c r="R280" s="4">
        <f t="shared" si="270"/>
        <v>201.25906326150968</v>
      </c>
      <c r="S280" s="4">
        <f t="shared" si="271"/>
        <v>1.5658275860160364</v>
      </c>
      <c r="T280" s="4" t="str">
        <f t="shared" si="259"/>
        <v>1+0,0340504786080398i</v>
      </c>
      <c r="U280" s="4">
        <f t="shared" si="272"/>
        <v>1.0005795496078442</v>
      </c>
      <c r="V280" s="4">
        <f t="shared" si="273"/>
        <v>3.4037327981924589E-2</v>
      </c>
      <c r="W280" t="str">
        <f t="shared" si="260"/>
        <v>1-1,25724844091224i</v>
      </c>
      <c r="X280" s="4">
        <f t="shared" si="274"/>
        <v>1.6064475223847987</v>
      </c>
      <c r="Y280" s="4">
        <f t="shared" si="275"/>
        <v>-0.89887407056835478</v>
      </c>
      <c r="Z280" t="str">
        <f t="shared" si="261"/>
        <v>0,999640950241994+0,117628926100501i</v>
      </c>
      <c r="AA280" s="4">
        <f t="shared" si="276"/>
        <v>1.0065379245991053</v>
      </c>
      <c r="AB280" s="4">
        <f t="shared" si="277"/>
        <v>0.11713253234102322</v>
      </c>
      <c r="AC280" s="47" t="str">
        <f t="shared" si="278"/>
        <v>-0,38870592922011-0,262402601554926i</v>
      </c>
      <c r="AD280" s="20">
        <f t="shared" si="279"/>
        <v>-6.5768111865730861</v>
      </c>
      <c r="AE280" s="43">
        <f t="shared" si="280"/>
        <v>-145.97800718874143</v>
      </c>
      <c r="AF280" t="str">
        <f t="shared" si="262"/>
        <v>405,634542683733</v>
      </c>
      <c r="AG280" t="str">
        <f t="shared" si="263"/>
        <v>1+201,614675968657i</v>
      </c>
      <c r="AH280">
        <f t="shared" si="281"/>
        <v>201.61715593159863</v>
      </c>
      <c r="AI280">
        <f t="shared" si="282"/>
        <v>1.5658364110797958</v>
      </c>
      <c r="AJ280" t="str">
        <f t="shared" si="264"/>
        <v>1+0,0340504786080398i</v>
      </c>
      <c r="AK280">
        <f t="shared" si="283"/>
        <v>1.0005795496078442</v>
      </c>
      <c r="AL280">
        <f t="shared" si="284"/>
        <v>3.4037327981924589E-2</v>
      </c>
      <c r="AM280" t="str">
        <f t="shared" si="265"/>
        <v>1-0,183518734462293i</v>
      </c>
      <c r="AN280">
        <f t="shared" si="285"/>
        <v>1.0167001160119151</v>
      </c>
      <c r="AO280">
        <f t="shared" si="286"/>
        <v>-0.18149914073016046</v>
      </c>
      <c r="AP280" s="41" t="str">
        <f t="shared" si="287"/>
        <v>-0,290671021949109-2,02594370542714i</v>
      </c>
      <c r="AQ280">
        <f t="shared" si="288"/>
        <v>6.2210388483197114</v>
      </c>
      <c r="AR280" s="43">
        <f t="shared" si="289"/>
        <v>-98.164757272606437</v>
      </c>
      <c r="AS280" t="str">
        <f t="shared" si="266"/>
        <v>-0,0000166666666666667</v>
      </c>
      <c r="AT280" t="str">
        <f t="shared" si="267"/>
        <v>0,00580167770129293i</v>
      </c>
      <c r="AU280">
        <f t="shared" si="290"/>
        <v>5.8016777012929299E-3</v>
      </c>
      <c r="AV280">
        <f t="shared" si="291"/>
        <v>1.5707963267948966</v>
      </c>
      <c r="AW280" t="str">
        <f t="shared" si="268"/>
        <v>1+0,206821625578961i</v>
      </c>
      <c r="AX280">
        <f t="shared" si="292"/>
        <v>1.0211636425211799</v>
      </c>
      <c r="AY280">
        <f t="shared" si="293"/>
        <v>0.20394612802501727</v>
      </c>
      <c r="AZ280" t="str">
        <f t="shared" si="269"/>
        <v>1+30,5406600438265i</v>
      </c>
      <c r="BA280">
        <f t="shared" si="294"/>
        <v>30.557027275449755</v>
      </c>
      <c r="BB280">
        <f t="shared" si="295"/>
        <v>1.5380647861164092</v>
      </c>
      <c r="BC280" s="41" t="str">
        <f t="shared" si="296"/>
        <v>-0,0835664267017023+0,0201560764694519i</v>
      </c>
      <c r="BD280">
        <f t="shared" si="297"/>
        <v>-21.313781825115051</v>
      </c>
      <c r="BE280" s="43">
        <f t="shared" si="298"/>
        <v>166.43936847829363</v>
      </c>
      <c r="BF280" s="41" t="str">
        <f t="shared" si="299"/>
        <v>0,0377717724454136+0,0140932613356858i</v>
      </c>
      <c r="BG280" s="20">
        <f t="shared" si="300"/>
        <v>-27.890593011688143</v>
      </c>
      <c r="BH280" s="43">
        <f t="shared" si="301"/>
        <v>20.461361289552158</v>
      </c>
      <c r="BI280" s="41" t="str">
        <f t="shared" si="255"/>
        <v>0,0651254148994133+0,163442088815492i</v>
      </c>
      <c r="BJ280" s="20">
        <f t="shared" si="302"/>
        <v>-15.092742976795357</v>
      </c>
      <c r="BK280" s="43">
        <f t="shared" si="256"/>
        <v>68.274611205687151</v>
      </c>
      <c r="BL280">
        <f t="shared" si="303"/>
        <v>-27.890593011688143</v>
      </c>
      <c r="BM280" s="43">
        <f t="shared" si="304"/>
        <v>20.461361289552158</v>
      </c>
    </row>
    <row r="281" spans="14:65" x14ac:dyDescent="0.35">
      <c r="N281" s="9">
        <v>63</v>
      </c>
      <c r="O281" s="34">
        <f t="shared" si="254"/>
        <v>4265.7951880159299</v>
      </c>
      <c r="P281" s="33" t="str">
        <f t="shared" si="257"/>
        <v>59,1053597814893</v>
      </c>
      <c r="Q281" s="4" t="str">
        <f t="shared" si="258"/>
        <v>1+205,944446824452i</v>
      </c>
      <c r="R281" s="4">
        <f t="shared" si="270"/>
        <v>205.94687464933654</v>
      </c>
      <c r="S281" s="4">
        <f t="shared" si="271"/>
        <v>1.5659406865660568</v>
      </c>
      <c r="T281" s="4" t="str">
        <f t="shared" si="259"/>
        <v>1+0,0348436161434128i</v>
      </c>
      <c r="U281" s="4">
        <f t="shared" si="272"/>
        <v>1.0006068546566875</v>
      </c>
      <c r="V281" s="4">
        <f t="shared" si="273"/>
        <v>3.4829525455178367E-2</v>
      </c>
      <c r="W281" t="str">
        <f t="shared" si="260"/>
        <v>1-1,2865335191414i</v>
      </c>
      <c r="X281" s="4">
        <f t="shared" si="274"/>
        <v>1.6294687772014396</v>
      </c>
      <c r="Y281" s="4">
        <f t="shared" si="275"/>
        <v>-0.91006182337424324</v>
      </c>
      <c r="Z281" t="str">
        <f t="shared" si="261"/>
        <v>0,999624028748221+0,120368855768153i</v>
      </c>
      <c r="AA281" s="4">
        <f t="shared" si="276"/>
        <v>1.0068450031110838</v>
      </c>
      <c r="AB281" s="4">
        <f t="shared" si="277"/>
        <v>0.1198371552262374</v>
      </c>
      <c r="AC281" s="47" t="str">
        <f t="shared" si="278"/>
        <v>-0,388596835238137-0,254920037707764i</v>
      </c>
      <c r="AD281" s="20">
        <f t="shared" si="279"/>
        <v>-6.6556288509524988</v>
      </c>
      <c r="AE281" s="43">
        <f t="shared" si="280"/>
        <v>-146.73507229567019</v>
      </c>
      <c r="AF281" t="str">
        <f t="shared" si="262"/>
        <v>405,634542683733</v>
      </c>
      <c r="AG281" t="str">
        <f t="shared" si="263"/>
        <v>1+206,310885059681i</v>
      </c>
      <c r="AH281">
        <f t="shared" si="281"/>
        <v>206.31330857244501</v>
      </c>
      <c r="AI281">
        <f t="shared" si="282"/>
        <v>1.5659493107564055</v>
      </c>
      <c r="AJ281" t="str">
        <f t="shared" si="264"/>
        <v>1+0,0348436161434128i</v>
      </c>
      <c r="AK281">
        <f t="shared" si="283"/>
        <v>1.0006068546566875</v>
      </c>
      <c r="AL281">
        <f t="shared" si="284"/>
        <v>3.4829525455178367E-2</v>
      </c>
      <c r="AM281" t="str">
        <f t="shared" si="265"/>
        <v>1-0,187793434927497i</v>
      </c>
      <c r="AN281">
        <f t="shared" si="285"/>
        <v>1.0174804048245194</v>
      </c>
      <c r="AO281">
        <f t="shared" si="286"/>
        <v>-0.18563140413535825</v>
      </c>
      <c r="AP281" s="41" t="str">
        <f t="shared" si="287"/>
        <v>-0,291120465963151-1,98040880419736i</v>
      </c>
      <c r="AQ281">
        <f t="shared" si="288"/>
        <v>6.0279443047455761</v>
      </c>
      <c r="AR281" s="43">
        <f t="shared" si="289"/>
        <v>-98.362597628780406</v>
      </c>
      <c r="AS281" t="str">
        <f t="shared" si="266"/>
        <v>-0,0000166666666666667</v>
      </c>
      <c r="AT281" t="str">
        <f t="shared" si="267"/>
        <v>0,00593681613520456i</v>
      </c>
      <c r="AU281">
        <f t="shared" si="290"/>
        <v>5.9368161352045604E-3</v>
      </c>
      <c r="AV281">
        <f t="shared" si="291"/>
        <v>1.5707963267948966</v>
      </c>
      <c r="AW281" t="str">
        <f t="shared" si="268"/>
        <v>1+0,211639120107064i</v>
      </c>
      <c r="AX281">
        <f t="shared" si="292"/>
        <v>1.0221502419701773</v>
      </c>
      <c r="AY281">
        <f t="shared" si="293"/>
        <v>0.20856156359110967</v>
      </c>
      <c r="AZ281" t="str">
        <f t="shared" si="269"/>
        <v>1+31,2520434024764i</v>
      </c>
      <c r="BA281">
        <f t="shared" si="294"/>
        <v>31.268038263221261</v>
      </c>
      <c r="BB281">
        <f t="shared" si="295"/>
        <v>1.5388093329227126</v>
      </c>
      <c r="BC281" s="41" t="str">
        <f t="shared" si="296"/>
        <v>-0,083405184650148+0,0204591407773274i</v>
      </c>
      <c r="BD281">
        <f t="shared" si="297"/>
        <v>-21.322379006881491</v>
      </c>
      <c r="BE281" s="43">
        <f t="shared" si="298"/>
        <v>166.2175828893931</v>
      </c>
      <c r="BF281" s="41" t="str">
        <f t="shared" si="299"/>
        <v>0,0376264357359247+0,0133112954582778i</v>
      </c>
      <c r="BG281" s="20">
        <f t="shared" si="300"/>
        <v>-27.978007857833987</v>
      </c>
      <c r="BH281" s="43">
        <f t="shared" si="301"/>
        <v>19.482510593722914</v>
      </c>
      <c r="BI281" s="41" t="str">
        <f t="shared" si="255"/>
        <v>0,0647984187408261+0,159220287400558i</v>
      </c>
      <c r="BJ281" s="20">
        <f t="shared" si="302"/>
        <v>-15.294434702135931</v>
      </c>
      <c r="BK281" s="43">
        <f t="shared" si="256"/>
        <v>67.854985260612679</v>
      </c>
      <c r="BL281">
        <f t="shared" si="303"/>
        <v>-27.978007857833987</v>
      </c>
      <c r="BM281" s="43">
        <f t="shared" si="304"/>
        <v>19.482510593722914</v>
      </c>
    </row>
    <row r="282" spans="14:65" x14ac:dyDescent="0.35">
      <c r="N282" s="9">
        <v>64</v>
      </c>
      <c r="O282" s="34">
        <f t="shared" si="254"/>
        <v>4365.1583224016631</v>
      </c>
      <c r="P282" s="33" t="str">
        <f t="shared" si="257"/>
        <v>59,1053597814893</v>
      </c>
      <c r="Q282" s="4" t="str">
        <f t="shared" si="258"/>
        <v>1+210,741509234597i</v>
      </c>
      <c r="R282" s="4">
        <f t="shared" si="270"/>
        <v>210.74388179606959</v>
      </c>
      <c r="S282" s="4">
        <f t="shared" si="271"/>
        <v>1.5660512127532844</v>
      </c>
      <c r="T282" s="4" t="str">
        <f t="shared" si="259"/>
        <v>1+0,0356552282252749i</v>
      </c>
      <c r="U282" s="4">
        <f t="shared" si="272"/>
        <v>1.000635445754245</v>
      </c>
      <c r="V282" s="4">
        <f t="shared" si="273"/>
        <v>3.5640130298604702E-2</v>
      </c>
      <c r="W282" t="str">
        <f t="shared" si="260"/>
        <v>1-1,31650073447169i</v>
      </c>
      <c r="X282" s="4">
        <f t="shared" si="274"/>
        <v>1.6532314368727987</v>
      </c>
      <c r="Y282" s="4">
        <f t="shared" si="275"/>
        <v>-0.92118619907573729</v>
      </c>
      <c r="Z282" t="str">
        <f t="shared" si="261"/>
        <v>0,999606309769016+0,123172606596404i</v>
      </c>
      <c r="AA282" s="4">
        <f t="shared" si="276"/>
        <v>1.0071664537432641</v>
      </c>
      <c r="AB282" s="4">
        <f t="shared" si="277"/>
        <v>0.12260309774844046</v>
      </c>
      <c r="AC282" s="47" t="str">
        <f t="shared" si="278"/>
        <v>-0,388476737411003-0,247574514337092i</v>
      </c>
      <c r="AD282" s="20">
        <f t="shared" si="279"/>
        <v>-6.7323964826003717</v>
      </c>
      <c r="AE282" s="43">
        <f t="shared" si="280"/>
        <v>-147.49081735365434</v>
      </c>
      <c r="AF282" t="str">
        <f t="shared" si="262"/>
        <v>405,634542683733</v>
      </c>
      <c r="AG282" t="str">
        <f t="shared" si="263"/>
        <v>1+211,116482912811i</v>
      </c>
      <c r="AH282">
        <f t="shared" si="281"/>
        <v>211.11885126031549</v>
      </c>
      <c r="AI282">
        <f t="shared" si="282"/>
        <v>1.5660596406420211</v>
      </c>
      <c r="AJ282" t="str">
        <f t="shared" si="264"/>
        <v>1+0,0356552282252749i</v>
      </c>
      <c r="AK282">
        <f t="shared" si="283"/>
        <v>1.000635445754245</v>
      </c>
      <c r="AL282">
        <f t="shared" si="284"/>
        <v>3.5640130298604702E-2</v>
      </c>
      <c r="AM282" t="str">
        <f t="shared" si="265"/>
        <v>1-0,192167705957639i</v>
      </c>
      <c r="AN282">
        <f t="shared" si="285"/>
        <v>1.0182968266733534</v>
      </c>
      <c r="AO282">
        <f t="shared" si="286"/>
        <v>-0.18985329044542665</v>
      </c>
      <c r="AP282" s="41" t="str">
        <f t="shared" si="287"/>
        <v>-0,291549682593467-1,93592374578635i</v>
      </c>
      <c r="AQ282">
        <f t="shared" si="288"/>
        <v>5.8351638072167065</v>
      </c>
      <c r="AR282" s="43">
        <f t="shared" si="289"/>
        <v>-98.564371096350115</v>
      </c>
      <c r="AS282" t="str">
        <f t="shared" si="266"/>
        <v>-0,0000166666666666667</v>
      </c>
      <c r="AT282" t="str">
        <f t="shared" si="267"/>
        <v>0,00607510234761414i</v>
      </c>
      <c r="AU282">
        <f t="shared" si="290"/>
        <v>6.0751023476141404E-3</v>
      </c>
      <c r="AV282">
        <f t="shared" si="291"/>
        <v>1.5707963267948966</v>
      </c>
      <c r="AW282" t="str">
        <f t="shared" si="268"/>
        <v>1+0,216568828498023i</v>
      </c>
      <c r="AX282">
        <f t="shared" si="292"/>
        <v>1.0231823187863471</v>
      </c>
      <c r="AY282">
        <f t="shared" si="293"/>
        <v>0.21327518910382537</v>
      </c>
      <c r="AZ282" t="str">
        <f t="shared" si="269"/>
        <v>1+31,9799970082081i</v>
      </c>
      <c r="BA282">
        <f t="shared" si="294"/>
        <v>31.995627961410591</v>
      </c>
      <c r="BB282">
        <f t="shared" si="295"/>
        <v>1.5395369660562028</v>
      </c>
      <c r="BC282" s="41" t="str">
        <f t="shared" si="296"/>
        <v>-0,0832370090641955+0,0207699795460344i</v>
      </c>
      <c r="BD282">
        <f t="shared" si="297"/>
        <v>-21.331344754086622</v>
      </c>
      <c r="BE282" s="43">
        <f t="shared" si="298"/>
        <v>165.98920234889212</v>
      </c>
      <c r="BF282" s="41" t="str">
        <f t="shared" si="299"/>
        <v>0,0374777593120095+0,0125387082038036i</v>
      </c>
      <c r="BG282" s="20">
        <f t="shared" si="300"/>
        <v>-28.063741236687004</v>
      </c>
      <c r="BH282" s="43">
        <f t="shared" si="301"/>
        <v>18.498384995237803</v>
      </c>
      <c r="BI282" s="41" t="str">
        <f t="shared" si="255"/>
        <v>0,0644768201753605+0,155085021431491i</v>
      </c>
      <c r="BJ282" s="20">
        <f t="shared" si="302"/>
        <v>-15.496180946869897</v>
      </c>
      <c r="BK282" s="43">
        <f t="shared" si="256"/>
        <v>67.424831252542077</v>
      </c>
      <c r="BL282">
        <f t="shared" si="303"/>
        <v>-28.063741236687004</v>
      </c>
      <c r="BM282" s="43">
        <f t="shared" si="304"/>
        <v>18.498384995237803</v>
      </c>
    </row>
    <row r="283" spans="14:65" x14ac:dyDescent="0.35">
      <c r="N283" s="9">
        <v>65</v>
      </c>
      <c r="O283" s="34">
        <f t="shared" si="254"/>
        <v>4466.8359215096343</v>
      </c>
      <c r="P283" s="33" t="str">
        <f t="shared" si="257"/>
        <v>59,1053597814893</v>
      </c>
      <c r="Q283" s="4" t="str">
        <f t="shared" si="258"/>
        <v>1+215,650309582433i</v>
      </c>
      <c r="R283" s="4">
        <f t="shared" si="270"/>
        <v>215.65262813840039</v>
      </c>
      <c r="S283" s="4">
        <f t="shared" si="271"/>
        <v>1.5661592231693588</v>
      </c>
      <c r="T283" s="4" t="str">
        <f t="shared" si="259"/>
        <v>1+0,0364857451810947i</v>
      </c>
      <c r="U283" s="4">
        <f t="shared" si="272"/>
        <v>1.0006653834331534</v>
      </c>
      <c r="V283" s="4">
        <f t="shared" si="273"/>
        <v>3.6469568042127865E-2</v>
      </c>
      <c r="W283" t="str">
        <f t="shared" si="260"/>
        <v>1-1,34716597591734i</v>
      </c>
      <c r="X283" s="4">
        <f t="shared" si="274"/>
        <v>1.6777533092410573</v>
      </c>
      <c r="Y283" s="4">
        <f t="shared" si="275"/>
        <v>-0.93224208316665347</v>
      </c>
      <c r="Z283" t="str">
        <f t="shared" si="261"/>
        <v>0,999587755720048+0,126041665171054i</v>
      </c>
      <c r="AA283" s="4">
        <f t="shared" si="276"/>
        <v>1.0075029442857895</v>
      </c>
      <c r="AB283" s="4">
        <f t="shared" si="277"/>
        <v>0.12543167043119655</v>
      </c>
      <c r="AC283" s="47" t="str">
        <f t="shared" si="278"/>
        <v>-0,38834541285098-0,240362271183877i</v>
      </c>
      <c r="AD283" s="20">
        <f t="shared" si="279"/>
        <v>-6.807144671208488</v>
      </c>
      <c r="AE283" s="43">
        <f t="shared" si="280"/>
        <v>-148.24500338652933</v>
      </c>
      <c r="AF283" t="str">
        <f t="shared" si="262"/>
        <v>405,634542683733</v>
      </c>
      <c r="AG283" t="str">
        <f t="shared" si="263"/>
        <v>1+216,034017519639i</v>
      </c>
      <c r="AH283">
        <f t="shared" si="281"/>
        <v>216.0363319575568</v>
      </c>
      <c r="AI283">
        <f t="shared" si="282"/>
        <v>1.5661674592242578</v>
      </c>
      <c r="AJ283" t="str">
        <f t="shared" si="264"/>
        <v>1+0,0364857451810947i</v>
      </c>
      <c r="AK283">
        <f t="shared" si="283"/>
        <v>1.0006653834331534</v>
      </c>
      <c r="AL283">
        <f t="shared" si="284"/>
        <v>3.6469568042127865E-2</v>
      </c>
      <c r="AM283" t="str">
        <f t="shared" si="265"/>
        <v>1-0,19664386684912i</v>
      </c>
      <c r="AN283">
        <f t="shared" si="285"/>
        <v>1.019151024318464</v>
      </c>
      <c r="AO283">
        <f t="shared" si="286"/>
        <v>-0.19416643585005183</v>
      </c>
      <c r="AP283" s="41" t="str">
        <f t="shared" si="287"/>
        <v>-0,291959582140544-1,89246495671841i</v>
      </c>
      <c r="AQ283">
        <f t="shared" si="288"/>
        <v>5.6427111577364624</v>
      </c>
      <c r="AR283" s="43">
        <f t="shared" si="289"/>
        <v>-98.770150392103929</v>
      </c>
      <c r="AS283" t="str">
        <f t="shared" si="266"/>
        <v>-0,0000166666666666667</v>
      </c>
      <c r="AT283" t="str">
        <f t="shared" si="267"/>
        <v>0,00621660965970191i</v>
      </c>
      <c r="AU283">
        <f t="shared" si="290"/>
        <v>6.21660965970191E-3</v>
      </c>
      <c r="AV283">
        <f t="shared" si="291"/>
        <v>1.5707963267948966</v>
      </c>
      <c r="AW283" t="str">
        <f t="shared" si="268"/>
        <v>1+0,22161336454848i</v>
      </c>
      <c r="AX283">
        <f t="shared" si="292"/>
        <v>1.0242619212615969</v>
      </c>
      <c r="AY283">
        <f t="shared" si="293"/>
        <v>0.21808866557295728</v>
      </c>
      <c r="AZ283" t="str">
        <f t="shared" si="269"/>
        <v>1+32,7249068316588i</v>
      </c>
      <c r="BA283">
        <f t="shared" si="294"/>
        <v>32.740182148863326</v>
      </c>
      <c r="BB283">
        <f t="shared" si="295"/>
        <v>1.5402480682338733</v>
      </c>
      <c r="BC283" s="41" t="str">
        <f t="shared" si="296"/>
        <v>-0,0830616329810248+0,0210885576820015i</v>
      </c>
      <c r="BD283">
        <f t="shared" si="297"/>
        <v>-21.340695707838684</v>
      </c>
      <c r="BE283" s="43">
        <f t="shared" si="298"/>
        <v>165.75415361600849</v>
      </c>
      <c r="BF283" s="41" t="str">
        <f t="shared" si="299"/>
        <v>0,0373254977725307+0,0117752381121122i</v>
      </c>
      <c r="BG283" s="20">
        <f t="shared" si="300"/>
        <v>-28.147840379047175</v>
      </c>
      <c r="BH283" s="43">
        <f t="shared" si="301"/>
        <v>17.509150229479214</v>
      </c>
      <c r="BI283" s="41" t="str">
        <f t="shared" si="255"/>
        <v>0,0641599960579739+0,151034223175612i</v>
      </c>
      <c r="BJ283" s="20">
        <f t="shared" si="302"/>
        <v>-15.697984550102202</v>
      </c>
      <c r="BK283" s="43">
        <f t="shared" si="256"/>
        <v>66.984003223904594</v>
      </c>
      <c r="BL283">
        <f t="shared" si="303"/>
        <v>-28.147840379047175</v>
      </c>
      <c r="BM283" s="43">
        <f t="shared" si="304"/>
        <v>17.509150229479214</v>
      </c>
    </row>
    <row r="284" spans="14:65" x14ac:dyDescent="0.35">
      <c r="N284" s="9">
        <v>66</v>
      </c>
      <c r="O284" s="34">
        <f t="shared" ref="O284:O318" si="305">10^(3+(N284/100))</f>
        <v>4570.8818961487532</v>
      </c>
      <c r="P284" s="33" t="str">
        <f t="shared" si="257"/>
        <v>59,1053597814893</v>
      </c>
      <c r="Q284" s="4" t="str">
        <f t="shared" si="258"/>
        <v>1+220,673450578879i</v>
      </c>
      <c r="R284" s="4">
        <f t="shared" si="270"/>
        <v>220.67571635861742</v>
      </c>
      <c r="S284" s="4">
        <f t="shared" si="271"/>
        <v>1.5662647750727461</v>
      </c>
      <c r="T284" s="4" t="str">
        <f t="shared" si="259"/>
        <v>1+0,0373356073619555i</v>
      </c>
      <c r="U284" s="4">
        <f t="shared" si="272"/>
        <v>1.0006967310714501</v>
      </c>
      <c r="V284" s="4">
        <f t="shared" si="273"/>
        <v>3.7318273897005427E-2</v>
      </c>
      <c r="W284" t="str">
        <f t="shared" si="260"/>
        <v>1-1,37854550259528i</v>
      </c>
      <c r="X284" s="4">
        <f t="shared" si="274"/>
        <v>1.7030524662281177</v>
      </c>
      <c r="Y284" s="4">
        <f t="shared" si="275"/>
        <v>-0.94322452690765446</v>
      </c>
      <c r="Z284" t="str">
        <f t="shared" si="261"/>
        <v>0,999568327245691+0,128977552704937i</v>
      </c>
      <c r="AA284" s="4">
        <f t="shared" si="276"/>
        <v>1.0078551730950751</v>
      </c>
      <c r="AB284" s="4">
        <f t="shared" si="277"/>
        <v>0.12832420617456672</v>
      </c>
      <c r="AC284" s="47" t="str">
        <f t="shared" si="278"/>
        <v>-0,388202617842538-0,233279627538301i</v>
      </c>
      <c r="AD284" s="20">
        <f t="shared" si="279"/>
        <v>-6.8799060085394261</v>
      </c>
      <c r="AE284" s="43">
        <f t="shared" si="280"/>
        <v>-148.99740156686553</v>
      </c>
      <c r="AF284" t="str">
        <f t="shared" si="262"/>
        <v>405,634542683733</v>
      </c>
      <c r="AG284" t="str">
        <f t="shared" si="263"/>
        <v>1+221,066096222105i</v>
      </c>
      <c r="AH284">
        <f t="shared" si="281"/>
        <v>221.06835797752919</v>
      </c>
      <c r="AI284">
        <f t="shared" si="282"/>
        <v>1.5662728236599226</v>
      </c>
      <c r="AJ284" t="str">
        <f t="shared" si="264"/>
        <v>1+0,0373356073619555i</v>
      </c>
      <c r="AK284">
        <f t="shared" si="283"/>
        <v>1.0006967310714501</v>
      </c>
      <c r="AL284">
        <f t="shared" si="284"/>
        <v>3.7318273897005427E-2</v>
      </c>
      <c r="AM284" t="str">
        <f t="shared" si="265"/>
        <v>1-0,201224290921695i</v>
      </c>
      <c r="AN284">
        <f t="shared" si="285"/>
        <v>1.0200447123812462</v>
      </c>
      <c r="AO284">
        <f t="shared" si="286"/>
        <v>-0.19857248501974428</v>
      </c>
      <c r="AP284" s="41" t="str">
        <f t="shared" si="287"/>
        <v>-0,292351033941793-1,85000940678575i</v>
      </c>
      <c r="AQ284">
        <f t="shared" si="288"/>
        <v>5.4506007150993927</v>
      </c>
      <c r="AR284" s="43">
        <f t="shared" si="289"/>
        <v>-98.980008087796278</v>
      </c>
      <c r="AS284" t="str">
        <f t="shared" si="266"/>
        <v>-0,0000166666666666667</v>
      </c>
      <c r="AT284" t="str">
        <f t="shared" si="267"/>
        <v>0,00636141310051781i</v>
      </c>
      <c r="AU284">
        <f t="shared" si="290"/>
        <v>6.36141310051781E-3</v>
      </c>
      <c r="AV284">
        <f t="shared" si="291"/>
        <v>1.5707963267948966</v>
      </c>
      <c r="AW284" t="str">
        <f t="shared" si="268"/>
        <v>1+0,226775402938219i</v>
      </c>
      <c r="AX284">
        <f t="shared" si="292"/>
        <v>1.0253911855373985</v>
      </c>
      <c r="AY284">
        <f t="shared" si="293"/>
        <v>0.22300365254941928</v>
      </c>
      <c r="AZ284" t="str">
        <f t="shared" si="269"/>
        <v>1+33,487167833877i</v>
      </c>
      <c r="BA284">
        <f t="shared" si="294"/>
        <v>33.502095599144937</v>
      </c>
      <c r="BB284">
        <f t="shared" si="295"/>
        <v>1.5409430136132229</v>
      </c>
      <c r="BC284" s="41" t="str">
        <f t="shared" si="296"/>
        <v>-0,0828787820146225+0,0214148321416869i</v>
      </c>
      <c r="BD284">
        <f t="shared" si="297"/>
        <v>-21.350449111532008</v>
      </c>
      <c r="BE284" s="43">
        <f t="shared" si="298"/>
        <v>165.51236304312431</v>
      </c>
      <c r="BF284" s="41" t="str">
        <f t="shared" si="299"/>
        <v>0,0371694042074855+0,0110206375011378i</v>
      </c>
      <c r="BG284" s="20">
        <f t="shared" si="300"/>
        <v>-28.230355120071422</v>
      </c>
      <c r="BH284" s="43">
        <f t="shared" si="301"/>
        <v>16.514961476258783</v>
      </c>
      <c r="BI284" s="41" t="str">
        <f t="shared" si="255"/>
        <v>0,06384733852067+0,147065878031685i</v>
      </c>
      <c r="BJ284" s="20">
        <f t="shared" si="302"/>
        <v>-15.899848396432619</v>
      </c>
      <c r="BK284" s="43">
        <f t="shared" si="256"/>
        <v>66.532354955328003</v>
      </c>
      <c r="BL284">
        <f t="shared" si="303"/>
        <v>-28.230355120071422</v>
      </c>
      <c r="BM284" s="43">
        <f t="shared" si="304"/>
        <v>16.514961476258783</v>
      </c>
    </row>
    <row r="285" spans="14:65" x14ac:dyDescent="0.35">
      <c r="N285" s="9">
        <v>67</v>
      </c>
      <c r="O285" s="34">
        <f t="shared" si="305"/>
        <v>4677.3514128719844</v>
      </c>
      <c r="P285" s="33" t="str">
        <f t="shared" si="257"/>
        <v>59,1053597814893</v>
      </c>
      <c r="Q285" s="4" t="str">
        <f t="shared" si="258"/>
        <v>1+225,81359555978i</v>
      </c>
      <c r="R285" s="4">
        <f t="shared" si="270"/>
        <v>225.81580976458645</v>
      </c>
      <c r="S285" s="4">
        <f t="shared" si="271"/>
        <v>1.5663679244190492</v>
      </c>
      <c r="T285" s="4" t="str">
        <f t="shared" si="259"/>
        <v>1+0,0382052653760348i</v>
      </c>
      <c r="U285" s="4">
        <f t="shared" si="272"/>
        <v>1.0007295550259587</v>
      </c>
      <c r="V285" s="4">
        <f t="shared" si="273"/>
        <v>3.8186692964929859E-2</v>
      </c>
      <c r="W285" t="str">
        <f t="shared" si="260"/>
        <v>1-1,4106559523459i</v>
      </c>
      <c r="X285" s="4">
        <f t="shared" si="274"/>
        <v>1.7291472510717292</v>
      </c>
      <c r="Y285" s="4">
        <f t="shared" si="275"/>
        <v>-0.95412875654208229</v>
      </c>
      <c r="Z285" t="str">
        <f t="shared" si="261"/>
        <v>0,999547983135548+0,131981825844484i</v>
      </c>
      <c r="AA285" s="4">
        <f t="shared" si="276"/>
        <v>1.0082238704492101</v>
      </c>
      <c r="AB285" s="4">
        <f t="shared" si="277"/>
        <v>0.13128206022616595</v>
      </c>
      <c r="AC285" s="47" t="str">
        <f t="shared" si="278"/>
        <v>-0,388048087599941-0,226322980886385i</v>
      </c>
      <c r="AD285" s="20">
        <f t="shared" si="279"/>
        <v>-6.9507149955868721</v>
      </c>
      <c r="AE285" s="43">
        <f t="shared" si="280"/>
        <v>-149.74779373209398</v>
      </c>
      <c r="AF285" t="str">
        <f t="shared" si="262"/>
        <v>405,634542683733</v>
      </c>
      <c r="AG285" t="str">
        <f t="shared" si="263"/>
        <v>1+226,215387094943i</v>
      </c>
      <c r="AH285">
        <f t="shared" si="281"/>
        <v>226.21759736703706</v>
      </c>
      <c r="AI285">
        <f t="shared" si="282"/>
        <v>1.5663757898052706</v>
      </c>
      <c r="AJ285" t="str">
        <f t="shared" si="264"/>
        <v>1+0,0382052653760348i</v>
      </c>
      <c r="AK285">
        <f t="shared" si="283"/>
        <v>1.0007295550259587</v>
      </c>
      <c r="AL285">
        <f t="shared" si="284"/>
        <v>3.8186692964929859E-2</v>
      </c>
      <c r="AM285" t="str">
        <f t="shared" si="265"/>
        <v>1-0,205911406776834i</v>
      </c>
      <c r="AN285">
        <f t="shared" si="285"/>
        <v>1.0209796802291486</v>
      </c>
      <c r="AO285">
        <f t="shared" si="286"/>
        <v>-0.20307308948689262</v>
      </c>
      <c r="AP285" s="41" t="str">
        <f t="shared" si="287"/>
        <v>-0,292724868214551-1,80853459689585i</v>
      </c>
      <c r="AQ285">
        <f t="shared" si="288"/>
        <v>5.2588474129907636</v>
      </c>
      <c r="AR285" s="43">
        <f t="shared" si="289"/>
        <v>-99.194016507142024</v>
      </c>
      <c r="AS285" t="str">
        <f t="shared" si="266"/>
        <v>-0,0000166666666666667</v>
      </c>
      <c r="AT285" t="str">
        <f t="shared" si="267"/>
        <v>0,00650958944676285i</v>
      </c>
      <c r="AU285">
        <f t="shared" si="290"/>
        <v>6.5095894467628503E-3</v>
      </c>
      <c r="AV285">
        <f t="shared" si="291"/>
        <v>1.5707963267948966</v>
      </c>
      <c r="AW285" t="str">
        <f t="shared" si="268"/>
        <v>1+0,232057680648324i</v>
      </c>
      <c r="AX285">
        <f t="shared" si="292"/>
        <v>1.0265723389746479</v>
      </c>
      <c r="AY285">
        <f t="shared" si="293"/>
        <v>0.22802180573895703</v>
      </c>
      <c r="AZ285" t="str">
        <f t="shared" si="269"/>
        <v>1+34,2671841757358i</v>
      </c>
      <c r="BA285">
        <f t="shared" si="294"/>
        <v>34.281772289859781</v>
      </c>
      <c r="BB285">
        <f t="shared" si="295"/>
        <v>1.5416221679769682</v>
      </c>
      <c r="BC285" s="41" t="str">
        <f t="shared" si="296"/>
        <v>-0,0826881744209145+0,0217487512905982i</v>
      </c>
      <c r="BD285">
        <f t="shared" si="297"/>
        <v>-21.360622828662315</v>
      </c>
      <c r="BE285" s="43">
        <f t="shared" si="298"/>
        <v>165.26375672309428</v>
      </c>
      <c r="BF285" s="41" t="str">
        <f t="shared" si="299"/>
        <v>0,037009230173811+0,0102746727729913i</v>
      </c>
      <c r="BG285" s="20">
        <f t="shared" si="300"/>
        <v>-28.311337824249193</v>
      </c>
      <c r="BH285" s="43">
        <f t="shared" si="301"/>
        <v>15.515962991000274</v>
      </c>
      <c r="BI285" s="41" t="str">
        <f t="shared" si="255"/>
        <v>0,0635382541085941+0,143178023839011i</v>
      </c>
      <c r="BJ285" s="20">
        <f t="shared" si="302"/>
        <v>-16.10177541567155</v>
      </c>
      <c r="BK285" s="43">
        <f t="shared" si="256"/>
        <v>66.069740215952251</v>
      </c>
      <c r="BL285">
        <f t="shared" si="303"/>
        <v>-28.311337824249193</v>
      </c>
      <c r="BM285" s="43">
        <f t="shared" si="304"/>
        <v>15.515962991000274</v>
      </c>
    </row>
    <row r="286" spans="14:65" x14ac:dyDescent="0.35">
      <c r="N286" s="9">
        <v>68</v>
      </c>
      <c r="O286" s="34">
        <f t="shared" si="305"/>
        <v>4786.3009232263848</v>
      </c>
      <c r="P286" s="33" t="str">
        <f t="shared" si="257"/>
        <v>59,1053597814893</v>
      </c>
      <c r="Q286" s="4" t="str">
        <f t="shared" si="258"/>
        <v>1+231,073469898044i</v>
      </c>
      <c r="R286" s="4">
        <f t="shared" si="270"/>
        <v>231.07563370187316</v>
      </c>
      <c r="S286" s="4">
        <f t="shared" si="271"/>
        <v>1.566468725890632</v>
      </c>
      <c r="T286" s="4" t="str">
        <f t="shared" si="259"/>
        <v>1+0,0390951803275229i</v>
      </c>
      <c r="U286" s="4">
        <f t="shared" si="272"/>
        <v>1.0007639247718922</v>
      </c>
      <c r="V286" s="4">
        <f t="shared" si="273"/>
        <v>3.9075280450837961E-2</v>
      </c>
      <c r="W286" t="str">
        <f t="shared" si="260"/>
        <v>1-1,4435143505547i</v>
      </c>
      <c r="X286" s="4">
        <f t="shared" si="274"/>
        <v>1.7560562861871363</v>
      </c>
      <c r="Y286" s="4">
        <f t="shared" si="275"/>
        <v>-0.96495018154866263</v>
      </c>
      <c r="Z286" t="str">
        <f t="shared" si="261"/>
        <v>0,999526680237032+0,135056077495079i</v>
      </c>
      <c r="AA286" s="4">
        <f t="shared" si="276"/>
        <v>1.0086097999593395</v>
      </c>
      <c r="AB286" s="4">
        <f t="shared" si="277"/>
        <v>0.13430661011604769</v>
      </c>
      <c r="AC286" s="47" t="str">
        <f t="shared" si="278"/>
        <v>-0,38788153600483-0,219488805633308i</v>
      </c>
      <c r="AD286" s="20">
        <f t="shared" si="279"/>
        <v>-7.0196079460158955</v>
      </c>
      <c r="AE286" s="43">
        <f t="shared" si="280"/>
        <v>-150.49597284312503</v>
      </c>
      <c r="AF286" t="str">
        <f t="shared" si="262"/>
        <v>405,634542683733</v>
      </c>
      <c r="AG286" t="str">
        <f t="shared" si="263"/>
        <v>1+231,484620360333i</v>
      </c>
      <c r="AH286">
        <f t="shared" si="281"/>
        <v>231.48678032096666</v>
      </c>
      <c r="AI286">
        <f t="shared" si="282"/>
        <v>1.566476412245577</v>
      </c>
      <c r="AJ286" t="str">
        <f t="shared" si="264"/>
        <v>1+0,0390951803275229i</v>
      </c>
      <c r="AK286">
        <f t="shared" si="283"/>
        <v>1.0007639247718922</v>
      </c>
      <c r="AL286">
        <f t="shared" si="284"/>
        <v>3.9075280450837961E-2</v>
      </c>
      <c r="AM286" t="str">
        <f t="shared" si="265"/>
        <v>1-0,210707699585406i</v>
      </c>
      <c r="AN286">
        <f t="shared" si="285"/>
        <v>1.0219577949526946</v>
      </c>
      <c r="AO286">
        <f t="shared" si="286"/>
        <v>-0.20766990589268966</v>
      </c>
      <c r="AP286" s="41" t="str">
        <f t="shared" si="287"/>
        <v>-0,293081877816207-1,76801854719654i</v>
      </c>
      <c r="AQ286">
        <f t="shared" si="288"/>
        <v>5.0674667782539329</v>
      </c>
      <c r="AR286" s="43">
        <f t="shared" si="289"/>
        <v>-99.412247614873863</v>
      </c>
      <c r="AS286" t="str">
        <f t="shared" si="266"/>
        <v>-0,0000166666666666667</v>
      </c>
      <c r="AT286" t="str">
        <f t="shared" si="267"/>
        <v>0,00666121726349718i</v>
      </c>
      <c r="AU286">
        <f t="shared" si="290"/>
        <v>6.6612172634971803E-3</v>
      </c>
      <c r="AV286">
        <f t="shared" si="291"/>
        <v>1.5707963267948966</v>
      </c>
      <c r="AW286" t="str">
        <f t="shared" si="268"/>
        <v>1+0,237462998412355i</v>
      </c>
      <c r="AX286">
        <f t="shared" si="292"/>
        <v>1.0278077036172604</v>
      </c>
      <c r="AY286">
        <f t="shared" si="293"/>
        <v>0.23314477444791251</v>
      </c>
      <c r="AZ286" t="str">
        <f t="shared" si="269"/>
        <v>1+35,0653694322244i</v>
      </c>
      <c r="BA286">
        <f t="shared" si="294"/>
        <v>35.079625616850265</v>
      </c>
      <c r="BB286">
        <f t="shared" si="295"/>
        <v>1.5422858889142257</v>
      </c>
      <c r="BC286" s="41" t="str">
        <f t="shared" si="296"/>
        <v>-0,0824895211952253+0,0220902542385725i</v>
      </c>
      <c r="BD286">
        <f t="shared" si="297"/>
        <v>-21.37123536041824</v>
      </c>
      <c r="BE286" s="43">
        <f t="shared" si="298"/>
        <v>165.00826064597274</v>
      </c>
      <c r="BF286" s="41" t="str">
        <f t="shared" si="299"/>
        <v>0,0368447257044674+0,00953712473960874i</v>
      </c>
      <c r="BG286" s="20">
        <f t="shared" si="300"/>
        <v>-28.390843306434128</v>
      </c>
      <c r="BH286" s="43">
        <f t="shared" si="301"/>
        <v>14.51228780284772</v>
      </c>
      <c r="BI286" s="41" t="str">
        <f t="shared" si="255"/>
        <v>0,0632321629781396+0,139368750228842i</v>
      </c>
      <c r="BJ286" s="20">
        <f t="shared" si="302"/>
        <v>-16.303768582164317</v>
      </c>
      <c r="BK286" s="43">
        <f t="shared" si="256"/>
        <v>65.596013031098849</v>
      </c>
      <c r="BL286">
        <f t="shared" si="303"/>
        <v>-28.390843306434128</v>
      </c>
      <c r="BM286" s="43">
        <f t="shared" si="304"/>
        <v>14.51228780284772</v>
      </c>
    </row>
    <row r="287" spans="14:65" x14ac:dyDescent="0.35">
      <c r="N287" s="9">
        <v>69</v>
      </c>
      <c r="O287" s="34">
        <f t="shared" si="305"/>
        <v>4897.7881936844633</v>
      </c>
      <c r="P287" s="33" t="str">
        <f t="shared" si="257"/>
        <v>59,1053597814893</v>
      </c>
      <c r="Q287" s="4" t="str">
        <f t="shared" si="258"/>
        <v>1+236,455862448666i</v>
      </c>
      <c r="R287" s="4">
        <f t="shared" si="270"/>
        <v>236.45797699875229</v>
      </c>
      <c r="S287" s="4">
        <f t="shared" si="271"/>
        <v>1.5665672329255704</v>
      </c>
      <c r="T287" s="4" t="str">
        <f t="shared" si="259"/>
        <v>1+0,0400058240611067i</v>
      </c>
      <c r="U287" s="4">
        <f t="shared" si="272"/>
        <v>1.0007999130489611</v>
      </c>
      <c r="V287" s="4">
        <f t="shared" si="273"/>
        <v>3.9984501879432227E-2</v>
      </c>
      <c r="W287" t="str">
        <f t="shared" si="260"/>
        <v>1-1,47713811917933i</v>
      </c>
      <c r="X287" s="4">
        <f t="shared" si="274"/>
        <v>1.7837984816488237</v>
      </c>
      <c r="Y287" s="4">
        <f t="shared" si="275"/>
        <v>-0.97568440191199257</v>
      </c>
      <c r="Z287" t="str">
        <f t="shared" si="261"/>
        <v>0,999504373363839+0,138201937665641i</v>
      </c>
      <c r="AA287" s="4">
        <f t="shared" si="276"/>
        <v>1.009013760038969</v>
      </c>
      <c r="AB287" s="4">
        <f t="shared" si="277"/>
        <v>0.13739925555247001</v>
      </c>
      <c r="AC287" s="47" t="str">
        <f t="shared" si="278"/>
        <v>-0,38770265532528-0,212773651904627i</v>
      </c>
      <c r="AD287" s="20">
        <f t="shared" si="279"/>
        <v>-7.0866228866630507</v>
      </c>
      <c r="AE287" s="43">
        <f t="shared" si="280"/>
        <v>-151.24174338419763</v>
      </c>
      <c r="AF287" t="str">
        <f t="shared" si="262"/>
        <v>405,634542683733</v>
      </c>
      <c r="AG287" t="str">
        <f t="shared" si="263"/>
        <v>1+236,8765898355i</v>
      </c>
      <c r="AH287">
        <f t="shared" si="281"/>
        <v>236.87870062987025</v>
      </c>
      <c r="AI287">
        <f t="shared" si="282"/>
        <v>1.5665747443240361</v>
      </c>
      <c r="AJ287" t="str">
        <f t="shared" si="264"/>
        <v>1+0,0400058240611067i</v>
      </c>
      <c r="AK287">
        <f t="shared" si="283"/>
        <v>1.0007999130489611</v>
      </c>
      <c r="AL287">
        <f t="shared" si="284"/>
        <v>3.9984501879432227E-2</v>
      </c>
      <c r="AM287" t="str">
        <f t="shared" si="265"/>
        <v>1-0,215615712405344i</v>
      </c>
      <c r="AN287">
        <f t="shared" si="285"/>
        <v>1.0229810044355976</v>
      </c>
      <c r="AO287">
        <f t="shared" si="286"/>
        <v>-0.21236459409341527</v>
      </c>
      <c r="AP287" s="41" t="str">
        <f t="shared" si="287"/>
        <v>-0,293422819925141-1,7284397854728i</v>
      </c>
      <c r="AQ287">
        <f t="shared" si="288"/>
        <v>4.8764749492819588</v>
      </c>
      <c r="AR287" s="43">
        <f t="shared" si="289"/>
        <v>-99.634772897490436</v>
      </c>
      <c r="AS287" t="str">
        <f t="shared" si="266"/>
        <v>-0,0000166666666666667</v>
      </c>
      <c r="AT287" t="str">
        <f t="shared" si="267"/>
        <v>0,00681637694579624i</v>
      </c>
      <c r="AU287">
        <f t="shared" si="290"/>
        <v>6.8163769457962398E-3</v>
      </c>
      <c r="AV287">
        <f t="shared" si="291"/>
        <v>1.5707963267948966</v>
      </c>
      <c r="AW287" t="str">
        <f t="shared" si="268"/>
        <v>1+0,242994222201339i</v>
      </c>
      <c r="AX287">
        <f t="shared" si="292"/>
        <v>1.0290996997488793</v>
      </c>
      <c r="AY287">
        <f t="shared" si="293"/>
        <v>0.23837419885476635</v>
      </c>
      <c r="AZ287" t="str">
        <f t="shared" si="269"/>
        <v>1+35,8821468117311i</v>
      </c>
      <c r="BA287">
        <f t="shared" si="294"/>
        <v>35.896078613389292</v>
      </c>
      <c r="BB287">
        <f t="shared" si="295"/>
        <v>1.542934525998195</v>
      </c>
      <c r="BC287" s="41" t="str">
        <f t="shared" si="296"/>
        <v>-0,0822825262050768+0,0224392701519192i</v>
      </c>
      <c r="BD287">
        <f t="shared" si="297"/>
        <v>-21.382305862973308</v>
      </c>
      <c r="BE287" s="43">
        <f t="shared" si="298"/>
        <v>164.74580086552436</v>
      </c>
      <c r="BF287" s="41" t="str">
        <f t="shared" si="299"/>
        <v>0,0366756393528785+0,00880778896713198i</v>
      </c>
      <c r="BG287" s="20">
        <f t="shared" si="300"/>
        <v>-28.468928749636365</v>
      </c>
      <c r="BH287" s="43">
        <f t="shared" si="301"/>
        <v>13.504057481326749</v>
      </c>
      <c r="BI287" s="41" t="str">
        <f t="shared" si="255"/>
        <v>0,0629284981572074+0,135636198017025i</v>
      </c>
      <c r="BJ287" s="20">
        <f t="shared" si="302"/>
        <v>-16.505830913691337</v>
      </c>
      <c r="BK287" s="43">
        <f t="shared" si="256"/>
        <v>65.111027968033952</v>
      </c>
      <c r="BL287">
        <f t="shared" si="303"/>
        <v>-28.468928749636365</v>
      </c>
      <c r="BM287" s="43">
        <f t="shared" si="304"/>
        <v>13.504057481326749</v>
      </c>
    </row>
    <row r="288" spans="14:65" x14ac:dyDescent="0.35">
      <c r="N288" s="9">
        <v>70</v>
      </c>
      <c r="O288" s="34">
        <f t="shared" si="305"/>
        <v>5011.8723362727324</v>
      </c>
      <c r="P288" s="33" t="str">
        <f t="shared" si="257"/>
        <v>59,1053597814893</v>
      </c>
      <c r="Q288" s="4" t="str">
        <f t="shared" si="258"/>
        <v>1+241,963627027423i</v>
      </c>
      <c r="R288" s="4">
        <f t="shared" si="270"/>
        <v>241.96569344488873</v>
      </c>
      <c r="S288" s="4">
        <f t="shared" si="271"/>
        <v>1.5666634977459468</v>
      </c>
      <c r="T288" s="4" t="str">
        <f t="shared" si="259"/>
        <v>1+0,0409376794121473i</v>
      </c>
      <c r="U288" s="4">
        <f t="shared" si="272"/>
        <v>1.0008375960142843</v>
      </c>
      <c r="V288" s="4">
        <f t="shared" si="273"/>
        <v>4.0914833315411549E-2</v>
      </c>
      <c r="W288" t="str">
        <f t="shared" si="260"/>
        <v>1-1,51154508598698i</v>
      </c>
      <c r="X288" s="4">
        <f t="shared" si="274"/>
        <v>1.8123930442846514</v>
      </c>
      <c r="Y288" s="4">
        <f t="shared" si="275"/>
        <v>-0.98632721440092375</v>
      </c>
      <c r="Z288" t="str">
        <f t="shared" si="261"/>
        <v>0,999481015200101+0,141421074332872i</v>
      </c>
      <c r="AA288" s="4">
        <f t="shared" si="276"/>
        <v>1.0094365854331258</v>
      </c>
      <c r="AB288" s="4">
        <f t="shared" si="277"/>
        <v>0.14056141827543145</v>
      </c>
      <c r="AC288" s="47" t="str">
        <f t="shared" si="278"/>
        <v>-0,387511115918039-0,206174144426678i</v>
      </c>
      <c r="AD288" s="20">
        <f t="shared" si="279"/>
        <v>-7.1517994558709361</v>
      </c>
      <c r="AE288" s="43">
        <f t="shared" si="280"/>
        <v>-151.98492170321501</v>
      </c>
      <c r="AF288" t="str">
        <f t="shared" si="262"/>
        <v>405,634542683733</v>
      </c>
      <c r="AG288" t="str">
        <f t="shared" si="263"/>
        <v>1+242,39415441403i</v>
      </c>
      <c r="AH288">
        <f t="shared" si="281"/>
        <v>242.39621716126805</v>
      </c>
      <c r="AI288">
        <f t="shared" si="282"/>
        <v>1.5666708381700072</v>
      </c>
      <c r="AJ288" t="str">
        <f t="shared" si="264"/>
        <v>1+0,0409376794121473i</v>
      </c>
      <c r="AK288">
        <f t="shared" si="283"/>
        <v>1.0008375960142843</v>
      </c>
      <c r="AL288">
        <f t="shared" si="284"/>
        <v>4.0914833315411549E-2</v>
      </c>
      <c r="AM288" t="str">
        <f t="shared" si="265"/>
        <v>1-0,220638047530012i</v>
      </c>
      <c r="AN288">
        <f t="shared" si="285"/>
        <v>1.0240513405185581</v>
      </c>
      <c r="AO288">
        <f t="shared" si="286"/>
        <v>-0.21715881511955767</v>
      </c>
      <c r="AP288" s="41" t="str">
        <f t="shared" si="287"/>
        <v>-0,293748417646073-1,68977733580929i</v>
      </c>
      <c r="AQ288">
        <f t="shared" si="288"/>
        <v>4.6858886944840474</v>
      </c>
      <c r="AR288" s="43">
        <f t="shared" si="289"/>
        <v>-99.861663235322638</v>
      </c>
      <c r="AS288" t="str">
        <f t="shared" si="266"/>
        <v>-0,0000166666666666667</v>
      </c>
      <c r="AT288" t="str">
        <f t="shared" si="267"/>
        <v>0,0069751507613774i</v>
      </c>
      <c r="AU288">
        <f t="shared" si="290"/>
        <v>6.9751507613773998E-3</v>
      </c>
      <c r="AV288">
        <f t="shared" si="291"/>
        <v>1.5707963267948966</v>
      </c>
      <c r="AW288" t="str">
        <f t="shared" si="268"/>
        <v>1+0,248654284743344i</v>
      </c>
      <c r="AX288">
        <f t="shared" si="292"/>
        <v>1.0304508495417062</v>
      </c>
      <c r="AY288">
        <f t="shared" si="293"/>
        <v>0.24371170710132828</v>
      </c>
      <c r="AZ288" t="str">
        <f t="shared" si="269"/>
        <v>1+36,7179493804337i</v>
      </c>
      <c r="BA288">
        <f t="shared" si="294"/>
        <v>36.731564174482024</v>
      </c>
      <c r="BB288">
        <f t="shared" si="295"/>
        <v>1.5435684209603853</v>
      </c>
      <c r="BC288" s="41" t="str">
        <f t="shared" si="296"/>
        <v>-0,0820668863614767+0,0227957175432637i</v>
      </c>
      <c r="BD288">
        <f t="shared" si="297"/>
        <v>-21.393854164395371</v>
      </c>
      <c r="BE288" s="43">
        <f t="shared" si="298"/>
        <v>164.47630367586822</v>
      </c>
      <c r="BF288" s="41" t="str">
        <f t="shared" si="299"/>
        <v>0,0365017182749293+0,00808647613799633i</v>
      </c>
      <c r="BG288" s="20">
        <f t="shared" si="300"/>
        <v>-28.545653620266318</v>
      </c>
      <c r="BH288" s="43">
        <f t="shared" si="301"/>
        <v>12.491381972653214</v>
      </c>
      <c r="BI288" s="41" t="str">
        <f t="shared" si="255"/>
        <v>0,0626267048679411+0,131978558636619i</v>
      </c>
      <c r="BJ288" s="20">
        <f t="shared" si="302"/>
        <v>-16.70796546991134</v>
      </c>
      <c r="BK288" s="43">
        <f t="shared" si="256"/>
        <v>64.614640440545543</v>
      </c>
      <c r="BL288">
        <f t="shared" si="303"/>
        <v>-28.545653620266318</v>
      </c>
      <c r="BM288" s="43">
        <f t="shared" si="304"/>
        <v>12.491381972653214</v>
      </c>
    </row>
    <row r="289" spans="14:65" x14ac:dyDescent="0.35">
      <c r="N289" s="9">
        <v>71</v>
      </c>
      <c r="O289" s="34">
        <f t="shared" si="305"/>
        <v>5128.6138399136489</v>
      </c>
      <c r="P289" s="33" t="str">
        <f t="shared" si="257"/>
        <v>59,1053597814893</v>
      </c>
      <c r="Q289" s="4" t="str">
        <f t="shared" si="258"/>
        <v>1+247,599683923995i</v>
      </c>
      <c r="R289" s="4">
        <f t="shared" si="270"/>
        <v>247.60170330444464</v>
      </c>
      <c r="S289" s="4">
        <f t="shared" si="271"/>
        <v>1.5667575713855024</v>
      </c>
      <c r="T289" s="4" t="str">
        <f t="shared" si="259"/>
        <v>1+0,0418912404626863i</v>
      </c>
      <c r="U289" s="4">
        <f t="shared" si="272"/>
        <v>1.0008770534024158</v>
      </c>
      <c r="V289" s="4">
        <f t="shared" si="273"/>
        <v>4.1866761587406424E-2</v>
      </c>
      <c r="W289" t="str">
        <f t="shared" si="260"/>
        <v>1-1,54675349400688i</v>
      </c>
      <c r="X289" s="4">
        <f t="shared" si="274"/>
        <v>1.8418594873720662</v>
      </c>
      <c r="Y289" s="4">
        <f t="shared" si="275"/>
        <v>-0.99687461785360987</v>
      </c>
      <c r="Z289" t="str">
        <f t="shared" si="261"/>
        <v>0,999456556200022+0,144715194325644i</v>
      </c>
      <c r="AA289" s="4">
        <f t="shared" si="276"/>
        <v>1.0098791488093597</v>
      </c>
      <c r="AB289" s="4">
        <f t="shared" si="277"/>
        <v>0.14379454186470961</v>
      </c>
      <c r="AC289" s="47" t="str">
        <f t="shared" si="278"/>
        <v>-0,387306565915767-0,199686981487551i</v>
      </c>
      <c r="AD289" s="20">
        <f t="shared" si="279"/>
        <v>-7.215178800419463</v>
      </c>
      <c r="AE289" s="43">
        <f t="shared" si="280"/>
        <v>-152.72533629231086</v>
      </c>
      <c r="AF289" t="str">
        <f t="shared" si="262"/>
        <v>405,634542683733</v>
      </c>
      <c r="AG289" t="str">
        <f t="shared" si="263"/>
        <v>1+248,040239581695i</v>
      </c>
      <c r="AH289">
        <f t="shared" si="281"/>
        <v>248.04225537545952</v>
      </c>
      <c r="AI289">
        <f t="shared" si="282"/>
        <v>1.5667647447266164</v>
      </c>
      <c r="AJ289" t="str">
        <f t="shared" si="264"/>
        <v>1+0,0418912404626863i</v>
      </c>
      <c r="AK289">
        <f t="shared" si="283"/>
        <v>1.0008770534024158</v>
      </c>
      <c r="AL289">
        <f t="shared" si="284"/>
        <v>4.1866761587406424E-2</v>
      </c>
      <c r="AM289" t="str">
        <f t="shared" si="265"/>
        <v>1-0,225777367867968i</v>
      </c>
      <c r="AN289">
        <f t="shared" si="285"/>
        <v>1.0251709222570584</v>
      </c>
      <c r="AO289">
        <f t="shared" si="286"/>
        <v>-0.22205422898119878</v>
      </c>
      <c r="AP289" s="41" t="str">
        <f t="shared" si="287"/>
        <v>-0,294059361543182-1,65201070751292i</v>
      </c>
      <c r="AQ289">
        <f t="shared" si="288"/>
        <v>4.4957254307727359</v>
      </c>
      <c r="AR289" s="43">
        <f t="shared" si="289"/>
        <v>-100.09298876554233</v>
      </c>
      <c r="AS289" t="str">
        <f t="shared" si="266"/>
        <v>-0,0000166666666666667</v>
      </c>
      <c r="AT289" t="str">
        <f t="shared" si="267"/>
        <v>0,00713762289421925i</v>
      </c>
      <c r="AU289">
        <f t="shared" si="290"/>
        <v>7.1376228942192496E-3</v>
      </c>
      <c r="AV289">
        <f t="shared" si="291"/>
        <v>1.5707963267948966</v>
      </c>
      <c r="AW289" t="str">
        <f t="shared" si="268"/>
        <v>1+0,254446187078446i</v>
      </c>
      <c r="AX289">
        <f t="shared" si="292"/>
        <v>1.0318637807960698</v>
      </c>
      <c r="AY289">
        <f t="shared" si="293"/>
        <v>0.24915891219772768</v>
      </c>
      <c r="AZ289" t="str">
        <f t="shared" si="269"/>
        <v>1+37,5732202919171i</v>
      </c>
      <c r="BA289">
        <f t="shared" si="294"/>
        <v>37.586525286396601</v>
      </c>
      <c r="BB289">
        <f t="shared" si="295"/>
        <v>1.5441879078614213</v>
      </c>
      <c r="BC289" s="41" t="str">
        <f t="shared" si="296"/>
        <v>-0,0818422918319773+0,0231595035401879i</v>
      </c>
      <c r="BD289">
        <f t="shared" si="297"/>
        <v>-21.405900781082671</v>
      </c>
      <c r="BE289" s="43">
        <f t="shared" si="298"/>
        <v>164.1996957985954</v>
      </c>
      <c r="BF289" s="41" t="str">
        <f t="shared" si="299"/>
        <v>0,0363227083508095+0,00737301242948657i</v>
      </c>
      <c r="BG289" s="20">
        <f t="shared" si="300"/>
        <v>-28.621079581502137</v>
      </c>
      <c r="BH289" s="43">
        <f t="shared" si="301"/>
        <v>11.474359506284523</v>
      </c>
      <c r="BI289" s="41" t="str">
        <f t="shared" si="255"/>
        <v>0,0623262399124158+0,128394073609139i</v>
      </c>
      <c r="BJ289" s="20">
        <f t="shared" si="302"/>
        <v>-16.910175350309935</v>
      </c>
      <c r="BK289" s="43">
        <f t="shared" si="256"/>
        <v>64.10670703305307</v>
      </c>
      <c r="BL289">
        <f t="shared" si="303"/>
        <v>-28.621079581502137</v>
      </c>
      <c r="BM289" s="43">
        <f t="shared" si="304"/>
        <v>11.474359506284523</v>
      </c>
    </row>
    <row r="290" spans="14:65" x14ac:dyDescent="0.35">
      <c r="N290" s="9">
        <v>72</v>
      </c>
      <c r="O290" s="34">
        <f t="shared" si="305"/>
        <v>5248.0746024977261</v>
      </c>
      <c r="P290" s="33" t="str">
        <f t="shared" si="257"/>
        <v>59,1053597814893</v>
      </c>
      <c r="Q290" s="4" t="str">
        <f t="shared" si="258"/>
        <v>1+253,367021450354i</v>
      </c>
      <c r="R290" s="4">
        <f t="shared" si="270"/>
        <v>253.36899486445486</v>
      </c>
      <c r="S290" s="4">
        <f t="shared" si="271"/>
        <v>1.5668495037166621</v>
      </c>
      <c r="T290" s="4" t="str">
        <f t="shared" si="259"/>
        <v>1+0,0428670128034149i</v>
      </c>
      <c r="U290" s="4">
        <f t="shared" si="272"/>
        <v>1.000918368692816</v>
      </c>
      <c r="V290" s="4">
        <f t="shared" si="273"/>
        <v>4.2840784515602789E-2</v>
      </c>
      <c r="W290" t="str">
        <f t="shared" si="260"/>
        <v>1-1,58278201120302i</v>
      </c>
      <c r="X290" s="4">
        <f t="shared" si="274"/>
        <v>1.8722176409242268</v>
      </c>
      <c r="Y290" s="4">
        <f t="shared" si="275"/>
        <v>-1.0073228174764139</v>
      </c>
      <c r="Z290" t="str">
        <f t="shared" si="261"/>
        <v>0,999430944482781+0,148086044229979i</v>
      </c>
      <c r="AA290" s="4">
        <f t="shared" si="276"/>
        <v>1.0103423624125771</v>
      </c>
      <c r="AB290" s="4">
        <f t="shared" si="277"/>
        <v>0.14710009149892711</v>
      </c>
      <c r="AC290" s="47" t="str">
        <f t="shared" si="278"/>
        <v>-0,387088630901257-0,193308933980093i</v>
      </c>
      <c r="AD290" s="20">
        <f t="shared" si="279"/>
        <v>-7.2768034717956045</v>
      </c>
      <c r="AE290" s="43">
        <f t="shared" si="280"/>
        <v>-153.46282800886118</v>
      </c>
      <c r="AF290" t="str">
        <f t="shared" si="262"/>
        <v>405,634542683733</v>
      </c>
      <c r="AG290" t="str">
        <f t="shared" si="263"/>
        <v>1+253,817838967588i</v>
      </c>
      <c r="AH290">
        <f t="shared" si="281"/>
        <v>253.81980887664469</v>
      </c>
      <c r="AI290">
        <f t="shared" si="282"/>
        <v>1.5668565137777346</v>
      </c>
      <c r="AJ290" t="str">
        <f t="shared" si="264"/>
        <v>1+0,0428670128034149i</v>
      </c>
      <c r="AK290">
        <f t="shared" si="283"/>
        <v>1.000918368692816</v>
      </c>
      <c r="AL290">
        <f t="shared" si="284"/>
        <v>4.2840784515602789E-2</v>
      </c>
      <c r="AM290" t="str">
        <f t="shared" si="265"/>
        <v>1-0,231036398354886i</v>
      </c>
      <c r="AN290">
        <f t="shared" si="285"/>
        <v>1.0263419592732228</v>
      </c>
      <c r="AO290">
        <f t="shared" si="286"/>
        <v>-0.22705249231316682</v>
      </c>
      <c r="AP290" s="41" t="str">
        <f t="shared" si="287"/>
        <v>-0,294356311104284-1,61511988428962i</v>
      </c>
      <c r="AQ290">
        <f t="shared" si="288"/>
        <v>4.3060032420103758</v>
      </c>
      <c r="AR290" s="43">
        <f t="shared" si="289"/>
        <v>-100.32881873574347</v>
      </c>
      <c r="AS290" t="str">
        <f t="shared" si="266"/>
        <v>-0,0000166666666666667</v>
      </c>
      <c r="AT290" t="str">
        <f t="shared" si="267"/>
        <v>0,00730387948919723i</v>
      </c>
      <c r="AU290">
        <f t="shared" si="290"/>
        <v>7.3038794891972297E-3</v>
      </c>
      <c r="AV290">
        <f t="shared" si="291"/>
        <v>1.5707963267948966</v>
      </c>
      <c r="AW290" t="str">
        <f t="shared" si="268"/>
        <v>1+0,260373000149932i</v>
      </c>
      <c r="AX290">
        <f t="shared" si="292"/>
        <v>1.0333412307689442</v>
      </c>
      <c r="AY290">
        <f t="shared" si="293"/>
        <v>0.25471740873569693</v>
      </c>
      <c r="AZ290" t="str">
        <f t="shared" si="269"/>
        <v>1+38,4484130221399i</v>
      </c>
      <c r="BA290">
        <f t="shared" si="294"/>
        <v>38.461415261545653</v>
      </c>
      <c r="BB290">
        <f t="shared" si="295"/>
        <v>1.5447933132584752</v>
      </c>
      <c r="BC290" s="41" t="str">
        <f t="shared" si="296"/>
        <v>-0,0816084262988977+0,0235305231340519i</v>
      </c>
      <c r="BD290">
        <f t="shared" si="297"/>
        <v>-21.418466933628192</v>
      </c>
      <c r="BE290" s="43">
        <f t="shared" si="298"/>
        <v>163.91590458067728</v>
      </c>
      <c r="BF290" s="41" t="str">
        <f t="shared" si="299"/>
        <v>0,0361383543490839+0,00666723990728239i</v>
      </c>
      <c r="BG290" s="20">
        <f t="shared" si="300"/>
        <v>-28.695270405423805</v>
      </c>
      <c r="BH290" s="43">
        <f t="shared" si="301"/>
        <v>10.45307657181608</v>
      </c>
      <c r="BI290" s="41" t="str">
        <f t="shared" si="255"/>
        <v>0,0620265711219135+0,12488103405284i</v>
      </c>
      <c r="BJ290" s="20">
        <f t="shared" si="302"/>
        <v>-17.112463691617823</v>
      </c>
      <c r="BK290" s="43">
        <f t="shared" si="256"/>
        <v>63.587085844933782</v>
      </c>
      <c r="BL290">
        <f t="shared" si="303"/>
        <v>-28.695270405423805</v>
      </c>
      <c r="BM290" s="43">
        <f t="shared" si="304"/>
        <v>10.45307657181608</v>
      </c>
    </row>
    <row r="291" spans="14:65" x14ac:dyDescent="0.35">
      <c r="N291" s="9">
        <v>73</v>
      </c>
      <c r="O291" s="34">
        <f t="shared" si="305"/>
        <v>5370.3179637025269</v>
      </c>
      <c r="P291" s="33" t="str">
        <f t="shared" si="257"/>
        <v>59,1053597814893</v>
      </c>
      <c r="Q291" s="4" t="str">
        <f t="shared" si="258"/>
        <v>1+259,268697525194i</v>
      </c>
      <c r="R291" s="4">
        <f t="shared" si="270"/>
        <v>259.27062601924371</v>
      </c>
      <c r="S291" s="4">
        <f t="shared" si="271"/>
        <v>1.5669393434769452</v>
      </c>
      <c r="T291" s="4" t="str">
        <f t="shared" si="259"/>
        <v>1+0,0438655138017438i</v>
      </c>
      <c r="U291" s="4">
        <f t="shared" si="272"/>
        <v>1.0009616292851045</v>
      </c>
      <c r="V291" s="4">
        <f t="shared" si="273"/>
        <v>4.3837411143032246E-2</v>
      </c>
      <c r="W291" t="str">
        <f t="shared" si="260"/>
        <v>1-1,61964974037208i</v>
      </c>
      <c r="X291" s="4">
        <f t="shared" si="274"/>
        <v>1.903487662551913</v>
      </c>
      <c r="Y291" s="4">
        <f t="shared" si="275"/>
        <v>-1.0176682281716349</v>
      </c>
      <c r="Z291" t="str">
        <f t="shared" si="261"/>
        <v>0,999404125722494+0,151535411315115i</v>
      </c>
      <c r="AA291" s="4">
        <f t="shared" si="276"/>
        <v>1.0108271797857356</v>
      </c>
      <c r="AB291" s="4">
        <f t="shared" si="277"/>
        <v>0.15047955366201224</v>
      </c>
      <c r="AC291" s="47" t="str">
        <f t="shared" si="278"/>
        <v>-0,386856913570763-0,187036844528504i</v>
      </c>
      <c r="AD291" s="20">
        <f t="shared" si="279"/>
        <v>-7.3367173225156499</v>
      </c>
      <c r="AE291" s="43">
        <f t="shared" si="280"/>
        <v>-154.19725023759031</v>
      </c>
      <c r="AF291" t="str">
        <f t="shared" si="262"/>
        <v>405,634542683733</v>
      </c>
      <c r="AG291" t="str">
        <f t="shared" si="263"/>
        <v>1+259,730015931378i</v>
      </c>
      <c r="AH291">
        <f t="shared" si="281"/>
        <v>259.73194100016627</v>
      </c>
      <c r="AI291">
        <f t="shared" si="282"/>
        <v>1.5669461939743408</v>
      </c>
      <c r="AJ291" t="str">
        <f t="shared" si="264"/>
        <v>1+0,0438655138017438i</v>
      </c>
      <c r="AK291">
        <f t="shared" si="283"/>
        <v>1.0009616292851045</v>
      </c>
      <c r="AL291">
        <f t="shared" si="284"/>
        <v>4.3837411143032246E-2</v>
      </c>
      <c r="AM291" t="str">
        <f t="shared" si="265"/>
        <v>1-0,236417927398339i</v>
      </c>
      <c r="AN291">
        <f t="shared" si="285"/>
        <v>1.0275667552014935</v>
      </c>
      <c r="AO291">
        <f t="shared" si="286"/>
        <v>-0.23215525585345587</v>
      </c>
      <c r="AP291" s="41" t="str">
        <f t="shared" si="287"/>
        <v>-0,294639896139123-1,57908531367004i</v>
      </c>
      <c r="AQ291">
        <f t="shared" si="288"/>
        <v>4.1167408973494988</v>
      </c>
      <c r="AR291" s="43">
        <f t="shared" si="289"/>
        <v>-100.56922134772469</v>
      </c>
      <c r="AS291" t="str">
        <f t="shared" si="266"/>
        <v>-0,0000166666666666667</v>
      </c>
      <c r="AT291" t="str">
        <f t="shared" si="267"/>
        <v>0,00747400869775866i</v>
      </c>
      <c r="AU291">
        <f t="shared" si="290"/>
        <v>7.4740086977586597E-3</v>
      </c>
      <c r="AV291">
        <f t="shared" si="291"/>
        <v>1.5707963267948966</v>
      </c>
      <c r="AW291" t="str">
        <f t="shared" si="268"/>
        <v>1+0,26643786643254i</v>
      </c>
      <c r="AX291">
        <f t="shared" si="292"/>
        <v>1.0348860500891506</v>
      </c>
      <c r="AY291">
        <f t="shared" si="293"/>
        <v>0.26038876940499278</v>
      </c>
      <c r="AZ291" t="str">
        <f t="shared" si="269"/>
        <v>1+39,3439916098718i</v>
      </c>
      <c r="BA291">
        <f t="shared" si="294"/>
        <v>39.35669797884043</v>
      </c>
      <c r="BB291">
        <f t="shared" si="295"/>
        <v>1.5453849563693605</v>
      </c>
      <c r="BC291" s="41" t="str">
        <f t="shared" si="296"/>
        <v>-0,0813649672661995+0,0239086584106899i</v>
      </c>
      <c r="BD291">
        <f t="shared" si="297"/>
        <v>-21.43157456200672</v>
      </c>
      <c r="BE291" s="43">
        <f t="shared" si="298"/>
        <v>163.62485820346191</v>
      </c>
      <c r="BF291" s="41" t="str">
        <f t="shared" si="299"/>
        <v>0,0359484001354334+0,00596901693225781i</v>
      </c>
      <c r="BG291" s="20">
        <f t="shared" si="300"/>
        <v>-28.768291884522373</v>
      </c>
      <c r="BH291" s="43">
        <f t="shared" si="301"/>
        <v>9.4276079658716103</v>
      </c>
      <c r="BI291" s="41" t="str">
        <f t="shared" si="255"/>
        <v>0,0617271768705503+0,121437780226348i</v>
      </c>
      <c r="BJ291" s="20">
        <f t="shared" si="302"/>
        <v>-17.314833664657204</v>
      </c>
      <c r="BK291" s="43">
        <f t="shared" si="256"/>
        <v>63.055636855737276</v>
      </c>
      <c r="BL291">
        <f t="shared" si="303"/>
        <v>-28.768291884522373</v>
      </c>
      <c r="BM291" s="43">
        <f t="shared" si="304"/>
        <v>9.4276079658716103</v>
      </c>
    </row>
    <row r="292" spans="14:65" x14ac:dyDescent="0.35">
      <c r="N292" s="9">
        <v>74</v>
      </c>
      <c r="O292" s="34">
        <f t="shared" si="305"/>
        <v>5495.4087385762541</v>
      </c>
      <c r="P292" s="33" t="str">
        <f t="shared" si="257"/>
        <v>59,1053597814893</v>
      </c>
      <c r="Q292" s="4" t="str">
        <f t="shared" si="258"/>
        <v>1+265,30784129529i</v>
      </c>
      <c r="R292" s="4">
        <f t="shared" si="270"/>
        <v>265.30972589177122</v>
      </c>
      <c r="S292" s="4">
        <f t="shared" si="271"/>
        <v>1.5670271382947778</v>
      </c>
      <c r="T292" s="4" t="str">
        <f t="shared" si="259"/>
        <v>1+0,0448872728761192i</v>
      </c>
      <c r="U292" s="4">
        <f t="shared" si="272"/>
        <v>1.0010069266824557</v>
      </c>
      <c r="V292" s="4">
        <f t="shared" si="273"/>
        <v>4.4857161970502581E-2</v>
      </c>
      <c r="W292" t="str">
        <f t="shared" si="260"/>
        <v>1-1,6573762292721i</v>
      </c>
      <c r="X292" s="4">
        <f t="shared" si="274"/>
        <v>1.9356900488859792</v>
      </c>
      <c r="Y292" s="4">
        <f t="shared" si="275"/>
        <v>-1.0279074769163847</v>
      </c>
      <c r="Z292" t="str">
        <f t="shared" si="261"/>
        <v>0,999376043032975+0,155065124481139i</v>
      </c>
      <c r="AA292" s="4">
        <f t="shared" si="276"/>
        <v>1.0113345975583936</v>
      </c>
      <c r="AB292" s="4">
        <f t="shared" si="277"/>
        <v>0.15393443579321339</v>
      </c>
      <c r="AC292" s="47" t="str">
        <f t="shared" si="278"/>
        <v>-0,386610993388866-0,180867626700103i</v>
      </c>
      <c r="AD292" s="20">
        <f t="shared" si="279"/>
        <v>-7.3949654031781158</v>
      </c>
      <c r="AE292" s="43">
        <f t="shared" si="280"/>
        <v>-154.92846899483797</v>
      </c>
      <c r="AF292" t="str">
        <f t="shared" si="262"/>
        <v>405,634542683733</v>
      </c>
      <c r="AG292" t="str">
        <f t="shared" si="263"/>
        <v>1+265,779905187548i</v>
      </c>
      <c r="AH292">
        <f t="shared" si="281"/>
        <v>265.78178643673459</v>
      </c>
      <c r="AI292">
        <f t="shared" si="282"/>
        <v>1.5670338328602893</v>
      </c>
      <c r="AJ292" t="str">
        <f t="shared" si="264"/>
        <v>1+0,0448872728761192i</v>
      </c>
      <c r="AK292">
        <f t="shared" si="283"/>
        <v>1.0010069266824557</v>
      </c>
      <c r="AL292">
        <f t="shared" si="284"/>
        <v>4.4857161970502581E-2</v>
      </c>
      <c r="AM292" t="str">
        <f t="shared" si="265"/>
        <v>1-0,241924808356261i</v>
      </c>
      <c r="AN292">
        <f t="shared" si="285"/>
        <v>1.0288477112275722</v>
      </c>
      <c r="AO292">
        <f t="shared" si="286"/>
        <v>-0.23736416174862923</v>
      </c>
      <c r="AP292" s="41" t="str">
        <f t="shared" si="287"/>
        <v>-0,294910718114783-1,5438878966785i</v>
      </c>
      <c r="AQ292">
        <f t="shared" si="288"/>
        <v>3.9279578693924866</v>
      </c>
      <c r="AR292" s="43">
        <f t="shared" si="289"/>
        <v>-100.81426359111595</v>
      </c>
      <c r="AS292" t="str">
        <f t="shared" si="266"/>
        <v>-0,0000166666666666667</v>
      </c>
      <c r="AT292" t="str">
        <f t="shared" si="267"/>
        <v>0,00764810072466185i</v>
      </c>
      <c r="AU292">
        <f t="shared" si="290"/>
        <v>7.6481007246618502E-3</v>
      </c>
      <c r="AV292">
        <f t="shared" si="291"/>
        <v>1.5707963267948966</v>
      </c>
      <c r="AW292" t="str">
        <f t="shared" si="268"/>
        <v>1+0,272644001598655i</v>
      </c>
      <c r="AX292">
        <f t="shared" si="292"/>
        <v>1.0365012067565225</v>
      </c>
      <c r="AY292">
        <f t="shared" si="293"/>
        <v>0.26617454130838664</v>
      </c>
      <c r="AZ292" t="str">
        <f t="shared" si="269"/>
        <v>1+40,2604309027346i</v>
      </c>
      <c r="BA292">
        <f t="shared" si="294"/>
        <v>40.272848129650164</v>
      </c>
      <c r="BB292">
        <f t="shared" si="295"/>
        <v>1.5459631492333397</v>
      </c>
      <c r="BC292" s="41" t="str">
        <f t="shared" si="296"/>
        <v>-0,0811115864186028+0,0242937777650261i</v>
      </c>
      <c r="BD292">
        <f t="shared" si="297"/>
        <v>-21.445246339968925</v>
      </c>
      <c r="BE292" s="43">
        <f t="shared" si="298"/>
        <v>163.32648590302264</v>
      </c>
      <c r="BF292" s="41" t="str">
        <f t="shared" si="299"/>
        <v>0,0357525889285829+0,00527821857850791i</v>
      </c>
      <c r="BG292" s="20">
        <f t="shared" si="300"/>
        <v>-28.840211743147037</v>
      </c>
      <c r="BH292" s="43">
        <f t="shared" si="301"/>
        <v>8.3980169081846601</v>
      </c>
      <c r="BI292" s="41" t="str">
        <f t="shared" si="255"/>
        <v>0,0614275456541605+0,118062701105668i</v>
      </c>
      <c r="BJ292" s="20">
        <f t="shared" si="302"/>
        <v>-17.51728847057645</v>
      </c>
      <c r="BK292" s="43">
        <f t="shared" si="256"/>
        <v>62.51222231190664</v>
      </c>
      <c r="BL292">
        <f t="shared" si="303"/>
        <v>-28.840211743147037</v>
      </c>
      <c r="BM292" s="43">
        <f t="shared" si="304"/>
        <v>8.3980169081846601</v>
      </c>
    </row>
    <row r="293" spans="14:65" x14ac:dyDescent="0.35">
      <c r="N293" s="9">
        <v>75</v>
      </c>
      <c r="O293" s="34">
        <f t="shared" si="305"/>
        <v>5623.4132519034993</v>
      </c>
      <c r="P293" s="33" t="str">
        <f t="shared" si="257"/>
        <v>59,1053597814893</v>
      </c>
      <c r="Q293" s="4" t="str">
        <f t="shared" si="258"/>
        <v>1+271,487654794605i</v>
      </c>
      <c r="R293" s="4">
        <f t="shared" si="270"/>
        <v>271.48949649272737</v>
      </c>
      <c r="S293" s="4">
        <f t="shared" si="271"/>
        <v>1.5671129347147175</v>
      </c>
      <c r="T293" s="4" t="str">
        <f t="shared" si="259"/>
        <v>1+0,0459328317767267i</v>
      </c>
      <c r="U293" s="4">
        <f t="shared" si="272"/>
        <v>1.0010543566835066</v>
      </c>
      <c r="V293" s="4">
        <f t="shared" si="273"/>
        <v>4.5900569195126903E-2</v>
      </c>
      <c r="W293" t="str">
        <f t="shared" si="260"/>
        <v>1-1,69598148098683i</v>
      </c>
      <c r="X293" s="4">
        <f t="shared" si="274"/>
        <v>1.9688456475433218</v>
      </c>
      <c r="Y293" s="4">
        <f t="shared" si="275"/>
        <v>-1.0380374042213232</v>
      </c>
      <c r="Z293" t="str">
        <f t="shared" si="261"/>
        <v>0,999346636847073+0,158677055228692i</v>
      </c>
      <c r="AA293" s="4">
        <f t="shared" si="276"/>
        <v>1.0118656573051608</v>
      </c>
      <c r="AB293" s="4">
        <f t="shared" si="277"/>
        <v>0.1574662658766405</v>
      </c>
      <c r="AC293" s="47" t="str">
        <f t="shared" si="278"/>
        <v>-0,386350426237316-0,174798264303997i</v>
      </c>
      <c r="AD293" s="20">
        <f t="shared" si="279"/>
        <v>-7.4515938608879919</v>
      </c>
      <c r="AE293" s="43">
        <f t="shared" si="280"/>
        <v>-155.6563629763985</v>
      </c>
      <c r="AF293" t="str">
        <f t="shared" si="262"/>
        <v>405,634542683733</v>
      </c>
      <c r="AG293" t="str">
        <f t="shared" si="263"/>
        <v>1+271,970714467461i</v>
      </c>
      <c r="AH293">
        <f t="shared" si="281"/>
        <v>271.97255289448088</v>
      </c>
      <c r="AI293">
        <f t="shared" si="282"/>
        <v>1.567119476897489</v>
      </c>
      <c r="AJ293" t="str">
        <f t="shared" si="264"/>
        <v>1+0,0459328317767267i</v>
      </c>
      <c r="AK293">
        <f t="shared" si="283"/>
        <v>1.0010543566835066</v>
      </c>
      <c r="AL293">
        <f t="shared" si="284"/>
        <v>4.5900569195126903E-2</v>
      </c>
      <c r="AM293" t="str">
        <f t="shared" si="265"/>
        <v>1-0,247559961049826i</v>
      </c>
      <c r="AN293">
        <f t="shared" si="285"/>
        <v>1.0301873297196931</v>
      </c>
      <c r="AO293">
        <f t="shared" si="286"/>
        <v>-0.24268084068001106</v>
      </c>
      <c r="AP293" s="41" t="str">
        <f t="shared" si="287"/>
        <v>-0,295169351431005-1,50950897773998i</v>
      </c>
      <c r="AQ293">
        <f t="shared" si="288"/>
        <v>3.7396743520906819</v>
      </c>
      <c r="AR293" s="43">
        <f t="shared" si="289"/>
        <v>-101.06401106649784</v>
      </c>
      <c r="AS293" t="str">
        <f t="shared" si="266"/>
        <v>-0,0000166666666666667</v>
      </c>
      <c r="AT293" t="str">
        <f t="shared" si="267"/>
        <v>0,00782624787580383i</v>
      </c>
      <c r="AU293">
        <f t="shared" si="290"/>
        <v>7.8262478758038302E-3</v>
      </c>
      <c r="AV293">
        <f t="shared" si="291"/>
        <v>1.5707963267948966</v>
      </c>
      <c r="AW293" t="str">
        <f t="shared" si="268"/>
        <v>1+0,278994696223286i</v>
      </c>
      <c r="AX293">
        <f t="shared" si="292"/>
        <v>1.0381897902217703</v>
      </c>
      <c r="AY293">
        <f t="shared" si="293"/>
        <v>0.27207624207113984</v>
      </c>
      <c r="AZ293" t="str">
        <f t="shared" si="269"/>
        <v>1+41,1982168089718i</v>
      </c>
      <c r="BA293">
        <f t="shared" si="294"/>
        <v>41.210351469491819</v>
      </c>
      <c r="BB293">
        <f t="shared" si="295"/>
        <v>1.5465281968686853</v>
      </c>
      <c r="BC293" s="41" t="str">
        <f t="shared" si="296"/>
        <v>-0,080847950036574+0,0246857351020104i</v>
      </c>
      <c r="BD293">
        <f t="shared" si="297"/>
        <v>-21.45950568852086</v>
      </c>
      <c r="BE293" s="43">
        <f t="shared" si="298"/>
        <v>163.02071820209684</v>
      </c>
      <c r="BF293" s="41" t="str">
        <f t="shared" si="299"/>
        <v>0,0355506636059433+0,00459473706028621i</v>
      </c>
      <c r="BG293" s="20">
        <f t="shared" si="300"/>
        <v>-28.911099549408842</v>
      </c>
      <c r="BH293" s="43">
        <f t="shared" si="301"/>
        <v>7.3643552256983309</v>
      </c>
      <c r="BI293" s="41" t="str">
        <f t="shared" si="255"/>
        <v>0,0611271757354175+0,114754233992424i</v>
      </c>
      <c r="BJ293" s="20">
        <f t="shared" si="302"/>
        <v>-17.719831336430168</v>
      </c>
      <c r="BK293" s="43">
        <f t="shared" si="256"/>
        <v>61.956707135599039</v>
      </c>
      <c r="BL293">
        <f t="shared" si="303"/>
        <v>-28.911099549408842</v>
      </c>
      <c r="BM293" s="43">
        <f t="shared" si="304"/>
        <v>7.3643552256983309</v>
      </c>
    </row>
    <row r="294" spans="14:65" x14ac:dyDescent="0.35">
      <c r="N294" s="9">
        <v>76</v>
      </c>
      <c r="O294" s="34">
        <f t="shared" si="305"/>
        <v>5754.399373371567</v>
      </c>
      <c r="P294" s="33" t="str">
        <f t="shared" si="257"/>
        <v>59,1053597814893</v>
      </c>
      <c r="Q294" s="4" t="str">
        <f t="shared" si="258"/>
        <v>1+277,811414642055i</v>
      </c>
      <c r="R294" s="4">
        <f t="shared" si="270"/>
        <v>277.81321441828464</v>
      </c>
      <c r="S294" s="4">
        <f t="shared" si="271"/>
        <v>1.5671967782221063</v>
      </c>
      <c r="T294" s="4" t="str">
        <f t="shared" si="259"/>
        <v>1+0,0470027448727351i</v>
      </c>
      <c r="U294" s="4">
        <f t="shared" si="272"/>
        <v>1.0011040195831657</v>
      </c>
      <c r="V294" s="4">
        <f t="shared" si="273"/>
        <v>4.6968176952407376E-2</v>
      </c>
      <c r="W294" t="str">
        <f t="shared" si="260"/>
        <v>1-1,73548596453176i</v>
      </c>
      <c r="X294" s="4">
        <f t="shared" si="274"/>
        <v>2.0029756696192629</v>
      </c>
      <c r="Y294" s="4">
        <f t="shared" si="275"/>
        <v>-1.0480550647041211</v>
      </c>
      <c r="Z294" t="str">
        <f t="shared" si="261"/>
        <v>0,999315844790325+0,162373118651267i</v>
      </c>
      <c r="AA294" s="4">
        <f t="shared" si="276"/>
        <v>1.0124214474760693</v>
      </c>
      <c r="AB294" s="4">
        <f t="shared" si="277"/>
        <v>0.16107659196611762</v>
      </c>
      <c r="AC294" s="47" t="str">
        <f t="shared" si="278"/>
        <v>-0,386074744060734-0,168825810778323i</v>
      </c>
      <c r="AD294" s="20">
        <f t="shared" si="279"/>
        <v>-7.5066498396453509</v>
      </c>
      <c r="AE294" s="43">
        <f t="shared" si="280"/>
        <v>-156.38082355069616</v>
      </c>
      <c r="AF294" t="str">
        <f t="shared" si="262"/>
        <v>405,634542683733</v>
      </c>
      <c r="AG294" t="str">
        <f t="shared" si="263"/>
        <v>1+278,305726220142i</v>
      </c>
      <c r="AH294">
        <f t="shared" si="281"/>
        <v>278.30752279972717</v>
      </c>
      <c r="AI294">
        <f t="shared" si="282"/>
        <v>1.5672031714905141</v>
      </c>
      <c r="AJ294" t="str">
        <f t="shared" si="264"/>
        <v>1+0,0470027448727351i</v>
      </c>
      <c r="AK294">
        <f t="shared" si="283"/>
        <v>1.0011040195831657</v>
      </c>
      <c r="AL294">
        <f t="shared" si="284"/>
        <v>4.6968176952407376E-2</v>
      </c>
      <c r="AM294" t="str">
        <f t="shared" si="265"/>
        <v>1-0,253326373311583i</v>
      </c>
      <c r="AN294">
        <f t="shared" si="285"/>
        <v>1.0315882179509417</v>
      </c>
      <c r="AO294">
        <f t="shared" si="286"/>
        <v>-0.2481069088047935</v>
      </c>
      <c r="AP294" s="41" t="str">
        <f t="shared" si="287"/>
        <v>-0,295416344638151-1,47593033482008i</v>
      </c>
      <c r="AQ294">
        <f t="shared" si="288"/>
        <v>3.5519112782961972</v>
      </c>
      <c r="AR294" s="43">
        <f t="shared" si="289"/>
        <v>-101.31852779767912</v>
      </c>
      <c r="AS294" t="str">
        <f t="shared" si="266"/>
        <v>-0,0000166666666666667</v>
      </c>
      <c r="AT294" t="str">
        <f t="shared" si="267"/>
        <v>0,00800854460716218i</v>
      </c>
      <c r="AU294">
        <f t="shared" si="290"/>
        <v>8.0085446071621793E-3</v>
      </c>
      <c r="AV294">
        <f t="shared" si="291"/>
        <v>1.5707963267948966</v>
      </c>
      <c r="AW294" t="str">
        <f t="shared" si="268"/>
        <v>1+0,285493317528786i</v>
      </c>
      <c r="AX294">
        <f t="shared" si="292"/>
        <v>1.0399550155432649</v>
      </c>
      <c r="AY294">
        <f t="shared" si="293"/>
        <v>0.27809535574167471</v>
      </c>
      <c r="AZ294" t="str">
        <f t="shared" si="269"/>
        <v>1+42,1578465550839i</v>
      </c>
      <c r="BA294">
        <f t="shared" si="294"/>
        <v>42.169705075587139</v>
      </c>
      <c r="BB294">
        <f t="shared" si="295"/>
        <v>1.5470803974270437</v>
      </c>
      <c r="BC294" s="41" t="str">
        <f t="shared" si="296"/>
        <v>-0,0805737194708617+0,0250843690266902i</v>
      </c>
      <c r="BD294">
        <f t="shared" si="297"/>
        <v>-21.474376788357041</v>
      </c>
      <c r="BE294" s="43">
        <f t="shared" si="298"/>
        <v>162.70748715380452</v>
      </c>
      <c r="BF294" s="41" t="str">
        <f t="shared" si="299"/>
        <v>0,0353423670615279+0,00391848216518896i</v>
      </c>
      <c r="BG294" s="20">
        <f t="shared" si="300"/>
        <v>-28.981026628002397</v>
      </c>
      <c r="BH294" s="43">
        <f t="shared" si="301"/>
        <v>6.3266636031083738</v>
      </c>
      <c r="BI294" s="41" t="str">
        <f t="shared" si="255"/>
        <v>0,0608255748562951+0,111510864150909i</v>
      </c>
      <c r="BJ294" s="20">
        <f t="shared" si="302"/>
        <v>-17.922465510060832</v>
      </c>
      <c r="BK294" s="43">
        <f t="shared" si="256"/>
        <v>61.388959356125426</v>
      </c>
      <c r="BL294">
        <f t="shared" si="303"/>
        <v>-28.981026628002397</v>
      </c>
      <c r="BM294" s="43">
        <f t="shared" si="304"/>
        <v>6.3266636031083738</v>
      </c>
    </row>
    <row r="295" spans="14:65" x14ac:dyDescent="0.35">
      <c r="N295" s="9">
        <v>77</v>
      </c>
      <c r="O295" s="34">
        <f t="shared" si="305"/>
        <v>5888.4365535558973</v>
      </c>
      <c r="P295" s="33" t="str">
        <f t="shared" si="257"/>
        <v>59,1053597814893</v>
      </c>
      <c r="Q295" s="4" t="str">
        <f t="shared" si="258"/>
        <v>1+284,282473778818i</v>
      </c>
      <c r="R295" s="4">
        <f t="shared" si="270"/>
        <v>284.28423258739542</v>
      </c>
      <c r="S295" s="4">
        <f t="shared" si="271"/>
        <v>1.5672787132671642</v>
      </c>
      <c r="T295" s="4" t="str">
        <f t="shared" si="259"/>
        <v>1+0,0480975794462301i</v>
      </c>
      <c r="U295" s="4">
        <f t="shared" si="272"/>
        <v>1.0011560203827305</v>
      </c>
      <c r="V295" s="4">
        <f t="shared" si="273"/>
        <v>4.8060541561813705E-2</v>
      </c>
      <c r="W295" t="str">
        <f t="shared" si="260"/>
        <v>1-1,77591062570696i</v>
      </c>
      <c r="X295" s="4">
        <f t="shared" si="274"/>
        <v>2.0381017026877943</v>
      </c>
      <c r="Y295" s="4">
        <f t="shared" si="275"/>
        <v>-1.0579577268173843</v>
      </c>
      <c r="Z295" t="str">
        <f t="shared" si="261"/>
        <v>0,999283601548652+0,166155274450613i</v>
      </c>
      <c r="AA295" s="4">
        <f t="shared" si="276"/>
        <v>1.0130031054008688</v>
      </c>
      <c r="AB295" s="4">
        <f t="shared" si="277"/>
        <v>0.16476698164091302</v>
      </c>
      <c r="AC295" s="47" t="str">
        <f t="shared" si="278"/>
        <v>-0,385783454512131-0,162947388667885i</v>
      </c>
      <c r="AD295" s="20">
        <f t="shared" si="279"/>
        <v>-7.5601813832445872</v>
      </c>
      <c r="AE295" s="43">
        <f t="shared" si="280"/>
        <v>-157.1017546993221</v>
      </c>
      <c r="AF295" t="str">
        <f t="shared" si="262"/>
        <v>405,634542683733</v>
      </c>
      <c r="AG295" t="str">
        <f t="shared" si="263"/>
        <v>1+284,788299352678i</v>
      </c>
      <c r="AH295">
        <f t="shared" si="281"/>
        <v>284.79005503737403</v>
      </c>
      <c r="AI295">
        <f t="shared" si="282"/>
        <v>1.5672849610106525</v>
      </c>
      <c r="AJ295" t="str">
        <f t="shared" si="264"/>
        <v>1+0,0480975794462301i</v>
      </c>
      <c r="AK295">
        <f t="shared" si="283"/>
        <v>1.0011560203827305</v>
      </c>
      <c r="AL295">
        <f t="shared" si="284"/>
        <v>4.8060541561813705E-2</v>
      </c>
      <c r="AM295" t="str">
        <f t="shared" si="265"/>
        <v>1-0,259227102569642i</v>
      </c>
      <c r="AN295">
        <f t="shared" si="285"/>
        <v>1.0330530919108909</v>
      </c>
      <c r="AO295">
        <f t="shared" si="286"/>
        <v>-0.25364396450644178</v>
      </c>
      <c r="AP295" s="41" t="str">
        <f t="shared" si="287"/>
        <v>-0,295652221600359-1,4431341697926i</v>
      </c>
      <c r="AQ295">
        <f t="shared" si="288"/>
        <v>3.3646903368700354</v>
      </c>
      <c r="AR295" s="43">
        <f t="shared" si="289"/>
        <v>-101.57787603281631</v>
      </c>
      <c r="AS295" t="str">
        <f t="shared" si="266"/>
        <v>-0,0000166666666666667</v>
      </c>
      <c r="AT295" t="str">
        <f t="shared" si="267"/>
        <v>0,0081950875748769i</v>
      </c>
      <c r="AU295">
        <f t="shared" si="290"/>
        <v>8.1950875748768998E-3</v>
      </c>
      <c r="AV295">
        <f t="shared" si="291"/>
        <v>1.5707963267948966</v>
      </c>
      <c r="AW295" t="str">
        <f t="shared" si="268"/>
        <v>1+0,292143311170191i</v>
      </c>
      <c r="AX295">
        <f t="shared" si="292"/>
        <v>1.041800227616352</v>
      </c>
      <c r="AY295">
        <f t="shared" si="293"/>
        <v>0.28423332848085814</v>
      </c>
      <c r="AZ295" t="str">
        <f t="shared" si="269"/>
        <v>1+43,1398289494648i</v>
      </c>
      <c r="BA295">
        <f t="shared" si="294"/>
        <v>43.151417610422499</v>
      </c>
      <c r="BB295">
        <f t="shared" si="295"/>
        <v>1.5476200423446491</v>
      </c>
      <c r="BC295" s="41" t="str">
        <f t="shared" si="296"/>
        <v>-0,0802885516802628+0,0254895020266506i</v>
      </c>
      <c r="BD295">
        <f t="shared" si="297"/>
        <v>-21.489884591107391</v>
      </c>
      <c r="BE295" s="43">
        <f t="shared" si="298"/>
        <v>162.3867265972973</v>
      </c>
      <c r="BF295" s="41" t="str">
        <f t="shared" si="299"/>
        <v>0,035127442618675+0,00324938169059012i</v>
      </c>
      <c r="BG295" s="20">
        <f t="shared" si="300"/>
        <v>-29.05006597435198</v>
      </c>
      <c r="BH295" s="43">
        <f t="shared" si="301"/>
        <v>5.2849718979752005</v>
      </c>
      <c r="BI295" s="41" t="str">
        <f t="shared" si="255"/>
        <v>0,0605222600190021+0,10833112447128i</v>
      </c>
      <c r="BJ295" s="20">
        <f t="shared" si="302"/>
        <v>-18.125194254237368</v>
      </c>
      <c r="BK295" s="43">
        <f t="shared" si="256"/>
        <v>60.80885056448097</v>
      </c>
      <c r="BL295">
        <f t="shared" si="303"/>
        <v>-29.05006597435198</v>
      </c>
      <c r="BM295" s="43">
        <f t="shared" si="304"/>
        <v>5.2849718979752005</v>
      </c>
    </row>
    <row r="296" spans="14:65" x14ac:dyDescent="0.35">
      <c r="N296" s="9">
        <v>78</v>
      </c>
      <c r="O296" s="34">
        <f t="shared" si="305"/>
        <v>6025.595860743585</v>
      </c>
      <c r="P296" s="33" t="str">
        <f t="shared" si="257"/>
        <v>59,1053597814893</v>
      </c>
      <c r="Q296" s="4" t="str">
        <f t="shared" si="258"/>
        <v>1+290,904263246102i</v>
      </c>
      <c r="R296" s="4">
        <f t="shared" si="270"/>
        <v>290.90598201954765</v>
      </c>
      <c r="S296" s="4">
        <f t="shared" si="271"/>
        <v>1.5673587832885332</v>
      </c>
      <c r="T296" s="4" t="str">
        <f t="shared" si="259"/>
        <v>1+0,0492179159929941i</v>
      </c>
      <c r="U296" s="4">
        <f t="shared" si="272"/>
        <v>1.001210469009735</v>
      </c>
      <c r="V296" s="4">
        <f t="shared" si="273"/>
        <v>4.9178231775788311E-2</v>
      </c>
      <c r="W296" t="str">
        <f t="shared" si="260"/>
        <v>1-1,81727689820286i</v>
      </c>
      <c r="X296" s="4">
        <f t="shared" si="274"/>
        <v>2.0742457242915577</v>
      </c>
      <c r="Y296" s="4">
        <f t="shared" si="275"/>
        <v>-1.0677428717754083</v>
      </c>
      <c r="Z296" t="str">
        <f t="shared" si="261"/>
        <v>0,999249838729814+0,170025527975798i</v>
      </c>
      <c r="AA296" s="4">
        <f t="shared" si="276"/>
        <v>1.0136118193692336</v>
      </c>
      <c r="AB296" s="4">
        <f t="shared" si="277"/>
        <v>0.16853902138773993</v>
      </c>
      <c r="AC296" s="47" t="str">
        <f t="shared" si="278"/>
        <v>-0,385476040601594-0,157160189193955i</v>
      </c>
      <c r="AD296" s="20">
        <f t="shared" si="279"/>
        <v>-7.6122373411772539</v>
      </c>
      <c r="AE296" s="43">
        <f t="shared" si="280"/>
        <v>-157.8190729072156</v>
      </c>
      <c r="AF296" t="str">
        <f t="shared" si="262"/>
        <v>405,634542683733</v>
      </c>
      <c r="AG296" t="str">
        <f t="shared" si="263"/>
        <v>1+291,421871011149i</v>
      </c>
      <c r="AH296">
        <f t="shared" si="281"/>
        <v>291.42358673182019</v>
      </c>
      <c r="AI296">
        <f t="shared" si="282"/>
        <v>1.5673648888194109</v>
      </c>
      <c r="AJ296" t="str">
        <f t="shared" si="264"/>
        <v>1+0,0492179159929941i</v>
      </c>
      <c r="AK296">
        <f t="shared" si="283"/>
        <v>1.001210469009735</v>
      </c>
      <c r="AL296">
        <f t="shared" si="284"/>
        <v>4.9178231775788311E-2</v>
      </c>
      <c r="AM296" t="str">
        <f t="shared" si="265"/>
        <v>1-0,265265277468759i</v>
      </c>
      <c r="AN296">
        <f t="shared" si="285"/>
        <v>1.0345847802043957</v>
      </c>
      <c r="AO296">
        <f t="shared" si="286"/>
        <v>-0.25929358494920457</v>
      </c>
      <c r="AP296" s="41" t="str">
        <f t="shared" si="287"/>
        <v>-0,295877482606376-1,41110309903008i</v>
      </c>
      <c r="AQ296">
        <f t="shared" si="288"/>
        <v>3.178033989245503</v>
      </c>
      <c r="AR296" s="43">
        <f t="shared" si="289"/>
        <v>-101.84211603408119</v>
      </c>
      <c r="AS296" t="str">
        <f t="shared" si="266"/>
        <v>-0,0000166666666666667</v>
      </c>
      <c r="AT296" t="str">
        <f t="shared" si="267"/>
        <v>0,00838597568649861i</v>
      </c>
      <c r="AU296">
        <f t="shared" si="290"/>
        <v>8.3859756864986101E-3</v>
      </c>
      <c r="AV296">
        <f t="shared" si="291"/>
        <v>1.5707963267948966</v>
      </c>
      <c r="AW296" t="str">
        <f t="shared" si="268"/>
        <v>1+0,298948203062152i</v>
      </c>
      <c r="AX296">
        <f t="shared" si="292"/>
        <v>1.0437289054702326</v>
      </c>
      <c r="AY296">
        <f t="shared" si="293"/>
        <v>0.29049156403829668</v>
      </c>
      <c r="AZ296" t="str">
        <f t="shared" si="269"/>
        <v>1+44,1446846521778i</v>
      </c>
      <c r="BA296">
        <f t="shared" si="294"/>
        <v>44.15600959144998</v>
      </c>
      <c r="BB296">
        <f t="shared" si="295"/>
        <v>1.5481474164904301</v>
      </c>
      <c r="BC296" s="41" t="str">
        <f t="shared" si="296"/>
        <v>-0,0799920998362663+0,0259009396505119i</v>
      </c>
      <c r="BD296">
        <f t="shared" si="297"/>
        <v>-21.506054829250001</v>
      </c>
      <c r="BE296" s="43">
        <f t="shared" si="298"/>
        <v>162.05837242543501</v>
      </c>
      <c r="BF296" s="41" t="str">
        <f t="shared" si="299"/>
        <v>0,034905634500067+0,00258738187994919i</v>
      </c>
      <c r="BG296" s="20">
        <f t="shared" si="300"/>
        <v>-29.118292170427257</v>
      </c>
      <c r="BH296" s="43">
        <f t="shared" si="301"/>
        <v>4.2392995182194149</v>
      </c>
      <c r="BI296" s="41" t="str">
        <f t="shared" si="255"/>
        <v>0,0602167573365808+0,105213595155946i</v>
      </c>
      <c r="BJ296" s="20">
        <f t="shared" si="302"/>
        <v>-18.328020840004488</v>
      </c>
      <c r="BK296" s="43">
        <f t="shared" si="256"/>
        <v>60.216256391353859</v>
      </c>
      <c r="BL296">
        <f t="shared" si="303"/>
        <v>-29.118292170427257</v>
      </c>
      <c r="BM296" s="43">
        <f t="shared" si="304"/>
        <v>4.2392995182194149</v>
      </c>
    </row>
    <row r="297" spans="14:65" x14ac:dyDescent="0.35">
      <c r="N297" s="9">
        <v>79</v>
      </c>
      <c r="O297" s="34">
        <f t="shared" si="305"/>
        <v>6165.9500186148289</v>
      </c>
      <c r="P297" s="33" t="str">
        <f t="shared" si="257"/>
        <v>59,1053597814893</v>
      </c>
      <c r="Q297" s="4" t="str">
        <f t="shared" si="258"/>
        <v>1+297,680294004332i</v>
      </c>
      <c r="R297" s="4">
        <f t="shared" si="270"/>
        <v>297.68197365394087</v>
      </c>
      <c r="S297" s="4">
        <f t="shared" si="271"/>
        <v>1.5674370307362893</v>
      </c>
      <c r="T297" s="4" t="str">
        <f t="shared" si="259"/>
        <v>1+0,0503643485302937i</v>
      </c>
      <c r="U297" s="4">
        <f t="shared" si="272"/>
        <v>1.0012674805479707</v>
      </c>
      <c r="V297" s="4">
        <f t="shared" si="273"/>
        <v>5.0321829032099939E-2</v>
      </c>
      <c r="W297" t="str">
        <f t="shared" si="260"/>
        <v>1-1,85960671496469i</v>
      </c>
      <c r="X297" s="4">
        <f t="shared" si="274"/>
        <v>2.1114301159029076</v>
      </c>
      <c r="Y297" s="4">
        <f t="shared" si="275"/>
        <v>-1.0774081917276239</v>
      </c>
      <c r="Z297" t="str">
        <f t="shared" si="261"/>
        <v>0,999214484718346+0,173985931286469i</v>
      </c>
      <c r="AA297" s="4">
        <f t="shared" si="276"/>
        <v>1.01424883078886</v>
      </c>
      <c r="AB297" s="4">
        <f t="shared" si="277"/>
        <v>0.17239431590419022</v>
      </c>
      <c r="AC297" s="47" t="str">
        <f t="shared" si="278"/>
        <v>-0,385151960351671-0,15146147191807i</v>
      </c>
      <c r="AD297" s="20">
        <f t="shared" si="279"/>
        <v>-7.6628672779789575</v>
      </c>
      <c r="AE297" s="43">
        <f t="shared" si="280"/>
        <v>-158.53270700495844</v>
      </c>
      <c r="AF297" t="str">
        <f t="shared" si="262"/>
        <v>405,634542683733</v>
      </c>
      <c r="AG297" t="str">
        <f t="shared" si="263"/>
        <v>1+298,209958403055i</v>
      </c>
      <c r="AH297">
        <f t="shared" si="281"/>
        <v>298.21163506937791</v>
      </c>
      <c r="AI297">
        <f t="shared" si="282"/>
        <v>1.5674429972914845</v>
      </c>
      <c r="AJ297" t="str">
        <f t="shared" si="264"/>
        <v>1+0,0503643485302937i</v>
      </c>
      <c r="AK297">
        <f t="shared" si="283"/>
        <v>1.0012674805479707</v>
      </c>
      <c r="AL297">
        <f t="shared" si="284"/>
        <v>5.0321829032099939E-2</v>
      </c>
      <c r="AM297" t="str">
        <f t="shared" si="265"/>
        <v>1-0,271444099529191i</v>
      </c>
      <c r="AN297">
        <f t="shared" si="285"/>
        <v>1.0361862280349095</v>
      </c>
      <c r="AO297">
        <f t="shared" si="286"/>
        <v>-0.26505732243201924</v>
      </c>
      <c r="AP297" s="41" t="str">
        <f t="shared" si="287"/>
        <v>-0,296092605430425-1,3798201442122i</v>
      </c>
      <c r="AQ297">
        <f t="shared" si="288"/>
        <v>2.9919654853350326</v>
      </c>
      <c r="AR297" s="43">
        <f t="shared" si="289"/>
        <v>-102.1113058556125</v>
      </c>
      <c r="AS297" t="str">
        <f t="shared" si="266"/>
        <v>-0,0000166666666666667</v>
      </c>
      <c r="AT297" t="str">
        <f t="shared" si="267"/>
        <v>0,00858131015343081i</v>
      </c>
      <c r="AU297">
        <f t="shared" si="290"/>
        <v>8.5813101534308097E-3</v>
      </c>
      <c r="AV297">
        <f t="shared" si="291"/>
        <v>1.5707963267948966</v>
      </c>
      <c r="AW297" t="str">
        <f t="shared" si="268"/>
        <v>1+0,305911601248425i</v>
      </c>
      <c r="AX297">
        <f t="shared" si="292"/>
        <v>1.0457446666267896</v>
      </c>
      <c r="AY297">
        <f t="shared" si="293"/>
        <v>0.29687141901505826</v>
      </c>
      <c r="AZ297" t="str">
        <f t="shared" si="269"/>
        <v>1+45,1729464510173i</v>
      </c>
      <c r="BA297">
        <f t="shared" si="294"/>
        <v>45.184013667075618</v>
      </c>
      <c r="BB297">
        <f t="shared" si="295"/>
        <v>1.5486627983110661</v>
      </c>
      <c r="BC297" s="41" t="str">
        <f t="shared" si="296"/>
        <v>-0,0796840139981525+0,0263184696866639i</v>
      </c>
      <c r="BD297">
        <f t="shared" si="297"/>
        <v>-21.522914024533168</v>
      </c>
      <c r="BE297" s="43">
        <f t="shared" si="298"/>
        <v>161.72236286452122</v>
      </c>
      <c r="BF297" s="41" t="str">
        <f t="shared" si="299"/>
        <v>0,0346766883574516+0,00193244785522564i</v>
      </c>
      <c r="BG297" s="20">
        <f t="shared" si="300"/>
        <v>-29.185781302512133</v>
      </c>
      <c r="BH297" s="43">
        <f t="shared" si="301"/>
        <v>3.1896558595627709</v>
      </c>
      <c r="BI297" s="41" t="str">
        <f t="shared" si="255"/>
        <v>0,0599086019543644+0,102156903425872i</v>
      </c>
      <c r="BJ297" s="20">
        <f t="shared" si="302"/>
        <v>-18.530948539198121</v>
      </c>
      <c r="BK297" s="43">
        <f t="shared" si="256"/>
        <v>59.611057008908773</v>
      </c>
      <c r="BL297">
        <f t="shared" si="303"/>
        <v>-29.185781302512133</v>
      </c>
      <c r="BM297" s="43">
        <f t="shared" si="304"/>
        <v>3.1896558595627709</v>
      </c>
    </row>
    <row r="298" spans="14:65" x14ac:dyDescent="0.35">
      <c r="N298" s="9">
        <v>80</v>
      </c>
      <c r="O298" s="34">
        <f t="shared" si="305"/>
        <v>6309.5734448019384</v>
      </c>
      <c r="P298" s="33" t="str">
        <f t="shared" si="257"/>
        <v>59,1053597814893</v>
      </c>
      <c r="Q298" s="4" t="str">
        <f t="shared" si="258"/>
        <v>1+304,614158794707i</v>
      </c>
      <c r="R298" s="4">
        <f t="shared" si="270"/>
        <v>304.6158002110314</v>
      </c>
      <c r="S298" s="4">
        <f t="shared" si="271"/>
        <v>1.5675134970944304</v>
      </c>
      <c r="T298" s="4" t="str">
        <f t="shared" si="259"/>
        <v>1+0,051537484911835i</v>
      </c>
      <c r="U298" s="4">
        <f t="shared" si="272"/>
        <v>1.0013271754781439</v>
      </c>
      <c r="V298" s="4">
        <f t="shared" si="273"/>
        <v>5.1491927709449319E-2</v>
      </c>
      <c r="W298" t="str">
        <f t="shared" si="260"/>
        <v>1-1,9029225198216i</v>
      </c>
      <c r="X298" s="4">
        <f t="shared" si="274"/>
        <v>2.1496776773377415</v>
      </c>
      <c r="Y298" s="4">
        <f t="shared" si="275"/>
        <v>-1.0869515872295308</v>
      </c>
      <c r="Z298" t="str">
        <f t="shared" si="261"/>
        <v>0,99917746452365+0,178038584240885i</v>
      </c>
      <c r="AA298" s="4">
        <f t="shared" si="276"/>
        <v>1.0149154364233548</v>
      </c>
      <c r="AB298" s="4">
        <f t="shared" si="277"/>
        <v>0.17633448731859505</v>
      </c>
      <c r="AC298" s="47" t="str">
        <f t="shared" si="278"/>
        <v>-0,384810646463379-0,145848564501611i</v>
      </c>
      <c r="AD298" s="20">
        <f t="shared" si="279"/>
        <v>-7.7121213864043012</v>
      </c>
      <c r="AE298" s="43">
        <f t="shared" si="280"/>
        <v>-159.24259796581558</v>
      </c>
      <c r="AF298" t="str">
        <f t="shared" si="262"/>
        <v>405,634542683733</v>
      </c>
      <c r="AG298" t="str">
        <f t="shared" si="263"/>
        <v>1+305,156160662181i</v>
      </c>
      <c r="AH298">
        <f t="shared" si="281"/>
        <v>305.15779916312607</v>
      </c>
      <c r="AI298">
        <f t="shared" si="282"/>
        <v>1.5675193278372042</v>
      </c>
      <c r="AJ298" t="str">
        <f t="shared" si="264"/>
        <v>1+0,051537484911835i</v>
      </c>
      <c r="AK298">
        <f t="shared" si="283"/>
        <v>1.0013271754781439</v>
      </c>
      <c r="AL298">
        <f t="shared" si="284"/>
        <v>5.1491927709449319E-2</v>
      </c>
      <c r="AM298" t="str">
        <f t="shared" si="265"/>
        <v>1-0,27776684484418i</v>
      </c>
      <c r="AN298">
        <f t="shared" si="285"/>
        <v>1.0378605012691691</v>
      </c>
      <c r="AO298">
        <f t="shared" si="286"/>
        <v>-0.27093670053763946</v>
      </c>
      <c r="AP298" s="41" t="str">
        <f t="shared" si="287"/>
        <v>-0,296298046345321-1,34926872334741i</v>
      </c>
      <c r="AQ298">
        <f t="shared" si="288"/>
        <v>2.806508878662302</v>
      </c>
      <c r="AR298" s="43">
        <f t="shared" si="289"/>
        <v>-102.38550110951789</v>
      </c>
      <c r="AS298" t="str">
        <f t="shared" si="266"/>
        <v>-0,0000166666666666667</v>
      </c>
      <c r="AT298" t="str">
        <f t="shared" si="267"/>
        <v>0,00878119454459343i</v>
      </c>
      <c r="AU298">
        <f t="shared" si="290"/>
        <v>8.7811945445934302E-3</v>
      </c>
      <c r="AV298">
        <f t="shared" si="291"/>
        <v>1.5707963267948966</v>
      </c>
      <c r="AW298" t="str">
        <f t="shared" si="268"/>
        <v>1+0,313037197814897i</v>
      </c>
      <c r="AX298">
        <f t="shared" si="292"/>
        <v>1.0478512715150958</v>
      </c>
      <c r="AY298">
        <f t="shared" si="293"/>
        <v>0.30337419791339354</v>
      </c>
      <c r="AZ298" t="str">
        <f t="shared" si="269"/>
        <v>1+46,2251595439997i</v>
      </c>
      <c r="BA298">
        <f t="shared" si="294"/>
        <v>46.235974899078599</v>
      </c>
      <c r="BB298">
        <f t="shared" si="295"/>
        <v>1.5491664599730333</v>
      </c>
      <c r="BC298" s="41" t="str">
        <f t="shared" si="296"/>
        <v>-0,0793639418620173+0,0267418613469082i</v>
      </c>
      <c r="BD298">
        <f t="shared" si="297"/>
        <v>-21.540489494741596</v>
      </c>
      <c r="BE298" s="43">
        <f t="shared" si="298"/>
        <v>161.37863876607324</v>
      </c>
      <c r="BF298" s="41" t="str">
        <f t="shared" si="299"/>
        <v>0,0344403518633526+0,00128456404122674i</v>
      </c>
      <c r="BG298" s="20">
        <f t="shared" si="300"/>
        <v>-29.252610881145891</v>
      </c>
      <c r="BH298" s="43">
        <f t="shared" si="301"/>
        <v>2.1360408002576223</v>
      </c>
      <c r="BI298" s="41" t="str">
        <f t="shared" si="255"/>
        <v>0,0595973380434556+0,0991597232432558i</v>
      </c>
      <c r="BJ298" s="20">
        <f t="shared" si="302"/>
        <v>-18.733980616079297</v>
      </c>
      <c r="BK298" s="43">
        <f t="shared" si="256"/>
        <v>58.993137656555348</v>
      </c>
      <c r="BL298">
        <f t="shared" si="303"/>
        <v>-29.252610881145891</v>
      </c>
      <c r="BM298" s="43">
        <f t="shared" si="304"/>
        <v>2.1360408002576223</v>
      </c>
    </row>
    <row r="299" spans="14:65" x14ac:dyDescent="0.35">
      <c r="N299" s="9">
        <v>81</v>
      </c>
      <c r="O299" s="34">
        <f t="shared" si="305"/>
        <v>6456.5422903465615</v>
      </c>
      <c r="P299" s="33" t="str">
        <f t="shared" si="257"/>
        <v>59,1053597814893</v>
      </c>
      <c r="Q299" s="4" t="str">
        <f t="shared" si="258"/>
        <v>1+311,709534044122i</v>
      </c>
      <c r="R299" s="4">
        <f t="shared" si="270"/>
        <v>311.71113809744378</v>
      </c>
      <c r="S299" s="4">
        <f t="shared" si="271"/>
        <v>1.5675882229028528</v>
      </c>
      <c r="T299" s="4" t="str">
        <f t="shared" si="259"/>
        <v>1+0,052737947150056i</v>
      </c>
      <c r="U299" s="4">
        <f t="shared" si="272"/>
        <v>1.0013896799296476</v>
      </c>
      <c r="V299" s="4">
        <f t="shared" si="273"/>
        <v>5.2689135386222219E-2</v>
      </c>
      <c r="W299" t="str">
        <f t="shared" si="260"/>
        <v>1-1,94724727938668i</v>
      </c>
      <c r="X299" s="4">
        <f t="shared" si="274"/>
        <v>2.1890116416042256</v>
      </c>
      <c r="Y299" s="4">
        <f t="shared" si="275"/>
        <v>-1.096371164064085</v>
      </c>
      <c r="Z299" t="str">
        <f t="shared" si="261"/>
        <v>0,999138699620929+0,182185635609284i</v>
      </c>
      <c r="AA299" s="4">
        <f t="shared" si="276"/>
        <v>1.0156129907117966</v>
      </c>
      <c r="AB299" s="4">
        <f t="shared" si="277"/>
        <v>0.18036117432107607</v>
      </c>
      <c r="AC299" s="47" t="str">
        <f t="shared" si="278"/>
        <v>-0,384451505997014-0,140318862562954i</v>
      </c>
      <c r="AD299" s="20">
        <f t="shared" si="279"/>
        <v>-7.7600504047592107</v>
      </c>
      <c r="AE299" s="43">
        <f t="shared" si="280"/>
        <v>-159.94869866026076</v>
      </c>
      <c r="AF299" t="str">
        <f t="shared" si="262"/>
        <v>405,634542683733</v>
      </c>
      <c r="AG299" t="str">
        <f t="shared" si="263"/>
        <v>1+312,26416075691i</v>
      </c>
      <c r="AH299">
        <f t="shared" si="281"/>
        <v>312.26576196121357</v>
      </c>
      <c r="AI299">
        <f t="shared" si="282"/>
        <v>1.567593920924476</v>
      </c>
      <c r="AJ299" t="str">
        <f t="shared" si="264"/>
        <v>1+0,052737947150056i</v>
      </c>
      <c r="AK299">
        <f t="shared" si="283"/>
        <v>1.0013896799296476</v>
      </c>
      <c r="AL299">
        <f t="shared" si="284"/>
        <v>5.2689135386222219E-2</v>
      </c>
      <c r="AM299" t="str">
        <f t="shared" si="265"/>
        <v>1-0,284236865816986i</v>
      </c>
      <c r="AN299">
        <f t="shared" si="285"/>
        <v>1.0396107905795626</v>
      </c>
      <c r="AO299">
        <f t="shared" si="286"/>
        <v>-0.27693321007352456</v>
      </c>
      <c r="AP299" s="41" t="str">
        <f t="shared" si="287"/>
        <v>-0,296494241090032-1,31943264200311i</v>
      </c>
      <c r="AQ299">
        <f t="shared" si="288"/>
        <v>2.6216890405925524</v>
      </c>
      <c r="AR299" s="43">
        <f t="shared" si="289"/>
        <v>-102.66475471973581</v>
      </c>
      <c r="AS299" t="str">
        <f t="shared" si="266"/>
        <v>-0,0000166666666666667</v>
      </c>
      <c r="AT299" t="str">
        <f t="shared" si="267"/>
        <v>0,00898573484133645i</v>
      </c>
      <c r="AU299">
        <f t="shared" si="290"/>
        <v>8.9857348413364506E-3</v>
      </c>
      <c r="AV299">
        <f t="shared" si="291"/>
        <v>1.5707963267948966</v>
      </c>
      <c r="AW299" t="str">
        <f t="shared" si="268"/>
        <v>1+0,320328770847189i</v>
      </c>
      <c r="AX299">
        <f t="shared" si="292"/>
        <v>1.0500526279346529</v>
      </c>
      <c r="AY299">
        <f t="shared" si="293"/>
        <v>0.3100011479753782</v>
      </c>
      <c r="AZ299" t="str">
        <f t="shared" si="269"/>
        <v>1+47,3018818284348i</v>
      </c>
      <c r="BA299">
        <f t="shared" si="294"/>
        <v>47.312451051612307</v>
      </c>
      <c r="BB299">
        <f t="shared" si="295"/>
        <v>1.5496586675016943</v>
      </c>
      <c r="BC299" s="41" t="str">
        <f t="shared" si="296"/>
        <v>-0,0790315295870097+0,0271708644602217i</v>
      </c>
      <c r="BD299">
        <f t="shared" si="297"/>
        <v>-21.558809358634971</v>
      </c>
      <c r="BE299" s="43">
        <f t="shared" si="298"/>
        <v>161.02714391051438</v>
      </c>
      <c r="BF299" s="41" t="str">
        <f t="shared" si="299"/>
        <v>0,0341963753668839+0,00064373457728667i</v>
      </c>
      <c r="BG299" s="20">
        <f t="shared" si="300"/>
        <v>-29.318859763394194</v>
      </c>
      <c r="BH299" s="43">
        <f t="shared" si="301"/>
        <v>1.0784452502536261</v>
      </c>
      <c r="BI299" s="41" t="str">
        <f t="shared" si="255"/>
        <v>0,0592825188673436+0,0962207750466416i</v>
      </c>
      <c r="BJ299" s="20">
        <f t="shared" si="302"/>
        <v>-18.937120318042417</v>
      </c>
      <c r="BK299" s="43">
        <f t="shared" si="256"/>
        <v>58.362389190778565</v>
      </c>
      <c r="BL299">
        <f t="shared" si="303"/>
        <v>-29.318859763394194</v>
      </c>
      <c r="BM299" s="43">
        <f t="shared" si="304"/>
        <v>1.0784452502536261</v>
      </c>
    </row>
    <row r="300" spans="14:65" x14ac:dyDescent="0.35">
      <c r="N300" s="9">
        <v>82</v>
      </c>
      <c r="O300" s="34">
        <f t="shared" si="305"/>
        <v>6606.9344800759654</v>
      </c>
      <c r="P300" s="33" t="str">
        <f t="shared" si="257"/>
        <v>59,1053597814893</v>
      </c>
      <c r="Q300" s="4" t="str">
        <f t="shared" si="258"/>
        <v>1+318,970181814448i</v>
      </c>
      <c r="R300" s="4">
        <f t="shared" si="270"/>
        <v>318.97174935523987</v>
      </c>
      <c r="S300" s="4">
        <f t="shared" si="271"/>
        <v>1.5676612477788292</v>
      </c>
      <c r="T300" s="4" t="str">
        <f t="shared" si="259"/>
        <v>1+0,053966371745925i</v>
      </c>
      <c r="U300" s="4">
        <f t="shared" si="272"/>
        <v>1.0014551259439533</v>
      </c>
      <c r="V300" s="4">
        <f t="shared" si="273"/>
        <v>5.3914073102265522E-2</v>
      </c>
      <c r="W300" t="str">
        <f t="shared" si="260"/>
        <v>1-1,99260449523416i</v>
      </c>
      <c r="X300" s="4">
        <f t="shared" si="274"/>
        <v>2.2294556901691007</v>
      </c>
      <c r="Y300" s="4">
        <f t="shared" si="275"/>
        <v>-1.1056652294679661</v>
      </c>
      <c r="Z300" t="str">
        <f t="shared" si="261"/>
        <v>0,999098107784628+0,186429284213195i</v>
      </c>
      <c r="AA300" s="4">
        <f t="shared" si="276"/>
        <v>1.0163429081717785</v>
      </c>
      <c r="AB300" s="4">
        <f t="shared" si="277"/>
        <v>0.18447603120039768</v>
      </c>
      <c r="AC300" s="47" t="str">
        <f t="shared" si="278"/>
        <v>-0,384073920072355-0,134869829633921i</v>
      </c>
      <c r="AD300" s="20">
        <f t="shared" si="279"/>
        <v>-7.8067055386631123</v>
      </c>
      <c r="AE300" s="43">
        <f t="shared" si="280"/>
        <v>-160.65097357080427</v>
      </c>
      <c r="AF300" t="str">
        <f t="shared" si="262"/>
        <v>405,634542683733</v>
      </c>
      <c r="AG300" t="str">
        <f t="shared" si="263"/>
        <v>1+319,537727442976i</v>
      </c>
      <c r="AH300">
        <f t="shared" si="281"/>
        <v>319.53929219960042</v>
      </c>
      <c r="AI300">
        <f t="shared" si="282"/>
        <v>1.5676668161002199</v>
      </c>
      <c r="AJ300" t="str">
        <f t="shared" si="264"/>
        <v>1+0,053966371745925i</v>
      </c>
      <c r="AK300">
        <f t="shared" si="283"/>
        <v>1.0014551259439533</v>
      </c>
      <c r="AL300">
        <f t="shared" si="284"/>
        <v>5.3914073102265522E-2</v>
      </c>
      <c r="AM300" t="str">
        <f t="shared" si="265"/>
        <v>1-0,290857592938366i</v>
      </c>
      <c r="AN300">
        <f t="shared" si="285"/>
        <v>1.0414404156599169</v>
      </c>
      <c r="AO300">
        <f t="shared" si="286"/>
        <v>-0.28304830480176396</v>
      </c>
      <c r="AP300" s="41" t="str">
        <f t="shared" si="287"/>
        <v>-0,296681605793685-1,29029608473984i</v>
      </c>
      <c r="AQ300">
        <f t="shared" si="288"/>
        <v>2.4375316735258652</v>
      </c>
      <c r="AR300" s="43">
        <f t="shared" si="289"/>
        <v>-102.94911666360792</v>
      </c>
      <c r="AS300" t="str">
        <f t="shared" si="266"/>
        <v>-0,0000166666666666667</v>
      </c>
      <c r="AT300" t="str">
        <f t="shared" si="267"/>
        <v>0,0091950394936326i</v>
      </c>
      <c r="AU300">
        <f t="shared" si="290"/>
        <v>9.1950394936326004E-3</v>
      </c>
      <c r="AV300">
        <f t="shared" si="291"/>
        <v>1.5707963267948966</v>
      </c>
      <c r="AW300" t="str">
        <f t="shared" si="268"/>
        <v>1+0,327790186433835i</v>
      </c>
      <c r="AX300">
        <f t="shared" si="292"/>
        <v>1.0523527955597061</v>
      </c>
      <c r="AY300">
        <f t="shared" si="293"/>
        <v>0.31675345381378217</v>
      </c>
      <c r="AZ300" t="str">
        <f t="shared" si="269"/>
        <v>1+48,4036841967296i</v>
      </c>
      <c r="BA300">
        <f t="shared" si="294"/>
        <v>48.414012886939361</v>
      </c>
      <c r="BB300">
        <f t="shared" si="295"/>
        <v>1.5501396809174792</v>
      </c>
      <c r="BC300" s="41" t="str">
        <f t="shared" si="296"/>
        <v>-0,0786864227018635+0,0276052086823869i</v>
      </c>
      <c r="BD300">
        <f t="shared" si="297"/>
        <v>-21.577902538878419</v>
      </c>
      <c r="BE300" s="43">
        <f t="shared" si="298"/>
        <v>160.66782532260584</v>
      </c>
      <c r="BF300" s="41" t="str">
        <f t="shared" si="299"/>
        <v>0,0339445126155774+9,98371124327595E-06i</v>
      </c>
      <c r="BG300" s="20">
        <f t="shared" si="300"/>
        <v>-29.384608077541539</v>
      </c>
      <c r="BH300" s="43">
        <f t="shared" si="301"/>
        <v>1.6851751801557707E-2</v>
      </c>
      <c r="BI300" s="41" t="str">
        <f t="shared" si="255"/>
        <v>0,0589637069226596+0,0933388254942382i</v>
      </c>
      <c r="BJ300" s="20">
        <f t="shared" si="302"/>
        <v>-19.140370865352551</v>
      </c>
      <c r="BK300" s="43">
        <f t="shared" si="256"/>
        <v>57.71870865899789</v>
      </c>
      <c r="BL300">
        <f t="shared" si="303"/>
        <v>-29.384608077541539</v>
      </c>
      <c r="BM300" s="43">
        <f t="shared" si="304"/>
        <v>1.6851751801557707E-2</v>
      </c>
    </row>
    <row r="301" spans="14:65" x14ac:dyDescent="0.35">
      <c r="N301" s="9">
        <v>83</v>
      </c>
      <c r="O301" s="34">
        <f t="shared" si="305"/>
        <v>6760.8297539198229</v>
      </c>
      <c r="P301" s="33" t="str">
        <f t="shared" si="257"/>
        <v>59,1053597814893</v>
      </c>
      <c r="Q301" s="4" t="str">
        <f t="shared" si="258"/>
        <v>1+326,399951797243i</v>
      </c>
      <c r="R301" s="4">
        <f t="shared" si="270"/>
        <v>326.40148365661963</v>
      </c>
      <c r="S301" s="4">
        <f t="shared" si="271"/>
        <v>1.5677326104379983</v>
      </c>
      <c r="T301" s="4" t="str">
        <f t="shared" si="259"/>
        <v>1+0,0552234100264231i</v>
      </c>
      <c r="U301" s="4">
        <f t="shared" si="272"/>
        <v>1.0015236517501453</v>
      </c>
      <c r="V301" s="4">
        <f t="shared" si="273"/>
        <v>5.5167375623551541E-2</v>
      </c>
      <c r="W301" t="str">
        <f t="shared" si="260"/>
        <v>1-2,03901821636024i</v>
      </c>
      <c r="X301" s="4">
        <f t="shared" si="274"/>
        <v>2.2710339686250611</v>
      </c>
      <c r="Y301" s="4">
        <f t="shared" si="275"/>
        <v>-1.1148322878179482</v>
      </c>
      <c r="Z301" t="str">
        <f t="shared" si="261"/>
        <v>0,999055602914019+0,19077178009128i</v>
      </c>
      <c r="AA301" s="4">
        <f t="shared" si="276"/>
        <v>1.0171066658876491</v>
      </c>
      <c r="AB301" s="4">
        <f t="shared" si="277"/>
        <v>0.18868072678100445</v>
      </c>
      <c r="AC301" s="47" t="str">
        <f t="shared" si="278"/>
        <v>-0,383677243593162-0,129498997217159i</v>
      </c>
      <c r="AD301" s="20">
        <f t="shared" si="279"/>
        <v>-7.8521383874600739</v>
      </c>
      <c r="AE301" s="43">
        <f t="shared" si="280"/>
        <v>-161.34939846997699</v>
      </c>
      <c r="AF301" t="str">
        <f t="shared" si="262"/>
        <v>405,634542683733</v>
      </c>
      <c r="AG301" t="str">
        <f t="shared" si="263"/>
        <v>1+326,980717261715i</v>
      </c>
      <c r="AH301">
        <f t="shared" si="281"/>
        <v>326.98224640029861</v>
      </c>
      <c r="AI301">
        <f t="shared" si="282"/>
        <v>1.5677380520113224</v>
      </c>
      <c r="AJ301" t="str">
        <f t="shared" si="264"/>
        <v>1+0,0552234100264231i</v>
      </c>
      <c r="AK301">
        <f t="shared" si="283"/>
        <v>1.0015236517501453</v>
      </c>
      <c r="AL301">
        <f t="shared" si="284"/>
        <v>5.5167375623551541E-2</v>
      </c>
      <c r="AM301" t="str">
        <f t="shared" si="265"/>
        <v>1-0,297632536605478i</v>
      </c>
      <c r="AN301">
        <f t="shared" si="285"/>
        <v>1.0433528295098504</v>
      </c>
      <c r="AO301">
        <f t="shared" si="286"/>
        <v>-0.28928339695626321</v>
      </c>
      <c r="AP301" s="41" t="str">
        <f t="shared" si="287"/>
        <v>-0,296860537858018-1,26184360674503i</v>
      </c>
      <c r="AQ301">
        <f t="shared" si="288"/>
        <v>2.2540633229097864</v>
      </c>
      <c r="AR301" s="43">
        <f t="shared" si="289"/>
        <v>-103.23863370106906</v>
      </c>
      <c r="AS301" t="str">
        <f t="shared" si="266"/>
        <v>-0,0000166666666666667</v>
      </c>
      <c r="AT301" t="str">
        <f t="shared" si="267"/>
        <v>0,00940921947757901i</v>
      </c>
      <c r="AU301">
        <f t="shared" si="290"/>
        <v>9.4092194775790092E-3</v>
      </c>
      <c r="AV301">
        <f t="shared" si="291"/>
        <v>1.5707963267948966</v>
      </c>
      <c r="AW301" t="str">
        <f t="shared" si="268"/>
        <v>1+0,335425400716146i</v>
      </c>
      <c r="AX301">
        <f t="shared" si="292"/>
        <v>1.0547559904762747</v>
      </c>
      <c r="AY301">
        <f t="shared" si="293"/>
        <v>0.32363223184015055</v>
      </c>
      <c r="AZ301" t="str">
        <f t="shared" si="269"/>
        <v>1+49,5311508390841i</v>
      </c>
      <c r="BA301">
        <f t="shared" si="294"/>
        <v>49.541244468060164</v>
      </c>
      <c r="BB301">
        <f t="shared" si="295"/>
        <v>1.5506097543692057</v>
      </c>
      <c r="BC301" s="41" t="str">
        <f t="shared" si="296"/>
        <v>-0,0783282670945082+0,0280446027278074i</v>
      </c>
      <c r="BD301">
        <f t="shared" si="297"/>
        <v>-21.597798762778378</v>
      </c>
      <c r="BE301" s="43">
        <f t="shared" si="298"/>
        <v>160.30063359833275</v>
      </c>
      <c r="BF301" s="41" t="str">
        <f t="shared" si="299"/>
        <v>0,0336845215448545-0,000616643829773812i</v>
      </c>
      <c r="BG301" s="20">
        <f t="shared" si="300"/>
        <v>-29.449937150238462</v>
      </c>
      <c r="BH301" s="43">
        <f t="shared" si="301"/>
        <v>-1.0487648716442473</v>
      </c>
      <c r="BI301" s="41" t="str">
        <f t="shared" si="255"/>
        <v>0,0586404741549502+0,0905126872108309i</v>
      </c>
      <c r="BJ301" s="20">
        <f t="shared" si="302"/>
        <v>-19.343735439868595</v>
      </c>
      <c r="BK301" s="43">
        <f t="shared" si="256"/>
        <v>57.061999897263661</v>
      </c>
      <c r="BL301">
        <f t="shared" si="303"/>
        <v>-29.449937150238462</v>
      </c>
      <c r="BM301" s="43">
        <f t="shared" si="304"/>
        <v>-1.0487648716442473</v>
      </c>
    </row>
    <row r="302" spans="14:65" x14ac:dyDescent="0.35">
      <c r="N302" s="9">
        <v>84</v>
      </c>
      <c r="O302" s="34">
        <f t="shared" si="305"/>
        <v>6918.3097091893687</v>
      </c>
      <c r="P302" s="33" t="str">
        <f t="shared" si="257"/>
        <v>59,1053597814893</v>
      </c>
      <c r="Q302" s="4" t="str">
        <f t="shared" si="258"/>
        <v>1+334,002783354894i</v>
      </c>
      <c r="R302" s="4">
        <f t="shared" si="270"/>
        <v>334.00428034505228</v>
      </c>
      <c r="S302" s="4">
        <f t="shared" si="271"/>
        <v>1.5678023487148773</v>
      </c>
      <c r="T302" s="4" t="str">
        <f t="shared" si="259"/>
        <v>1+0,0565097284898855i</v>
      </c>
      <c r="U302" s="4">
        <f t="shared" si="272"/>
        <v>1.0015954020531448</v>
      </c>
      <c r="V302" s="4">
        <f t="shared" si="273"/>
        <v>5.6449691709570322E-2</v>
      </c>
      <c r="W302" t="str">
        <f t="shared" si="260"/>
        <v>1-2,08651305193424i</v>
      </c>
      <c r="X302" s="4">
        <f t="shared" si="274"/>
        <v>2.31377110274373</v>
      </c>
      <c r="Y302" s="4">
        <f t="shared" si="275"/>
        <v>-1.1238710358328312</v>
      </c>
      <c r="Z302" t="str">
        <f t="shared" si="261"/>
        <v>0,999011094850573+0,195215425692331i</v>
      </c>
      <c r="AA302" s="4">
        <f t="shared" si="276"/>
        <v>1.0179058060856017</v>
      </c>
      <c r="AB302" s="4">
        <f t="shared" si="277"/>
        <v>0.1929769432544747</v>
      </c>
      <c r="AC302" s="47" t="str">
        <f t="shared" si="278"/>
        <v>-0,383260805001302-0,124203964946019i</v>
      </c>
      <c r="AD302" s="20">
        <f t="shared" si="279"/>
        <v>-7.896400875443077</v>
      </c>
      <c r="AE302" s="43">
        <f t="shared" si="280"/>
        <v>-162.04396006432165</v>
      </c>
      <c r="AF302" t="str">
        <f t="shared" si="262"/>
        <v>405,634542683733</v>
      </c>
      <c r="AG302" t="str">
        <f t="shared" si="263"/>
        <v>1+334,597076584848i</v>
      </c>
      <c r="AH302">
        <f t="shared" si="281"/>
        <v>334.59857091614526</v>
      </c>
      <c r="AI302">
        <f t="shared" si="282"/>
        <v>1.5678076664251128</v>
      </c>
      <c r="AJ302" t="str">
        <f t="shared" si="264"/>
        <v>1+0,0565097284898855i</v>
      </c>
      <c r="AK302">
        <f t="shared" si="283"/>
        <v>1.0015954020531448</v>
      </c>
      <c r="AL302">
        <f t="shared" si="284"/>
        <v>5.6449691709570322E-2</v>
      </c>
      <c r="AM302" t="str">
        <f t="shared" si="265"/>
        <v>1-0,304565288983131i</v>
      </c>
      <c r="AN302">
        <f t="shared" si="285"/>
        <v>1.0453516227821995</v>
      </c>
      <c r="AO302">
        <f t="shared" si="286"/>
        <v>-0.29563985254635761</v>
      </c>
      <c r="AP302" s="41" t="str">
        <f t="shared" si="287"/>
        <v>-0,297031416800112-1,234060125662i</v>
      </c>
      <c r="AQ302">
        <f t="shared" si="288"/>
        <v>2.0713113879198417</v>
      </c>
      <c r="AR302" s="43">
        <f t="shared" si="289"/>
        <v>-103.53334909141665</v>
      </c>
      <c r="AS302" t="str">
        <f t="shared" si="266"/>
        <v>-0,0000166666666666667</v>
      </c>
      <c r="AT302" t="str">
        <f t="shared" si="267"/>
        <v>0,00962838835423818i</v>
      </c>
      <c r="AU302">
        <f t="shared" si="290"/>
        <v>9.6283883542381803E-3</v>
      </c>
      <c r="AV302">
        <f t="shared" si="291"/>
        <v>1.5707963267948966</v>
      </c>
      <c r="AW302" t="str">
        <f t="shared" si="268"/>
        <v>1+0,343238461985795i</v>
      </c>
      <c r="AX302">
        <f t="shared" si="292"/>
        <v>1.0572665897428017</v>
      </c>
      <c r="AY302">
        <f t="shared" si="293"/>
        <v>0.3306385244967312</v>
      </c>
      <c r="AZ302" t="str">
        <f t="shared" si="269"/>
        <v>1+50,6848795532357i</v>
      </c>
      <c r="BA302">
        <f t="shared" si="294"/>
        <v>50.69474346839138</v>
      </c>
      <c r="BB302">
        <f t="shared" si="295"/>
        <v>1.5510691362645903</v>
      </c>
      <c r="BC302" s="41" t="str">
        <f t="shared" si="296"/>
        <v>-0,0779567100871918+0,0284887336303844i</v>
      </c>
      <c r="BD302">
        <f t="shared" si="297"/>
        <v>-21.618528560631411</v>
      </c>
      <c r="BE302" s="43">
        <f t="shared" si="298"/>
        <v>159.9255232428674</v>
      </c>
      <c r="BF302" s="41" t="str">
        <f t="shared" si="299"/>
        <v>0,033416165136455-0,00123608249767225i</v>
      </c>
      <c r="BG302" s="20">
        <f t="shared" si="300"/>
        <v>-29.514929436074482</v>
      </c>
      <c r="BH302" s="43">
        <f t="shared" si="301"/>
        <v>-2.1184368214542726</v>
      </c>
      <c r="BI302" s="41" t="str">
        <f t="shared" si="255"/>
        <v>0,0583124022501376+0,0877412185333219i</v>
      </c>
      <c r="BJ302" s="20">
        <f t="shared" si="302"/>
        <v>-19.547217172711569</v>
      </c>
      <c r="BK302" s="43">
        <f t="shared" si="256"/>
        <v>56.39217415145071</v>
      </c>
      <c r="BL302">
        <f t="shared" si="303"/>
        <v>-29.514929436074482</v>
      </c>
      <c r="BM302" s="43">
        <f t="shared" si="304"/>
        <v>-2.1184368214542726</v>
      </c>
    </row>
    <row r="303" spans="14:65" x14ac:dyDescent="0.35">
      <c r="N303" s="9">
        <v>85</v>
      </c>
      <c r="O303" s="34">
        <f t="shared" si="305"/>
        <v>7079.4578438413828</v>
      </c>
      <c r="P303" s="33" t="str">
        <f t="shared" si="257"/>
        <v>59,1053597814893</v>
      </c>
      <c r="Q303" s="4" t="str">
        <f t="shared" si="258"/>
        <v>1+341,78270760933i</v>
      </c>
      <c r="R303" s="4">
        <f t="shared" si="270"/>
        <v>341.78417052397958</v>
      </c>
      <c r="S303" s="4">
        <f t="shared" si="271"/>
        <v>1.5678704995829094</v>
      </c>
      <c r="T303" s="4" t="str">
        <f t="shared" si="259"/>
        <v>1+0,0578260091593878i</v>
      </c>
      <c r="U303" s="4">
        <f t="shared" si="272"/>
        <v>1.0016705283351914</v>
      </c>
      <c r="V303" s="4">
        <f t="shared" si="273"/>
        <v>5.7761684383278694E-2</v>
      </c>
      <c r="W303" t="str">
        <f t="shared" si="260"/>
        <v>1-2,13511418434663i</v>
      </c>
      <c r="X303" s="4">
        <f t="shared" si="274"/>
        <v>2.3576922148995991</v>
      </c>
      <c r="Y303" s="4">
        <f t="shared" si="275"/>
        <v>-1.1327803573459556</v>
      </c>
      <c r="Z303" t="str">
        <f t="shared" si="261"/>
        <v>0,998964489186721+0,199762577096067i</v>
      </c>
      <c r="AA303" s="4">
        <f t="shared" si="276"/>
        <v>1.0187419387971364</v>
      </c>
      <c r="AB303" s="4">
        <f t="shared" si="277"/>
        <v>0.19736637489946207</v>
      </c>
      <c r="AC303" s="47" t="str">
        <f t="shared" si="278"/>
        <v>-0,382823906066187-0,118982400848297i</v>
      </c>
      <c r="AD303" s="20">
        <f t="shared" si="279"/>
        <v>-7.9395451880057424</v>
      </c>
      <c r="AE303" s="43">
        <f t="shared" si="280"/>
        <v>-162.73465560722033</v>
      </c>
      <c r="AF303" t="str">
        <f t="shared" si="262"/>
        <v>405,634542683733</v>
      </c>
      <c r="AG303" t="str">
        <f t="shared" si="263"/>
        <v>1+342,390843706901i</v>
      </c>
      <c r="AH303">
        <f t="shared" si="281"/>
        <v>342.39230402321186</v>
      </c>
      <c r="AI303">
        <f t="shared" si="282"/>
        <v>1.5678756962493745</v>
      </c>
      <c r="AJ303" t="str">
        <f t="shared" si="264"/>
        <v>1+0,0578260091593878i</v>
      </c>
      <c r="AK303">
        <f t="shared" si="283"/>
        <v>1.0016705283351914</v>
      </c>
      <c r="AL303">
        <f t="shared" si="284"/>
        <v>5.7761684383278694E-2</v>
      </c>
      <c r="AM303" t="str">
        <f t="shared" si="265"/>
        <v>1-0,3116595259084i</v>
      </c>
      <c r="AN303">
        <f t="shared" si="285"/>
        <v>1.0474405281873758</v>
      </c>
      <c r="AO303">
        <f t="shared" si="286"/>
        <v>-0.30211898644723634</v>
      </c>
      <c r="AP303" s="41" t="str">
        <f t="shared" si="287"/>
        <v>-0,297194605057215-1,20693091360989i</v>
      </c>
      <c r="AQ303">
        <f t="shared" si="288"/>
        <v>1.8893041306477727</v>
      </c>
      <c r="AR303" s="43">
        <f t="shared" si="289"/>
        <v>-103.83330229769268</v>
      </c>
      <c r="AS303" t="str">
        <f t="shared" si="266"/>
        <v>-0,0000166666666666667</v>
      </c>
      <c r="AT303" t="str">
        <f t="shared" si="267"/>
        <v>0,00985266232984955i</v>
      </c>
      <c r="AU303">
        <f t="shared" si="290"/>
        <v>9.8526623298495503E-3</v>
      </c>
      <c r="AV303">
        <f t="shared" si="291"/>
        <v>1.5707963267948966</v>
      </c>
      <c r="AW303" t="str">
        <f t="shared" si="268"/>
        <v>1+0,351233512831288i</v>
      </c>
      <c r="AX303">
        <f t="shared" si="292"/>
        <v>1.0598891359646097</v>
      </c>
      <c r="AY303">
        <f t="shared" si="293"/>
        <v>0.33777329430087794</v>
      </c>
      <c r="AZ303" t="str">
        <f t="shared" si="269"/>
        <v>1+51,8654820614202i</v>
      </c>
      <c r="BA303">
        <f t="shared" si="294"/>
        <v>51.875121488662572</v>
      </c>
      <c r="BB303">
        <f t="shared" si="295"/>
        <v>1.5515180693979964</v>
      </c>
      <c r="BC303" s="41" t="str">
        <f t="shared" si="296"/>
        <v>-0,0775714015991268+0,0289372660409064i</v>
      </c>
      <c r="BD303">
        <f t="shared" si="297"/>
        <v>-21.640123261487659</v>
      </c>
      <c r="BE303" s="43">
        <f t="shared" si="298"/>
        <v>159.54245301912019</v>
      </c>
      <c r="BF303" s="41" t="str">
        <f t="shared" si="299"/>
        <v>0,0331392123467395-0,00184824561722468i</v>
      </c>
      <c r="BG303" s="20">
        <f t="shared" si="300"/>
        <v>-29.579668449493401</v>
      </c>
      <c r="BH303" s="43">
        <f t="shared" si="301"/>
        <v>-3.1922025881001272</v>
      </c>
      <c r="BI303" s="41" t="str">
        <f t="shared" si="255"/>
        <v>0,0579790830021107+0,0850233232495711i</v>
      </c>
      <c r="BJ303" s="20">
        <f t="shared" si="302"/>
        <v>-19.750819130839883</v>
      </c>
      <c r="BK303" s="43">
        <f t="shared" si="256"/>
        <v>55.70915072142752</v>
      </c>
      <c r="BL303">
        <f t="shared" si="303"/>
        <v>-29.579668449493401</v>
      </c>
      <c r="BM303" s="43">
        <f t="shared" si="304"/>
        <v>-3.1922025881001272</v>
      </c>
    </row>
    <row r="304" spans="14:65" x14ac:dyDescent="0.35">
      <c r="N304" s="9">
        <v>86</v>
      </c>
      <c r="O304" s="34">
        <f t="shared" si="305"/>
        <v>7244.3596007499036</v>
      </c>
      <c r="P304" s="33" t="str">
        <f t="shared" si="257"/>
        <v>59,1053597814893</v>
      </c>
      <c r="Q304" s="4" t="str">
        <f t="shared" si="258"/>
        <v>1+349,74384957937i</v>
      </c>
      <c r="R304" s="4">
        <f t="shared" si="270"/>
        <v>349.74527919415442</v>
      </c>
      <c r="S304" s="4">
        <f t="shared" si="271"/>
        <v>1.5679370991740527</v>
      </c>
      <c r="T304" s="4" t="str">
        <f t="shared" si="259"/>
        <v>1+0,0591729499443644i</v>
      </c>
      <c r="U304" s="4">
        <f t="shared" si="272"/>
        <v>1.0017491891711807</v>
      </c>
      <c r="V304" s="4">
        <f t="shared" si="273"/>
        <v>5.9104031203411123E-2</v>
      </c>
      <c r="W304" t="str">
        <f t="shared" si="260"/>
        <v>1-2,18484738256115i</v>
      </c>
      <c r="X304" s="4">
        <f t="shared" si="274"/>
        <v>2.4028229408519279</v>
      </c>
      <c r="Y304" s="4">
        <f t="shared" si="275"/>
        <v>-1.1415593177025716</v>
      </c>
      <c r="Z304" t="str">
        <f t="shared" si="261"/>
        <v>0,9989156870656+0,20441564526235i</v>
      </c>
      <c r="AA304" s="4">
        <f t="shared" si="276"/>
        <v>1.0196167446122892</v>
      </c>
      <c r="AB304" s="4">
        <f t="shared" si="277"/>
        <v>0.20185072668400189</v>
      </c>
      <c r="AC304" s="47" t="str">
        <f t="shared" si="278"/>
        <v>-0,382365821715762-0,11383204171508i</v>
      </c>
      <c r="AD304" s="20">
        <f t="shared" si="279"/>
        <v>-7.9816237127831977</v>
      </c>
      <c r="AE304" s="43">
        <f t="shared" si="280"/>
        <v>-163.4214924833266</v>
      </c>
      <c r="AF304" t="str">
        <f t="shared" si="262"/>
        <v>405,634542683733</v>
      </c>
      <c r="AG304" t="str">
        <f t="shared" si="263"/>
        <v>1+350,366150986368i</v>
      </c>
      <c r="AH304">
        <f t="shared" si="281"/>
        <v>350.36757806195828</v>
      </c>
      <c r="AI304">
        <f t="shared" si="282"/>
        <v>1.5679421775519005</v>
      </c>
      <c r="AJ304" t="str">
        <f t="shared" si="264"/>
        <v>1+0,0591729499443644i</v>
      </c>
      <c r="AK304">
        <f t="shared" si="283"/>
        <v>1.0017491891711807</v>
      </c>
      <c r="AL304">
        <f t="shared" si="284"/>
        <v>5.9104031203411123E-2</v>
      </c>
      <c r="AM304" t="str">
        <f t="shared" si="265"/>
        <v>1-0,318919008839609i</v>
      </c>
      <c r="AN304">
        <f t="shared" si="285"/>
        <v>1.0496234249478422</v>
      </c>
      <c r="AO304">
        <f t="shared" si="286"/>
        <v>-0.30872205727880381</v>
      </c>
      <c r="AP304" s="41" t="str">
        <f t="shared" si="287"/>
        <v>-0,297350448755359-1,18044158939044i</v>
      </c>
      <c r="AQ304">
        <f t="shared" si="288"/>
        <v>1.708070683630585</v>
      </c>
      <c r="AR304" s="43">
        <f t="shared" si="289"/>
        <v>-104.13852867878238</v>
      </c>
      <c r="AS304" t="str">
        <f t="shared" si="266"/>
        <v>-0,0000166666666666667</v>
      </c>
      <c r="AT304" t="str">
        <f t="shared" si="267"/>
        <v>0,0100821603174436i</v>
      </c>
      <c r="AU304">
        <f t="shared" si="290"/>
        <v>1.0082160317443601E-2</v>
      </c>
      <c r="AV304">
        <f t="shared" si="291"/>
        <v>1.5707963267948966</v>
      </c>
      <c r="AW304" t="str">
        <f t="shared" si="268"/>
        <v>1+0,35941479233441i</v>
      </c>
      <c r="AX304">
        <f t="shared" si="292"/>
        <v>1.0626283418716005</v>
      </c>
      <c r="AY304">
        <f t="shared" si="293"/>
        <v>0.34503741771250779</v>
      </c>
      <c r="AZ304" t="str">
        <f t="shared" si="269"/>
        <v>1+53,0735843347145i</v>
      </c>
      <c r="BA304">
        <f t="shared" si="294"/>
        <v>53.083004381195806</v>
      </c>
      <c r="BB304">
        <f t="shared" si="295"/>
        <v>1.5519567910754715</v>
      </c>
      <c r="BC304" s="41" t="str">
        <f t="shared" si="296"/>
        <v>-0,0771719953981563+0,0293898415689681i</v>
      </c>
      <c r="BD304">
        <f t="shared" si="297"/>
        <v>-21.662614986127519</v>
      </c>
      <c r="BE304" s="43">
        <f t="shared" si="298"/>
        <v>159.15138630627177</v>
      </c>
      <c r="BF304" s="41" t="str">
        <f t="shared" si="299"/>
        <v>0,0328534391053394-0,00245302512221566i</v>
      </c>
      <c r="BG304" s="20">
        <f t="shared" si="300"/>
        <v>-29.644238698910716</v>
      </c>
      <c r="BH304" s="43">
        <f t="shared" si="301"/>
        <v>-4.2701061770548199</v>
      </c>
      <c r="BI304" s="41" t="str">
        <f t="shared" si="255"/>
        <v>0,0576401187565942+0,0823579503248498i</v>
      </c>
      <c r="BJ304" s="20">
        <f t="shared" si="302"/>
        <v>-19.954544302496931</v>
      </c>
      <c r="BK304" s="43">
        <f t="shared" si="256"/>
        <v>55.012857627489403</v>
      </c>
      <c r="BL304">
        <f t="shared" si="303"/>
        <v>-29.644238698910716</v>
      </c>
      <c r="BM304" s="43">
        <f t="shared" si="304"/>
        <v>-4.2701061770548199</v>
      </c>
    </row>
    <row r="305" spans="14:65" x14ac:dyDescent="0.35">
      <c r="N305" s="9">
        <v>87</v>
      </c>
      <c r="O305" s="34">
        <f t="shared" si="305"/>
        <v>7413.1024130091773</v>
      </c>
      <c r="P305" s="33" t="str">
        <f t="shared" si="257"/>
        <v>59,1053597814893</v>
      </c>
      <c r="Q305" s="4" t="str">
        <f t="shared" si="258"/>
        <v>1+357,890430367863i</v>
      </c>
      <c r="R305" s="4">
        <f t="shared" si="270"/>
        <v>357.89182744077038</v>
      </c>
      <c r="S305" s="4">
        <f t="shared" si="271"/>
        <v>1.5680021827979274</v>
      </c>
      <c r="T305" s="4" t="str">
        <f t="shared" si="259"/>
        <v>1+0,0605512650106479i</v>
      </c>
      <c r="U305" s="4">
        <f t="shared" si="272"/>
        <v>1.0018315505584707</v>
      </c>
      <c r="V305" s="4">
        <f t="shared" si="273"/>
        <v>6.0477424538932976E-2</v>
      </c>
      <c r="W305" t="str">
        <f t="shared" si="260"/>
        <v>1-2,23573901577777i</v>
      </c>
      <c r="X305" s="4">
        <f t="shared" si="274"/>
        <v>2.4491894468723627</v>
      </c>
      <c r="Y305" s="4">
        <f t="shared" si="275"/>
        <v>-1.1502071578348836</v>
      </c>
      <c r="Z305" t="str">
        <f t="shared" si="261"/>
        <v>0,998864584971369+0,209177097309511i</v>
      </c>
      <c r="AA305" s="4">
        <f t="shared" si="276"/>
        <v>1.0205319775239079</v>
      </c>
      <c r="AB305" s="4">
        <f t="shared" si="277"/>
        <v>0.20643171274397942</v>
      </c>
      <c r="AC305" s="47" t="str">
        <f t="shared" si="278"/>
        <v>-0,381885799915484-0,108750693575693i</v>
      </c>
      <c r="AD305" s="20">
        <f t="shared" si="279"/>
        <v>-8.0226889858020822</v>
      </c>
      <c r="AE305" s="43">
        <f t="shared" si="280"/>
        <v>-164.10448776728353</v>
      </c>
      <c r="AF305" t="str">
        <f t="shared" si="262"/>
        <v>405,634542683733</v>
      </c>
      <c r="AG305" t="str">
        <f t="shared" si="263"/>
        <v>1+358,52722703673i</v>
      </c>
      <c r="AH305">
        <f t="shared" si="281"/>
        <v>358.52862162824169</v>
      </c>
      <c r="AI305">
        <f t="shared" si="282"/>
        <v>1.5680071455796052</v>
      </c>
      <c r="AJ305" t="str">
        <f t="shared" si="264"/>
        <v>1+0,0605512650106479i</v>
      </c>
      <c r="AK305">
        <f t="shared" si="283"/>
        <v>1.0018315505584707</v>
      </c>
      <c r="AL305">
        <f t="shared" si="284"/>
        <v>6.0477424538932976E-2</v>
      </c>
      <c r="AM305" t="str">
        <f t="shared" si="265"/>
        <v>1-0,326347586850695i</v>
      </c>
      <c r="AN305">
        <f t="shared" si="285"/>
        <v>1.0519043432951838</v>
      </c>
      <c r="AO305">
        <f t="shared" si="286"/>
        <v>-0.3154502620760149</v>
      </c>
      <c r="AP305" s="41" t="str">
        <f t="shared" si="287"/>
        <v>-0,297499278443367-1,15457811087757i</v>
      </c>
      <c r="AQ305">
        <f t="shared" si="288"/>
        <v>1.5276410555457909</v>
      </c>
      <c r="AR305" s="43">
        <f t="shared" si="289"/>
        <v>-104.44905916941622</v>
      </c>
      <c r="AS305" t="str">
        <f t="shared" si="266"/>
        <v>-0,0000166666666666667</v>
      </c>
      <c r="AT305" t="str">
        <f t="shared" si="267"/>
        <v>0,0103170039998912i</v>
      </c>
      <c r="AU305">
        <f t="shared" si="290"/>
        <v>1.0317003999891199E-2</v>
      </c>
      <c r="AV305">
        <f t="shared" si="291"/>
        <v>1.5707963267948966</v>
      </c>
      <c r="AW305" t="str">
        <f t="shared" si="268"/>
        <v>1+0,367786638317844i</v>
      </c>
      <c r="AX305">
        <f t="shared" si="292"/>
        <v>1.065489094887949</v>
      </c>
      <c r="AY305">
        <f t="shared" si="293"/>
        <v>0.35243167883746085</v>
      </c>
      <c r="AZ305" t="str">
        <f t="shared" si="269"/>
        <v>1+54,3098269249349i</v>
      </c>
      <c r="BA305">
        <f t="shared" si="294"/>
        <v>54.319032581742327</v>
      </c>
      <c r="BB305">
        <f t="shared" si="295"/>
        <v>1.5523855332371188</v>
      </c>
      <c r="BC305" s="41" t="str">
        <f t="shared" si="296"/>
        <v>-0,0767581504423551+0,0298460781779844i</v>
      </c>
      <c r="BD305">
        <f t="shared" si="297"/>
        <v>-21.686036637046566</v>
      </c>
      <c r="BE305" s="43">
        <f t="shared" si="298"/>
        <v>158.75229146755615</v>
      </c>
      <c r="BF305" s="41" t="str">
        <f t="shared" si="299"/>
        <v>0,032558629384082-0,00305029134114614i</v>
      </c>
      <c r="BG305" s="20">
        <f t="shared" si="300"/>
        <v>-29.708725622848643</v>
      </c>
      <c r="BH305" s="43">
        <f t="shared" si="301"/>
        <v>-5.3521962997273862</v>
      </c>
      <c r="BI305" s="41" t="str">
        <f t="shared" si="255"/>
        <v>0,0572951229310895+0,079744093609876i</v>
      </c>
      <c r="BJ305" s="20">
        <f t="shared" si="302"/>
        <v>-20.158395581500773</v>
      </c>
      <c r="BK305" s="43">
        <f t="shared" si="256"/>
        <v>54.303232298139946</v>
      </c>
      <c r="BL305">
        <f t="shared" si="303"/>
        <v>-29.708725622848643</v>
      </c>
      <c r="BM305" s="43">
        <f t="shared" si="304"/>
        <v>-5.3521962997273862</v>
      </c>
    </row>
    <row r="306" spans="14:65" x14ac:dyDescent="0.35">
      <c r="N306" s="9">
        <v>88</v>
      </c>
      <c r="O306" s="34">
        <f t="shared" si="305"/>
        <v>7585.7757502918394</v>
      </c>
      <c r="P306" s="33" t="str">
        <f t="shared" si="257"/>
        <v>59,1053597814893</v>
      </c>
      <c r="Q306" s="4" t="str">
        <f t="shared" si="258"/>
        <v>1+366,226769399778i</v>
      </c>
      <c r="R306" s="4">
        <f t="shared" si="270"/>
        <v>366.2281346715435</v>
      </c>
      <c r="S306" s="4">
        <f t="shared" si="271"/>
        <v>1.568065784960526</v>
      </c>
      <c r="T306" s="4" t="str">
        <f t="shared" si="259"/>
        <v>1+0,0619616851591308i</v>
      </c>
      <c r="U306" s="4">
        <f t="shared" si="272"/>
        <v>1.0019177862618067</v>
      </c>
      <c r="V306" s="4">
        <f t="shared" si="273"/>
        <v>6.1882571845401808E-2</v>
      </c>
      <c r="W306" t="str">
        <f t="shared" si="260"/>
        <v>1-2,28781606741406i</v>
      </c>
      <c r="X306" s="4">
        <f t="shared" si="274"/>
        <v>2.4968184472079531</v>
      </c>
      <c r="Y306" s="4">
        <f t="shared" si="275"/>
        <v>-1.1587232880660252</v>
      </c>
      <c r="Z306" t="str">
        <f t="shared" si="261"/>
        <v>0,998811074509634+0,214049457822452i</v>
      </c>
      <c r="AA306" s="4">
        <f t="shared" si="276"/>
        <v>1.0214894678640478</v>
      </c>
      <c r="AB306" s="4">
        <f t="shared" si="277"/>
        <v>0.21111105473140276</v>
      </c>
      <c r="AC306" s="47" t="str">
        <f t="shared" si="278"/>
        <v>-0,381383061602485-0,103736232279457i</v>
      </c>
      <c r="AD306" s="20">
        <f t="shared" si="279"/>
        <v>-8.0627936426094724</v>
      </c>
      <c r="AE306" s="43">
        <f t="shared" si="280"/>
        <v>-164.7836677593194</v>
      </c>
      <c r="AF306" t="str">
        <f t="shared" si="262"/>
        <v>405,634542683733</v>
      </c>
      <c r="AG306" t="str">
        <f t="shared" si="263"/>
        <v>1+366,878398968537i</v>
      </c>
      <c r="AH306">
        <f t="shared" si="281"/>
        <v>366.87976181538966</v>
      </c>
      <c r="AI306">
        <f t="shared" si="282"/>
        <v>1.568070634777202</v>
      </c>
      <c r="AJ306" t="str">
        <f t="shared" si="264"/>
        <v>1+0,0619616851591308i</v>
      </c>
      <c r="AK306">
        <f t="shared" si="283"/>
        <v>1.0019177862618067</v>
      </c>
      <c r="AL306">
        <f t="shared" si="284"/>
        <v>6.1882571845401808E-2</v>
      </c>
      <c r="AM306" t="str">
        <f t="shared" si="265"/>
        <v>1-0,333949198672051i</v>
      </c>
      <c r="AN306">
        <f t="shared" si="285"/>
        <v>1.0542874690015551</v>
      </c>
      <c r="AO306">
        <f t="shared" si="286"/>
        <v>-0.32230473075534305</v>
      </c>
      <c r="AP306" s="41" t="str">
        <f t="shared" si="287"/>
        <v>-0,29764140979387-1,12932676758568i</v>
      </c>
      <c r="AQ306">
        <f t="shared" si="288"/>
        <v>1.3480461348909054</v>
      </c>
      <c r="AR306" s="43">
        <f t="shared" si="289"/>
        <v>-104.76491994835848</v>
      </c>
      <c r="AS306" t="str">
        <f t="shared" si="266"/>
        <v>-0,0000166666666666667</v>
      </c>
      <c r="AT306" t="str">
        <f t="shared" si="267"/>
        <v>0,0105573178944211i</v>
      </c>
      <c r="AU306">
        <f t="shared" si="290"/>
        <v>1.05573178944211E-2</v>
      </c>
      <c r="AV306">
        <f t="shared" si="291"/>
        <v>1.5707963267948966</v>
      </c>
      <c r="AW306" t="str">
        <f t="shared" si="268"/>
        <v>1+0,376353489645146i</v>
      </c>
      <c r="AX306">
        <f t="shared" si="292"/>
        <v>1.0684764616818092</v>
      </c>
      <c r="AY306">
        <f t="shared" si="293"/>
        <v>0.35995676298190699</v>
      </c>
      <c r="AZ306" t="str">
        <f t="shared" si="269"/>
        <v>1+55,5748653042665i</v>
      </c>
      <c r="BA306">
        <f t="shared" si="294"/>
        <v>55.583861449051604</v>
      </c>
      <c r="BB306">
        <f t="shared" si="295"/>
        <v>1.5528045225768556</v>
      </c>
      <c r="BC306" s="41" t="str">
        <f t="shared" si="296"/>
        <v>-0,0763295323118065+0,0303055696424012i</v>
      </c>
      <c r="BD306">
        <f t="shared" si="297"/>
        <v>-21.71042188524201</v>
      </c>
      <c r="BE306" s="43">
        <f t="shared" si="298"/>
        <v>158.34514222642645</v>
      </c>
      <c r="BF306" s="41" t="str">
        <f t="shared" si="299"/>
        <v>0,032254576335548-0,00363989284014642i</v>
      </c>
      <c r="BG306" s="20">
        <f t="shared" si="300"/>
        <v>-29.77321552785147</v>
      </c>
      <c r="BH306" s="43">
        <f t="shared" si="301"/>
        <v>-6.4385255328929389</v>
      </c>
      <c r="BI306" s="41" t="str">
        <f t="shared" ref="BI306:BI369" si="306">IMPRODUCT(AP306,BC306)</f>
        <v>0,0569437206102885+0,0771807915240486i</v>
      </c>
      <c r="BJ306" s="20">
        <f t="shared" si="302"/>
        <v>-20.362375750351099</v>
      </c>
      <c r="BK306" s="43">
        <f t="shared" ref="BK306:BK369" si="307">(180/PI())*IMARGUMENT(BI306)</f>
        <v>53.580222278067993</v>
      </c>
      <c r="BL306">
        <f t="shared" si="303"/>
        <v>-29.77321552785147</v>
      </c>
      <c r="BM306" s="43">
        <f t="shared" si="304"/>
        <v>-6.4385255328929389</v>
      </c>
    </row>
    <row r="307" spans="14:65" x14ac:dyDescent="0.35">
      <c r="N307" s="9">
        <v>89</v>
      </c>
      <c r="O307" s="34">
        <f t="shared" si="305"/>
        <v>7762.4711662869322</v>
      </c>
      <c r="P307" s="33" t="str">
        <f t="shared" si="257"/>
        <v>59,1053597814893</v>
      </c>
      <c r="Q307" s="4" t="str">
        <f t="shared" si="258"/>
        <v>1+374,757286712413i</v>
      </c>
      <c r="R307" s="4">
        <f t="shared" si="270"/>
        <v>374.75862090691089</v>
      </c>
      <c r="S307" s="4">
        <f t="shared" si="271"/>
        <v>1.5681279393824972</v>
      </c>
      <c r="T307" s="4" t="str">
        <f t="shared" si="259"/>
        <v>1+0,063404958213245i</v>
      </c>
      <c r="U307" s="4">
        <f t="shared" si="272"/>
        <v>1.0020080781740353</v>
      </c>
      <c r="V307" s="4">
        <f t="shared" si="273"/>
        <v>6.3320195942966492E-2</v>
      </c>
      <c r="W307" t="str">
        <f t="shared" si="260"/>
        <v>1-2,34110614941213i</v>
      </c>
      <c r="X307" s="4">
        <f t="shared" si="274"/>
        <v>2.5457372218701777</v>
      </c>
      <c r="Y307" s="4">
        <f t="shared" si="275"/>
        <v>-1.167107281692072</v>
      </c>
      <c r="Z307" t="str">
        <f t="shared" si="261"/>
        <v>0,998755042177532+0,21903531019121i</v>
      </c>
      <c r="AA307" s="4">
        <f t="shared" si="276"/>
        <v>1.0224911253334199</v>
      </c>
      <c r="AB307" s="4">
        <f t="shared" si="277"/>
        <v>0.21589048002603364</v>
      </c>
      <c r="AC307" s="47" t="str">
        <f t="shared" si="278"/>
        <v>-0,380856800682337-0,0987866041847007i</v>
      </c>
      <c r="AD307" s="20">
        <f t="shared" si="279"/>
        <v>-8.101990374314191</v>
      </c>
      <c r="AE307" s="43">
        <f t="shared" si="280"/>
        <v>-165.45906750017724</v>
      </c>
      <c r="AF307" t="str">
        <f t="shared" si="262"/>
        <v>405,634542683733</v>
      </c>
      <c r="AG307" t="str">
        <f t="shared" si="263"/>
        <v>1+375,424094683687i</v>
      </c>
      <c r="AH307">
        <f t="shared" si="281"/>
        <v>375.42542650846912</v>
      </c>
      <c r="AI307">
        <f t="shared" si="282"/>
        <v>1.5681326788054553</v>
      </c>
      <c r="AJ307" t="str">
        <f t="shared" si="264"/>
        <v>1+0,063404958213245i</v>
      </c>
      <c r="AK307">
        <f t="shared" si="283"/>
        <v>1.0020080781740353</v>
      </c>
      <c r="AL307">
        <f t="shared" si="284"/>
        <v>6.3320195942966492E-2</v>
      </c>
      <c r="AM307" t="str">
        <f t="shared" si="265"/>
        <v>1-0,341727874778884i</v>
      </c>
      <c r="AN307">
        <f t="shared" si="285"/>
        <v>1.0567771479365422</v>
      </c>
      <c r="AO307">
        <f t="shared" si="286"/>
        <v>-0.32928652038367778</v>
      </c>
      <c r="AP307" s="41" t="str">
        <f t="shared" si="287"/>
        <v>-0,297777144272756-1,10467417341298i</v>
      </c>
      <c r="AQ307">
        <f t="shared" si="288"/>
        <v>1.169317691461</v>
      </c>
      <c r="AR307" s="43">
        <f t="shared" si="289"/>
        <v>-105.08613209515647</v>
      </c>
      <c r="AS307" t="str">
        <f t="shared" si="266"/>
        <v>-0,0000166666666666667</v>
      </c>
      <c r="AT307" t="str">
        <f t="shared" si="267"/>
        <v>0,0108032294186414i</v>
      </c>
      <c r="AU307">
        <f t="shared" si="290"/>
        <v>1.08032294186414E-2</v>
      </c>
      <c r="AV307">
        <f t="shared" si="291"/>
        <v>1.5707963267948966</v>
      </c>
      <c r="AW307" t="str">
        <f t="shared" si="268"/>
        <v>1+0,385119888574286i</v>
      </c>
      <c r="AX307">
        <f t="shared" si="292"/>
        <v>1.0715956926823988</v>
      </c>
      <c r="AY307">
        <f t="shared" si="293"/>
        <v>0.36761325007541529</v>
      </c>
      <c r="AZ307" t="str">
        <f t="shared" si="269"/>
        <v>1+56,8693702128028i</v>
      </c>
      <c r="BA307">
        <f t="shared" si="294"/>
        <v>56.87816161235191</v>
      </c>
      <c r="BB307">
        <f t="shared" si="295"/>
        <v>1.5532139806596024</v>
      </c>
      <c r="BC307" s="41" t="str">
        <f t="shared" si="296"/>
        <v>-0,07588581473001+0,0307678850766807i</v>
      </c>
      <c r="BD307">
        <f t="shared" si="297"/>
        <v>-21.735805153596736</v>
      </c>
      <c r="BE307" s="43">
        <f t="shared" si="298"/>
        <v>157.92991805010098</v>
      </c>
      <c r="BF307" s="41" t="str">
        <f t="shared" si="299"/>
        <v>0,0319410834999146-0,0042216563310994i</v>
      </c>
      <c r="BG307" s="20">
        <f t="shared" si="300"/>
        <v>-29.837795527910927</v>
      </c>
      <c r="BH307" s="43">
        <f t="shared" si="301"/>
        <v>-7.5291494500762788</v>
      </c>
      <c r="BI307" s="41" t="str">
        <f t="shared" si="306"/>
        <v>0,0565855492158616+0,074667126707198i</v>
      </c>
      <c r="BJ307" s="20">
        <f t="shared" si="302"/>
        <v>-20.566487462135736</v>
      </c>
      <c r="BK307" s="43">
        <f t="shared" si="307"/>
        <v>52.843785954944515</v>
      </c>
      <c r="BL307">
        <f t="shared" si="303"/>
        <v>-29.837795527910927</v>
      </c>
      <c r="BM307" s="43">
        <f t="shared" si="304"/>
        <v>-7.5291494500762788</v>
      </c>
    </row>
    <row r="308" spans="14:65" x14ac:dyDescent="0.35">
      <c r="N308" s="9">
        <v>90</v>
      </c>
      <c r="O308" s="34">
        <f t="shared" si="305"/>
        <v>7943.2823472428154</v>
      </c>
      <c r="P308" s="33" t="str">
        <f t="shared" si="257"/>
        <v>59,1053597814893</v>
      </c>
      <c r="Q308" s="4" t="str">
        <f t="shared" si="258"/>
        <v>1+383,486505298961i</v>
      </c>
      <c r="R308" s="4">
        <f t="shared" si="270"/>
        <v>383.4878091235887</v>
      </c>
      <c r="S308" s="4">
        <f t="shared" si="271"/>
        <v>1.5681886790170161</v>
      </c>
      <c r="T308" s="4" t="str">
        <f t="shared" si="259"/>
        <v>1+0,0648818494154675i</v>
      </c>
      <c r="U308" s="4">
        <f t="shared" si="272"/>
        <v>1.0021026166933062</v>
      </c>
      <c r="V308" s="4">
        <f t="shared" si="273"/>
        <v>6.4791035295715657E-2</v>
      </c>
      <c r="W308" t="str">
        <f t="shared" si="260"/>
        <v>1-2,3956375168788i</v>
      </c>
      <c r="X308" s="4">
        <f t="shared" si="274"/>
        <v>2.5959736347423146</v>
      </c>
      <c r="Y308" s="4">
        <f t="shared" si="275"/>
        <v>-1.1753588683889531</v>
      </c>
      <c r="Z308" t="str">
        <f t="shared" si="261"/>
        <v>0,998696369122975+0,224137297980706i</v>
      </c>
      <c r="AA308" s="4">
        <f t="shared" si="276"/>
        <v>1.0235389421245804</v>
      </c>
      <c r="AB308" s="4">
        <f t="shared" si="277"/>
        <v>0.22077171980388807</v>
      </c>
      <c r="AC308" s="47" t="str">
        <f t="shared" si="278"/>
        <v>-0,380306184096443-0,0938998269550538i</v>
      </c>
      <c r="AD308" s="20">
        <f t="shared" si="279"/>
        <v>-8.1403318884333977</v>
      </c>
      <c r="AE308" s="43">
        <f t="shared" si="280"/>
        <v>-166.13073026771016</v>
      </c>
      <c r="AF308" t="str">
        <f t="shared" si="262"/>
        <v>405,634542683733</v>
      </c>
      <c r="AG308" t="str">
        <f t="shared" si="263"/>
        <v>1+384,168845223163i</v>
      </c>
      <c r="AH308">
        <f t="shared" si="281"/>
        <v>384.17014673201584</v>
      </c>
      <c r="AI308">
        <f t="shared" si="282"/>
        <v>1.5681933105590184</v>
      </c>
      <c r="AJ308" t="str">
        <f t="shared" si="264"/>
        <v>1+0,0648818494154675i</v>
      </c>
      <c r="AK308">
        <f t="shared" si="283"/>
        <v>1.0021026166933062</v>
      </c>
      <c r="AL308">
        <f t="shared" si="284"/>
        <v>6.4791035295715657E-2</v>
      </c>
      <c r="AM308" t="str">
        <f t="shared" si="265"/>
        <v>1-0,349687739528226i</v>
      </c>
      <c r="AN308">
        <f t="shared" si="285"/>
        <v>1.0593778906397662</v>
      </c>
      <c r="AO308">
        <f t="shared" si="286"/>
        <v>-0.33639660925788378</v>
      </c>
      <c r="AP308" s="41" t="str">
        <f t="shared" si="287"/>
        <v>-0,297906769778493-1,08060725955587i</v>
      </c>
      <c r="AQ308">
        <f t="shared" si="288"/>
        <v>0.99148837543069113</v>
      </c>
      <c r="AR308" s="43">
        <f t="shared" si="289"/>
        <v>-105.41271123594075</v>
      </c>
      <c r="AS308" t="str">
        <f t="shared" si="266"/>
        <v>-0,0000166666666666667</v>
      </c>
      <c r="AT308" t="str">
        <f t="shared" si="267"/>
        <v>0,011054868958097i</v>
      </c>
      <c r="AU308">
        <f t="shared" si="290"/>
        <v>1.1054868958097E-2</v>
      </c>
      <c r="AV308">
        <f t="shared" si="291"/>
        <v>1.5707963267948966</v>
      </c>
      <c r="AW308" t="str">
        <f t="shared" si="268"/>
        <v>1+0,394090483166011i</v>
      </c>
      <c r="AX308">
        <f t="shared" si="292"/>
        <v>1.0748522265511757</v>
      </c>
      <c r="AY308">
        <f t="shared" si="293"/>
        <v>0.37540160798291428</v>
      </c>
      <c r="AZ308" t="str">
        <f t="shared" si="269"/>
        <v>1+58,1940280141809i</v>
      </c>
      <c r="BA308">
        <f t="shared" si="294"/>
        <v>58.20261932692781</v>
      </c>
      <c r="BB308">
        <f t="shared" si="295"/>
        <v>1.5536141240359551</v>
      </c>
      <c r="BC308" s="41" t="str">
        <f t="shared" si="296"/>
        <v>-0,0754266811735543+0,0312325685461136i</v>
      </c>
      <c r="BD308">
        <f t="shared" si="297"/>
        <v>-21.762221596654268</v>
      </c>
      <c r="BE308" s="43">
        <f t="shared" si="298"/>
        <v>157.50660453932903</v>
      </c>
      <c r="BF308" s="41" t="str">
        <f t="shared" si="299"/>
        <v>0,0316179660780154-0,00479538665331229i</v>
      </c>
      <c r="BG308" s="20">
        <f t="shared" si="300"/>
        <v>-29.902553485087662</v>
      </c>
      <c r="BH308" s="43">
        <f t="shared" si="301"/>
        <v>-8.6241257283811521</v>
      </c>
      <c r="BI308" s="41" t="str">
        <f t="shared" si="306"/>
        <v>0,0562202592490325+0,0722022256328908i</v>
      </c>
      <c r="BJ308" s="20">
        <f t="shared" si="302"/>
        <v>-20.770733221223576</v>
      </c>
      <c r="BK308" s="43">
        <f t="shared" si="307"/>
        <v>52.093893303388292</v>
      </c>
      <c r="BL308">
        <f t="shared" si="303"/>
        <v>-29.902553485087662</v>
      </c>
      <c r="BM308" s="43">
        <f t="shared" si="304"/>
        <v>-8.6241257283811521</v>
      </c>
    </row>
    <row r="309" spans="14:65" x14ac:dyDescent="0.35">
      <c r="N309" s="9">
        <v>91</v>
      </c>
      <c r="O309" s="34">
        <f t="shared" si="305"/>
        <v>8128.3051616410066</v>
      </c>
      <c r="P309" s="33" t="str">
        <f t="shared" si="257"/>
        <v>59,1053597814893</v>
      </c>
      <c r="Q309" s="4" t="str">
        <f t="shared" si="258"/>
        <v>1+392,419053506664i</v>
      </c>
      <c r="R309" s="4">
        <f t="shared" si="270"/>
        <v>392.42032765271733</v>
      </c>
      <c r="S309" s="4">
        <f t="shared" si="271"/>
        <v>1.5682480360672475</v>
      </c>
      <c r="T309" s="4" t="str">
        <f t="shared" si="259"/>
        <v>1+0,0663931418330633i</v>
      </c>
      <c r="U309" s="4">
        <f t="shared" si="272"/>
        <v>1.0022016011174923</v>
      </c>
      <c r="V309" s="4">
        <f t="shared" si="273"/>
        <v>6.6295844292055761E-2</v>
      </c>
      <c r="W309" t="str">
        <f t="shared" si="260"/>
        <v>1-2,45143908306695i</v>
      </c>
      <c r="X309" s="4">
        <f t="shared" si="274"/>
        <v>2.6475561519990713</v>
      </c>
      <c r="Y309" s="4">
        <f t="shared" si="275"/>
        <v>-1.1834779274886076</v>
      </c>
      <c r="Z309" t="str">
        <f t="shared" si="261"/>
        <v>0,998634930892546+0,2293581263324i</v>
      </c>
      <c r="AA309" s="4">
        <f t="shared" si="276"/>
        <v>1.0246349961393419</v>
      </c>
      <c r="AB309" s="4">
        <f t="shared" si="277"/>
        <v>0.22575650695606878</v>
      </c>
      <c r="AC309" s="47" t="str">
        <f t="shared" si="278"/>
        <v>-0,379730351968551-0,0890739904626312i</v>
      </c>
      <c r="AD309" s="20">
        <f t="shared" si="279"/>
        <v>-8.1778708744024424</v>
      </c>
      <c r="AE309" s="43">
        <f t="shared" si="280"/>
        <v>-166.79870705732762</v>
      </c>
      <c r="AF309" t="str">
        <f t="shared" si="262"/>
        <v>405,634542683733</v>
      </c>
      <c r="AG309" t="str">
        <f t="shared" si="263"/>
        <v>1+393,117287169453i</v>
      </c>
      <c r="AH309">
        <f t="shared" si="281"/>
        <v>393.11855905244431</v>
      </c>
      <c r="AI309">
        <f t="shared" si="282"/>
        <v>1.5682525621838654</v>
      </c>
      <c r="AJ309" t="str">
        <f t="shared" si="264"/>
        <v>1+0,0663931418330633i</v>
      </c>
      <c r="AK309">
        <f t="shared" si="283"/>
        <v>1.0022016011174923</v>
      </c>
      <c r="AL309">
        <f t="shared" si="284"/>
        <v>6.6295844292055761E-2</v>
      </c>
      <c r="AM309" t="str">
        <f t="shared" si="265"/>
        <v>1-0,357833013345733i</v>
      </c>
      <c r="AN309">
        <f t="shared" si="285"/>
        <v>1.0620943768988176</v>
      </c>
      <c r="AO309">
        <f t="shared" si="286"/>
        <v>-0.34363589080524354</v>
      </c>
      <c r="AP309" s="41" t="str">
        <f t="shared" si="287"/>
        <v>-0,298030561252716-1,05711326759083i</v>
      </c>
      <c r="AQ309">
        <f t="shared" si="288"/>
        <v>0.81459171384516171</v>
      </c>
      <c r="AR309" s="43">
        <f t="shared" si="289"/>
        <v>-105.74466717888076</v>
      </c>
      <c r="AS309" t="str">
        <f t="shared" si="266"/>
        <v>-0,0000166666666666667</v>
      </c>
      <c r="AT309" t="str">
        <f t="shared" si="267"/>
        <v>0,0113123699354027i</v>
      </c>
      <c r="AU309">
        <f t="shared" si="290"/>
        <v>1.1312369935402701E-2</v>
      </c>
      <c r="AV309">
        <f t="shared" si="291"/>
        <v>1.5707963267948966</v>
      </c>
      <c r="AW309" t="str">
        <f t="shared" si="268"/>
        <v>1+0,403270029748317i</v>
      </c>
      <c r="AX309">
        <f t="shared" si="292"/>
        <v>1.0782516945932468</v>
      </c>
      <c r="AY309">
        <f t="shared" si="293"/>
        <v>0.38332218572847654</v>
      </c>
      <c r="AZ309" t="str">
        <f t="shared" si="269"/>
        <v>1+59,5495410595014i</v>
      </c>
      <c r="BA309">
        <f t="shared" si="294"/>
        <v>59.557936837983597</v>
      </c>
      <c r="BB309">
        <f t="shared" si="295"/>
        <v>1.5540051643543835</v>
      </c>
      <c r="BC309" s="41" t="str">
        <f t="shared" si="296"/>
        <v>-0,0749518265676865+0,0316991387698702i</v>
      </c>
      <c r="BD309">
        <f t="shared" si="297"/>
        <v>-21.789707076588453</v>
      </c>
      <c r="BE309" s="43">
        <f t="shared" si="298"/>
        <v>157.07519382306845</v>
      </c>
      <c r="BF309" s="41" t="str">
        <f t="shared" si="299"/>
        <v>0,0312850522676944-0,00536086683733586i</v>
      </c>
      <c r="BG309" s="20">
        <f t="shared" si="300"/>
        <v>-29.967577950990901</v>
      </c>
      <c r="BH309" s="43">
        <f t="shared" si="301"/>
        <v>-9.7235132342591886</v>
      </c>
      <c r="BI309" s="41" t="str">
        <f t="shared" si="306"/>
        <v>0,0558475151037165+0,0697852581760561i</v>
      </c>
      <c r="BJ309" s="20">
        <f t="shared" si="302"/>
        <v>-20.975115362743288</v>
      </c>
      <c r="BK309" s="43">
        <f t="shared" si="307"/>
        <v>51.330526644187678</v>
      </c>
      <c r="BL309">
        <f t="shared" si="303"/>
        <v>-29.967577950990901</v>
      </c>
      <c r="BM309" s="43">
        <f t="shared" si="304"/>
        <v>-9.7235132342591886</v>
      </c>
    </row>
    <row r="310" spans="14:65" x14ac:dyDescent="0.35">
      <c r="N310" s="9">
        <v>92</v>
      </c>
      <c r="O310" s="34">
        <f t="shared" si="305"/>
        <v>8317.6377110267094</v>
      </c>
      <c r="P310" s="33" t="str">
        <f t="shared" si="257"/>
        <v>59,1053597814893</v>
      </c>
      <c r="Q310" s="4" t="str">
        <f t="shared" si="258"/>
        <v>1+401,559667490815i</v>
      </c>
      <c r="R310" s="4">
        <f t="shared" si="270"/>
        <v>401.56091263385423</v>
      </c>
      <c r="S310" s="4">
        <f t="shared" si="271"/>
        <v>1.5683060420034112</v>
      </c>
      <c r="T310" s="4" t="str">
        <f t="shared" si="259"/>
        <v>1+0,0679396367732757i</v>
      </c>
      <c r="U310" s="4">
        <f t="shared" si="272"/>
        <v>1.0023052400565831</v>
      </c>
      <c r="V310" s="4">
        <f t="shared" si="273"/>
        <v>6.7835393525762802E-2</v>
      </c>
      <c r="W310" t="str">
        <f t="shared" si="260"/>
        <v>1-2,50854043470557i</v>
      </c>
      <c r="X310" s="4">
        <f t="shared" si="274"/>
        <v>2.7005138608333068</v>
      </c>
      <c r="Y310" s="4">
        <f t="shared" si="275"/>
        <v>-1.1914644811659407</v>
      </c>
      <c r="Z310" t="str">
        <f t="shared" si="261"/>
        <v>0,998570597167523+0,234700563398589i</v>
      </c>
      <c r="AA310" s="4">
        <f t="shared" si="276"/>
        <v>1.0257814543006316</v>
      </c>
      <c r="AB310" s="4">
        <f t="shared" si="277"/>
        <v>0.23084657385139509</v>
      </c>
      <c r="AC310" s="47" t="str">
        <f t="shared" si="278"/>
        <v>-0,379128417839315-0,0843072577972465i</v>
      </c>
      <c r="AD310" s="20">
        <f t="shared" si="279"/>
        <v>-8.2146599735752108</v>
      </c>
      <c r="AE310" s="43">
        <f t="shared" si="280"/>
        <v>-167.46305604831974</v>
      </c>
      <c r="AF310" t="str">
        <f t="shared" si="262"/>
        <v>405,634542683733</v>
      </c>
      <c r="AG310" t="str">
        <f t="shared" si="263"/>
        <v>1+402,274165104922i</v>
      </c>
      <c r="AH310">
        <f t="shared" si="281"/>
        <v>402.27540803641233</v>
      </c>
      <c r="AI310">
        <f t="shared" si="282"/>
        <v>1.5683104650943269</v>
      </c>
      <c r="AJ310" t="str">
        <f t="shared" si="264"/>
        <v>1+0,0679396367732757i</v>
      </c>
      <c r="AK310">
        <f t="shared" si="283"/>
        <v>1.0023052400565831</v>
      </c>
      <c r="AL310">
        <f t="shared" si="284"/>
        <v>6.7835393525762802E-2</v>
      </c>
      <c r="AM310" t="str">
        <f t="shared" si="265"/>
        <v>1-0,366168014963393i</v>
      </c>
      <c r="AN310">
        <f t="shared" si="285"/>
        <v>1.0649314603213822</v>
      </c>
      <c r="AO310">
        <f t="shared" si="286"/>
        <v>-0.35100516731713605</v>
      </c>
      <c r="AP310" s="41" t="str">
        <f t="shared" si="287"/>
        <v>-0,29814878126329-1,03417974272006i</v>
      </c>
      <c r="AQ310">
        <f t="shared" si="288"/>
        <v>0.63866210431976289</v>
      </c>
      <c r="AR310" s="43">
        <f t="shared" si="289"/>
        <v>-106.08200354002412</v>
      </c>
      <c r="AS310" t="str">
        <f t="shared" si="266"/>
        <v>-0,0000166666666666667</v>
      </c>
      <c r="AT310" t="str">
        <f t="shared" si="267"/>
        <v>0,011575868880985i</v>
      </c>
      <c r="AU310">
        <f t="shared" si="290"/>
        <v>1.1575868880985E-2</v>
      </c>
      <c r="AV310">
        <f t="shared" si="291"/>
        <v>1.5707963267948966</v>
      </c>
      <c r="AW310" t="str">
        <f t="shared" si="268"/>
        <v>1+0,412663395438303i</v>
      </c>
      <c r="AX310">
        <f t="shared" si="292"/>
        <v>1.081799925094594</v>
      </c>
      <c r="AY310">
        <f t="shared" si="293"/>
        <v>0.39137520665662534</v>
      </c>
      <c r="AZ310" t="str">
        <f t="shared" si="269"/>
        <v>1+60,9366280597227i</v>
      </c>
      <c r="BA310">
        <f t="shared" si="294"/>
        <v>60.9448327529823</v>
      </c>
      <c r="BB310">
        <f t="shared" si="295"/>
        <v>1.554387308471006</v>
      </c>
      <c r="BC310" s="41" t="str">
        <f t="shared" si="296"/>
        <v>-0,074460959064411+0,0321670889270382i</v>
      </c>
      <c r="BD310">
        <f t="shared" si="297"/>
        <v>-21.818298135172572</v>
      </c>
      <c r="BE310" s="43">
        <f t="shared" si="298"/>
        <v>156.63568495660317</v>
      </c>
      <c r="BF310" s="41" t="str">
        <f t="shared" si="299"/>
        <v>0,0309421846596469-0,00591785825973102i</v>
      </c>
      <c r="BG310" s="20">
        <f t="shared" si="300"/>
        <v>-30.032958108747781</v>
      </c>
      <c r="BH310" s="43">
        <f t="shared" si="301"/>
        <v>-10.827371091716531</v>
      </c>
      <c r="BI310" s="41" t="str">
        <f t="shared" si="306"/>
        <v>0,0554669959473675+0,0674154371275372i</v>
      </c>
      <c r="BJ310" s="20">
        <f t="shared" si="302"/>
        <v>-21.179636030852805</v>
      </c>
      <c r="BK310" s="43">
        <f t="shared" si="307"/>
        <v>50.553681416579089</v>
      </c>
      <c r="BL310">
        <f t="shared" si="303"/>
        <v>-30.032958108747781</v>
      </c>
      <c r="BM310" s="43">
        <f t="shared" si="304"/>
        <v>-10.827371091716531</v>
      </c>
    </row>
    <row r="311" spans="14:65" x14ac:dyDescent="0.35">
      <c r="N311" s="9">
        <v>93</v>
      </c>
      <c r="O311" s="34">
        <f t="shared" si="305"/>
        <v>8511.3803820237772</v>
      </c>
      <c r="P311" s="33" t="str">
        <f t="shared" si="257"/>
        <v>59,1053597814893</v>
      </c>
      <c r="Q311" s="4" t="str">
        <f t="shared" si="258"/>
        <v>1+410,913193725941i</v>
      </c>
      <c r="R311" s="4">
        <f t="shared" si="270"/>
        <v>410.91441052614925</v>
      </c>
      <c r="S311" s="4">
        <f t="shared" si="271"/>
        <v>1.5683627275794596</v>
      </c>
      <c r="T311" s="4" t="str">
        <f t="shared" si="259"/>
        <v>1+0,0695221542081929i</v>
      </c>
      <c r="U311" s="4">
        <f t="shared" si="272"/>
        <v>1.0024137518638438</v>
      </c>
      <c r="V311" s="4">
        <f t="shared" si="273"/>
        <v>6.9410470077331934E-2</v>
      </c>
      <c r="W311" t="str">
        <f t="shared" si="260"/>
        <v>1-2,56697184768713i</v>
      </c>
      <c r="X311" s="4">
        <f t="shared" si="274"/>
        <v>2.7548764884869659</v>
      </c>
      <c r="Y311" s="4">
        <f t="shared" si="275"/>
        <v>-1.1993186875754569</v>
      </c>
      <c r="Z311" t="str">
        <f t="shared" si="261"/>
        <v>0,998503231487448+0,240167441810121i</v>
      </c>
      <c r="AA311" s="4">
        <f t="shared" si="276"/>
        <v>1.0269805759587152</v>
      </c>
      <c r="AB311" s="4">
        <f t="shared" si="277"/>
        <v>0.23604364993636981</v>
      </c>
      <c r="AC311" s="47" t="str">
        <f t="shared" si="278"/>
        <v>-0,378499468998392-0,0795978663801885i</v>
      </c>
      <c r="AD311" s="20">
        <f t="shared" si="279"/>
        <v>-8.2507517535117589</v>
      </c>
      <c r="AE311" s="43">
        <f t="shared" si="280"/>
        <v>-168.12384205793902</v>
      </c>
      <c r="AF311" t="str">
        <f t="shared" si="262"/>
        <v>405,634542683733</v>
      </c>
      <c r="AG311" t="str">
        <f t="shared" si="263"/>
        <v>1+411,644334127458i</v>
      </c>
      <c r="AH311">
        <f t="shared" si="281"/>
        <v>411.64554876645792</v>
      </c>
      <c r="AI311">
        <f t="shared" si="282"/>
        <v>1.5683670499897384</v>
      </c>
      <c r="AJ311" t="str">
        <f t="shared" si="264"/>
        <v>1+0,0695221542081929i</v>
      </c>
      <c r="AK311">
        <f t="shared" si="283"/>
        <v>1.0024137518638438</v>
      </c>
      <c r="AL311">
        <f t="shared" si="284"/>
        <v>6.9410470077331934E-2</v>
      </c>
      <c r="AM311" t="str">
        <f t="shared" si="265"/>
        <v>1-0,374697163709395i</v>
      </c>
      <c r="AN311">
        <f t="shared" si="285"/>
        <v>1.0678941728897415</v>
      </c>
      <c r="AO311">
        <f t="shared" si="286"/>
        <v>-0.35850514353070351</v>
      </c>
      <c r="AP311" s="41" t="str">
        <f t="shared" si="287"/>
        <v>-0,298261680561187-1,01179452717753i</v>
      </c>
      <c r="AQ311">
        <f t="shared" si="288"/>
        <v>0.46373480574894033</v>
      </c>
      <c r="AR311" s="43">
        <f t="shared" si="289"/>
        <v>-106.42471736038632</v>
      </c>
      <c r="AS311" t="str">
        <f t="shared" si="266"/>
        <v>-0,0000166666666666667</v>
      </c>
      <c r="AT311" t="str">
        <f t="shared" si="267"/>
        <v>0,0118455055054729i</v>
      </c>
      <c r="AU311">
        <f t="shared" si="290"/>
        <v>1.1845505505472901E-2</v>
      </c>
      <c r="AV311">
        <f t="shared" si="291"/>
        <v>1.5707963267948966</v>
      </c>
      <c r="AW311" t="str">
        <f t="shared" si="268"/>
        <v>1+0,422275560722798i</v>
      </c>
      <c r="AX311">
        <f t="shared" si="292"/>
        <v>1.0855029475702742</v>
      </c>
      <c r="AY311">
        <f t="shared" si="293"/>
        <v>0.3995607615598068</v>
      </c>
      <c r="AZ311" t="str">
        <f t="shared" si="269"/>
        <v>1+62,356024466733i</v>
      </c>
      <c r="BA311">
        <f t="shared" si="294"/>
        <v>62.364042422663751</v>
      </c>
      <c r="BB311">
        <f t="shared" si="295"/>
        <v>1.5547607585569871</v>
      </c>
      <c r="BC311" s="41" t="str">
        <f t="shared" si="296"/>
        <v>-0,0739538018985837+0,0326358865766112i</v>
      </c>
      <c r="BD311">
        <f t="shared" si="297"/>
        <v>-21.848031961565219</v>
      </c>
      <c r="BE311" s="43">
        <f t="shared" si="298"/>
        <v>156.1880843214638</v>
      </c>
      <c r="BF311" s="41" t="str">
        <f t="shared" si="299"/>
        <v>0,0305892216879503-0,00646610089770869i</v>
      </c>
      <c r="BG311" s="20">
        <f t="shared" si="300"/>
        <v>-30.098783715076976</v>
      </c>
      <c r="BH311" s="43">
        <f t="shared" si="301"/>
        <v>-11.935757736475212</v>
      </c>
      <c r="BI311" s="41" t="str">
        <f t="shared" si="306"/>
        <v>0,0550783966659625+0,0650920176480139i</v>
      </c>
      <c r="BJ311" s="20">
        <f t="shared" si="302"/>
        <v>-21.384297155816277</v>
      </c>
      <c r="BK311" s="43">
        <f t="shared" si="307"/>
        <v>49.763366961077509</v>
      </c>
      <c r="BL311">
        <f t="shared" si="303"/>
        <v>-30.098783715076976</v>
      </c>
      <c r="BM311" s="43">
        <f t="shared" si="304"/>
        <v>-11.935757736475212</v>
      </c>
    </row>
    <row r="312" spans="14:65" x14ac:dyDescent="0.35">
      <c r="N312" s="9">
        <v>94</v>
      </c>
      <c r="O312" s="34">
        <f t="shared" si="305"/>
        <v>8709.6358995608189</v>
      </c>
      <c r="P312" s="33" t="str">
        <f t="shared" si="257"/>
        <v>59,1053597814893</v>
      </c>
      <c r="Q312" s="4" t="str">
        <f t="shared" si="258"/>
        <v>1+420,484591575459i</v>
      </c>
      <c r="R312" s="4">
        <f t="shared" si="270"/>
        <v>420.48578067799212</v>
      </c>
      <c r="S312" s="4">
        <f t="shared" si="271"/>
        <v>1.5684181228493779</v>
      </c>
      <c r="T312" s="4" t="str">
        <f t="shared" si="259"/>
        <v>1+0,0711415332095057i</v>
      </c>
      <c r="U312" s="4">
        <f t="shared" si="272"/>
        <v>1.0025273650865592</v>
      </c>
      <c r="V312" s="4">
        <f t="shared" si="273"/>
        <v>7.1021877795195351E-2</v>
      </c>
      <c r="W312" t="str">
        <f t="shared" si="260"/>
        <v>1-2,62676430312022i</v>
      </c>
      <c r="X312" s="4">
        <f t="shared" si="274"/>
        <v>2.8106744215840185</v>
      </c>
      <c r="Y312" s="4">
        <f t="shared" si="275"/>
        <v>-1.2070408339734187</v>
      </c>
      <c r="Z312" t="str">
        <f t="shared" si="261"/>
        <v>0,998432690960684+0,245761660178292i</v>
      </c>
      <c r="AA312" s="4">
        <f t="shared" si="276"/>
        <v>1.0282347163914389</v>
      </c>
      <c r="AB312" s="4">
        <f t="shared" si="277"/>
        <v>0.24134945916608633</v>
      </c>
      <c r="AC312" s="47" t="str">
        <f t="shared" si="278"/>
        <v>-0,377842566923971-0,074944129180502i</v>
      </c>
      <c r="AD312" s="20">
        <f t="shared" si="279"/>
        <v>-8.2861986863251449</v>
      </c>
      <c r="AE312" s="43">
        <f t="shared" si="280"/>
        <v>-168.78113598495156</v>
      </c>
      <c r="AF312" t="str">
        <f t="shared" si="262"/>
        <v>405,634542683733</v>
      </c>
      <c r="AG312" t="str">
        <f t="shared" si="263"/>
        <v>1+421,232762424705i</v>
      </c>
      <c r="AH312">
        <f t="shared" si="281"/>
        <v>421.23394941522457</v>
      </c>
      <c r="AI312">
        <f t="shared" si="282"/>
        <v>1.5684223468707104</v>
      </c>
      <c r="AJ312" t="str">
        <f t="shared" si="264"/>
        <v>1+0,0711415332095057i</v>
      </c>
      <c r="AK312">
        <f t="shared" si="283"/>
        <v>1.0025273650865592</v>
      </c>
      <c r="AL312">
        <f t="shared" si="284"/>
        <v>7.1021877795195351E-2</v>
      </c>
      <c r="AM312" t="str">
        <f t="shared" si="265"/>
        <v>1-0,383424981851298i</v>
      </c>
      <c r="AN312">
        <f t="shared" si="285"/>
        <v>1.0709877294851087</v>
      </c>
      <c r="AO312">
        <f t="shared" si="286"/>
        <v>-0.36613642007558173</v>
      </c>
      <c r="AP312" s="41" t="str">
        <f t="shared" si="287"/>
        <v>-0,298369498612269-0,989945753791744i</v>
      </c>
      <c r="AQ312">
        <f t="shared" si="288"/>
        <v>0.28984592582187418</v>
      </c>
      <c r="AR312" s="43">
        <f t="shared" si="289"/>
        <v>-106.77279871529653</v>
      </c>
      <c r="AS312" t="str">
        <f t="shared" si="266"/>
        <v>-0,0000166666666666667</v>
      </c>
      <c r="AT312" t="str">
        <f t="shared" si="267"/>
        <v>0,0121214227737735i</v>
      </c>
      <c r="AU312">
        <f t="shared" si="290"/>
        <v>1.21214227737735E-2</v>
      </c>
      <c r="AV312">
        <f t="shared" si="291"/>
        <v>1.5707963267948966</v>
      </c>
      <c r="AW312" t="str">
        <f t="shared" si="268"/>
        <v>1+0,432111622099065i</v>
      </c>
      <c r="AX312">
        <f t="shared" si="292"/>
        <v>1.0893669969083353</v>
      </c>
      <c r="AY312">
        <f t="shared" si="293"/>
        <v>0.40787880180348679</v>
      </c>
      <c r="AZ312" t="str">
        <f t="shared" si="269"/>
        <v>1+63,8084828632951i</v>
      </c>
      <c r="BA312">
        <f t="shared" si="294"/>
        <v>63.816318330936511</v>
      </c>
      <c r="BB312">
        <f t="shared" si="295"/>
        <v>1.5551257122036009</v>
      </c>
      <c r="BC312" s="41" t="str">
        <f t="shared" si="296"/>
        <v>-0,0734300953162667+0,0331049737025162i</v>
      </c>
      <c r="BD312">
        <f t="shared" si="297"/>
        <v>-21.878946355740027</v>
      </c>
      <c r="BE312" s="43">
        <f t="shared" si="298"/>
        <v>155.73240602534992</v>
      </c>
      <c r="BF312" s="41" t="str">
        <f t="shared" si="299"/>
        <v>0,0302260391294486-0,00700531369259041i</v>
      </c>
      <c r="BG312" s="20">
        <f t="shared" si="300"/>
        <v>-30.165145042065159</v>
      </c>
      <c r="BH312" s="43">
        <f t="shared" si="301"/>
        <v>-13.048729959601634</v>
      </c>
      <c r="BI312" s="41" t="str">
        <f t="shared" si="306"/>
        <v>0,0546814288687589+0,0628142966536691i</v>
      </c>
      <c r="BJ312" s="20">
        <f t="shared" si="302"/>
        <v>-21.589100429918151</v>
      </c>
      <c r="BK312" s="43">
        <f t="shared" si="307"/>
        <v>48.959607310053364</v>
      </c>
      <c r="BL312">
        <f t="shared" si="303"/>
        <v>-30.165145042065159</v>
      </c>
      <c r="BM312" s="43">
        <f t="shared" si="304"/>
        <v>-13.048729959601634</v>
      </c>
    </row>
    <row r="313" spans="14:65" x14ac:dyDescent="0.35">
      <c r="N313" s="9">
        <v>95</v>
      </c>
      <c r="O313" s="34">
        <f t="shared" si="305"/>
        <v>8912.5093813374679</v>
      </c>
      <c r="P313" s="33" t="str">
        <f t="shared" si="257"/>
        <v>59,1053597814893</v>
      </c>
      <c r="Q313" s="4" t="str">
        <f t="shared" si="258"/>
        <v>1+430,278935921202i</v>
      </c>
      <c r="R313" s="4">
        <f t="shared" si="270"/>
        <v>430.28009795653088</v>
      </c>
      <c r="S313" s="4">
        <f t="shared" si="271"/>
        <v>1.5684722571831105</v>
      </c>
      <c r="T313" s="4" t="str">
        <f t="shared" si="259"/>
        <v>1+0,0727986323933958i</v>
      </c>
      <c r="U313" s="4">
        <f t="shared" si="272"/>
        <v>1.0026463189372157</v>
      </c>
      <c r="V313" s="4">
        <f t="shared" si="273"/>
        <v>7.2670437576359589E-2</v>
      </c>
      <c r="W313" t="str">
        <f t="shared" si="260"/>
        <v>1-2,68794950375615i</v>
      </c>
      <c r="X313" s="4">
        <f t="shared" si="274"/>
        <v>2.8679387257650624</v>
      </c>
      <c r="Y313" s="4">
        <f t="shared" si="275"/>
        <v>-1.2146313298585383</v>
      </c>
      <c r="Z313" t="str">
        <f t="shared" si="261"/>
        <v>0,998358825961313+0,251486184631731i</v>
      </c>
      <c r="AA313" s="4">
        <f t="shared" si="276"/>
        <v>1.0295463303977517</v>
      </c>
      <c r="AB313" s="4">
        <f t="shared" si="277"/>
        <v>0.2467657172598651</v>
      </c>
      <c r="AC313" s="47" t="str">
        <f t="shared" si="278"/>
        <v>-0,377156747840157-0,0703444360309548i</v>
      </c>
      <c r="AD313" s="20">
        <f t="shared" si="279"/>
        <v>-8.3210531308350753</v>
      </c>
      <c r="AE313" s="43">
        <f t="shared" si="280"/>
        <v>-169.43501424422141</v>
      </c>
      <c r="AF313" t="str">
        <f t="shared" si="262"/>
        <v>405,634542683733</v>
      </c>
      <c r="AG313" t="str">
        <f t="shared" si="263"/>
        <v>1+431,044533908264i</v>
      </c>
      <c r="AH313">
        <f t="shared" si="281"/>
        <v>431.04569387965415</v>
      </c>
      <c r="AI313">
        <f t="shared" si="282"/>
        <v>1.5684763850550276</v>
      </c>
      <c r="AJ313" t="str">
        <f t="shared" si="264"/>
        <v>1+0,0727986323933958i</v>
      </c>
      <c r="AK313">
        <f t="shared" si="283"/>
        <v>1.0026463189372157</v>
      </c>
      <c r="AL313">
        <f t="shared" si="284"/>
        <v>7.2670437576359589E-2</v>
      </c>
      <c r="AM313" t="str">
        <f t="shared" si="265"/>
        <v>1-0,392356096993809i</v>
      </c>
      <c r="AN313">
        <f t="shared" si="285"/>
        <v>1.0742175323686609</v>
      </c>
      <c r="AO313">
        <f t="shared" si="286"/>
        <v>-0.37389948680546559</v>
      </c>
      <c r="AP313" s="41" t="str">
        <f t="shared" si="287"/>
        <v>-0,29847246410516-0,968621839702068i</v>
      </c>
      <c r="AQ313">
        <f t="shared" si="288"/>
        <v>0.11703240514798516</v>
      </c>
      <c r="AR313" s="43">
        <f t="shared" si="289"/>
        <v>-107.12623031715555</v>
      </c>
      <c r="AS313" t="str">
        <f t="shared" si="266"/>
        <v>-0,0000166666666666667</v>
      </c>
      <c r="AT313" t="str">
        <f t="shared" si="267"/>
        <v>0,0124037669808747i</v>
      </c>
      <c r="AU313">
        <f t="shared" si="290"/>
        <v>1.2403766980874699E-2</v>
      </c>
      <c r="AV313">
        <f t="shared" si="291"/>
        <v>1.5707963267948966</v>
      </c>
      <c r="AW313" t="str">
        <f t="shared" si="268"/>
        <v>1+0,442176794777042i</v>
      </c>
      <c r="AX313">
        <f t="shared" si="292"/>
        <v>1.0933985173939547</v>
      </c>
      <c r="AY313">
        <f t="shared" si="293"/>
        <v>0.41632913248337267</v>
      </c>
      <c r="AZ313" t="str">
        <f t="shared" si="269"/>
        <v>1+65,2947733620765i</v>
      </c>
      <c r="BA313">
        <f t="shared" si="294"/>
        <v>65.30243049385632</v>
      </c>
      <c r="BB313">
        <f t="shared" si="295"/>
        <v>1.5554823625250094</v>
      </c>
      <c r="BC313" s="41" t="str">
        <f t="shared" si="296"/>
        <v>-0,0728895985682882+0,0335737668947681i</v>
      </c>
      <c r="BD313">
        <f t="shared" si="297"/>
        <v>-21.911079687402967</v>
      </c>
      <c r="BE313" s="43">
        <f t="shared" si="298"/>
        <v>155.26867230008122</v>
      </c>
      <c r="BF313" s="41" t="str">
        <f t="shared" si="299"/>
        <v>0,0298525316450373-0,00753519503096534i</v>
      </c>
      <c r="BG313" s="20">
        <f t="shared" si="300"/>
        <v>-30.23213281823805</v>
      </c>
      <c r="BH313" s="43">
        <f t="shared" si="301"/>
        <v>-14.166341944140225</v>
      </c>
      <c r="BI313" s="41" t="str">
        <f t="shared" si="306"/>
        <v>0,0542758219476516+0,0605816121259869i</v>
      </c>
      <c r="BJ313" s="20">
        <f t="shared" si="302"/>
        <v>-21.794047282254976</v>
      </c>
      <c r="BK313" s="43">
        <f t="shared" si="307"/>
        <v>48.142441982925668</v>
      </c>
      <c r="BL313">
        <f t="shared" si="303"/>
        <v>-30.23213281823805</v>
      </c>
      <c r="BM313" s="43">
        <f t="shared" si="304"/>
        <v>-14.166341944140225</v>
      </c>
    </row>
    <row r="314" spans="14:65" x14ac:dyDescent="0.35">
      <c r="N314" s="9">
        <v>96</v>
      </c>
      <c r="O314" s="34">
        <f t="shared" si="305"/>
        <v>9120.1083935591087</v>
      </c>
      <c r="P314" s="33" t="str">
        <f t="shared" si="257"/>
        <v>59,1053597814893</v>
      </c>
      <c r="Q314" s="4" t="str">
        <f t="shared" si="258"/>
        <v>1+440,301419854186i</v>
      </c>
      <c r="R314" s="4">
        <f t="shared" si="270"/>
        <v>440.30255543843049</v>
      </c>
      <c r="S314" s="4">
        <f t="shared" si="271"/>
        <v>1.5685251592821279</v>
      </c>
      <c r="T314" s="4" t="str">
        <f t="shared" si="259"/>
        <v>1+0,0744943303757846i</v>
      </c>
      <c r="U314" s="4">
        <f t="shared" si="272"/>
        <v>1.002770863786008</v>
      </c>
      <c r="V314" s="4">
        <f t="shared" si="273"/>
        <v>7.4356987645959091E-2</v>
      </c>
      <c r="W314" t="str">
        <f t="shared" si="260"/>
        <v>1-2,7505598907982i</v>
      </c>
      <c r="X314" s="4">
        <f t="shared" si="274"/>
        <v>2.9267011656244999</v>
      </c>
      <c r="Y314" s="4">
        <f t="shared" si="275"/>
        <v>-1.2220907001612415</v>
      </c>
      <c r="Z314" t="str">
        <f t="shared" si="261"/>
        <v>0,998281479811771+0,257344050389074i</v>
      </c>
      <c r="AA314" s="4">
        <f t="shared" si="276"/>
        <v>1.0309179759834599</v>
      </c>
      <c r="AB314" s="4">
        <f t="shared" si="277"/>
        <v>0.25229412877558183</v>
      </c>
      <c r="AC314" s="47" t="str">
        <f t="shared" si="278"/>
        <v>-0,376441023402989-0,0657972550401253i</v>
      </c>
      <c r="AD314" s="20">
        <f t="shared" si="279"/>
        <v>-8.3553673182569028</v>
      </c>
      <c r="AE314" s="43">
        <f t="shared" si="280"/>
        <v>-170.08555819372916</v>
      </c>
      <c r="AF314" t="str">
        <f t="shared" si="262"/>
        <v>405,634542683733</v>
      </c>
      <c r="AG314" t="str">
        <f t="shared" si="263"/>
        <v>1+441,08485090925i</v>
      </c>
      <c r="AH314">
        <f t="shared" si="281"/>
        <v>441.0859844765364</v>
      </c>
      <c r="AI314">
        <f t="shared" si="282"/>
        <v>1.5685291931931877</v>
      </c>
      <c r="AJ314" t="str">
        <f t="shared" si="264"/>
        <v>1+0,0744943303757846i</v>
      </c>
      <c r="AK314">
        <f t="shared" si="283"/>
        <v>1.002770863786008</v>
      </c>
      <c r="AL314">
        <f t="shared" si="284"/>
        <v>7.4356987645959091E-2</v>
      </c>
      <c r="AM314" t="str">
        <f t="shared" si="265"/>
        <v>1-0,401495244532392i</v>
      </c>
      <c r="AN314">
        <f t="shared" si="285"/>
        <v>1.0775891756054927</v>
      </c>
      <c r="AO314">
        <f t="shared" si="286"/>
        <v>-0.38179471603686599</v>
      </c>
      <c r="AP314" s="41" t="str">
        <f t="shared" si="287"/>
        <v>-0,298570795436246-0,947811480225203i</v>
      </c>
      <c r="AQ314">
        <f t="shared" si="288"/>
        <v>-5.4668002203402899E-2</v>
      </c>
      <c r="AR314" s="43">
        <f t="shared" si="289"/>
        <v>-107.48498711291805</v>
      </c>
      <c r="AS314" t="str">
        <f t="shared" si="266"/>
        <v>-0,0000166666666666667</v>
      </c>
      <c r="AT314" t="str">
        <f t="shared" si="267"/>
        <v>0,0126926878294125i</v>
      </c>
      <c r="AU314">
        <f t="shared" si="290"/>
        <v>1.26926878294125E-2</v>
      </c>
      <c r="AV314">
        <f t="shared" si="291"/>
        <v>1.5707963267948966</v>
      </c>
      <c r="AW314" t="str">
        <f t="shared" si="268"/>
        <v>1+0,452476415444513i</v>
      </c>
      <c r="AX314">
        <f t="shared" si="292"/>
        <v>1.0976041665981027</v>
      </c>
      <c r="AY314">
        <f t="shared" si="293"/>
        <v>0.4249114056520929</v>
      </c>
      <c r="AZ314" t="str">
        <f t="shared" si="269"/>
        <v>1+66,8156840139729i</v>
      </c>
      <c r="BA314">
        <f t="shared" si="294"/>
        <v>66.823166867898991</v>
      </c>
      <c r="BB314">
        <f t="shared" si="295"/>
        <v>1.5558308982587996</v>
      </c>
      <c r="BC314" s="41" t="str">
        <f t="shared" si="296"/>
        <v>-0,0723320919606095+0,0340416576777082i</v>
      </c>
      <c r="BD314">
        <f t="shared" si="297"/>
        <v>-21.944470850256138</v>
      </c>
      <c r="BE314" s="43">
        <f t="shared" si="298"/>
        <v>154.79691389544084</v>
      </c>
      <c r="BF314" s="41" t="str">
        <f t="shared" si="299"/>
        <v>0,0294686143547398-0,00805542335221267i</v>
      </c>
      <c r="BG314" s="20">
        <f t="shared" si="300"/>
        <v>-30.29983816851303</v>
      </c>
      <c r="BH314" s="43">
        <f t="shared" si="301"/>
        <v>-15.288644298288293</v>
      </c>
      <c r="BI314" s="41" t="str">
        <f t="shared" si="306"/>
        <v>0,0538613241850751+0,0583933423381691i</v>
      </c>
      <c r="BJ314" s="20">
        <f t="shared" si="302"/>
        <v>-21.999138852459545</v>
      </c>
      <c r="BK314" s="43">
        <f t="shared" si="307"/>
        <v>47.311926782522818</v>
      </c>
      <c r="BL314">
        <f t="shared" si="303"/>
        <v>-30.29983816851303</v>
      </c>
      <c r="BM314" s="43">
        <f t="shared" si="304"/>
        <v>-15.288644298288293</v>
      </c>
    </row>
    <row r="315" spans="14:65" x14ac:dyDescent="0.35">
      <c r="N315" s="9">
        <v>97</v>
      </c>
      <c r="O315" s="34">
        <f t="shared" si="305"/>
        <v>9332.5430079699217</v>
      </c>
      <c r="P315" s="33" t="str">
        <f t="shared" si="257"/>
        <v>59,1053597814893</v>
      </c>
      <c r="Q315" s="4" t="str">
        <f t="shared" si="258"/>
        <v>1+450,557357428055i</v>
      </c>
      <c r="R315" s="4">
        <f t="shared" si="270"/>
        <v>450.5584671633107</v>
      </c>
      <c r="S315" s="4">
        <f t="shared" si="271"/>
        <v>1.5685768571946381</v>
      </c>
      <c r="T315" s="4" t="str">
        <f t="shared" si="259"/>
        <v>1+0,0762295262381877i</v>
      </c>
      <c r="U315" s="4">
        <f t="shared" si="272"/>
        <v>1.0029012616755941</v>
      </c>
      <c r="V315" s="4">
        <f t="shared" si="273"/>
        <v>7.6082383835188713E-2</v>
      </c>
      <c r="W315" t="str">
        <f t="shared" si="260"/>
        <v>1-2,81462866110232i</v>
      </c>
      <c r="X315" s="4">
        <f t="shared" si="274"/>
        <v>2.9869942249523413</v>
      </c>
      <c r="Y315" s="4">
        <f t="shared" si="275"/>
        <v>-1.229419578508643</v>
      </c>
      <c r="Z315" t="str">
        <f t="shared" si="261"/>
        <v>0,998200488450504+0,263338363368285i</v>
      </c>
      <c r="AA315" s="4">
        <f t="shared" si="276"/>
        <v>1.0323523181377141</v>
      </c>
      <c r="AB315" s="4">
        <f t="shared" si="277"/>
        <v>0.25793638399698476</v>
      </c>
      <c r="AC315" s="47" t="str">
        <f t="shared" si="278"/>
        <v>-0,375694381526362-0,0613011340961092i</v>
      </c>
      <c r="AD315" s="20">
        <f t="shared" si="279"/>
        <v>-8.389193341134936</v>
      </c>
      <c r="AE315" s="43">
        <f t="shared" si="280"/>
        <v>-170.73285355528779</v>
      </c>
      <c r="AF315" t="str">
        <f t="shared" si="262"/>
        <v>405,634542683733</v>
      </c>
      <c r="AG315" t="str">
        <f t="shared" si="263"/>
        <v>1+451,359036936637i</v>
      </c>
      <c r="AH315">
        <f t="shared" si="281"/>
        <v>451.36014470084581</v>
      </c>
      <c r="AI315">
        <f t="shared" si="282"/>
        <v>1.5685807992835854</v>
      </c>
      <c r="AJ315" t="str">
        <f t="shared" si="264"/>
        <v>1+0,0762295262381877i</v>
      </c>
      <c r="AK315">
        <f t="shared" si="283"/>
        <v>1.0029012616755941</v>
      </c>
      <c r="AL315">
        <f t="shared" si="284"/>
        <v>7.6082383835188713E-2</v>
      </c>
      <c r="AM315" t="str">
        <f t="shared" si="265"/>
        <v>1-0,410847270164045i</v>
      </c>
      <c r="AN315">
        <f t="shared" si="285"/>
        <v>1.0811084494171932</v>
      </c>
      <c r="AO315">
        <f t="shared" si="286"/>
        <v>-0.38982235572027513</v>
      </c>
      <c r="AP315" s="41" t="str">
        <f t="shared" si="287"/>
        <v>-0,298664701172879-0,927503642868634i</v>
      </c>
      <c r="AQ315">
        <f t="shared" si="288"/>
        <v>-0.22521675193700946</v>
      </c>
      <c r="AR315" s="43">
        <f t="shared" si="289"/>
        <v>-107.84903587777531</v>
      </c>
      <c r="AS315" t="str">
        <f t="shared" si="266"/>
        <v>-0,0000166666666666667</v>
      </c>
      <c r="AT315" t="str">
        <f t="shared" si="267"/>
        <v>0,0129883385090451i</v>
      </c>
      <c r="AU315">
        <f t="shared" si="290"/>
        <v>1.29883385090451E-2</v>
      </c>
      <c r="AV315">
        <f t="shared" si="291"/>
        <v>1.5707963267948966</v>
      </c>
      <c r="AW315" t="str">
        <f t="shared" si="268"/>
        <v>1+0,463015945096685i</v>
      </c>
      <c r="AX315">
        <f t="shared" si="292"/>
        <v>1.1019908191150125</v>
      </c>
      <c r="AY315">
        <f t="shared" si="293"/>
        <v>0.43362511365556933</v>
      </c>
      <c r="AZ315" t="str">
        <f t="shared" si="269"/>
        <v>1+68,3720212259437i</v>
      </c>
      <c r="BA315">
        <f t="shared" si="294"/>
        <v>68.379333767746644</v>
      </c>
      <c r="BB315">
        <f t="shared" si="295"/>
        <v>1.5561715038643238</v>
      </c>
      <c r="BC315" s="41" t="str">
        <f t="shared" si="296"/>
        <v>-0,0717573789516583+0,0345080129959951i</v>
      </c>
      <c r="BD315">
        <f t="shared" si="297"/>
        <v>-21.979159211489542</v>
      </c>
      <c r="BE315" s="43">
        <f t="shared" si="298"/>
        <v>154.31717046660725</v>
      </c>
      <c r="BF315" s="41" t="str">
        <f t="shared" si="299"/>
        <v>0,0290742244372538-0,00856565789073311i</v>
      </c>
      <c r="BG315" s="20">
        <f t="shared" si="300"/>
        <v>-30.368352552624486</v>
      </c>
      <c r="BH315" s="43">
        <f t="shared" si="301"/>
        <v>-16.415683088680559</v>
      </c>
      <c r="BI315" s="41" t="str">
        <f t="shared" si="306"/>
        <v>0,0534377039034897+0,0562489049908494i</v>
      </c>
      <c r="BJ315" s="20">
        <f t="shared" si="302"/>
        <v>-22.20437596342655</v>
      </c>
      <c r="BK315" s="43">
        <f t="shared" si="307"/>
        <v>46.468134588831923</v>
      </c>
      <c r="BL315">
        <f t="shared" si="303"/>
        <v>-30.368352552624486</v>
      </c>
      <c r="BM315" s="43">
        <f t="shared" si="304"/>
        <v>-16.415683088680559</v>
      </c>
    </row>
    <row r="316" spans="14:65" x14ac:dyDescent="0.35">
      <c r="N316" s="9">
        <v>98</v>
      </c>
      <c r="O316" s="34">
        <f t="shared" si="305"/>
        <v>9549.9258602143691</v>
      </c>
      <c r="P316" s="33" t="str">
        <f t="shared" si="257"/>
        <v>59,1053597814893</v>
      </c>
      <c r="Q316" s="4" t="str">
        <f t="shared" si="258"/>
        <v>1+461,052186476663i</v>
      </c>
      <c r="R316" s="4">
        <f t="shared" si="270"/>
        <v>461.05327095132031</v>
      </c>
      <c r="S316" s="4">
        <f t="shared" si="271"/>
        <v>1.5686273783304527</v>
      </c>
      <c r="T316" s="4" t="str">
        <f t="shared" si="259"/>
        <v>1+0,0780051400044193i</v>
      </c>
      <c r="U316" s="4">
        <f t="shared" si="272"/>
        <v>1.0030377868590541</v>
      </c>
      <c r="V316" s="4">
        <f t="shared" si="273"/>
        <v>7.7847499857025645E-2</v>
      </c>
      <c r="W316" t="str">
        <f t="shared" si="260"/>
        <v>1-2,88018978477856i</v>
      </c>
      <c r="X316" s="4">
        <f t="shared" si="274"/>
        <v>3.0488511272843035</v>
      </c>
      <c r="Y316" s="4">
        <f t="shared" si="275"/>
        <v>-1.2366187005895615</v>
      </c>
      <c r="Z316" t="str">
        <f t="shared" si="261"/>
        <v>0,998115680083975+0,269472301833448i</v>
      </c>
      <c r="AA316" s="4">
        <f t="shared" si="276"/>
        <v>1.0338521326983432</v>
      </c>
      <c r="AB316" s="4">
        <f t="shared" si="277"/>
        <v>0.26369415562858595</v>
      </c>
      <c r="AC316" s="47" t="str">
        <f t="shared" si="278"/>
        <v>-0,374915787359418-0,0568547024564159i</v>
      </c>
      <c r="AD316" s="20">
        <f t="shared" si="279"/>
        <v>-8.4225831452145368</v>
      </c>
      <c r="AE316" s="43">
        <f t="shared" si="280"/>
        <v>-171.3769898300709</v>
      </c>
      <c r="AF316" t="str">
        <f t="shared" si="262"/>
        <v>405,634542683733</v>
      </c>
      <c r="AG316" t="str">
        <f t="shared" si="263"/>
        <v>1+461,872539499851i</v>
      </c>
      <c r="AH316">
        <f t="shared" si="281"/>
        <v>461.8736220483276</v>
      </c>
      <c r="AI316">
        <f t="shared" si="282"/>
        <v>1.5686312306873529</v>
      </c>
      <c r="AJ316" t="str">
        <f t="shared" si="264"/>
        <v>1+0,0780051400044193i</v>
      </c>
      <c r="AK316">
        <f t="shared" si="283"/>
        <v>1.0030377868590541</v>
      </c>
      <c r="AL316">
        <f t="shared" si="284"/>
        <v>7.7847499857025645E-2</v>
      </c>
      <c r="AM316" t="str">
        <f t="shared" si="265"/>
        <v>1-0,420417132456545i</v>
      </c>
      <c r="AN316">
        <f t="shared" si="285"/>
        <v>1.0847813444482644</v>
      </c>
      <c r="AO316">
        <f t="shared" si="286"/>
        <v>-0.39798252257175276</v>
      </c>
      <c r="AP316" s="41" t="str">
        <f t="shared" si="287"/>
        <v>-0,298754380495705-0,907687561487916i</v>
      </c>
      <c r="AQ316">
        <f t="shared" si="288"/>
        <v>-0.39457453671894771</v>
      </c>
      <c r="AR316" s="43">
        <f t="shared" si="289"/>
        <v>-108.21833480667614</v>
      </c>
      <c r="AS316" t="str">
        <f t="shared" si="266"/>
        <v>-0,0000166666666666667</v>
      </c>
      <c r="AT316" t="str">
        <f t="shared" si="267"/>
        <v>0,0132908757776761i</v>
      </c>
      <c r="AU316">
        <f t="shared" si="290"/>
        <v>1.3290875777676099E-2</v>
      </c>
      <c r="AV316">
        <f t="shared" si="291"/>
        <v>1.5707963267948966</v>
      </c>
      <c r="AW316" t="str">
        <f t="shared" si="268"/>
        <v>1+0,473800971931688i</v>
      </c>
      <c r="AX316">
        <f t="shared" si="292"/>
        <v>1.1065655701328376</v>
      </c>
      <c r="AY316">
        <f t="shared" si="293"/>
        <v>0.44246958262208841</v>
      </c>
      <c r="AZ316" t="str">
        <f t="shared" si="269"/>
        <v>1+69,9646101885792i</v>
      </c>
      <c r="BA316">
        <f t="shared" si="294"/>
        <v>69.971756293806436</v>
      </c>
      <c r="BB316">
        <f t="shared" si="295"/>
        <v>1.5565043596188859</v>
      </c>
      <c r="BC316" s="41" t="str">
        <f t="shared" si="296"/>
        <v>-0,0711652882853197+0,0349721758685566i</v>
      </c>
      <c r="BD316">
        <f t="shared" si="297"/>
        <v>-22.01518455640667</v>
      </c>
      <c r="BE316" s="43">
        <f t="shared" si="298"/>
        <v>153.82949095271434</v>
      </c>
      <c r="BF316" s="41" t="str">
        <f t="shared" si="299"/>
        <v>0,0286693227434108-0,00906553956074502i</v>
      </c>
      <c r="BG316" s="20">
        <f t="shared" si="300"/>
        <v>-30.437767701621215</v>
      </c>
      <c r="BH316" s="43">
        <f t="shared" si="301"/>
        <v>-17.547498877356556</v>
      </c>
      <c r="BI316" s="41" t="str">
        <f t="shared" si="306"/>
        <v>0,0530047506485356+0,0541477562500889i</v>
      </c>
      <c r="BJ316" s="20">
        <f t="shared" si="302"/>
        <v>-22.409759093125622</v>
      </c>
      <c r="BK316" s="43">
        <f t="shared" si="307"/>
        <v>45.611156146038184</v>
      </c>
      <c r="BL316">
        <f t="shared" si="303"/>
        <v>-30.437767701621215</v>
      </c>
      <c r="BM316" s="43">
        <f t="shared" si="304"/>
        <v>-17.547498877356556</v>
      </c>
    </row>
    <row r="317" spans="14:65" x14ac:dyDescent="0.35">
      <c r="N317" s="9">
        <v>99</v>
      </c>
      <c r="O317" s="34">
        <f t="shared" si="305"/>
        <v>9772.3722095581161</v>
      </c>
      <c r="P317" s="33" t="str">
        <f t="shared" si="257"/>
        <v>59,1053597814893</v>
      </c>
      <c r="Q317" s="4" t="str">
        <f t="shared" si="258"/>
        <v>1+471,791471497289i</v>
      </c>
      <c r="R317" s="4">
        <f t="shared" si="270"/>
        <v>471.79253128634554</v>
      </c>
      <c r="S317" s="4">
        <f t="shared" si="271"/>
        <v>1.5686767494755145</v>
      </c>
      <c r="T317" s="4" t="str">
        <f t="shared" si="259"/>
        <v>1+0,0798221131284014i</v>
      </c>
      <c r="U317" s="4">
        <f t="shared" si="272"/>
        <v>1.0031807263620465</v>
      </c>
      <c r="V317" s="4">
        <f t="shared" si="273"/>
        <v>7.9653227579107241E-2</v>
      </c>
      <c r="W317" t="str">
        <f t="shared" si="260"/>
        <v>1-2,94727802320252i</v>
      </c>
      <c r="X317" s="4">
        <f t="shared" si="274"/>
        <v>3.112305856764813</v>
      </c>
      <c r="Y317" s="4">
        <f t="shared" si="275"/>
        <v>-1.2436888976411238</v>
      </c>
      <c r="Z317" t="str">
        <f t="shared" si="261"/>
        <v>0,99802687482227+0,275749118079932i</v>
      </c>
      <c r="AA317" s="4">
        <f t="shared" si="276"/>
        <v>1.0354203103036792</v>
      </c>
      <c r="AB317" s="4">
        <f t="shared" si="277"/>
        <v>0.2695690952932101</v>
      </c>
      <c r="AC317" s="47" t="str">
        <f t="shared" si="278"/>
        <v>-0,374104184427362-0,0524566724175219i</v>
      </c>
      <c r="AD317" s="20">
        <f t="shared" si="279"/>
        <v>-8.4555885239325441</v>
      </c>
      <c r="AE317" s="43">
        <f t="shared" si="280"/>
        <v>-172.01805970994505</v>
      </c>
      <c r="AF317" t="str">
        <f t="shared" si="262"/>
        <v>405,634542683733</v>
      </c>
      <c r="AG317" t="str">
        <f t="shared" si="263"/>
        <v>1+472,630932997113i</v>
      </c>
      <c r="AH317">
        <f t="shared" si="281"/>
        <v>472.63199090383364</v>
      </c>
      <c r="AI317">
        <f t="shared" si="282"/>
        <v>1.5686805141428615</v>
      </c>
      <c r="AJ317" t="str">
        <f t="shared" si="264"/>
        <v>1+0,0798221131284014i</v>
      </c>
      <c r="AK317">
        <f t="shared" si="283"/>
        <v>1.0031807263620465</v>
      </c>
      <c r="AL317">
        <f t="shared" si="284"/>
        <v>7.9653227579107241E-2</v>
      </c>
      <c r="AM317" t="str">
        <f t="shared" si="265"/>
        <v>1-0,430209905477552i</v>
      </c>
      <c r="AN317">
        <f t="shared" si="285"/>
        <v>1.0886140559312121</v>
      </c>
      <c r="AO317">
        <f t="shared" si="286"/>
        <v>-0.40627519519591432</v>
      </c>
      <c r="AP317" s="41" t="str">
        <f t="shared" si="287"/>
        <v>-0,298840023621112-0,888352730584711i</v>
      </c>
      <c r="AQ317">
        <f t="shared" si="288"/>
        <v>-0.56270131748562913</v>
      </c>
      <c r="AR317" s="43">
        <f t="shared" si="289"/>
        <v>-108.59283310549966</v>
      </c>
      <c r="AS317" t="str">
        <f t="shared" si="266"/>
        <v>-0,0000166666666666667</v>
      </c>
      <c r="AT317" t="str">
        <f t="shared" si="267"/>
        <v>0,0136004600445699i</v>
      </c>
      <c r="AU317">
        <f t="shared" si="290"/>
        <v>1.36004600445699E-2</v>
      </c>
      <c r="AV317">
        <f t="shared" si="291"/>
        <v>1.5707963267948966</v>
      </c>
      <c r="AW317" t="str">
        <f t="shared" si="268"/>
        <v>1+0,484837214313507i</v>
      </c>
      <c r="AX317">
        <f t="shared" si="292"/>
        <v>1.1113357388221083</v>
      </c>
      <c r="AY317">
        <f t="shared" si="293"/>
        <v>0.45144396614965887</v>
      </c>
      <c r="AZ317" t="str">
        <f t="shared" si="269"/>
        <v>1+71,5942953136278i</v>
      </c>
      <c r="BA317">
        <f t="shared" si="294"/>
        <v>71.601278769690595</v>
      </c>
      <c r="BB317">
        <f t="shared" si="295"/>
        <v>1.5568296417118186</v>
      </c>
      <c r="BC317" s="41" t="str">
        <f t="shared" si="296"/>
        <v>-0,0705556761467938+0,0354334662200782i</v>
      </c>
      <c r="BD317">
        <f t="shared" si="297"/>
        <v>-22.052587028116577</v>
      </c>
      <c r="BE317" s="43">
        <f t="shared" si="298"/>
        <v>153.33393394392911</v>
      </c>
      <c r="BF317" s="41" t="str">
        <f t="shared" si="299"/>
        <v>0,0282538954117413-0,00955469199086771i</v>
      </c>
      <c r="BG317" s="20">
        <f t="shared" si="300"/>
        <v>-30.508175552049135</v>
      </c>
      <c r="BH317" s="43">
        <f t="shared" si="301"/>
        <v>-18.684125766015981</v>
      </c>
      <c r="BI317" s="41" t="str">
        <f t="shared" si="306"/>
        <v>0,052562276396999+0,0520893896810688i</v>
      </c>
      <c r="BJ317" s="20">
        <f t="shared" si="302"/>
        <v>-22.615288345602202</v>
      </c>
      <c r="BK317" s="43">
        <f t="shared" si="307"/>
        <v>44.741100838429404</v>
      </c>
      <c r="BL317">
        <f t="shared" si="303"/>
        <v>-30.508175552049135</v>
      </c>
      <c r="BM317" s="43">
        <f t="shared" si="304"/>
        <v>-18.684125766015981</v>
      </c>
    </row>
    <row r="318" spans="14:65" x14ac:dyDescent="0.35">
      <c r="N318" s="9">
        <v>100</v>
      </c>
      <c r="O318" s="34">
        <f t="shared" si="305"/>
        <v>10000</v>
      </c>
      <c r="P318" s="33" t="str">
        <f t="shared" si="257"/>
        <v>59,1053597814893</v>
      </c>
      <c r="Q318" s="4" t="str">
        <f t="shared" si="258"/>
        <v>1+482,780906601001i</v>
      </c>
      <c r="R318" s="4">
        <f t="shared" si="270"/>
        <v>482.7819422663656</v>
      </c>
      <c r="S318" s="4">
        <f t="shared" si="271"/>
        <v>1.5687249968060948</v>
      </c>
      <c r="T318" s="4" t="str">
        <f t="shared" si="259"/>
        <v>1+0,0816814089933347i</v>
      </c>
      <c r="U318" s="4">
        <f t="shared" si="272"/>
        <v>1.003330380570197</v>
      </c>
      <c r="V318" s="4">
        <f t="shared" si="273"/>
        <v>8.1500477293074775E-2</v>
      </c>
      <c r="W318" t="str">
        <f t="shared" si="260"/>
        <v>1-3,01592894744621i</v>
      </c>
      <c r="X318" s="4">
        <f t="shared" si="274"/>
        <v>3.177393179328615</v>
      </c>
      <c r="Y318" s="4">
        <f t="shared" si="275"/>
        <v>-1.2506310900758455</v>
      </c>
      <c r="Z318" t="str">
        <f t="shared" si="261"/>
        <v>0,997933884297521+0,282172140158792i</v>
      </c>
      <c r="AA318" s="4">
        <f t="shared" si="276"/>
        <v>1.0370598604279941</v>
      </c>
      <c r="AB318" s="4">
        <f t="shared" si="277"/>
        <v>0.27556282982775571</v>
      </c>
      <c r="AC318" s="47" t="str">
        <f t="shared" si="278"/>
        <v>-0,373258495947774-0,0481058410564248i</v>
      </c>
      <c r="AD318" s="20">
        <f t="shared" si="279"/>
        <v>-8.488261115196762</v>
      </c>
      <c r="AE318" s="43">
        <f t="shared" si="280"/>
        <v>-172.65615848547142</v>
      </c>
      <c r="AF318" t="str">
        <f t="shared" si="262"/>
        <v>405,634542683733</v>
      </c>
      <c r="AG318" t="str">
        <f t="shared" si="263"/>
        <v>1+483,63992167106i</v>
      </c>
      <c r="AH318">
        <f t="shared" si="281"/>
        <v>483.64095549693582</v>
      </c>
      <c r="AI318">
        <f t="shared" si="282"/>
        <v>1.5687286757798933</v>
      </c>
      <c r="AJ318" t="str">
        <f t="shared" si="264"/>
        <v>1+0,0816814089933347i</v>
      </c>
      <c r="AK318">
        <f t="shared" si="283"/>
        <v>1.003330380570197</v>
      </c>
      <c r="AL318">
        <f t="shared" si="284"/>
        <v>8.1500477293074775E-2</v>
      </c>
      <c r="AM318" t="str">
        <f t="shared" si="265"/>
        <v>1-0,440230781484944i</v>
      </c>
      <c r="AN318">
        <f t="shared" si="285"/>
        <v>1.0926129877348358</v>
      </c>
      <c r="AO318">
        <f t="shared" si="286"/>
        <v>-0.4147002072341881</v>
      </c>
      <c r="AP318" s="41" t="str">
        <f t="shared" si="287"/>
        <v>-0,298921812204654-0,869488899742605i</v>
      </c>
      <c r="AQ318">
        <f t="shared" si="288"/>
        <v>-0.72955635902803573</v>
      </c>
      <c r="AR318" s="43">
        <f t="shared" si="289"/>
        <v>-108.97247058385889</v>
      </c>
      <c r="AS318" t="str">
        <f t="shared" si="266"/>
        <v>-0,0000166666666666667</v>
      </c>
      <c r="AT318" t="str">
        <f t="shared" si="267"/>
        <v>0,0139172554554028i</v>
      </c>
      <c r="AU318">
        <f t="shared" si="290"/>
        <v>1.39172554554028E-2</v>
      </c>
      <c r="AV318">
        <f t="shared" si="291"/>
        <v>1.5707963267948966</v>
      </c>
      <c r="AW318" t="str">
        <f t="shared" si="268"/>
        <v>1+0,496130523803933i</v>
      </c>
      <c r="AX318">
        <f t="shared" si="292"/>
        <v>1.1163088715270362</v>
      </c>
      <c r="AY318">
        <f t="shared" si="293"/>
        <v>0.46054723923970642</v>
      </c>
      <c r="AZ318" t="str">
        <f t="shared" si="269"/>
        <v>1+73,261940681714i</v>
      </c>
      <c r="BA318">
        <f t="shared" si="294"/>
        <v>73.268765189888242</v>
      </c>
      <c r="BB318">
        <f t="shared" si="295"/>
        <v>1.557147522336495</v>
      </c>
      <c r="BC318" s="41" t="str">
        <f t="shared" si="296"/>
        <v>-0,06992842832703+0,0358911818987677i</v>
      </c>
      <c r="BD318">
        <f t="shared" si="297"/>
        <v>-22.091407062256327</v>
      </c>
      <c r="BE318" s="43">
        <f t="shared" si="298"/>
        <v>152.83056803429724</v>
      </c>
      <c r="BF318" s="41" t="str">
        <f t="shared" si="299"/>
        <v>0,0278279554730883-0,0100327227148963i</v>
      </c>
      <c r="BG318" s="20">
        <f t="shared" si="300"/>
        <v>-30.579668177453087</v>
      </c>
      <c r="BH318" s="43">
        <f t="shared" si="301"/>
        <v>-19.825590451174161</v>
      </c>
      <c r="BI318" s="41" t="str">
        <f t="shared" si="306"/>
        <v>0,0521101167797603+0,0500733350714524i</v>
      </c>
      <c r="BJ318" s="20">
        <f t="shared" si="302"/>
        <v>-22.820963421284365</v>
      </c>
      <c r="BK318" s="43">
        <f t="shared" si="307"/>
        <v>43.858097450438358</v>
      </c>
      <c r="BL318">
        <f t="shared" si="303"/>
        <v>-30.579668177453087</v>
      </c>
      <c r="BM318" s="43">
        <f t="shared" si="304"/>
        <v>-19.825590451174161</v>
      </c>
    </row>
    <row r="319" spans="14:65" x14ac:dyDescent="0.35">
      <c r="N319" s="9">
        <v>1</v>
      </c>
      <c r="O319" s="34">
        <f>10^(4+(N319/100))</f>
        <v>10232.929922807549</v>
      </c>
      <c r="P319" s="33" t="str">
        <f t="shared" si="257"/>
        <v>59,1053597814893</v>
      </c>
      <c r="Q319" s="4" t="str">
        <f t="shared" si="258"/>
        <v>1+494,026318531753i</v>
      </c>
      <c r="R319" s="4">
        <f t="shared" si="270"/>
        <v>494.0273306225447</v>
      </c>
      <c r="S319" s="4">
        <f t="shared" si="271"/>
        <v>1.5687721459026676</v>
      </c>
      <c r="T319" s="4" t="str">
        <f t="shared" si="259"/>
        <v>1+0,0835840134224975i</v>
      </c>
      <c r="U319" s="4">
        <f t="shared" si="272"/>
        <v>1.0034870638427844</v>
      </c>
      <c r="V319" s="4">
        <f t="shared" si="273"/>
        <v>8.3390177979641128E-2</v>
      </c>
      <c r="W319" t="str">
        <f t="shared" si="260"/>
        <v>1-3,08617895713837i</v>
      </c>
      <c r="X319" s="4">
        <f t="shared" si="274"/>
        <v>3.2441486642081738</v>
      </c>
      <c r="Y319" s="4">
        <f t="shared" si="275"/>
        <v>-1.2574462812655862</v>
      </c>
      <c r="Z319" t="str">
        <f t="shared" si="261"/>
        <v>0,997836511264358+0,288744773641355i</v>
      </c>
      <c r="AA319" s="4">
        <f t="shared" si="276"/>
        <v>1.0387739154972186</v>
      </c>
      <c r="AB319" s="4">
        <f t="shared" si="277"/>
        <v>0.28167695737339571</v>
      </c>
      <c r="AC319" s="47" t="str">
        <f t="shared" si="278"/>
        <v>-0,372377626334862-0,043801092035231i</v>
      </c>
      <c r="AD319" s="20">
        <f t="shared" si="279"/>
        <v>-8.5206524001112385</v>
      </c>
      <c r="AE319" s="43">
        <f t="shared" si="280"/>
        <v>-173.29138345134635</v>
      </c>
      <c r="AF319" t="str">
        <f t="shared" si="262"/>
        <v>405,634542683733</v>
      </c>
      <c r="AG319" t="str">
        <f t="shared" si="263"/>
        <v>1+494,905342633209i</v>
      </c>
      <c r="AH319">
        <f t="shared" si="281"/>
        <v>494.90635292638348</v>
      </c>
      <c r="AI319">
        <f t="shared" si="282"/>
        <v>1.5687757411334915</v>
      </c>
      <c r="AJ319" t="str">
        <f t="shared" si="264"/>
        <v>1+0,0835840134224975i</v>
      </c>
      <c r="AK319">
        <f t="shared" si="283"/>
        <v>1.0034870638427844</v>
      </c>
      <c r="AL319">
        <f t="shared" si="284"/>
        <v>8.3390177979641128E-2</v>
      </c>
      <c r="AM319" t="str">
        <f t="shared" si="265"/>
        <v>1-0,450485073679823i</v>
      </c>
      <c r="AN319">
        <f t="shared" si="285"/>
        <v>1.0967847562800623</v>
      </c>
      <c r="AO319">
        <f t="shared" si="286"/>
        <v>-0.42325724057516323</v>
      </c>
      <c r="AP319" s="41" t="str">
        <f t="shared" si="287"/>
        <v>-0,298999919726326-0,851086068197761i</v>
      </c>
      <c r="AQ319">
        <f t="shared" si="288"/>
        <v>-0.89509826998814102</v>
      </c>
      <c r="AR319" s="43">
        <f t="shared" si="289"/>
        <v>-109.35717725168882</v>
      </c>
      <c r="AS319" t="str">
        <f t="shared" si="266"/>
        <v>-0,0000166666666666667</v>
      </c>
      <c r="AT319" t="str">
        <f t="shared" si="267"/>
        <v>0,0142414299792948i</v>
      </c>
      <c r="AU319">
        <f t="shared" si="290"/>
        <v>1.42414299792948E-2</v>
      </c>
      <c r="AV319">
        <f t="shared" si="291"/>
        <v>1.5707963267948966</v>
      </c>
      <c r="AW319" t="str">
        <f t="shared" si="268"/>
        <v>1+0,507686888265145i</v>
      </c>
      <c r="AX319">
        <f t="shared" si="292"/>
        <v>1.1214927447452996</v>
      </c>
      <c r="AY319">
        <f t="shared" si="293"/>
        <v>0.46977819252732128</v>
      </c>
      <c r="AZ319" t="str">
        <f t="shared" si="269"/>
        <v>1+74,9684305004862i</v>
      </c>
      <c r="BA319">
        <f t="shared" si="294"/>
        <v>74.975099677867917</v>
      </c>
      <c r="BB319">
        <f t="shared" si="295"/>
        <v>1.557458169780312</v>
      </c>
      <c r="BC319" s="41" t="str">
        <f t="shared" si="296"/>
        <v>-0,0692834623799775+0,0363445998880982i</v>
      </c>
      <c r="BD319">
        <f t="shared" si="297"/>
        <v>-22.1316853167421</v>
      </c>
      <c r="BE319" s="43">
        <f t="shared" si="298"/>
        <v>152.31947215748184</v>
      </c>
      <c r="BF319" s="41" t="str">
        <f t="shared" si="299"/>
        <v>0,027391544429999-0,0104992245241954i</v>
      </c>
      <c r="BG319" s="20">
        <f t="shared" si="300"/>
        <v>-30.652337716853335</v>
      </c>
      <c r="BH319" s="43">
        <f t="shared" si="301"/>
        <v>-20.971911293864402</v>
      </c>
      <c r="BI319" s="41" t="str">
        <f t="shared" si="306"/>
        <v>0,0516481323089575+0,0480991571390757i</v>
      </c>
      <c r="BJ319" s="20">
        <f t="shared" si="302"/>
        <v>-23.026783586730243</v>
      </c>
      <c r="BK319" s="43">
        <f t="shared" si="307"/>
        <v>42.962294905792994</v>
      </c>
      <c r="BL319">
        <f t="shared" si="303"/>
        <v>-30.652337716853335</v>
      </c>
      <c r="BM319" s="43">
        <f t="shared" si="304"/>
        <v>-20.971911293864402</v>
      </c>
    </row>
    <row r="320" spans="14:65" x14ac:dyDescent="0.35">
      <c r="N320" s="9">
        <v>2</v>
      </c>
      <c r="O320" s="34">
        <f t="shared" ref="O320:O383" si="308">10^(4+(N320/100))</f>
        <v>10471.285480509003</v>
      </c>
      <c r="P320" s="33" t="str">
        <f t="shared" si="257"/>
        <v>59,1053597814893</v>
      </c>
      <c r="Q320" s="4" t="str">
        <f t="shared" si="258"/>
        <v>1+505,533669755803i</v>
      </c>
      <c r="R320" s="4">
        <f t="shared" si="270"/>
        <v>505.53465880864121</v>
      </c>
      <c r="S320" s="4">
        <f t="shared" si="271"/>
        <v>1.5688182217634694</v>
      </c>
      <c r="T320" s="4" t="str">
        <f t="shared" si="259"/>
        <v>1+0,0855309352019423i</v>
      </c>
      <c r="U320" s="4">
        <f t="shared" si="272"/>
        <v>1.0036511051538373</v>
      </c>
      <c r="V320" s="4">
        <f t="shared" si="273"/>
        <v>8.5323277568578437E-2</v>
      </c>
      <c r="W320" t="str">
        <f t="shared" si="260"/>
        <v>1-3,15806529976403i</v>
      </c>
      <c r="X320" s="4">
        <f t="shared" si="274"/>
        <v>3.3126087057746001</v>
      </c>
      <c r="Y320" s="4">
        <f t="shared" si="275"/>
        <v>-1.264135551496316</v>
      </c>
      <c r="Z320" t="str">
        <f t="shared" si="261"/>
        <v>0,997734549181522+0,295470503424891i</v>
      </c>
      <c r="AA320" s="4">
        <f t="shared" si="276"/>
        <v>1.0405657350809767</v>
      </c>
      <c r="AB320" s="4">
        <f t="shared" si="277"/>
        <v>0.28791304325711509</v>
      </c>
      <c r="AC320" s="47" t="str">
        <f t="shared" si="278"/>
        <v>-0,371460462903987-0,0395413974585201i</v>
      </c>
      <c r="AD320" s="20">
        <f t="shared" si="279"/>
        <v>-8.5528137033002256</v>
      </c>
      <c r="AE320" s="43">
        <f t="shared" si="280"/>
        <v>-173.92383330994471</v>
      </c>
      <c r="AF320" t="str">
        <f t="shared" si="262"/>
        <v>405,634542683733</v>
      </c>
      <c r="AG320" t="str">
        <f t="shared" si="263"/>
        <v>1+506,433168958868i</v>
      </c>
      <c r="AH320">
        <f t="shared" si="281"/>
        <v>506.43415625500745</v>
      </c>
      <c r="AI320">
        <f t="shared" si="282"/>
        <v>1.5688217351574951</v>
      </c>
      <c r="AJ320" t="str">
        <f t="shared" si="264"/>
        <v>1+0,0855309352019423i</v>
      </c>
      <c r="AK320">
        <f t="shared" si="283"/>
        <v>1.0036511051538373</v>
      </c>
      <c r="AL320">
        <f t="shared" si="284"/>
        <v>8.5323277568578437E-2</v>
      </c>
      <c r="AM320" t="str">
        <f t="shared" si="265"/>
        <v>1-0,460978219023642i</v>
      </c>
      <c r="AN320">
        <f t="shared" si="285"/>
        <v>1.1011361943075928</v>
      </c>
      <c r="AO320">
        <f t="shared" si="286"/>
        <v>-0.43194581866670662</v>
      </c>
      <c r="AP320" s="41" t="str">
        <f t="shared" si="287"/>
        <v>-0,299074511858493-0,833134479541598i</v>
      </c>
      <c r="AQ320">
        <f t="shared" si="288"/>
        <v>-1.0592850473832658</v>
      </c>
      <c r="AR320" s="43">
        <f t="shared" si="289"/>
        <v>-109.74687292193771</v>
      </c>
      <c r="AS320" t="str">
        <f t="shared" si="266"/>
        <v>-0,0000166666666666667</v>
      </c>
      <c r="AT320" t="str">
        <f t="shared" si="267"/>
        <v>0,0145731554978694i</v>
      </c>
      <c r="AU320">
        <f t="shared" si="290"/>
        <v>1.4573155497869399E-2</v>
      </c>
      <c r="AV320">
        <f t="shared" si="291"/>
        <v>1.5707963267948966</v>
      </c>
      <c r="AW320" t="str">
        <f t="shared" si="268"/>
        <v>1+0,519512435034545i</v>
      </c>
      <c r="AX320">
        <f t="shared" si="292"/>
        <v>1.1268953678827163</v>
      </c>
      <c r="AY320">
        <f t="shared" si="293"/>
        <v>0.47913542686012933</v>
      </c>
      <c r="AZ320" t="str">
        <f t="shared" si="269"/>
        <v>1+76,7146695734344i</v>
      </c>
      <c r="BA320">
        <f t="shared" si="294"/>
        <v>76.721186954851149</v>
      </c>
      <c r="BB320">
        <f t="shared" si="295"/>
        <v>1.5577617485126947</v>
      </c>
      <c r="BC320" s="41" t="str">
        <f t="shared" si="296"/>
        <v>-0,0686207297554536+0,0367929777189709i</v>
      </c>
      <c r="BD320">
        <f t="shared" si="297"/>
        <v>-22.173462596586372</v>
      </c>
      <c r="BE320" s="43">
        <f t="shared" si="298"/>
        <v>151.80073590241238</v>
      </c>
      <c r="BF320" s="41" t="str">
        <f t="shared" si="299"/>
        <v>0,0269447337954385-0,0109537769859509i</v>
      </c>
      <c r="BG320" s="20">
        <f t="shared" si="300"/>
        <v>-30.726276299886596</v>
      </c>
      <c r="BH320" s="43">
        <f t="shared" si="301"/>
        <v>-22.12309740753226</v>
      </c>
      <c r="BI320" s="41" t="str">
        <f t="shared" si="306"/>
        <v>0,0511762095976663+0,0461664541194528i</v>
      </c>
      <c r="BJ320" s="20">
        <f t="shared" si="302"/>
        <v>-23.232747643969638</v>
      </c>
      <c r="BK320" s="43">
        <f t="shared" si="307"/>
        <v>42.053862980474648</v>
      </c>
      <c r="BL320">
        <f t="shared" si="303"/>
        <v>-30.726276299886596</v>
      </c>
      <c r="BM320" s="43">
        <f t="shared" si="304"/>
        <v>-22.12309740753226</v>
      </c>
    </row>
    <row r="321" spans="14:65" x14ac:dyDescent="0.35">
      <c r="N321" s="9">
        <v>3</v>
      </c>
      <c r="O321" s="34">
        <f t="shared" si="308"/>
        <v>10715.193052376071</v>
      </c>
      <c r="P321" s="33" t="str">
        <f t="shared" si="257"/>
        <v>59,1053597814893</v>
      </c>
      <c r="Q321" s="4" t="str">
        <f t="shared" si="258"/>
        <v>1+517,309061623086i</v>
      </c>
      <c r="R321" s="4">
        <f t="shared" si="270"/>
        <v>517.3100281623756</v>
      </c>
      <c r="S321" s="4">
        <f t="shared" si="271"/>
        <v>1.5688632488177483</v>
      </c>
      <c r="T321" s="4" t="str">
        <f t="shared" si="259"/>
        <v>1+0,0875232066153668i</v>
      </c>
      <c r="U321" s="4">
        <f t="shared" si="272"/>
        <v>1.0038228487617904</v>
      </c>
      <c r="V321" s="4">
        <f t="shared" si="273"/>
        <v>8.7300743192759184E-2</v>
      </c>
      <c r="W321" t="str">
        <f t="shared" si="260"/>
        <v>1-3,23162609041355i</v>
      </c>
      <c r="X321" s="4">
        <f t="shared" si="274"/>
        <v>3.3828105457210524</v>
      </c>
      <c r="Y321" s="4">
        <f t="shared" si="275"/>
        <v>-1.2707000521053986</v>
      </c>
      <c r="Z321" t="str">
        <f t="shared" si="261"/>
        <v>0,997627781773767+0,302352895580358i</v>
      </c>
      <c r="AA321" s="4">
        <f t="shared" si="276"/>
        <v>1.0424387101564647</v>
      </c>
      <c r="AB321" s="4">
        <f t="shared" si="277"/>
        <v>0.29427261566237423</v>
      </c>
      <c r="AC321" s="47" t="str">
        <f t="shared" si="278"/>
        <v>-0,370505877788848-0,0353258197717261i</v>
      </c>
      <c r="AD321" s="20">
        <f t="shared" si="279"/>
        <v>-8.5847961944756008</v>
      </c>
      <c r="AE321" s="43">
        <f t="shared" si="280"/>
        <v>-174.55360757356172</v>
      </c>
      <c r="AF321" t="str">
        <f t="shared" si="262"/>
        <v>405,634542683733</v>
      </c>
      <c r="AG321" t="str">
        <f t="shared" si="263"/>
        <v>1+518,229512854145i</v>
      </c>
      <c r="AH321">
        <f t="shared" si="281"/>
        <v>518.2304776767229</v>
      </c>
      <c r="AI321">
        <f t="shared" si="282"/>
        <v>1.5688666822377657</v>
      </c>
      <c r="AJ321" t="str">
        <f t="shared" si="264"/>
        <v>1+0,0875232066153668i</v>
      </c>
      <c r="AK321">
        <f t="shared" si="283"/>
        <v>1.0038228487617904</v>
      </c>
      <c r="AL321">
        <f t="shared" si="284"/>
        <v>8.7300743192759184E-2</v>
      </c>
      <c r="AM321" t="str">
        <f t="shared" si="265"/>
        <v>1-0,471715781120956i</v>
      </c>
      <c r="AN321">
        <f t="shared" si="285"/>
        <v>1.1056743544817134</v>
      </c>
      <c r="AO321">
        <f t="shared" si="286"/>
        <v>-0.44076529997232733</v>
      </c>
      <c r="AP321" s="41" t="str">
        <f t="shared" si="287"/>
        <v>-0,29914574681728-0,815624616552647i</v>
      </c>
      <c r="AQ321">
        <f t="shared" si="288"/>
        <v>-1.2220741257512693</v>
      </c>
      <c r="AR321" s="43">
        <f t="shared" si="289"/>
        <v>-110.14146682184757</v>
      </c>
      <c r="AS321" t="str">
        <f t="shared" si="266"/>
        <v>-0,0000166666666666667</v>
      </c>
      <c r="AT321" t="str">
        <f t="shared" si="267"/>
        <v>0,0149126078963875i</v>
      </c>
      <c r="AU321">
        <f t="shared" si="290"/>
        <v>1.49126078963875E-2</v>
      </c>
      <c r="AV321">
        <f t="shared" si="291"/>
        <v>1.5707963267948966</v>
      </c>
      <c r="AW321" t="str">
        <f t="shared" si="268"/>
        <v>1+0,53161343417356i</v>
      </c>
      <c r="AX321">
        <f t="shared" si="292"/>
        <v>1.1325249857702062</v>
      </c>
      <c r="AY321">
        <f t="shared" si="293"/>
        <v>0.48861734827941405</v>
      </c>
      <c r="AZ321" t="str">
        <f t="shared" si="269"/>
        <v>1+78,501583779629i</v>
      </c>
      <c r="BA321">
        <f t="shared" si="294"/>
        <v>78.507952819508105</v>
      </c>
      <c r="BB321">
        <f t="shared" si="295"/>
        <v>1.5580584192711537</v>
      </c>
      <c r="BC321" s="41" t="str">
        <f t="shared" si="296"/>
        <v>-0,067940217889104+0,0372355550872731i</v>
      </c>
      <c r="BD321">
        <f t="shared" si="297"/>
        <v>-22.216779773857283</v>
      </c>
      <c r="BE321" s="43">
        <f t="shared" si="298"/>
        <v>151.2744598057773</v>
      </c>
      <c r="BF321" s="41" t="str">
        <f t="shared" si="299"/>
        <v>0,0264876265742813-0,0113959481301628i</v>
      </c>
      <c r="BG321" s="20">
        <f t="shared" si="300"/>
        <v>-30.80157596833288</v>
      </c>
      <c r="BH321" s="43">
        <f t="shared" si="301"/>
        <v>-23.279147767784327</v>
      </c>
      <c r="BI321" s="41" t="str">
        <f t="shared" si="306"/>
        <v>0,0506942625595468+0,0442748562295655i</v>
      </c>
      <c r="BJ321" s="20">
        <f t="shared" si="302"/>
        <v>-23.438853899608553</v>
      </c>
      <c r="BK321" s="43">
        <f t="shared" si="307"/>
        <v>41.132992983929768</v>
      </c>
      <c r="BL321">
        <f t="shared" si="303"/>
        <v>-30.80157596833288</v>
      </c>
      <c r="BM321" s="43">
        <f t="shared" si="304"/>
        <v>-23.279147767784327</v>
      </c>
    </row>
    <row r="322" spans="14:65" x14ac:dyDescent="0.35">
      <c r="N322" s="9">
        <v>4</v>
      </c>
      <c r="O322" s="34">
        <f t="shared" si="308"/>
        <v>10964.781961431856</v>
      </c>
      <c r="P322" s="33" t="str">
        <f t="shared" si="257"/>
        <v>59,1053597814893</v>
      </c>
      <c r="Q322" s="4" t="str">
        <f t="shared" si="258"/>
        <v>1+529,358737602236i</v>
      </c>
      <c r="R322" s="4">
        <f t="shared" si="270"/>
        <v>529.35968214044499</v>
      </c>
      <c r="S322" s="4">
        <f t="shared" si="271"/>
        <v>1.5689072509387136</v>
      </c>
      <c r="T322" s="4" t="str">
        <f t="shared" si="259"/>
        <v>1+0,0895618839914453i</v>
      </c>
      <c r="U322" s="4">
        <f t="shared" si="272"/>
        <v>1.0040026549088887</v>
      </c>
      <c r="V322" s="4">
        <f t="shared" si="273"/>
        <v>8.9323561435320831E-2</v>
      </c>
      <c r="W322" t="str">
        <f t="shared" si="260"/>
        <v>1-3,30690033199183i</v>
      </c>
      <c r="X322" s="4">
        <f t="shared" si="274"/>
        <v>3.4547922955986334</v>
      </c>
      <c r="Y322" s="4">
        <f t="shared" si="275"/>
        <v>-1.2771409998109879</v>
      </c>
      <c r="Z322" t="str">
        <f t="shared" si="261"/>
        <v>0,997515982573104+0,309395599243175i</v>
      </c>
      <c r="AA322" s="4">
        <f t="shared" si="276"/>
        <v>1.0443963674390238</v>
      </c>
      <c r="AB322" s="4">
        <f t="shared" si="277"/>
        <v>0.30075716108759715</v>
      </c>
      <c r="AC322" s="47" t="str">
        <f t="shared" si="278"/>
        <v>-0,369512730083646-0,0311535136872635i</v>
      </c>
      <c r="AD322" s="20">
        <f t="shared" si="279"/>
        <v>-8.6166508908854862</v>
      </c>
      <c r="AE322" s="43">
        <f t="shared" si="280"/>
        <v>-175.1808059658826</v>
      </c>
      <c r="AF322" t="str">
        <f t="shared" si="262"/>
        <v>405,634542683733</v>
      </c>
      <c r="AG322" t="str">
        <f t="shared" si="263"/>
        <v>1+530,300628896715i</v>
      </c>
      <c r="AH322">
        <f t="shared" si="281"/>
        <v>530.30157175728937</v>
      </c>
      <c r="AI322">
        <f t="shared" si="282"/>
        <v>1.568910606205113</v>
      </c>
      <c r="AJ322" t="str">
        <f t="shared" si="264"/>
        <v>1+0,0895618839914453i</v>
      </c>
      <c r="AK322">
        <f t="shared" si="283"/>
        <v>1.0040026549088887</v>
      </c>
      <c r="AL322">
        <f t="shared" si="284"/>
        <v>8.9323561435320831E-2</v>
      </c>
      <c r="AM322" t="str">
        <f t="shared" si="265"/>
        <v>1-0,482703453169316i</v>
      </c>
      <c r="AN322">
        <f t="shared" si="285"/>
        <v>1.1104065128148259</v>
      </c>
      <c r="AO322">
        <f t="shared" si="286"/>
        <v>-0.44971487161690371</v>
      </c>
      <c r="AP322" s="41" t="str">
        <f t="shared" si="287"/>
        <v>-0,299213775698125-0,79854719615494i</v>
      </c>
      <c r="AQ322">
        <f t="shared" si="288"/>
        <v>-1.3834224309812746</v>
      </c>
      <c r="AR322" s="43">
        <f t="shared" si="289"/>
        <v>-110.5408572154594</v>
      </c>
      <c r="AS322" t="str">
        <f t="shared" si="266"/>
        <v>-0,0000166666666666667</v>
      </c>
      <c r="AT322" t="str">
        <f t="shared" si="267"/>
        <v>0,015259967157004i</v>
      </c>
      <c r="AU322">
        <f t="shared" si="290"/>
        <v>1.5259967157003999E-2</v>
      </c>
      <c r="AV322">
        <f t="shared" si="291"/>
        <v>1.5707963267948966</v>
      </c>
      <c r="AW322" t="str">
        <f t="shared" si="268"/>
        <v>1+0,54399630179211i</v>
      </c>
      <c r="AX322">
        <f t="shared" si="292"/>
        <v>1.1383900809316165</v>
      </c>
      <c r="AY322">
        <f t="shared" si="293"/>
        <v>0.49822216345816978</v>
      </c>
      <c r="AZ322" t="str">
        <f t="shared" si="269"/>
        <v>1+80,3301205646348i</v>
      </c>
      <c r="BA322">
        <f t="shared" si="294"/>
        <v>80.336344638829331</v>
      </c>
      <c r="BB322">
        <f t="shared" si="295"/>
        <v>1.5583483391454442</v>
      </c>
      <c r="BC322" s="41" t="str">
        <f t="shared" si="296"/>
        <v>-0,0672419522296718+0,0376715556801109i</v>
      </c>
      <c r="BD322">
        <f t="shared" si="297"/>
        <v>-22.261677702902144</v>
      </c>
      <c r="BE322" s="43">
        <f t="shared" si="298"/>
        <v>150.74075561822528</v>
      </c>
      <c r="BF322" s="41" t="str">
        <f t="shared" si="299"/>
        <v>0,026020358670041-0,0118252963067105i</v>
      </c>
      <c r="BG322" s="20">
        <f t="shared" si="300"/>
        <v>-30.878328593787622</v>
      </c>
      <c r="BH322" s="43">
        <f t="shared" si="301"/>
        <v>-24.440050347657383</v>
      </c>
      <c r="BI322" s="41" t="str">
        <f t="shared" si="306"/>
        <v>0,0502022335751003+0,0424240240055207i</v>
      </c>
      <c r="BJ322" s="20">
        <f t="shared" si="302"/>
        <v>-23.645100133883417</v>
      </c>
      <c r="BK322" s="43">
        <f t="shared" si="307"/>
        <v>40.199898402765882</v>
      </c>
      <c r="BL322">
        <f t="shared" si="303"/>
        <v>-30.878328593787622</v>
      </c>
      <c r="BM322" s="43">
        <f t="shared" si="304"/>
        <v>-24.440050347657383</v>
      </c>
    </row>
    <row r="323" spans="14:65" x14ac:dyDescent="0.35">
      <c r="N323" s="9">
        <v>5</v>
      </c>
      <c r="O323" s="34">
        <f t="shared" si="308"/>
        <v>11220.184543019639</v>
      </c>
      <c r="P323" s="33" t="str">
        <f t="shared" si="257"/>
        <v>59,1053597814893</v>
      </c>
      <c r="Q323" s="4" t="str">
        <f t="shared" si="258"/>
        <v>1+541,689086590955i</v>
      </c>
      <c r="R323" s="4">
        <f t="shared" si="270"/>
        <v>541.6900096288864</v>
      </c>
      <c r="S323" s="4">
        <f t="shared" si="271"/>
        <v>1.5689502514561906</v>
      </c>
      <c r="T323" s="4" t="str">
        <f t="shared" si="259"/>
        <v>1+0,0916480482639079i</v>
      </c>
      <c r="U323" s="4">
        <f t="shared" si="272"/>
        <v>1.0041909005515752</v>
      </c>
      <c r="V323" s="4">
        <f t="shared" si="273"/>
        <v>9.1392738568947279E-2</v>
      </c>
      <c r="W323" t="str">
        <f t="shared" si="260"/>
        <v>1-3,38392793589814i</v>
      </c>
      <c r="X323" s="4">
        <f t="shared" si="274"/>
        <v>3.5285929597152239</v>
      </c>
      <c r="Y323" s="4">
        <f t="shared" si="275"/>
        <v>-1.2834596712411235</v>
      </c>
      <c r="Z323" t="str">
        <f t="shared" si="261"/>
        <v>0,997398914438442+0,316602348548045i</v>
      </c>
      <c r="AA323" s="4">
        <f t="shared" si="276"/>
        <v>1.0464423737736925</v>
      </c>
      <c r="AB323" s="4">
        <f t="shared" si="277"/>
        <v>0.30736811959229504</v>
      </c>
      <c r="AC323" s="47" t="str">
        <f t="shared" si="278"/>
        <v>-0,368479868222095-0,0270237281234933i</v>
      </c>
      <c r="AD323" s="20">
        <f t="shared" si="279"/>
        <v>-8.6484286602819225</v>
      </c>
      <c r="AE323" s="43">
        <f t="shared" si="280"/>
        <v>-175.8055278231611</v>
      </c>
      <c r="AF323" t="str">
        <f t="shared" si="262"/>
        <v>405,634542683733</v>
      </c>
      <c r="AG323" t="str">
        <f t="shared" si="263"/>
        <v>1+542,652917352086i</v>
      </c>
      <c r="AH323">
        <f t="shared" si="281"/>
        <v>542.65383875057023</v>
      </c>
      <c r="AI323">
        <f t="shared" si="282"/>
        <v>1.5689535303479281</v>
      </c>
      <c r="AJ323" t="str">
        <f t="shared" si="264"/>
        <v>1+0,0916480482639079i</v>
      </c>
      <c r="AK323">
        <f t="shared" si="283"/>
        <v>1.0041909005515752</v>
      </c>
      <c r="AL323">
        <f t="shared" si="284"/>
        <v>9.1392738568947279E-2</v>
      </c>
      <c r="AM323" t="str">
        <f t="shared" si="265"/>
        <v>1-0,493947060977882i</v>
      </c>
      <c r="AN323">
        <f t="shared" si="285"/>
        <v>1.1153401718976537</v>
      </c>
      <c r="AO323">
        <f t="shared" si="286"/>
        <v>-0.45879354326937116</v>
      </c>
      <c r="AP323" s="41" t="str">
        <f t="shared" si="287"/>
        <v>-0,29927874279625-0,781893164500206i</v>
      </c>
      <c r="AQ323">
        <f t="shared" si="288"/>
        <v>-1.543286438865211</v>
      </c>
      <c r="AR323" s="43">
        <f t="shared" si="289"/>
        <v>-110.94493104013145</v>
      </c>
      <c r="AS323" t="str">
        <f t="shared" si="266"/>
        <v>-0,0000166666666666667</v>
      </c>
      <c r="AT323" t="str">
        <f t="shared" si="267"/>
        <v>0,0156154174541966i</v>
      </c>
      <c r="AU323">
        <f t="shared" si="290"/>
        <v>1.56154174541966E-2</v>
      </c>
      <c r="AV323">
        <f t="shared" si="291"/>
        <v>1.5707963267948966</v>
      </c>
      <c r="AW323" t="str">
        <f t="shared" si="268"/>
        <v>1+0,556667603450513i</v>
      </c>
      <c r="AX323">
        <f t="shared" si="292"/>
        <v>1.1444993755923756</v>
      </c>
      <c r="AY323">
        <f t="shared" si="293"/>
        <v>0.50794787565141175</v>
      </c>
      <c r="AZ323" t="str">
        <f t="shared" si="269"/>
        <v>1+82,2012494428589i</v>
      </c>
      <c r="BA323">
        <f t="shared" si="294"/>
        <v>82.207331850432354</v>
      </c>
      <c r="BB323">
        <f t="shared" si="295"/>
        <v>1.5586316616598588</v>
      </c>
      <c r="BC323" s="41" t="str">
        <f t="shared" si="296"/>
        <v>-0,0665259981827063+0,0381001892120837i</v>
      </c>
      <c r="BD323">
        <f t="shared" si="297"/>
        <v>-22.308197131002654</v>
      </c>
      <c r="BE323" s="43">
        <f t="shared" si="298"/>
        <v>150.19974654111056</v>
      </c>
      <c r="BF323" s="41" t="str">
        <f t="shared" si="299"/>
        <v>0,0255431001984279-0,012241372212072i</v>
      </c>
      <c r="BG323" s="20">
        <f t="shared" si="300"/>
        <v>-30.956625791284594</v>
      </c>
      <c r="BH323" s="43">
        <f t="shared" si="301"/>
        <v>-25.605781282050554</v>
      </c>
      <c r="BI323" s="41" t="str">
        <f t="shared" si="306"/>
        <v>0,0497000946104787+0,0406136465129195i</v>
      </c>
      <c r="BJ323" s="20">
        <f t="shared" si="302"/>
        <v>-23.851483569867867</v>
      </c>
      <c r="BK323" s="43">
        <f t="shared" si="307"/>
        <v>39.254815500979063</v>
      </c>
      <c r="BL323">
        <f t="shared" si="303"/>
        <v>-30.956625791284594</v>
      </c>
      <c r="BM323" s="43">
        <f t="shared" si="304"/>
        <v>-25.605781282050554</v>
      </c>
    </row>
    <row r="324" spans="14:65" x14ac:dyDescent="0.35">
      <c r="N324" s="9">
        <v>6</v>
      </c>
      <c r="O324" s="34">
        <f t="shared" si="308"/>
        <v>11481.536214968832</v>
      </c>
      <c r="P324" s="33" t="str">
        <f t="shared" si="257"/>
        <v>59,1053597814893</v>
      </c>
      <c r="Q324" s="4" t="str">
        <f t="shared" si="258"/>
        <v>1+554,306646303487i</v>
      </c>
      <c r="R324" s="4">
        <f t="shared" si="270"/>
        <v>554.30754833054471</v>
      </c>
      <c r="S324" s="4">
        <f t="shared" si="271"/>
        <v>1.5689922731689865</v>
      </c>
      <c r="T324" s="4" t="str">
        <f t="shared" si="259"/>
        <v>1+0,0937828055446653i</v>
      </c>
      <c r="U324" s="4">
        <f t="shared" si="272"/>
        <v>1.0043879801231337</v>
      </c>
      <c r="V324" s="4">
        <f t="shared" si="273"/>
        <v>9.3509300786188992E-2</v>
      </c>
      <c r="W324" t="str">
        <f t="shared" si="260"/>
        <v>1-3,46274974318765i</v>
      </c>
      <c r="X324" s="4">
        <f t="shared" si="274"/>
        <v>3.6042524584088356</v>
      </c>
      <c r="Y324" s="4">
        <f t="shared" si="275"/>
        <v>-1.2896573976683248</v>
      </c>
      <c r="Z324" t="str">
        <f t="shared" si="261"/>
        <v>0,997276329052569+0,323976964608844i</v>
      </c>
      <c r="AA324" s="4">
        <f t="shared" si="276"/>
        <v>1.0485805405812794</v>
      </c>
      <c r="AB324" s="4">
        <f t="shared" si="277"/>
        <v>0.31410687983184077</v>
      </c>
      <c r="AC324" s="47" t="str">
        <f t="shared" si="278"/>
        <v>-0,367406132604845-0,0229358081399219i</v>
      </c>
      <c r="AD324" s="20">
        <f t="shared" si="279"/>
        <v>-8.6801802240396224</v>
      </c>
      <c r="AE324" s="43">
        <f t="shared" si="280"/>
        <v>-176.42787149555934</v>
      </c>
      <c r="AF324" t="str">
        <f t="shared" si="262"/>
        <v>405,634542683733</v>
      </c>
      <c r="AG324" t="str">
        <f t="shared" si="263"/>
        <v>1+555,292927567097i</v>
      </c>
      <c r="AH324">
        <f t="shared" si="281"/>
        <v>555.29382799202551</v>
      </c>
      <c r="AI324">
        <f t="shared" si="282"/>
        <v>1.5689954774245263</v>
      </c>
      <c r="AJ324" t="str">
        <f t="shared" si="264"/>
        <v>1+0,0937828055446653i</v>
      </c>
      <c r="AK324">
        <f t="shared" si="283"/>
        <v>1.0043879801231337</v>
      </c>
      <c r="AL324">
        <f t="shared" si="284"/>
        <v>9.3509300786188992E-2</v>
      </c>
      <c r="AM324" t="str">
        <f t="shared" si="265"/>
        <v>1-0,505452566056341i</v>
      </c>
      <c r="AN324">
        <f t="shared" si="285"/>
        <v>1.1204830639206198</v>
      </c>
      <c r="AO324">
        <f t="shared" si="286"/>
        <v>-0.46800014131217682</v>
      </c>
      <c r="AP324" s="41" t="str">
        <f t="shared" si="287"/>
        <v>-0,299340785912709-0,765653692171357i</v>
      </c>
      <c r="AQ324">
        <f t="shared" si="288"/>
        <v>-1.7016222383702848</v>
      </c>
      <c r="AR324" s="43">
        <f t="shared" si="289"/>
        <v>-111.35356355998482</v>
      </c>
      <c r="AS324" t="str">
        <f t="shared" si="266"/>
        <v>-0,0000166666666666667</v>
      </c>
      <c r="AT324" t="str">
        <f t="shared" si="267"/>
        <v>0,015979147252418i</v>
      </c>
      <c r="AU324">
        <f t="shared" si="290"/>
        <v>1.5979147252417999E-2</v>
      </c>
      <c r="AV324">
        <f t="shared" si="291"/>
        <v>1.5707963267948966</v>
      </c>
      <c r="AW324" t="str">
        <f t="shared" si="268"/>
        <v>1+0,569634057640631i</v>
      </c>
      <c r="AX324">
        <f t="shared" si="292"/>
        <v>1.1508618334205587</v>
      </c>
      <c r="AY324">
        <f t="shared" si="293"/>
        <v>0.51779228121414878</v>
      </c>
      <c r="AZ324" t="str">
        <f t="shared" si="269"/>
        <v>1+84,1159625115998i</v>
      </c>
      <c r="BA324">
        <f t="shared" si="294"/>
        <v>84.12190647657043</v>
      </c>
      <c r="BB324">
        <f t="shared" si="295"/>
        <v>1.5589085368536981</v>
      </c>
      <c r="BC324" s="41" t="str">
        <f t="shared" si="296"/>
        <v>-0,0657924629489138+0,0385206536708469i</v>
      </c>
      <c r="BD324">
        <f t="shared" si="297"/>
        <v>-22.356378604679659</v>
      </c>
      <c r="BE324" s="43">
        <f t="shared" si="298"/>
        <v>149.6515674306095</v>
      </c>
      <c r="BF324" s="41" t="str">
        <f t="shared" si="299"/>
        <v>0,0250560566886269-0,0126437210833673i</v>
      </c>
      <c r="BG324" s="20">
        <f t="shared" si="300"/>
        <v>-31.036558828719272</v>
      </c>
      <c r="BH324" s="43">
        <f t="shared" si="301"/>
        <v>-26.776304064949873</v>
      </c>
      <c r="BI324" s="41" t="str">
        <f t="shared" si="306"/>
        <v>0,0491878482741987+0,0388434394301805i</v>
      </c>
      <c r="BJ324" s="20">
        <f t="shared" si="302"/>
        <v>-24.058000843049943</v>
      </c>
      <c r="BK324" s="43">
        <f t="shared" si="307"/>
        <v>38.298003870624726</v>
      </c>
      <c r="BL324">
        <f t="shared" si="303"/>
        <v>-31.036558828719272</v>
      </c>
      <c r="BM324" s="43">
        <f t="shared" si="304"/>
        <v>-26.776304064949873</v>
      </c>
    </row>
    <row r="325" spans="14:65" x14ac:dyDescent="0.35">
      <c r="N325" s="9">
        <v>7</v>
      </c>
      <c r="O325" s="34">
        <f t="shared" si="308"/>
        <v>11748.975549395318</v>
      </c>
      <c r="P325" s="33" t="str">
        <f t="shared" si="257"/>
        <v>59,1053597814893</v>
      </c>
      <c r="Q325" s="4" t="str">
        <f t="shared" si="258"/>
        <v>1+567,218106737006i</v>
      </c>
      <c r="R325" s="4">
        <f t="shared" si="270"/>
        <v>567.2189882314533</v>
      </c>
      <c r="S325" s="4">
        <f t="shared" si="271"/>
        <v>1.5690333383569752</v>
      </c>
      <c r="T325" s="4" t="str">
        <f t="shared" si="259"/>
        <v>1+0,0959672877102848i</v>
      </c>
      <c r="U325" s="4">
        <f t="shared" si="272"/>
        <v>1.0045943063299079</v>
      </c>
      <c r="V325" s="4">
        <f t="shared" si="273"/>
        <v>9.5674294419665101E-2</v>
      </c>
      <c r="W325" t="str">
        <f t="shared" si="260"/>
        <v>1-3,5434075462259i</v>
      </c>
      <c r="X325" s="4">
        <f t="shared" si="274"/>
        <v>3.6818116517077093</v>
      </c>
      <c r="Y325" s="4">
        <f t="shared" si="275"/>
        <v>-1.2957355599538083</v>
      </c>
      <c r="Z325" t="str">
        <f t="shared" si="261"/>
        <v>0,997147966395449+0,33152335754462i</v>
      </c>
      <c r="AA325" s="4">
        <f t="shared" si="276"/>
        <v>1.0508148283519021</v>
      </c>
      <c r="AB325" s="4">
        <f t="shared" si="277"/>
        <v>0.32097477388324369</v>
      </c>
      <c r="AC325" s="47" t="str">
        <f t="shared" si="278"/>
        <v>-0,366290358486182-0,0188891968502486i</v>
      </c>
      <c r="AD325" s="20">
        <f t="shared" si="279"/>
        <v>-8.7119561600584223</v>
      </c>
      <c r="AE325" s="43">
        <f t="shared" si="280"/>
        <v>-177.04793374908729</v>
      </c>
      <c r="AF325" t="str">
        <f t="shared" si="262"/>
        <v>405,634542683733</v>
      </c>
      <c r="AG325" t="str">
        <f t="shared" si="263"/>
        <v>1+568,227361442475i</v>
      </c>
      <c r="AH325">
        <f t="shared" si="281"/>
        <v>568.2282413712619</v>
      </c>
      <c r="AI325">
        <f t="shared" si="282"/>
        <v>1.5690364696752122</v>
      </c>
      <c r="AJ325" t="str">
        <f t="shared" si="264"/>
        <v>1+0,0959672877102848i</v>
      </c>
      <c r="AK325">
        <f t="shared" si="283"/>
        <v>1.0045943063299079</v>
      </c>
      <c r="AL325">
        <f t="shared" si="284"/>
        <v>9.5674294419665101E-2</v>
      </c>
      <c r="AM325" t="str">
        <f t="shared" si="265"/>
        <v>1-0,51722606877578i</v>
      </c>
      <c r="AN325">
        <f t="shared" si="285"/>
        <v>1.1258431534726532</v>
      </c>
      <c r="AO325">
        <f t="shared" si="286"/>
        <v>-0.47733330334926699</v>
      </c>
      <c r="AP325" s="41" t="str">
        <f t="shared" si="287"/>
        <v>-0,299400036646647-0,749820169504691i</v>
      </c>
      <c r="AQ325">
        <f t="shared" si="288"/>
        <v>-1.8583855995963594</v>
      </c>
      <c r="AR325" s="43">
        <f t="shared" si="289"/>
        <v>-111.76661803930804</v>
      </c>
      <c r="AS325" t="str">
        <f t="shared" si="266"/>
        <v>-0,0000166666666666667</v>
      </c>
      <c r="AT325" t="str">
        <f t="shared" si="267"/>
        <v>0,0163513494060216i</v>
      </c>
      <c r="AU325">
        <f t="shared" si="290"/>
        <v>1.6351349406021599E-2</v>
      </c>
      <c r="AV325">
        <f t="shared" si="291"/>
        <v>1.5707963267948966</v>
      </c>
      <c r="AW325" t="str">
        <f t="shared" si="268"/>
        <v>1+0,58290253934811i</v>
      </c>
      <c r="AX325">
        <f t="shared" si="292"/>
        <v>1.1574866609937564</v>
      </c>
      <c r="AY325">
        <f t="shared" si="293"/>
        <v>0.5277529667419314</v>
      </c>
      <c r="AZ325" t="str">
        <f t="shared" si="269"/>
        <v>1+86,0752749770708i</v>
      </c>
      <c r="BA325">
        <f t="shared" si="294"/>
        <v>86.081083650116483</v>
      </c>
      <c r="BB325">
        <f t="shared" si="295"/>
        <v>1.5591791113599556</v>
      </c>
      <c r="BC325" s="41" t="str">
        <f t="shared" si="296"/>
        <v>-0,065041497234661+0,0389321377689082i</v>
      </c>
      <c r="BD325">
        <f t="shared" si="297"/>
        <v>-22.406262371913712</v>
      </c>
      <c r="BE325" s="43">
        <f t="shared" si="298"/>
        <v>149.09636496606291</v>
      </c>
      <c r="BF325" s="41" t="str">
        <f t="shared" si="299"/>
        <v>0,0245594701526799-0,0130318850553064i</v>
      </c>
      <c r="BG325" s="20">
        <f t="shared" si="300"/>
        <v>-31.118218531972133</v>
      </c>
      <c r="BH325" s="43">
        <f t="shared" si="301"/>
        <v>-27.951568783024392</v>
      </c>
      <c r="BI325" s="41" t="str">
        <f t="shared" si="306"/>
        <v>0,048665528796673+0,037113143006589i</v>
      </c>
      <c r="BJ325" s="20">
        <f t="shared" si="302"/>
        <v>-24.264647971510076</v>
      </c>
      <c r="BK325" s="43">
        <f t="shared" si="307"/>
        <v>37.329746926754886</v>
      </c>
      <c r="BL325">
        <f t="shared" si="303"/>
        <v>-31.118218531972133</v>
      </c>
      <c r="BM325" s="43">
        <f t="shared" si="304"/>
        <v>-27.951568783024392</v>
      </c>
    </row>
    <row r="326" spans="14:65" x14ac:dyDescent="0.35">
      <c r="N326" s="9">
        <v>8</v>
      </c>
      <c r="O326" s="34">
        <f t="shared" si="308"/>
        <v>12022.644346174151</v>
      </c>
      <c r="P326" s="33" t="str">
        <f t="shared" si="257"/>
        <v>59,1053597814893</v>
      </c>
      <c r="Q326" s="4" t="str">
        <f t="shared" si="258"/>
        <v>1+580,430313718734i</v>
      </c>
      <c r="R326" s="4">
        <f t="shared" si="270"/>
        <v>580.43117514794812</v>
      </c>
      <c r="S326" s="4">
        <f t="shared" si="271"/>
        <v>1.5690734687929089</v>
      </c>
      <c r="T326" s="4" t="str">
        <f t="shared" si="259"/>
        <v>1+0,0982026530021253i</v>
      </c>
      <c r="U326" s="4">
        <f t="shared" si="272"/>
        <v>1.004810310982454</v>
      </c>
      <c r="V326" s="4">
        <f t="shared" si="273"/>
        <v>9.7888786150901019E-2</v>
      </c>
      <c r="W326" t="str">
        <f t="shared" si="260"/>
        <v>1-3,62594411084771i</v>
      </c>
      <c r="X326" s="4">
        <f t="shared" si="274"/>
        <v>3.761312363390096</v>
      </c>
      <c r="Y326" s="4">
        <f t="shared" si="275"/>
        <v>-1.3016955837039255</v>
      </c>
      <c r="Z326" t="str">
        <f t="shared" si="261"/>
        <v>0,997013554192674+0,339245528552796i</v>
      </c>
      <c r="AA326" s="4">
        <f t="shared" si="276"/>
        <v>1.0531493511781576</v>
      </c>
      <c r="AB326" s="4">
        <f t="shared" si="277"/>
        <v>0.32797307186581998</v>
      </c>
      <c r="AC326" s="47" t="str">
        <f t="shared" si="278"/>
        <v>-0,365131379130127-0,0148834372930327i</v>
      </c>
      <c r="AD326" s="20">
        <f t="shared" si="279"/>
        <v>-8.7438069050801541</v>
      </c>
      <c r="AE326" s="43">
        <f t="shared" si="280"/>
        <v>-177.66580916858587</v>
      </c>
      <c r="AF326" t="str">
        <f t="shared" si="262"/>
        <v>405,634542683733</v>
      </c>
      <c r="AG326" t="str">
        <f t="shared" si="263"/>
        <v>1+581,463076986267i</v>
      </c>
      <c r="AH326">
        <f t="shared" si="281"/>
        <v>581.46393688545925</v>
      </c>
      <c r="AI326">
        <f t="shared" si="282"/>
        <v>1.569076528834068</v>
      </c>
      <c r="AJ326" t="str">
        <f t="shared" si="264"/>
        <v>1+0,0982026530021253i</v>
      </c>
      <c r="AK326">
        <f t="shared" si="283"/>
        <v>1.004810310982454</v>
      </c>
      <c r="AL326">
        <f t="shared" si="284"/>
        <v>9.7888786150901019E-2</v>
      </c>
      <c r="AM326" t="str">
        <f t="shared" si="265"/>
        <v>1-0,529273811603178i</v>
      </c>
      <c r="AN326">
        <f t="shared" si="285"/>
        <v>1.1314286401046052</v>
      </c>
      <c r="AO326">
        <f t="shared" si="286"/>
        <v>-0.48679147310594106</v>
      </c>
      <c r="AP326" s="41" t="str">
        <f t="shared" si="287"/>
        <v>-0,299456620674418-0,734384202028372i</v>
      </c>
      <c r="AQ326">
        <f t="shared" si="288"/>
        <v>-2.0135320463408837</v>
      </c>
      <c r="AR326" s="43">
        <f t="shared" si="289"/>
        <v>-112.18394543905052</v>
      </c>
      <c r="AS326" t="str">
        <f t="shared" si="266"/>
        <v>-0,0000166666666666667</v>
      </c>
      <c r="AT326" t="str">
        <f t="shared" si="267"/>
        <v>0,016732221261516i</v>
      </c>
      <c r="AU326">
        <f t="shared" si="290"/>
        <v>1.6732221261515998E-2</v>
      </c>
      <c r="AV326">
        <f t="shared" si="291"/>
        <v>1.5707963267948966</v>
      </c>
      <c r="AW326" t="str">
        <f t="shared" si="268"/>
        <v>1+0,596480083697577i</v>
      </c>
      <c r="AX326">
        <f t="shared" si="292"/>
        <v>1.1643833089871516</v>
      </c>
      <c r="AY326">
        <f t="shared" si="293"/>
        <v>0.53782730688773028</v>
      </c>
      <c r="AZ326" t="str">
        <f t="shared" si="269"/>
        <v>1+88,0802256926754i</v>
      </c>
      <c r="BA326">
        <f t="shared" si="294"/>
        <v>88.085902152799875</v>
      </c>
      <c r="BB326">
        <f t="shared" si="295"/>
        <v>1.5594435284822539</v>
      </c>
      <c r="BC326" s="41" t="str">
        <f t="shared" si="296"/>
        <v>-0,0642732968116633+0,0393338235960949i</v>
      </c>
      <c r="BD326">
        <f t="shared" si="297"/>
        <v>-22.457888280603274</v>
      </c>
      <c r="BE326" s="43">
        <f t="shared" si="298"/>
        <v>148.53429777946803</v>
      </c>
      <c r="BF326" s="41" t="str">
        <f t="shared" si="299"/>
        <v>0,0240536200030703-0,0134054056733904i</v>
      </c>
      <c r="BG326" s="20">
        <f t="shared" si="300"/>
        <v>-31.20169518568343</v>
      </c>
      <c r="BH326" s="43">
        <f t="shared" si="301"/>
        <v>-29.131511389117829</v>
      </c>
      <c r="BI326" s="41" t="str">
        <f t="shared" si="306"/>
        <v>0,0481332029171674+0,0354225198984758i</v>
      </c>
      <c r="BJ326" s="20">
        <f t="shared" si="302"/>
        <v>-24.471420326944163</v>
      </c>
      <c r="BK326" s="43">
        <f t="shared" si="307"/>
        <v>36.350352340417551</v>
      </c>
      <c r="BL326">
        <f t="shared" si="303"/>
        <v>-31.20169518568343</v>
      </c>
      <c r="BM326" s="43">
        <f t="shared" si="304"/>
        <v>-29.131511389117829</v>
      </c>
    </row>
    <row r="327" spans="14:65" x14ac:dyDescent="0.35">
      <c r="N327" s="9">
        <v>9</v>
      </c>
      <c r="O327" s="34">
        <f t="shared" si="308"/>
        <v>12302.687708123816</v>
      </c>
      <c r="P327" s="33" t="str">
        <f t="shared" si="257"/>
        <v>59,1053597814893</v>
      </c>
      <c r="Q327" s="4" t="str">
        <f t="shared" si="258"/>
        <v>1+593,9502725357i</v>
      </c>
      <c r="R327" s="4">
        <f t="shared" si="270"/>
        <v>593.95111435641934</v>
      </c>
      <c r="S327" s="4">
        <f t="shared" si="271"/>
        <v>1.5691126857539586</v>
      </c>
      <c r="T327" s="4" t="str">
        <f t="shared" si="259"/>
        <v>1+0,100490086640453i</v>
      </c>
      <c r="U327" s="4">
        <f t="shared" si="272"/>
        <v>1.0050364458630372</v>
      </c>
      <c r="V327" s="4">
        <f t="shared" si="273"/>
        <v>0.10015386320647271</v>
      </c>
      <c r="W327" t="str">
        <f t="shared" si="260"/>
        <v>1-3,71040319903213i</v>
      </c>
      <c r="X327" s="4">
        <f t="shared" si="274"/>
        <v>3.8427974054571057</v>
      </c>
      <c r="Y327" s="4">
        <f t="shared" si="275"/>
        <v>-1.3075389346400315</v>
      </c>
      <c r="Z327" t="str">
        <f t="shared" si="261"/>
        <v>0,996872807337942+0,347147572030657i</v>
      </c>
      <c r="AA327" s="4">
        <f t="shared" si="276"/>
        <v>1.0555883813194469</v>
      </c>
      <c r="AB327" s="4">
        <f t="shared" si="277"/>
        <v>0.33510297636223196</v>
      </c>
      <c r="AC327" s="47" t="str">
        <f t="shared" si="278"/>
        <v>-0,363928029244913-0,0109181742379175i</v>
      </c>
      <c r="AD327" s="20">
        <f t="shared" si="279"/>
        <v>-8.7757827560542996</v>
      </c>
      <c r="AE327" s="43">
        <f t="shared" si="280"/>
        <v>-178.28158956221162</v>
      </c>
      <c r="AF327" t="str">
        <f t="shared" si="262"/>
        <v>405,634542683733</v>
      </c>
      <c r="AG327" t="str">
        <f t="shared" si="263"/>
        <v>1+595,007091950052i</v>
      </c>
      <c r="AH327">
        <f t="shared" si="281"/>
        <v>595.00793227557699</v>
      </c>
      <c r="AI327">
        <f t="shared" si="282"/>
        <v>1.5691156761404756</v>
      </c>
      <c r="AJ327" t="str">
        <f t="shared" si="264"/>
        <v>1+0,100490086640453i</v>
      </c>
      <c r="AK327">
        <f t="shared" si="283"/>
        <v>1.0050364458630372</v>
      </c>
      <c r="AL327">
        <f t="shared" si="284"/>
        <v>0.10015386320647271</v>
      </c>
      <c r="AM327" t="str">
        <f t="shared" si="265"/>
        <v>1-0,541602182411256i</v>
      </c>
      <c r="AN327">
        <f t="shared" si="285"/>
        <v>1.1372479606456261</v>
      </c>
      <c r="AO327">
        <f t="shared" si="286"/>
        <v>-0.49637289577511573</v>
      </c>
      <c r="AP327" s="41" t="str">
        <f t="shared" si="287"/>
        <v>-0,299510658016154-0,719337606014761i</v>
      </c>
      <c r="AQ327">
        <f t="shared" si="288"/>
        <v>-2.1670169331510705</v>
      </c>
      <c r="AR327" s="43">
        <f t="shared" si="289"/>
        <v>-112.60538413960559</v>
      </c>
      <c r="AS327" t="str">
        <f t="shared" si="266"/>
        <v>-0,0000166666666666667</v>
      </c>
      <c r="AT327" t="str">
        <f t="shared" si="267"/>
        <v>0,0171219647622003i</v>
      </c>
      <c r="AU327">
        <f t="shared" si="290"/>
        <v>1.7121964762200299E-2</v>
      </c>
      <c r="AV327">
        <f t="shared" si="291"/>
        <v>1.5707963267948966</v>
      </c>
      <c r="AW327" t="str">
        <f t="shared" si="268"/>
        <v>1+0,610373889682768i</v>
      </c>
      <c r="AX327">
        <f t="shared" si="292"/>
        <v>1.171561473080466</v>
      </c>
      <c r="AY327">
        <f t="shared" si="293"/>
        <v>0.54801246290713668</v>
      </c>
      <c r="AZ327" t="str">
        <f t="shared" si="269"/>
        <v>1+90,1318777098219i</v>
      </c>
      <c r="BA327">
        <f t="shared" si="294"/>
        <v>90.137424965983399</v>
      </c>
      <c r="BB327">
        <f t="shared" si="295"/>
        <v>1.559701928270069</v>
      </c>
      <c r="BC327" s="41" t="str">
        <f t="shared" si="296"/>
        <v>-0,0634881039027335+0,0397248894645157i</v>
      </c>
      <c r="BD327">
        <f t="shared" si="297"/>
        <v>-22.511295673631714</v>
      </c>
      <c r="BE327" s="43">
        <f t="shared" si="298"/>
        <v>147.96553654314272</v>
      </c>
      <c r="BF327" s="41" t="str">
        <f t="shared" si="299"/>
        <v>0,0235388237985737-0,0137638265543482i</v>
      </c>
      <c r="BG327" s="20">
        <f t="shared" si="300"/>
        <v>-31.287078429685998</v>
      </c>
      <c r="BH327" s="43">
        <f t="shared" si="301"/>
        <v>-30.316053019068935</v>
      </c>
      <c r="BI327" s="41" t="str">
        <f t="shared" si="306"/>
        <v>0,0475909706627114+0,0337713528886726i</v>
      </c>
      <c r="BJ327" s="20">
        <f t="shared" si="302"/>
        <v>-24.678312606782789</v>
      </c>
      <c r="BK327" s="43">
        <f t="shared" si="307"/>
        <v>35.360152403537107</v>
      </c>
      <c r="BL327">
        <f t="shared" si="303"/>
        <v>-31.287078429685998</v>
      </c>
      <c r="BM327" s="43">
        <f t="shared" si="304"/>
        <v>-30.316053019068935</v>
      </c>
    </row>
    <row r="328" spans="14:65" x14ac:dyDescent="0.35">
      <c r="N328" s="9">
        <v>10</v>
      </c>
      <c r="O328" s="34">
        <f t="shared" si="308"/>
        <v>12589.254117941671</v>
      </c>
      <c r="P328" s="33" t="str">
        <f t="shared" si="257"/>
        <v>59,1053597814893</v>
      </c>
      <c r="Q328" s="4" t="str">
        <f t="shared" si="258"/>
        <v>1+607,785151649026i</v>
      </c>
      <c r="R328" s="4">
        <f t="shared" si="270"/>
        <v>607.7859743075926</v>
      </c>
      <c r="S328" s="4">
        <f t="shared" si="271"/>
        <v>1.5691510100329933</v>
      </c>
      <c r="T328" s="4" t="str">
        <f t="shared" si="259"/>
        <v>1+0,102830801452862i</v>
      </c>
      <c r="U328" s="4">
        <f t="shared" si="272"/>
        <v>1.0052731836309163</v>
      </c>
      <c r="V328" s="4">
        <f t="shared" si="273"/>
        <v>0.10247063354002939</v>
      </c>
      <c r="W328" t="str">
        <f t="shared" si="260"/>
        <v>1-3,79682959210566i</v>
      </c>
      <c r="X328" s="4">
        <f t="shared" si="274"/>
        <v>3.926310603032984</v>
      </c>
      <c r="Y328" s="4">
        <f t="shared" si="275"/>
        <v>-1.3132671141817853</v>
      </c>
      <c r="Z328" t="str">
        <f t="shared" si="261"/>
        <v>0,996725427288303+0,355233677746249i</v>
      </c>
      <c r="AA328" s="4">
        <f t="shared" si="276"/>
        <v>1.0581363537881949</v>
      </c>
      <c r="AB328" s="4">
        <f t="shared" si="277"/>
        <v>0.34236561664721138</v>
      </c>
      <c r="AC328" s="47" t="str">
        <f t="shared" si="278"/>
        <v>-0,362679148703697-0,00699315590340689i</v>
      </c>
      <c r="AD328" s="20">
        <f t="shared" si="279"/>
        <v>-8.8079338701857619</v>
      </c>
      <c r="AE328" s="43">
        <f t="shared" si="280"/>
        <v>-178.895363367926</v>
      </c>
      <c r="AF328" t="str">
        <f t="shared" si="262"/>
        <v>405,634542683733</v>
      </c>
      <c r="AG328" t="str">
        <f t="shared" si="263"/>
        <v>1+608,866587549838i</v>
      </c>
      <c r="AH328">
        <f t="shared" si="281"/>
        <v>608.86740874724478</v>
      </c>
      <c r="AI328">
        <f t="shared" si="282"/>
        <v>1.5691539323503751</v>
      </c>
      <c r="AJ328" t="str">
        <f t="shared" si="264"/>
        <v>1+0,102830801452862i</v>
      </c>
      <c r="AK328">
        <f t="shared" si="283"/>
        <v>1.0052731836309163</v>
      </c>
      <c r="AL328">
        <f t="shared" si="284"/>
        <v>0.10247063354002939</v>
      </c>
      <c r="AM328" t="str">
        <f t="shared" si="265"/>
        <v>1-0,554217717865401i</v>
      </c>
      <c r="AN328">
        <f t="shared" si="285"/>
        <v>1.1433097912621641</v>
      </c>
      <c r="AO328">
        <f t="shared" si="286"/>
        <v>-0.50607561386520683</v>
      </c>
      <c r="AP328" s="41" t="str">
        <f t="shared" si="287"/>
        <v>-0,299562263290309-0,70467240414431i</v>
      </c>
      <c r="AQ328">
        <f t="shared" si="288"/>
        <v>-2.318795526696185</v>
      </c>
      <c r="AR328" s="43">
        <f t="shared" si="289"/>
        <v>-113.03075969312651</v>
      </c>
      <c r="AS328" t="str">
        <f t="shared" si="266"/>
        <v>-0,0000166666666666667</v>
      </c>
      <c r="AT328" t="str">
        <f t="shared" si="267"/>
        <v>0,0175207865552376i</v>
      </c>
      <c r="AU328">
        <f t="shared" si="290"/>
        <v>1.7520786555237599E-2</v>
      </c>
      <c r="AV328">
        <f t="shared" si="291"/>
        <v>1.5707963267948966</v>
      </c>
      <c r="AW328" t="str">
        <f t="shared" si="268"/>
        <v>1+0,624591323983522i</v>
      </c>
      <c r="AX328">
        <f t="shared" si="292"/>
        <v>1.1790310945838065</v>
      </c>
      <c r="AY328">
        <f t="shared" si="293"/>
        <v>0.55830538198129309</v>
      </c>
      <c r="AZ328" t="str">
        <f t="shared" si="269"/>
        <v>1+92,2313188415666i</v>
      </c>
      <c r="BA328">
        <f t="shared" si="294"/>
        <v>92.2367398342695</v>
      </c>
      <c r="BB328">
        <f t="shared" si="295"/>
        <v>1.5599544475922824</v>
      </c>
      <c r="BC328" s="41" t="str">
        <f t="shared" si="296"/>
        <v>-0,0626862083705813+0,0401045129350652i</v>
      </c>
      <c r="BD328">
        <f t="shared" si="297"/>
        <v>-22.566523280970738</v>
      </c>
      <c r="BE328" s="43">
        <f t="shared" si="298"/>
        <v>147.39026401273236</v>
      </c>
      <c r="BF328" s="41" t="str">
        <f t="shared" si="299"/>
        <v>0,0230154377986901-0,0141066961823369i</v>
      </c>
      <c r="BG328" s="20">
        <f t="shared" si="300"/>
        <v>-31.374457151156502</v>
      </c>
      <c r="BH328" s="43">
        <f t="shared" si="301"/>
        <v>-31.5050993551936</v>
      </c>
      <c r="BI328" s="41" t="str">
        <f t="shared" si="306"/>
        <v>0,0470389660035682+0,0321594424962051i</v>
      </c>
      <c r="BJ328" s="20">
        <f t="shared" si="302"/>
        <v>-24.885318807666927</v>
      </c>
      <c r="BK328" s="43">
        <f t="shared" si="307"/>
        <v>34.359504319605875</v>
      </c>
      <c r="BL328">
        <f t="shared" si="303"/>
        <v>-31.374457151156502</v>
      </c>
      <c r="BM328" s="43">
        <f t="shared" si="304"/>
        <v>-31.5050993551936</v>
      </c>
    </row>
    <row r="329" spans="14:65" x14ac:dyDescent="0.35">
      <c r="N329" s="9">
        <v>11</v>
      </c>
      <c r="O329" s="34">
        <f t="shared" si="308"/>
        <v>12882.49551693136</v>
      </c>
      <c r="P329" s="33" t="str">
        <f t="shared" si="257"/>
        <v>59,1053597814893</v>
      </c>
      <c r="Q329" s="4" t="str">
        <f t="shared" si="258"/>
        <v>1+621,942286494744i</v>
      </c>
      <c r="R329" s="4">
        <f t="shared" si="270"/>
        <v>621.94309042733994</v>
      </c>
      <c r="S329" s="4">
        <f t="shared" si="271"/>
        <v>1.5691884619496026</v>
      </c>
      <c r="T329" s="4" t="str">
        <f t="shared" si="259"/>
        <v>1+0,105226038517327i</v>
      </c>
      <c r="U329" s="4">
        <f t="shared" si="272"/>
        <v>1.0055210187669128</v>
      </c>
      <c r="V329" s="4">
        <f t="shared" si="273"/>
        <v>0.10484022599866245</v>
      </c>
      <c r="W329" t="str">
        <f t="shared" si="260"/>
        <v>1-3,88526911448593i</v>
      </c>
      <c r="X329" s="4">
        <f t="shared" si="274"/>
        <v>4.011896819707391</v>
      </c>
      <c r="Y329" s="4">
        <f t="shared" si="275"/>
        <v>-1.3188816552427494</v>
      </c>
      <c r="Z329" t="str">
        <f t="shared" si="261"/>
        <v>0,996571101430914+0,363508133059857i</v>
      </c>
      <c r="AA329" s="4">
        <f t="shared" si="276"/>
        <v>1.0607978709480368</v>
      </c>
      <c r="AB329" s="4">
        <f t="shared" si="277"/>
        <v>0.34976204273321426</v>
      </c>
      <c r="AC329" s="47" t="str">
        <f t="shared" si="278"/>
        <v>-0,361383586557743-0,00310823556032337i</v>
      </c>
      <c r="AD329" s="20">
        <f t="shared" si="279"/>
        <v>-8.8403102633040085</v>
      </c>
      <c r="AE329" s="43">
        <f t="shared" si="280"/>
        <v>-179.50721506254123</v>
      </c>
      <c r="AF329" t="str">
        <f t="shared" si="262"/>
        <v>405,634542683733</v>
      </c>
      <c r="AG329" t="str">
        <f t="shared" si="263"/>
        <v>1+623,048912273646i</v>
      </c>
      <c r="AH329">
        <f t="shared" si="281"/>
        <v>623.04971477834204</v>
      </c>
      <c r="AI329">
        <f t="shared" si="282"/>
        <v>1.5691913177472667</v>
      </c>
      <c r="AJ329" t="str">
        <f t="shared" si="264"/>
        <v>1+0,105226038517327i</v>
      </c>
      <c r="AK329">
        <f t="shared" si="283"/>
        <v>1.0055210187669128</v>
      </c>
      <c r="AL329">
        <f t="shared" si="284"/>
        <v>0.10484022599866245</v>
      </c>
      <c r="AM329" t="str">
        <f t="shared" si="265"/>
        <v>1-0,567127106889498i</v>
      </c>
      <c r="AN329">
        <f t="shared" si="285"/>
        <v>1.149623049250863</v>
      </c>
      <c r="AO329">
        <f t="shared" si="286"/>
        <v>-0.51589746360509425</v>
      </c>
      <c r="AP329" s="41" t="str">
        <f t="shared" si="287"/>
        <v>-0,299611545956775-0,690380821278652i</v>
      </c>
      <c r="AQ329">
        <f t="shared" si="288"/>
        <v>-2.4688230912451874</v>
      </c>
      <c r="AR329" s="43">
        <f t="shared" si="289"/>
        <v>-113.45988460864524</v>
      </c>
      <c r="AS329" t="str">
        <f t="shared" si="266"/>
        <v>-0,0000166666666666667</v>
      </c>
      <c r="AT329" t="str">
        <f t="shared" si="267"/>
        <v>0,0179288981012215i</v>
      </c>
      <c r="AU329">
        <f t="shared" si="290"/>
        <v>1.7928898101221499E-2</v>
      </c>
      <c r="AV329">
        <f t="shared" si="291"/>
        <v>1.5707963267948966</v>
      </c>
      <c r="AW329" t="str">
        <f t="shared" si="268"/>
        <v>1+0,639139924871697i</v>
      </c>
      <c r="AX329">
        <f t="shared" si="292"/>
        <v>1.1868023607850628</v>
      </c>
      <c r="AY329">
        <f t="shared" si="293"/>
        <v>0.5687027973637514</v>
      </c>
      <c r="AZ329" t="str">
        <f t="shared" si="269"/>
        <v>1+94,3796622393872i</v>
      </c>
      <c r="BA329">
        <f t="shared" si="294"/>
        <v>94.384959842237635</v>
      </c>
      <c r="BB329">
        <f t="shared" si="295"/>
        <v>1.5602012202090896</v>
      </c>
      <c r="BC329" s="41" t="str">
        <f t="shared" si="296"/>
        <v>-0,0618679486871503+0,0404718740117048i</v>
      </c>
      <c r="BD329">
        <f t="shared" si="297"/>
        <v>-22.623609109296957</v>
      </c>
      <c r="BE329" s="43">
        <f t="shared" si="298"/>
        <v>146.80867502291539</v>
      </c>
      <c r="BF329" s="41" t="str">
        <f t="shared" si="299"/>
        <v>0,0224838573075289-0,0144335708269093i</v>
      </c>
      <c r="BG329" s="20">
        <f t="shared" si="300"/>
        <v>-31.463919372600969</v>
      </c>
      <c r="BH329" s="43">
        <f t="shared" si="301"/>
        <v>-32.698540039625783</v>
      </c>
      <c r="BI329" s="41" t="str">
        <f t="shared" si="306"/>
        <v>0,0464773573702184+0,0305866044850456i</v>
      </c>
      <c r="BJ329" s="20">
        <f t="shared" si="302"/>
        <v>-25.092432200542156</v>
      </c>
      <c r="BK329" s="43">
        <f t="shared" si="307"/>
        <v>33.348790414270141</v>
      </c>
      <c r="BL329">
        <f t="shared" si="303"/>
        <v>-31.463919372600969</v>
      </c>
      <c r="BM329" s="43">
        <f t="shared" si="304"/>
        <v>-32.698540039625783</v>
      </c>
    </row>
    <row r="330" spans="14:65" x14ac:dyDescent="0.35">
      <c r="N330" s="9">
        <v>12</v>
      </c>
      <c r="O330" s="34">
        <f t="shared" si="308"/>
        <v>13182.567385564091</v>
      </c>
      <c r="P330" s="33" t="str">
        <f t="shared" si="257"/>
        <v>59,1053597814893</v>
      </c>
      <c r="Q330" s="4" t="str">
        <f t="shared" si="258"/>
        <v>1+636,429183373141i</v>
      </c>
      <c r="R330" s="4">
        <f t="shared" si="270"/>
        <v>636.42996900601975</v>
      </c>
      <c r="S330" s="4">
        <f t="shared" si="271"/>
        <v>1.5692250613608676</v>
      </c>
      <c r="T330" s="4" t="str">
        <f t="shared" si="259"/>
        <v>1+0,107677067820245i</v>
      </c>
      <c r="U330" s="4">
        <f t="shared" si="272"/>
        <v>1.0057804685588032</v>
      </c>
      <c r="V330" s="4">
        <f t="shared" si="273"/>
        <v>0.10726379047200497</v>
      </c>
      <c r="W330" t="str">
        <f t="shared" si="260"/>
        <v>1-3,9757686579783i</v>
      </c>
      <c r="X330" s="4">
        <f t="shared" si="274"/>
        <v>4.0996019833347939</v>
      </c>
      <c r="Y330" s="4">
        <f t="shared" si="275"/>
        <v>-1.3243841182361822</v>
      </c>
      <c r="Z330" t="str">
        <f t="shared" si="261"/>
        <v>0,996409502419939+0,371975325197211i</v>
      </c>
      <c r="AA330" s="4">
        <f t="shared" si="276"/>
        <v>1.0635777071132702</v>
      </c>
      <c r="AB330" s="4">
        <f t="shared" si="277"/>
        <v>0.35729321924432422</v>
      </c>
      <c r="AC330" s="47" t="str">
        <f t="shared" si="278"/>
        <v>-0,360040205346559+0,000736627006791928i</v>
      </c>
      <c r="AD330" s="20">
        <f t="shared" si="279"/>
        <v>-8.8729618061970115</v>
      </c>
      <c r="AE330" s="43">
        <f t="shared" si="280"/>
        <v>179.88277542605567</v>
      </c>
      <c r="AF330" t="str">
        <f t="shared" si="262"/>
        <v>405,634542683733</v>
      </c>
      <c r="AG330" t="str">
        <f t="shared" si="263"/>
        <v>1+637,561585777769i</v>
      </c>
      <c r="AH330">
        <f t="shared" si="281"/>
        <v>637.56237001525074</v>
      </c>
      <c r="AI330">
        <f t="shared" si="282"/>
        <v>1.5692278521529648</v>
      </c>
      <c r="AJ330" t="str">
        <f t="shared" si="264"/>
        <v>1+0,107677067820245i</v>
      </c>
      <c r="AK330">
        <f t="shared" si="283"/>
        <v>1.0057804685588032</v>
      </c>
      <c r="AL330">
        <f t="shared" si="284"/>
        <v>0.10726379047200497</v>
      </c>
      <c r="AM330" t="str">
        <f t="shared" si="265"/>
        <v>1-0,580337194212481i</v>
      </c>
      <c r="AN330">
        <f t="shared" si="285"/>
        <v>1.1561968945583685</v>
      </c>
      <c r="AO330">
        <f t="shared" si="286"/>
        <v>-0.52583607196119719</v>
      </c>
      <c r="AP330" s="41" t="str">
        <f t="shared" si="287"/>
        <v>-0,299658610549041-0,676455280340735i</v>
      </c>
      <c r="AQ330">
        <f t="shared" si="288"/>
        <v>-2.6170549779833987</v>
      </c>
      <c r="AR330" s="43">
        <f t="shared" si="289"/>
        <v>-113.89255817323661</v>
      </c>
      <c r="AS330" t="str">
        <f t="shared" si="266"/>
        <v>-0,0000166666666666667</v>
      </c>
      <c r="AT330" t="str">
        <f t="shared" si="267"/>
        <v>0,0183465157862957i</v>
      </c>
      <c r="AU330">
        <f t="shared" si="290"/>
        <v>1.8346515786295699E-2</v>
      </c>
      <c r="AV330">
        <f t="shared" si="291"/>
        <v>1.5707963267948966</v>
      </c>
      <c r="AW330" t="str">
        <f t="shared" si="268"/>
        <v>1+0,654027406208055i</v>
      </c>
      <c r="AX330">
        <f t="shared" si="292"/>
        <v>1.1948857050242236</v>
      </c>
      <c r="AY330">
        <f t="shared" si="293"/>
        <v>0.57920122939339846</v>
      </c>
      <c r="AZ330" t="str">
        <f t="shared" si="269"/>
        <v>1+96,5780469833894i</v>
      </c>
      <c r="BA330">
        <f t="shared" si="294"/>
        <v>96.583224004615673</v>
      </c>
      <c r="BB330">
        <f t="shared" si="295"/>
        <v>1.5604423768423084</v>
      </c>
      <c r="BC330" s="41" t="str">
        <f t="shared" si="296"/>
        <v>-0,0610337126618031+0,0408261584868671i</v>
      </c>
      <c r="BD330">
        <f t="shared" si="297"/>
        <v>-22.682590329651795</v>
      </c>
      <c r="BE330" s="43">
        <f t="shared" si="298"/>
        <v>146.22097643339663</v>
      </c>
      <c r="BF330" s="41" t="str">
        <f t="shared" si="299"/>
        <v>0,0219445167888935-0,0147440175661943i</v>
      </c>
      <c r="BG330" s="20">
        <f t="shared" si="300"/>
        <v>-31.555552135848792</v>
      </c>
      <c r="BH330" s="43">
        <f t="shared" si="301"/>
        <v>-33.896248140547733</v>
      </c>
      <c r="BI330" s="41" t="str">
        <f t="shared" si="306"/>
        <v>0,0459063480173543+0,0290526672826464i</v>
      </c>
      <c r="BJ330" s="20">
        <f t="shared" si="302"/>
        <v>-25.299645307635188</v>
      </c>
      <c r="BK330" s="43">
        <f t="shared" si="307"/>
        <v>32.32841826016007</v>
      </c>
      <c r="BL330">
        <f t="shared" si="303"/>
        <v>-31.555552135848792</v>
      </c>
      <c r="BM330" s="43">
        <f t="shared" si="304"/>
        <v>-33.896248140547733</v>
      </c>
    </row>
    <row r="331" spans="14:65" x14ac:dyDescent="0.35">
      <c r="N331" s="9">
        <v>13</v>
      </c>
      <c r="O331" s="34">
        <f t="shared" si="308"/>
        <v>13489.628825916556</v>
      </c>
      <c r="P331" s="33" t="str">
        <f t="shared" si="257"/>
        <v>59,1053597814893</v>
      </c>
      <c r="Q331" s="4" t="str">
        <f t="shared" si="258"/>
        <v>1+651,253523428698i</v>
      </c>
      <c r="R331" s="4">
        <f t="shared" si="270"/>
        <v>651.25429117841043</v>
      </c>
      <c r="S331" s="4">
        <f t="shared" si="271"/>
        <v>1.5692608276718885</v>
      </c>
      <c r="T331" s="4" t="str">
        <f t="shared" si="259"/>
        <v>1+0,110185188929797i</v>
      </c>
      <c r="U331" s="4">
        <f t="shared" si="272"/>
        <v>1.0060520741291155</v>
      </c>
      <c r="V331" s="4">
        <f t="shared" si="273"/>
        <v>0.10974249802230214</v>
      </c>
      <c r="W331" t="str">
        <f t="shared" si="260"/>
        <v>1-4,06837620663865i</v>
      </c>
      <c r="X331" s="4">
        <f t="shared" si="274"/>
        <v>4.1894731123070219</v>
      </c>
      <c r="Y331" s="4">
        <f t="shared" si="275"/>
        <v>-1.3297760872880935</v>
      </c>
      <c r="Z331" t="str">
        <f t="shared" si="261"/>
        <v>0,996240287482211+0,380639743575661i</v>
      </c>
      <c r="AA331" s="4">
        <f t="shared" si="276"/>
        <v>1.0664808131382315</v>
      </c>
      <c r="AB331" s="4">
        <f t="shared" si="277"/>
        <v>0.36496001913200543</v>
      </c>
      <c r="AC331" s="47" t="str">
        <f t="shared" si="278"/>
        <v>-0,358647885707476+0,00454136420991187i</v>
      </c>
      <c r="AD331" s="20">
        <f t="shared" si="279"/>
        <v>-8.9059382185579103</v>
      </c>
      <c r="AE331" s="43">
        <f t="shared" si="280"/>
        <v>179.27453330278954</v>
      </c>
      <c r="AF331" t="str">
        <f t="shared" si="262"/>
        <v>405,634542683733</v>
      </c>
      <c r="AG331" t="str">
        <f t="shared" si="263"/>
        <v>1+652,412302873796i</v>
      </c>
      <c r="AH331">
        <f t="shared" si="281"/>
        <v>652.41306925987453</v>
      </c>
      <c r="AI331">
        <f t="shared" si="282"/>
        <v>1.5692635549381042</v>
      </c>
      <c r="AJ331" t="str">
        <f t="shared" si="264"/>
        <v>1+0,110185188929797i</v>
      </c>
      <c r="AK331">
        <f t="shared" si="283"/>
        <v>1.0060520741291155</v>
      </c>
      <c r="AL331">
        <f t="shared" si="284"/>
        <v>0.10974249802230214</v>
      </c>
      <c r="AM331" t="str">
        <f t="shared" si="265"/>
        <v>1-0,593854983997507i</v>
      </c>
      <c r="AN331">
        <f t="shared" si="285"/>
        <v>1.163040731023071</v>
      </c>
      <c r="AO331">
        <f t="shared" si="286"/>
        <v>-0.5358888543207222</v>
      </c>
      <c r="AP331" s="41" t="str">
        <f t="shared" si="287"/>
        <v>-0,299703556895905-0,662888398299788i</v>
      </c>
      <c r="AQ331">
        <f t="shared" si="288"/>
        <v>-2.7634467178506306</v>
      </c>
      <c r="AR331" s="43">
        <f t="shared" si="289"/>
        <v>-114.32856631242703</v>
      </c>
      <c r="AS331" t="str">
        <f t="shared" si="266"/>
        <v>-0,0000166666666666667</v>
      </c>
      <c r="AT331" t="str">
        <f t="shared" si="267"/>
        <v>0,0187738610368846i</v>
      </c>
      <c r="AU331">
        <f t="shared" si="290"/>
        <v>1.8773861036884599E-2</v>
      </c>
      <c r="AV331">
        <f t="shared" si="291"/>
        <v>1.5707963267948966</v>
      </c>
      <c r="AW331" t="str">
        <f t="shared" si="268"/>
        <v>1+0,669261661532261i</v>
      </c>
      <c r="AX331">
        <f t="shared" si="292"/>
        <v>1.2032918065028626</v>
      </c>
      <c r="AY331">
        <f t="shared" si="293"/>
        <v>0.58979698741085007</v>
      </c>
      <c r="AZ331" t="str">
        <f t="shared" si="269"/>
        <v>1+98,8276386862638i</v>
      </c>
      <c r="BA331">
        <f t="shared" si="294"/>
        <v>98.832697870202381</v>
      </c>
      <c r="BB331">
        <f t="shared" si="295"/>
        <v>1.5606780452441147</v>
      </c>
      <c r="BC331" s="41" t="str">
        <f t="shared" si="296"/>
        <v>-0,0601839379078961+0,0411665614184949i</v>
      </c>
      <c r="BD331">
        <f t="shared" si="297"/>
        <v>-22.7435031637213</v>
      </c>
      <c r="BE331" s="43">
        <f t="shared" si="298"/>
        <v>145.62738702304287</v>
      </c>
      <c r="BF331" s="41" t="str">
        <f t="shared" si="299"/>
        <v>0,0213978897355459-0,0150376173962166i</v>
      </c>
      <c r="BG331" s="20">
        <f t="shared" si="300"/>
        <v>-31.6494413822792</v>
      </c>
      <c r="BH331" s="43">
        <f t="shared" si="301"/>
        <v>-35.098079674167522</v>
      </c>
      <c r="BI331" s="41" t="str">
        <f t="shared" si="306"/>
        <v>0,0453261762212147+0,0275574693208425i</v>
      </c>
      <c r="BJ331" s="20">
        <f t="shared" si="302"/>
        <v>-25.506949881571927</v>
      </c>
      <c r="BK331" s="43">
        <f t="shared" si="307"/>
        <v>31.298820710615839</v>
      </c>
      <c r="BL331">
        <f t="shared" si="303"/>
        <v>-31.6494413822792</v>
      </c>
      <c r="BM331" s="43">
        <f t="shared" si="304"/>
        <v>-35.098079674167522</v>
      </c>
    </row>
    <row r="332" spans="14:65" x14ac:dyDescent="0.35">
      <c r="N332" s="9">
        <v>14</v>
      </c>
      <c r="O332" s="34">
        <f t="shared" si="308"/>
        <v>13803.842646028841</v>
      </c>
      <c r="P332" s="33" t="str">
        <f t="shared" si="257"/>
        <v>59,1053597814893</v>
      </c>
      <c r="Q332" s="4" t="str">
        <f t="shared" si="258"/>
        <v>1+666,423166722736i</v>
      </c>
      <c r="R332" s="4">
        <f t="shared" si="270"/>
        <v>666.42391699635118</v>
      </c>
      <c r="S332" s="4">
        <f t="shared" si="271"/>
        <v>1.5692957798460705</v>
      </c>
      <c r="T332" s="4" t="str">
        <f t="shared" si="259"/>
        <v>1+0,112751731684992i</v>
      </c>
      <c r="U332" s="4">
        <f t="shared" si="272"/>
        <v>1.0063364015069536</v>
      </c>
      <c r="V332" s="4">
        <f t="shared" si="273"/>
        <v>0.11227754099359966</v>
      </c>
      <c r="W332" t="str">
        <f t="shared" si="260"/>
        <v>1-4,16314086221508i</v>
      </c>
      <c r="X332" s="4">
        <f t="shared" si="274"/>
        <v>4.281558342314737</v>
      </c>
      <c r="Y332" s="4">
        <f t="shared" si="275"/>
        <v>-1.3350591666538323</v>
      </c>
      <c r="Z332" t="str">
        <f t="shared" si="261"/>
        <v>0,996063097690159+0,389505982184516i</v>
      </c>
      <c r="AA332" s="4">
        <f t="shared" si="276"/>
        <v>1.0695123209844941</v>
      </c>
      <c r="AB332" s="4">
        <f t="shared" si="277"/>
        <v>0.37276321724863265</v>
      </c>
      <c r="AC332" s="47" t="str">
        <f t="shared" si="278"/>
        <v>-0,357205531284664+0,00830579957066407i</v>
      </c>
      <c r="AD332" s="20">
        <f t="shared" si="279"/>
        <v>-8.9392890602032775</v>
      </c>
      <c r="AE332" s="43">
        <f t="shared" si="280"/>
        <v>178.66798948458705</v>
      </c>
      <c r="AF332" t="str">
        <f t="shared" si="262"/>
        <v>405,634542683733</v>
      </c>
      <c r="AG332" t="str">
        <f t="shared" si="263"/>
        <v>1+667,608937608503i</v>
      </c>
      <c r="AH332">
        <f t="shared" si="281"/>
        <v>667.60968654952421</v>
      </c>
      <c r="AI332">
        <f t="shared" si="282"/>
        <v>1.5692984450324103</v>
      </c>
      <c r="AJ332" t="str">
        <f t="shared" si="264"/>
        <v>1+0,112751731684992i</v>
      </c>
      <c r="AK332">
        <f t="shared" si="283"/>
        <v>1.0063364015069536</v>
      </c>
      <c r="AL332">
        <f t="shared" si="284"/>
        <v>0.11227754099359966</v>
      </c>
      <c r="AM332" t="str">
        <f t="shared" si="265"/>
        <v>1-0,607687643555647i</v>
      </c>
      <c r="AN332">
        <f t="shared" si="285"/>
        <v>1.1701642073359684</v>
      </c>
      <c r="AO332">
        <f t="shared" si="286"/>
        <v>-0.54605301289342212</v>
      </c>
      <c r="AP332" s="41" t="str">
        <f t="shared" si="287"/>
        <v>-0,299746480333223-0,649672982259005i</v>
      </c>
      <c r="AQ332">
        <f t="shared" si="288"/>
        <v>-2.9079541175302963</v>
      </c>
      <c r="AR332" s="43">
        <f t="shared" si="289"/>
        <v>-114.76768149295545</v>
      </c>
      <c r="AS332" t="str">
        <f t="shared" si="266"/>
        <v>-0,0000166666666666667</v>
      </c>
      <c r="AT332" t="str">
        <f t="shared" si="267"/>
        <v>0,0192111604370966i</v>
      </c>
      <c r="AU332">
        <f t="shared" si="290"/>
        <v>1.92111604370966E-2</v>
      </c>
      <c r="AV332">
        <f t="shared" si="291"/>
        <v>1.5707963267948966</v>
      </c>
      <c r="AW332" t="str">
        <f t="shared" si="268"/>
        <v>1+0,684850768248136i</v>
      </c>
      <c r="AX332">
        <f t="shared" si="292"/>
        <v>1.2120315898399934</v>
      </c>
      <c r="AY332">
        <f t="shared" si="293"/>
        <v>0.60048617261015158</v>
      </c>
      <c r="AZ332" t="str">
        <f t="shared" si="269"/>
        <v>1+101,129630111308i</v>
      </c>
      <c r="BA332">
        <f t="shared" si="294"/>
        <v>101.13457413985572</v>
      </c>
      <c r="BB332">
        <f t="shared" si="295"/>
        <v>1.5609083502642431</v>
      </c>
      <c r="BC332" s="41" t="str">
        <f t="shared" si="296"/>
        <v>-0,0593191120288961+0,0414922907164156i</v>
      </c>
      <c r="BD332">
        <f t="shared" si="297"/>
        <v>-22.80638276935931</v>
      </c>
      <c r="BE332" s="43">
        <f t="shared" si="298"/>
        <v>145.02813733034313</v>
      </c>
      <c r="BF332" s="41" t="str">
        <f t="shared" si="299"/>
        <v>0,0208444882771981-0,0153139684047967i</v>
      </c>
      <c r="BG332" s="20">
        <f t="shared" si="300"/>
        <v>-31.745671829562589</v>
      </c>
      <c r="BH332" s="43">
        <f t="shared" si="301"/>
        <v>-36.303873185069698</v>
      </c>
      <c r="BI332" s="41" t="str">
        <f t="shared" si="306"/>
        <v>0,0447371152976451+0,0261008563135605i</v>
      </c>
      <c r="BJ332" s="20">
        <f t="shared" si="302"/>
        <v>-25.714336886889608</v>
      </c>
      <c r="BK332" s="43">
        <f t="shared" si="307"/>
        <v>30.260455837387671</v>
      </c>
      <c r="BL332">
        <f t="shared" si="303"/>
        <v>-31.745671829562589</v>
      </c>
      <c r="BM332" s="43">
        <f t="shared" si="304"/>
        <v>-36.303873185069698</v>
      </c>
    </row>
    <row r="333" spans="14:65" x14ac:dyDescent="0.35">
      <c r="N333" s="9">
        <v>15</v>
      </c>
      <c r="O333" s="34">
        <f t="shared" si="308"/>
        <v>14125.375446227561</v>
      </c>
      <c r="P333" s="33" t="str">
        <f t="shared" si="257"/>
        <v>59,1053597814893</v>
      </c>
      <c r="Q333" s="4" t="str">
        <f t="shared" si="258"/>
        <v>1+681,946156400925i</v>
      </c>
      <c r="R333" s="4">
        <f t="shared" si="270"/>
        <v>681.94688959624625</v>
      </c>
      <c r="S333" s="4">
        <f t="shared" si="271"/>
        <v>1.5693299364151772</v>
      </c>
      <c r="T333" s="4" t="str">
        <f t="shared" si="259"/>
        <v>1+0,115378056900772i</v>
      </c>
      <c r="U333" s="4">
        <f t="shared" si="272"/>
        <v>1.006634042745524</v>
      </c>
      <c r="V333" s="4">
        <f t="shared" si="273"/>
        <v>0.114870133098083</v>
      </c>
      <c r="W333" t="str">
        <f t="shared" si="260"/>
        <v>1-4,26011287018236i</v>
      </c>
      <c r="X333" s="4">
        <f t="shared" si="274"/>
        <v>4.3759069536146891</v>
      </c>
      <c r="Y333" s="4">
        <f t="shared" si="275"/>
        <v>-1.3402349773338904</v>
      </c>
      <c r="Z333" t="str">
        <f t="shared" si="261"/>
        <v>0,995877557200478+0,398578742020849i</v>
      </c>
      <c r="AA333" s="4">
        <f t="shared" si="276"/>
        <v>1.072677548253208</v>
      </c>
      <c r="AB333" s="4">
        <f t="shared" si="277"/>
        <v>0.38070348379729785</v>
      </c>
      <c r="AC333" s="47" t="str">
        <f t="shared" si="278"/>
        <v>-0,355712073935066+0,0120296468692633i</v>
      </c>
      <c r="AD333" s="20">
        <f t="shared" si="279"/>
        <v>-8.9730637192278238</v>
      </c>
      <c r="AE333" s="43">
        <f t="shared" si="280"/>
        <v>178.06308117394696</v>
      </c>
      <c r="AF333" t="str">
        <f t="shared" si="262"/>
        <v>405,634542683733</v>
      </c>
      <c r="AG333" t="str">
        <f t="shared" si="263"/>
        <v>1+683,159547438781i</v>
      </c>
      <c r="AH333">
        <f t="shared" si="281"/>
        <v>683.16027933184171</v>
      </c>
      <c r="AI333">
        <f t="shared" si="282"/>
        <v>1.5693325409347327</v>
      </c>
      <c r="AJ333" t="str">
        <f t="shared" si="264"/>
        <v>1+0,115378056900772i</v>
      </c>
      <c r="AK333">
        <f t="shared" si="283"/>
        <v>1.006634042745524</v>
      </c>
      <c r="AL333">
        <f t="shared" si="284"/>
        <v>0.114870133098083</v>
      </c>
      <c r="AM333" t="str">
        <f t="shared" si="265"/>
        <v>1-0,6218425071461i</v>
      </c>
      <c r="AN333">
        <f t="shared" si="285"/>
        <v>1.1775772177202426</v>
      </c>
      <c r="AO333">
        <f t="shared" si="286"/>
        <v>-0.55632553588187461</v>
      </c>
      <c r="AP333" s="41" t="str">
        <f t="shared" si="287"/>
        <v>-0,299787471906101-0,636802025643892i</v>
      </c>
      <c r="AQ333">
        <f t="shared" si="288"/>
        <v>-3.0505333581661835</v>
      </c>
      <c r="AR333" s="43">
        <f t="shared" si="289"/>
        <v>-115.20966267086078</v>
      </c>
      <c r="AS333" t="str">
        <f t="shared" si="266"/>
        <v>-0,0000166666666666667</v>
      </c>
      <c r="AT333" t="str">
        <f t="shared" si="267"/>
        <v>0,0196586458488623i</v>
      </c>
      <c r="AU333">
        <f t="shared" si="290"/>
        <v>1.9658645848862299E-2</v>
      </c>
      <c r="AV333">
        <f t="shared" si="291"/>
        <v>1.5707963267948966</v>
      </c>
      <c r="AW333" t="str">
        <f t="shared" si="268"/>
        <v>1+0,700802991906409i</v>
      </c>
      <c r="AX333">
        <f t="shared" si="292"/>
        <v>1.2211162243885609</v>
      </c>
      <c r="AY333">
        <f t="shared" si="293"/>
        <v>0.61126468185142013</v>
      </c>
      <c r="AZ333" t="str">
        <f t="shared" si="269"/>
        <v>1+103,485241804846i</v>
      </c>
      <c r="BA333">
        <f t="shared" si="294"/>
        <v>103.49007329887945</v>
      </c>
      <c r="BB333">
        <f t="shared" si="295"/>
        <v>1.5611334139156838</v>
      </c>
      <c r="BC333" s="41" t="str">
        <f t="shared" si="296"/>
        <v>-0,0584397725072058+0,0418025708131029i</v>
      </c>
      <c r="BD333">
        <f t="shared" si="297"/>
        <v>-22.871263126017052</v>
      </c>
      <c r="BE333" s="43">
        <f t="shared" si="298"/>
        <v>144.42346943872511</v>
      </c>
      <c r="BF333" s="41" t="str">
        <f t="shared" si="299"/>
        <v>0,0202848625137226-0,0155726889861281i</v>
      </c>
      <c r="BG333" s="20">
        <f t="shared" si="300"/>
        <v>-31.844326845244872</v>
      </c>
      <c r="BH333" s="43">
        <f t="shared" si="301"/>
        <v>-37.513449387328038</v>
      </c>
      <c r="BI333" s="41" t="str">
        <f t="shared" si="306"/>
        <v>0,0441394734296091+0,024682678487521i</v>
      </c>
      <c r="BJ333" s="20">
        <f t="shared" si="302"/>
        <v>-25.921796484183229</v>
      </c>
      <c r="BK333" s="43">
        <f t="shared" si="307"/>
        <v>29.213806767864295</v>
      </c>
      <c r="BL333">
        <f t="shared" si="303"/>
        <v>-31.844326845244872</v>
      </c>
      <c r="BM333" s="43">
        <f t="shared" si="304"/>
        <v>-37.513449387328038</v>
      </c>
    </row>
    <row r="334" spans="14:65" x14ac:dyDescent="0.35">
      <c r="N334" s="9">
        <v>16</v>
      </c>
      <c r="O334" s="34">
        <f t="shared" si="308"/>
        <v>14454.397707459291</v>
      </c>
      <c r="P334" s="33" t="str">
        <f t="shared" si="257"/>
        <v>59,1053597814893</v>
      </c>
      <c r="Q334" s="4" t="str">
        <f t="shared" si="258"/>
        <v>1+697,830722957862i</v>
      </c>
      <c r="R334" s="4">
        <f t="shared" si="270"/>
        <v>697.83143946363748</v>
      </c>
      <c r="S334" s="4">
        <f t="shared" si="271"/>
        <v>1.5693633154891546</v>
      </c>
      <c r="T334" s="4" t="str">
        <f t="shared" si="259"/>
        <v>1+0,11806555708953i</v>
      </c>
      <c r="U334" s="4">
        <f t="shared" si="272"/>
        <v>1.0069456170870705</v>
      </c>
      <c r="V334" s="4">
        <f t="shared" si="273"/>
        <v>0.11752150947743722</v>
      </c>
      <c r="W334" t="str">
        <f t="shared" si="260"/>
        <v>1-4,35934364638265i</v>
      </c>
      <c r="X334" s="4">
        <f t="shared" si="274"/>
        <v>4.472569398819517</v>
      </c>
      <c r="Y334" s="4">
        <f t="shared" si="275"/>
        <v>-1.3453051538840231</v>
      </c>
      <c r="Z334" t="str">
        <f t="shared" si="261"/>
        <v>0,995683272456913+0,407862833582013i</v>
      </c>
      <c r="AA334" s="4">
        <f t="shared" si="276"/>
        <v>1.0759820026692157</v>
      </c>
      <c r="AB334" s="4">
        <f t="shared" si="277"/>
        <v>0.38878137767895815</v>
      </c>
      <c r="AC334" s="47" t="str">
        <f t="shared" si="278"/>
        <v>-0,354166479225627+0,01571250956355i</v>
      </c>
      <c r="AD334" s="20">
        <f t="shared" si="279"/>
        <v>-9.0073113967745364</v>
      </c>
      <c r="AE334" s="43">
        <f t="shared" si="280"/>
        <v>177.45975242583924</v>
      </c>
      <c r="AF334" t="str">
        <f t="shared" si="262"/>
        <v>405,634542683733</v>
      </c>
      <c r="AG334" t="str">
        <f t="shared" si="263"/>
        <v>1+699,072377503796i</v>
      </c>
      <c r="AH334">
        <f t="shared" si="281"/>
        <v>699.07309273695398</v>
      </c>
      <c r="AI334">
        <f t="shared" si="282"/>
        <v>1.5693658607228529</v>
      </c>
      <c r="AJ334" t="str">
        <f t="shared" si="264"/>
        <v>1+0,11806555708953i</v>
      </c>
      <c r="AK334">
        <f t="shared" si="283"/>
        <v>1.0069456170870705</v>
      </c>
      <c r="AL334">
        <f t="shared" si="284"/>
        <v>0.11752150947743722</v>
      </c>
      <c r="AM334" t="str">
        <f t="shared" si="265"/>
        <v>1-0,636327079864898i</v>
      </c>
      <c r="AN334">
        <f t="shared" si="285"/>
        <v>1.1852899023316568</v>
      </c>
      <c r="AO334">
        <f t="shared" si="286"/>
        <v>-0.56670319746710096</v>
      </c>
      <c r="AP334" s="41" t="str">
        <f t="shared" si="287"/>
        <v>-0,299826618562015-0,624268704489273i</v>
      </c>
      <c r="AQ334">
        <f t="shared" si="288"/>
        <v>-3.1911410963308628</v>
      </c>
      <c r="AR334" s="43">
        <f t="shared" si="289"/>
        <v>-115.65425528770507</v>
      </c>
      <c r="AS334" t="str">
        <f t="shared" si="266"/>
        <v>-0,0000166666666666667</v>
      </c>
      <c r="AT334" t="str">
        <f t="shared" si="267"/>
        <v>0,0201165545348699i</v>
      </c>
      <c r="AU334">
        <f t="shared" si="290"/>
        <v>2.01165545348699E-2</v>
      </c>
      <c r="AV334">
        <f t="shared" si="291"/>
        <v>1.5707963267948966</v>
      </c>
      <c r="AW334" t="str">
        <f t="shared" si="268"/>
        <v>1+0,717126790587214i</v>
      </c>
      <c r="AX334">
        <f t="shared" si="292"/>
        <v>1.2305571233298833</v>
      </c>
      <c r="AY334">
        <f t="shared" si="293"/>
        <v>0.62212821245309979</v>
      </c>
      <c r="AZ334" t="str">
        <f t="shared" si="269"/>
        <v>1+105,895722743379i</v>
      </c>
      <c r="BA334">
        <f t="shared" si="294"/>
        <v>105.90044426414175</v>
      </c>
      <c r="BB334">
        <f t="shared" si="295"/>
        <v>1.5613533554389094</v>
      </c>
      <c r="BC334" s="41" t="str">
        <f t="shared" si="296"/>
        <v>-0,0575465062812661+0,0420966463913902i</v>
      </c>
      <c r="BD334">
        <f t="shared" si="297"/>
        <v>-22.93817692077829</v>
      </c>
      <c r="BE334" s="43">
        <f t="shared" si="298"/>
        <v>143.81363670565815</v>
      </c>
      <c r="BF334" s="41" t="str">
        <f t="shared" si="299"/>
        <v>0,0197195995623533-0,0158134210699381i</v>
      </c>
      <c r="BG334" s="20">
        <f t="shared" si="300"/>
        <v>-31.945488317552847</v>
      </c>
      <c r="BH334" s="43">
        <f t="shared" si="301"/>
        <v>-38.726610868502583</v>
      </c>
      <c r="BI334" s="41" t="str">
        <f t="shared" si="306"/>
        <v>0,043533593294466+0,0233027877837584i</v>
      </c>
      <c r="BJ334" s="20">
        <f t="shared" si="302"/>
        <v>-26.129318017109149</v>
      </c>
      <c r="BK334" s="43">
        <f t="shared" si="307"/>
        <v>28.159381417953036</v>
      </c>
      <c r="BL334">
        <f t="shared" si="303"/>
        <v>-31.945488317552847</v>
      </c>
      <c r="BM334" s="43">
        <f t="shared" si="304"/>
        <v>-38.726610868502583</v>
      </c>
    </row>
    <row r="335" spans="14:65" x14ac:dyDescent="0.35">
      <c r="N335" s="9">
        <v>17</v>
      </c>
      <c r="O335" s="34">
        <f t="shared" si="308"/>
        <v>14791.083881682089</v>
      </c>
      <c r="P335" s="33" t="str">
        <f t="shared" si="257"/>
        <v>59,1053597814893</v>
      </c>
      <c r="Q335" s="4" t="str">
        <f t="shared" si="258"/>
        <v>1+714,085288600992i</v>
      </c>
      <c r="R335" s="4">
        <f t="shared" si="270"/>
        <v>714.08598879712099</v>
      </c>
      <c r="S335" s="4">
        <f t="shared" si="271"/>
        <v>1.5693959347657318</v>
      </c>
      <c r="T335" s="4" t="str">
        <f t="shared" si="259"/>
        <v>1+0,120815657199439i</v>
      </c>
      <c r="U335" s="4">
        <f t="shared" si="272"/>
        <v>1.0072717721769693</v>
      </c>
      <c r="V335" s="4">
        <f t="shared" si="273"/>
        <v>0.12023292673700017</v>
      </c>
      <c r="W335" t="str">
        <f t="shared" si="260"/>
        <v>1-4,460885804287i</v>
      </c>
      <c r="X335" s="4">
        <f t="shared" si="274"/>
        <v>4.5715973312278146</v>
      </c>
      <c r="Y335" s="4">
        <f t="shared" si="275"/>
        <v>-1.3502713414143812</v>
      </c>
      <c r="Z335" t="str">
        <f t="shared" si="261"/>
        <v>0,995479831355476+0,417363179416245i</v>
      </c>
      <c r="AA335" s="4">
        <f t="shared" si="276"/>
        <v>1.0794313865030809</v>
      </c>
      <c r="AB335" s="4">
        <f t="shared" si="277"/>
        <v>0.3969973397608107</v>
      </c>
      <c r="AC335" s="47" t="str">
        <f t="shared" si="278"/>
        <v>-0,352567752213029+0,0193538805136738i</v>
      </c>
      <c r="AD335" s="20">
        <f t="shared" si="279"/>
        <v>-9.0420810881099474</v>
      </c>
      <c r="AE335" s="43">
        <f t="shared" si="280"/>
        <v>176.85795470674262</v>
      </c>
      <c r="AF335" t="str">
        <f t="shared" si="262"/>
        <v>405,634542683733</v>
      </c>
      <c r="AG335" t="str">
        <f t="shared" si="263"/>
        <v>1+715,35586499668i</v>
      </c>
      <c r="AH335">
        <f t="shared" si="281"/>
        <v>715.35656394915975</v>
      </c>
      <c r="AI335">
        <f t="shared" si="282"/>
        <v>1.5693984220630672</v>
      </c>
      <c r="AJ335" t="str">
        <f t="shared" si="264"/>
        <v>1+0,120815657199439i</v>
      </c>
      <c r="AK335">
        <f t="shared" si="283"/>
        <v>1.0072717721769693</v>
      </c>
      <c r="AL335">
        <f t="shared" si="284"/>
        <v>0.12023292673700017</v>
      </c>
      <c r="AM335" t="str">
        <f t="shared" si="265"/>
        <v>1-0,651149041624226i</v>
      </c>
      <c r="AN335">
        <f t="shared" si="285"/>
        <v>1.193312647384644</v>
      </c>
      <c r="AO335">
        <f t="shared" si="286"/>
        <v>-0.5771825586525583</v>
      </c>
      <c r="AP335" s="41" t="str">
        <f t="shared" si="287"/>
        <v>-0,299864003335232-0,61206637382297i</v>
      </c>
      <c r="AQ335">
        <f t="shared" si="288"/>
        <v>-3.3297345667196976</v>
      </c>
      <c r="AR335" s="43">
        <f t="shared" si="289"/>
        <v>-116.10119131752282</v>
      </c>
      <c r="AS335" t="str">
        <f t="shared" si="266"/>
        <v>-0,0000166666666666667</v>
      </c>
      <c r="AT335" t="str">
        <f t="shared" si="267"/>
        <v>0,020585129284366i</v>
      </c>
      <c r="AU335">
        <f t="shared" si="290"/>
        <v>2.0585129284366E-2</v>
      </c>
      <c r="AV335">
        <f t="shared" si="291"/>
        <v>1.5707963267948966</v>
      </c>
      <c r="AW335" t="str">
        <f t="shared" si="268"/>
        <v>1+0,733830819384684i</v>
      </c>
      <c r="AX335">
        <f t="shared" si="292"/>
        <v>1.2403659425664657</v>
      </c>
      <c r="AY335">
        <f t="shared" si="293"/>
        <v>0.63307226797498961</v>
      </c>
      <c r="AZ335" t="str">
        <f t="shared" si="269"/>
        <v>1+108,362350995805i</v>
      </c>
      <c r="BA335">
        <f t="shared" si="294"/>
        <v>108.36696504626326</v>
      </c>
      <c r="BB335">
        <f t="shared" si="295"/>
        <v>1.5615682913646614</v>
      </c>
      <c r="BC335" s="41" t="str">
        <f t="shared" si="296"/>
        <v>-0,056639948999266+0,0423737861394476i</v>
      </c>
      <c r="BD335">
        <f t="shared" si="297"/>
        <v>-23.007155435731583</v>
      </c>
      <c r="BE335" s="43">
        <f t="shared" si="298"/>
        <v>143.19890343490829</v>
      </c>
      <c r="BF335" s="41" t="str">
        <f t="shared" si="299"/>
        <v>0,019149322310277-0,016035833337173i</v>
      </c>
      <c r="BG335" s="20">
        <f t="shared" si="300"/>
        <v>-32.049236523841529</v>
      </c>
      <c r="BH335" s="43">
        <f t="shared" si="301"/>
        <v>-39.943141858349023</v>
      </c>
      <c r="BI335" s="41" t="str">
        <f t="shared" si="306"/>
        <v>0,042919851483145+0,021961035049253i</v>
      </c>
      <c r="BJ335" s="20">
        <f t="shared" si="302"/>
        <v>-26.336890002451277</v>
      </c>
      <c r="BK335" s="43">
        <f t="shared" si="307"/>
        <v>27.097712117385488</v>
      </c>
      <c r="BL335">
        <f t="shared" si="303"/>
        <v>-32.049236523841529</v>
      </c>
      <c r="BM335" s="43">
        <f t="shared" si="304"/>
        <v>-39.943141858349023</v>
      </c>
    </row>
    <row r="336" spans="14:65" x14ac:dyDescent="0.35">
      <c r="N336" s="9">
        <v>18</v>
      </c>
      <c r="O336" s="34">
        <f t="shared" si="308"/>
        <v>15135.612484362096</v>
      </c>
      <c r="P336" s="33" t="str">
        <f t="shared" si="257"/>
        <v>59,1053597814893</v>
      </c>
      <c r="Q336" s="4" t="str">
        <f t="shared" si="258"/>
        <v>1+730,718471716175i</v>
      </c>
      <c r="R336" s="4">
        <f t="shared" si="270"/>
        <v>730.71915597390944</v>
      </c>
      <c r="S336" s="4">
        <f t="shared" si="271"/>
        <v>1.5694278115398035</v>
      </c>
      <c r="T336" s="4" t="str">
        <f t="shared" si="259"/>
        <v>1+0,12362981536998i</v>
      </c>
      <c r="U336" s="4">
        <f t="shared" si="272"/>
        <v>1.0076131853287826</v>
      </c>
      <c r="V336" s="4">
        <f t="shared" si="273"/>
        <v>0.12300566295032223</v>
      </c>
      <c r="W336" t="str">
        <f t="shared" si="260"/>
        <v>1-4,56479318289158i</v>
      </c>
      <c r="X336" s="4">
        <f t="shared" si="274"/>
        <v>4.6730436337116998</v>
      </c>
      <c r="Y336" s="4">
        <f t="shared" si="275"/>
        <v>-1.3551351927719264</v>
      </c>
      <c r="Z336" t="str">
        <f t="shared" si="261"/>
        <v>0,995266802370315+0,427084816732659i</v>
      </c>
      <c r="AA336" s="4">
        <f t="shared" si="276"/>
        <v>1.0830316009166123</v>
      </c>
      <c r="AB336" s="4">
        <f t="shared" si="277"/>
        <v>0.40535168609251998</v>
      </c>
      <c r="AC336" s="47" t="str">
        <f t="shared" si="278"/>
        <v>-0,350914943493417+0,0229531420488809i</v>
      </c>
      <c r="AD336" s="20">
        <f t="shared" si="279"/>
        <v>-9.0774215597126382</v>
      </c>
      <c r="AE336" s="43">
        <f t="shared" si="280"/>
        <v>176.25764744448648</v>
      </c>
      <c r="AF336" t="str">
        <f t="shared" si="262"/>
        <v>405,634542683733</v>
      </c>
      <c r="AG336" t="str">
        <f t="shared" si="263"/>
        <v>1+732,01864363804i</v>
      </c>
      <c r="AH336">
        <f t="shared" si="281"/>
        <v>732.01932668043378</v>
      </c>
      <c r="AI336">
        <f t="shared" si="282"/>
        <v>1.5694302422195534</v>
      </c>
      <c r="AJ336" t="str">
        <f t="shared" si="264"/>
        <v>1+0,12362981536998i</v>
      </c>
      <c r="AK336">
        <f t="shared" si="283"/>
        <v>1.0076131853287826</v>
      </c>
      <c r="AL336">
        <f t="shared" si="284"/>
        <v>0.12300566295032223</v>
      </c>
      <c r="AM336" t="str">
        <f t="shared" si="265"/>
        <v>1-0,6663162512244i</v>
      </c>
      <c r="AN336">
        <f t="shared" si="285"/>
        <v>1.2016560850117382</v>
      </c>
      <c r="AO336">
        <f t="shared" si="286"/>
        <v>-0.58775996900480942</v>
      </c>
      <c r="AP336" s="41" t="str">
        <f t="shared" si="287"/>
        <v>-0,299899705522911-0,600188564144278i</v>
      </c>
      <c r="AQ336">
        <f t="shared" si="288"/>
        <v>-3.4662716859949998</v>
      </c>
      <c r="AR336" s="43">
        <f t="shared" si="289"/>
        <v>-116.55018936682842</v>
      </c>
      <c r="AS336" t="str">
        <f t="shared" si="266"/>
        <v>-0,0000166666666666667</v>
      </c>
      <c r="AT336" t="str">
        <f t="shared" si="267"/>
        <v>0,0210646185418851i</v>
      </c>
      <c r="AU336">
        <f t="shared" si="290"/>
        <v>2.10646185418851E-2</v>
      </c>
      <c r="AV336">
        <f t="shared" si="291"/>
        <v>1.5707963267948966</v>
      </c>
      <c r="AW336" t="str">
        <f t="shared" si="268"/>
        <v>1+0,750923934995991i</v>
      </c>
      <c r="AX336">
        <f t="shared" si="292"/>
        <v>1.2505545794366046</v>
      </c>
      <c r="AY336">
        <f t="shared" si="293"/>
        <v>0.64409216499505562</v>
      </c>
      <c r="AZ336" t="str">
        <f t="shared" si="269"/>
        <v>1+110,886434401075i</v>
      </c>
      <c r="BA336">
        <f t="shared" si="294"/>
        <v>110.89094342724255</v>
      </c>
      <c r="BB336">
        <f t="shared" si="295"/>
        <v>1.5617783355753312</v>
      </c>
      <c r="BC336" s="41" t="str">
        <f t="shared" si="296"/>
        <v>-0,0557207839409493+0,0426332865014216i</v>
      </c>
      <c r="BD336">
        <f t="shared" si="297"/>
        <v>-23.078228437429349</v>
      </c>
      <c r="BE336" s="43">
        <f t="shared" si="298"/>
        <v>142.57954449177225</v>
      </c>
      <c r="BF336" s="41" t="str">
        <f t="shared" si="299"/>
        <v>0,0185746878669694-0,0162396243924566i</v>
      </c>
      <c r="BG336" s="20">
        <f t="shared" si="300"/>
        <v>-32.155649997141978</v>
      </c>
      <c r="BH336" s="43">
        <f t="shared" si="301"/>
        <v>-41.162808063741174</v>
      </c>
      <c r="BI336" s="41" t="str">
        <f t="shared" si="306"/>
        <v>0,0422986577054363+0,0206572672392617i</v>
      </c>
      <c r="BJ336" s="20">
        <f t="shared" si="302"/>
        <v>-26.544500123424349</v>
      </c>
      <c r="BK336" s="43">
        <f t="shared" si="307"/>
        <v>26.029355124943837</v>
      </c>
      <c r="BL336">
        <f t="shared" si="303"/>
        <v>-32.155649997141978</v>
      </c>
      <c r="BM336" s="43">
        <f t="shared" si="304"/>
        <v>-41.162808063741174</v>
      </c>
    </row>
    <row r="337" spans="14:65" x14ac:dyDescent="0.35">
      <c r="N337" s="9">
        <v>19</v>
      </c>
      <c r="O337" s="34">
        <f t="shared" si="308"/>
        <v>15488.166189124853</v>
      </c>
      <c r="P337" s="33" t="str">
        <f t="shared" si="257"/>
        <v>59,1053597814893</v>
      </c>
      <c r="Q337" s="4" t="str">
        <f t="shared" si="258"/>
        <v>1+747,739091437265i</v>
      </c>
      <c r="R337" s="4">
        <f t="shared" si="270"/>
        <v>747.73976011940567</v>
      </c>
      <c r="S337" s="4">
        <f t="shared" si="271"/>
        <v>1.5694589627125977</v>
      </c>
      <c r="T337" s="4" t="str">
        <f t="shared" si="259"/>
        <v>1+0,126509523705064i</v>
      </c>
      <c r="U337" s="4">
        <f t="shared" si="272"/>
        <v>1.00797056484209</v>
      </c>
      <c r="V337" s="4">
        <f t="shared" si="273"/>
        <v>0.125841017631598</v>
      </c>
      <c r="W337" t="str">
        <f t="shared" si="260"/>
        <v>1-4,67112087526392i</v>
      </c>
      <c r="X337" s="4">
        <f t="shared" si="274"/>
        <v>4.7769624481804724</v>
      </c>
      <c r="Y337" s="4">
        <f t="shared" si="275"/>
        <v>-1.3598983659001642</v>
      </c>
      <c r="Z337" t="str">
        <f t="shared" si="261"/>
        <v>0,995043733638389+0,43703290007204i</v>
      </c>
      <c r="AA337" s="4">
        <f t="shared" si="276"/>
        <v>1.0867887502170801</v>
      </c>
      <c r="AB337" s="4">
        <f t="shared" si="277"/>
        <v>0.41384460109987486</v>
      </c>
      <c r="AC337" s="47" t="str">
        <f t="shared" si="278"/>
        <v>-0,349207155505869+0,0265095664135715i</v>
      </c>
      <c r="AD337" s="20">
        <f t="shared" si="279"/>
        <v>-9.113381322097343</v>
      </c>
      <c r="AE337" s="43">
        <f t="shared" si="280"/>
        <v>175.65879856739534</v>
      </c>
      <c r="AF337" t="str">
        <f t="shared" si="262"/>
        <v>405,634542683733</v>
      </c>
      <c r="AG337" t="str">
        <f t="shared" si="263"/>
        <v>1+749,06954825367i</v>
      </c>
      <c r="AH337">
        <f t="shared" si="281"/>
        <v>749.07021574813484</v>
      </c>
      <c r="AI337">
        <f t="shared" si="282"/>
        <v>1.5694613380635214</v>
      </c>
      <c r="AJ337" t="str">
        <f t="shared" si="264"/>
        <v>1+0,126509523705064i</v>
      </c>
      <c r="AK337">
        <f t="shared" si="283"/>
        <v>1.00797056484209</v>
      </c>
      <c r="AL337">
        <f t="shared" si="284"/>
        <v>0.125841017631598</v>
      </c>
      <c r="AM337" t="str">
        <f t="shared" si="265"/>
        <v>1-0,681836750520712i</v>
      </c>
      <c r="AN337">
        <f t="shared" si="285"/>
        <v>1.210331092867007</v>
      </c>
      <c r="AO337">
        <f t="shared" si="286"/>
        <v>-0.59843156932388375</v>
      </c>
      <c r="AP337" s="41" t="str">
        <f t="shared" si="287"/>
        <v>-0,299933800853311-0,588628977995347i</v>
      </c>
      <c r="AQ337">
        <f t="shared" si="288"/>
        <v>-3.6007111571597701</v>
      </c>
      <c r="AR337" s="43">
        <f t="shared" si="289"/>
        <v>-117.00095482972183</v>
      </c>
      <c r="AS337" t="str">
        <f t="shared" si="266"/>
        <v>-0,0000166666666666667</v>
      </c>
      <c r="AT337" t="str">
        <f t="shared" si="267"/>
        <v>0,0215552765389783i</v>
      </c>
      <c r="AU337">
        <f t="shared" si="290"/>
        <v>2.1555276538978301E-2</v>
      </c>
      <c r="AV337">
        <f t="shared" si="291"/>
        <v>1.5707963267948966</v>
      </c>
      <c r="AW337" t="str">
        <f t="shared" si="268"/>
        <v>1+0,768415200417288i</v>
      </c>
      <c r="AX337">
        <f t="shared" si="292"/>
        <v>1.2611351712771874</v>
      </c>
      <c r="AY337">
        <f t="shared" si="293"/>
        <v>0.65518304087450996</v>
      </c>
      <c r="AZ337" t="str">
        <f t="shared" si="269"/>
        <v>1+113,469311261619i</v>
      </c>
      <c r="BA337">
        <f t="shared" si="294"/>
        <v>113.47371765385225</v>
      </c>
      <c r="BB337">
        <f t="shared" si="295"/>
        <v>1.5619835993649622</v>
      </c>
      <c r="BC337" s="41" t="str">
        <f t="shared" si="296"/>
        <v>-0,0547897406024083+0,0428744753905291i</v>
      </c>
      <c r="BD337">
        <f t="shared" si="297"/>
        <v>-23.151424069205522</v>
      </c>
      <c r="BE337" s="43">
        <f t="shared" si="298"/>
        <v>141.9558448616088</v>
      </c>
      <c r="BF337" s="41" t="str">
        <f t="shared" si="299"/>
        <v>0,0179963857138592-0,0164245258622149i</v>
      </c>
      <c r="BG337" s="20">
        <f t="shared" si="300"/>
        <v>-32.264805391302865</v>
      </c>
      <c r="BH337" s="43">
        <f t="shared" si="301"/>
        <v>-42.385356570995711</v>
      </c>
      <c r="BI337" s="41" t="str">
        <f t="shared" si="306"/>
        <v>0,0416704537778611+0,0193913246519526i</v>
      </c>
      <c r="BJ337" s="20">
        <f t="shared" si="302"/>
        <v>-26.75213522636529</v>
      </c>
      <c r="BK337" s="43">
        <f t="shared" si="307"/>
        <v>24.95489003188694</v>
      </c>
      <c r="BL337">
        <f t="shared" si="303"/>
        <v>-32.264805391302865</v>
      </c>
      <c r="BM337" s="43">
        <f t="shared" si="304"/>
        <v>-42.385356570995711</v>
      </c>
    </row>
    <row r="338" spans="14:65" x14ac:dyDescent="0.35">
      <c r="N338" s="9">
        <v>20</v>
      </c>
      <c r="O338" s="34">
        <f t="shared" si="308"/>
        <v>15848.931924611146</v>
      </c>
      <c r="P338" s="33" t="str">
        <f t="shared" si="257"/>
        <v>59,1053597814893</v>
      </c>
      <c r="Q338" s="4" t="str">
        <f t="shared" si="258"/>
        <v>1+765,15617232213i</v>
      </c>
      <c r="R338" s="4">
        <f t="shared" si="270"/>
        <v>765.15682578322014</v>
      </c>
      <c r="S338" s="4">
        <f t="shared" si="271"/>
        <v>1.5694894048006367</v>
      </c>
      <c r="T338" s="4" t="str">
        <f t="shared" si="259"/>
        <v>1+0,129456309064168i</v>
      </c>
      <c r="U338" s="4">
        <f t="shared" si="272"/>
        <v>1.0083446513749739</v>
      </c>
      <c r="V338" s="4">
        <f t="shared" si="273"/>
        <v>0.12874031167329725</v>
      </c>
      <c r="W338" t="str">
        <f t="shared" si="260"/>
        <v>1-4,77992525775391i</v>
      </c>
      <c r="X338" s="4">
        <f t="shared" si="274"/>
        <v>4.8834092056383911</v>
      </c>
      <c r="Y338" s="4">
        <f t="shared" si="275"/>
        <v>-1.3645625213699621</v>
      </c>
      <c r="Z338" t="str">
        <f t="shared" si="261"/>
        <v>0,994810152001013+0,447212704039853i</v>
      </c>
      <c r="AA338" s="4">
        <f t="shared" si="276"/>
        <v>1.0907091460049814</v>
      </c>
      <c r="AB338" s="4">
        <f t="shared" si="277"/>
        <v>0.42247613078835461</v>
      </c>
      <c r="AC338" s="47" t="str">
        <f t="shared" si="278"/>
        <v>-0,347443549069029+0,030022316629993i</v>
      </c>
      <c r="AD338" s="20">
        <f t="shared" si="279"/>
        <v>-9.1500085981213157</v>
      </c>
      <c r="AE338" s="43">
        <f t="shared" si="280"/>
        <v>175.06138503108383</v>
      </c>
      <c r="AF338" t="str">
        <f t="shared" si="262"/>
        <v>405,634542683733</v>
      </c>
      <c r="AG338" t="str">
        <f t="shared" si="263"/>
        <v>1+766,517619458889i</v>
      </c>
      <c r="AH338">
        <f t="shared" si="281"/>
        <v>766.51827175933784</v>
      </c>
      <c r="AI338">
        <f t="shared" si="282"/>
        <v>1.5694917260821586</v>
      </c>
      <c r="AJ338" t="str">
        <f t="shared" si="264"/>
        <v>1+0,129456309064168i</v>
      </c>
      <c r="AK338">
        <f t="shared" si="283"/>
        <v>1.0083446513749739</v>
      </c>
      <c r="AL338">
        <f t="shared" si="284"/>
        <v>0.12874031167329725</v>
      </c>
      <c r="AM338" t="str">
        <f t="shared" si="265"/>
        <v>1-0,697718768687324i</v>
      </c>
      <c r="AN338">
        <f t="shared" si="285"/>
        <v>1.2193487934871448</v>
      </c>
      <c r="AO338">
        <f t="shared" si="286"/>
        <v>-0.60919329527017152</v>
      </c>
      <c r="AP338" s="41" t="str">
        <f t="shared" si="287"/>
        <v>-0,299966361646407-0,577381486623701i</v>
      </c>
      <c r="AQ338">
        <f t="shared" si="288"/>
        <v>-3.7330125737988604</v>
      </c>
      <c r="AR338" s="43">
        <f t="shared" si="289"/>
        <v>-117.45318009977937</v>
      </c>
      <c r="AS338" t="str">
        <f t="shared" si="266"/>
        <v>-0,0000166666666666667</v>
      </c>
      <c r="AT338" t="str">
        <f t="shared" si="267"/>
        <v>0,0220573634290102i</v>
      </c>
      <c r="AU338">
        <f t="shared" si="290"/>
        <v>2.2057363429010199E-2</v>
      </c>
      <c r="AV338">
        <f t="shared" si="291"/>
        <v>1.5707963267948966</v>
      </c>
      <c r="AW338" t="str">
        <f t="shared" si="268"/>
        <v>1+0,78631388974902i</v>
      </c>
      <c r="AX338">
        <f t="shared" si="292"/>
        <v>1.2721200938638748</v>
      </c>
      <c r="AY338">
        <f t="shared" si="293"/>
        <v>0.66633986249666877</v>
      </c>
      <c r="AZ338" t="str">
        <f t="shared" si="269"/>
        <v>1+116,112351052938i</v>
      </c>
      <c r="BA338">
        <f t="shared" si="294"/>
        <v>116.11665714720137</v>
      </c>
      <c r="BB338">
        <f t="shared" si="295"/>
        <v>1.5621841914979055</v>
      </c>
      <c r="BC338" s="41" t="str">
        <f t="shared" si="296"/>
        <v>-0,0538475929425106+0,0430967158302563i</v>
      </c>
      <c r="BD338">
        <f t="shared" si="297"/>
        <v>-23.226768747125011</v>
      </c>
      <c r="BE338" s="43">
        <f t="shared" si="298"/>
        <v>141.3280991524999</v>
      </c>
      <c r="BF338" s="41" t="str">
        <f t="shared" si="299"/>
        <v>0,0174151355524015-0,0165903053863667i</v>
      </c>
      <c r="BG338" s="20">
        <f t="shared" si="300"/>
        <v>-32.376777345246325</v>
      </c>
      <c r="BH338" s="43">
        <f t="shared" si="301"/>
        <v>-43.610515816416275</v>
      </c>
      <c r="BI338" s="41" t="str">
        <f t="shared" si="306"/>
        <v>0,0410357123930542+0,0181630382177436i</v>
      </c>
      <c r="BJ338" s="20">
        <f t="shared" si="302"/>
        <v>-26.959781320923874</v>
      </c>
      <c r="BK338" s="43">
        <f t="shared" si="307"/>
        <v>23.874919052720546</v>
      </c>
      <c r="BL338">
        <f t="shared" si="303"/>
        <v>-32.376777345246325</v>
      </c>
      <c r="BM338" s="43">
        <f t="shared" si="304"/>
        <v>-43.610515816416275</v>
      </c>
    </row>
    <row r="339" spans="14:65" x14ac:dyDescent="0.35">
      <c r="N339" s="9">
        <v>21</v>
      </c>
      <c r="O339" s="34">
        <f t="shared" si="308"/>
        <v>16218.100973589309</v>
      </c>
      <c r="P339" s="33" t="str">
        <f t="shared" ref="P339:P402" si="309">COMPLEX(Adc,0)</f>
        <v>59,1053597814893</v>
      </c>
      <c r="Q339" s="4" t="str">
        <f t="shared" ref="Q339:Q402" si="310">IMSUM(COMPLEX(1,0),IMDIV(COMPLEX(0,2*PI()*O339),COMPLEX(wp_lf,0)))</f>
        <v>1+782,978949137599i</v>
      </c>
      <c r="R339" s="4">
        <f t="shared" si="270"/>
        <v>782.97958772411107</v>
      </c>
      <c r="S339" s="4">
        <f t="shared" si="271"/>
        <v>1.5695191539444926</v>
      </c>
      <c r="T339" s="4" t="str">
        <f t="shared" ref="T339:T402" si="311">IMSUM(COMPLEX(1,0),IMDIV(COMPLEX(0,2*PI()*O339),COMPLEX(wz_esr,0)))</f>
        <v>1+0,132471733871894i</v>
      </c>
      <c r="U339" s="4">
        <f t="shared" si="272"/>
        <v>1.008736219373046</v>
      </c>
      <c r="V339" s="4">
        <f t="shared" si="273"/>
        <v>0.13170488724614415</v>
      </c>
      <c r="W339" t="str">
        <f t="shared" ref="W339:W402" si="312">IMSUB(COMPLEX(1,0),IMDIV(COMPLEX(0,2*PI()*O339),COMPLEX(wz_rhp,0)))</f>
        <v>1-4,89126401988534i</v>
      </c>
      <c r="X339" s="4">
        <f t="shared" si="274"/>
        <v>4.9924406568556119</v>
      </c>
      <c r="Y339" s="4">
        <f t="shared" si="275"/>
        <v>-1.3691293200750909</v>
      </c>
      <c r="Z339" t="str">
        <f t="shared" ref="Z339:Z402" si="313">IMSUM(COMPLEX(1,0),IMDIV(COMPLEX(0,2*PI()*O339),COMPLEX(Q*(wsl/2),0)),IMDIV(IMPOWER(COMPLEX(0,2*PI()*O339),2),IMPOWER(COMPLEX(wsl/2,0),2)))</f>
        <v>0,994565562000216+0,457629626102907i</v>
      </c>
      <c r="AA339" s="4">
        <f t="shared" si="276"/>
        <v>1.0947993111999532</v>
      </c>
      <c r="AB339" s="4">
        <f t="shared" si="277"/>
        <v>0.43124617599201914</v>
      </c>
      <c r="AC339" s="47" t="str">
        <f t="shared" si="278"/>
        <v>-0,345623350126046+0,0334904478148681i</v>
      </c>
      <c r="AD339" s="20">
        <f t="shared" si="279"/>
        <v>-9.1873512865392435</v>
      </c>
      <c r="AE339" s="43">
        <f t="shared" si="280"/>
        <v>174.46539333106995</v>
      </c>
      <c r="AF339" t="str">
        <f t="shared" ref="AF339:AF402" si="314">COMPLEX($B$72,0)</f>
        <v>405,634542683733</v>
      </c>
      <c r="AG339" t="str">
        <f t="shared" ref="AG339:AG402" si="315">IMSUM(COMPLEX(1,0),IMDIV(COMPLEX(0,2*PI()*O339),COMPLEX(wp_lf_DCM,0)))</f>
        <v>1+784,372108452005i</v>
      </c>
      <c r="AH339">
        <f t="shared" si="281"/>
        <v>784.37274590429513</v>
      </c>
      <c r="AI339">
        <f t="shared" si="282"/>
        <v>1.5695214223873704</v>
      </c>
      <c r="AJ339" t="str">
        <f t="shared" ref="AJ339:AJ402" si="316">IMSUM(COMPLEX(1,0),IMDIV(COMPLEX(0,2*PI()*O339),COMPLEX(wz1_dcm,0)))</f>
        <v>1+0,132471733871894i</v>
      </c>
      <c r="AK339">
        <f t="shared" si="283"/>
        <v>1.008736219373046</v>
      </c>
      <c r="AL339">
        <f t="shared" si="284"/>
        <v>0.13170488724614415</v>
      </c>
      <c r="AM339" t="str">
        <f t="shared" ref="AM339:AM402" si="317">IMSUB(COMPLEX(1,0),IMDIV(COMPLEX(0,2*PI()*O339),COMPLEX(wz2_dcm,0)))</f>
        <v>1-0,713970726580493i</v>
      </c>
      <c r="AN339">
        <f t="shared" si="285"/>
        <v>1.228720553426969</v>
      </c>
      <c r="AO339">
        <f t="shared" si="286"/>
        <v>-0.62004088196793683</v>
      </c>
      <c r="AP339" s="41" t="str">
        <f t="shared" si="287"/>
        <v>-0,299997456967286-0,566440126734076i</v>
      </c>
      <c r="AQ339">
        <f t="shared" si="288"/>
        <v>-3.8631365234896018</v>
      </c>
      <c r="AR339" s="43">
        <f t="shared" si="289"/>
        <v>-117.90654484004766</v>
      </c>
      <c r="AS339" t="str">
        <f t="shared" ref="AS339:AS402" si="318">COMPLEX(Adc_ea,0)</f>
        <v>-0,0000166666666666667</v>
      </c>
      <c r="AT339" t="str">
        <f t="shared" ref="AT339:AT402" si="319">COMPLEX(0,2*PI()*O339*wp0_ea)</f>
        <v>0,0225711454250959i</v>
      </c>
      <c r="AU339">
        <f t="shared" si="290"/>
        <v>2.25711454250959E-2</v>
      </c>
      <c r="AV339">
        <f t="shared" si="291"/>
        <v>1.5707963267948966</v>
      </c>
      <c r="AW339" t="str">
        <f t="shared" ref="AW339:AW402" si="320">IMSUM(COMPLEX(1,0),IMDIV(COMPLEX(0,2*PI()*O339),COMPLEX(wp1_ea,0)))</f>
        <v>1+0,804629493113192i</v>
      </c>
      <c r="AX339">
        <f t="shared" si="292"/>
        <v>1.2835219597605614</v>
      </c>
      <c r="AY339">
        <f t="shared" si="293"/>
        <v>0.67755743595596285</v>
      </c>
      <c r="AZ339" t="str">
        <f t="shared" ref="AZ339:AZ402" si="321">IMSUM(COMPLEX(1,0),IMDIV(COMPLEX(0,2*PI()*O339),COMPLEX(wz_ea,0)))</f>
        <v>1+118,816955149714i</v>
      </c>
      <c r="BA339">
        <f t="shared" si="294"/>
        <v>118.82116322881691</v>
      </c>
      <c r="BB339">
        <f t="shared" si="295"/>
        <v>1.5623802182661581</v>
      </c>
      <c r="BC339" s="41" t="str">
        <f t="shared" si="296"/>
        <v>-0,0528951572935038+0,0432994094885886i</v>
      </c>
      <c r="BD339">
        <f t="shared" si="297"/>
        <v>-23.304287060341601</v>
      </c>
      <c r="BE339" s="43">
        <f t="shared" si="298"/>
        <v>140.69661104339698</v>
      </c>
      <c r="BF339" s="41" t="str">
        <f t="shared" si="299"/>
        <v>0,0168316848553328-0,0167367694709228i</v>
      </c>
      <c r="BG339" s="20">
        <f t="shared" si="300"/>
        <v>-32.491638346880841</v>
      </c>
      <c r="BH339" s="43">
        <f t="shared" si="301"/>
        <v>-44.837995625532962</v>
      </c>
      <c r="BI339" s="41" t="str">
        <f t="shared" si="306"/>
        <v>0,0403949356721625+0,0169722268661894i</v>
      </c>
      <c r="BJ339" s="20">
        <f t="shared" si="302"/>
        <v>-27.167423583831209</v>
      </c>
      <c r="BK339" s="43">
        <f t="shared" si="307"/>
        <v>22.790066203349269</v>
      </c>
      <c r="BL339">
        <f t="shared" si="303"/>
        <v>-32.491638346880841</v>
      </c>
      <c r="BM339" s="43">
        <f t="shared" si="304"/>
        <v>-44.837995625532962</v>
      </c>
    </row>
    <row r="340" spans="14:65" x14ac:dyDescent="0.35">
      <c r="N340" s="9">
        <v>22</v>
      </c>
      <c r="O340" s="34">
        <f t="shared" si="308"/>
        <v>16595.869074375616</v>
      </c>
      <c r="P340" s="33" t="str">
        <f t="shared" si="309"/>
        <v>59,1053597814893</v>
      </c>
      <c r="Q340" s="4" t="str">
        <f t="shared" si="310"/>
        <v>1+801,216871755857i</v>
      </c>
      <c r="R340" s="4">
        <f t="shared" ref="R340:R403" si="322">IMABS(Q340)</f>
        <v>801.21749580637675</v>
      </c>
      <c r="S340" s="4">
        <f t="shared" ref="S340:S403" si="323">IMARGUMENT(Q340)</f>
        <v>1.5695482259173446</v>
      </c>
      <c r="T340" s="4" t="str">
        <f t="shared" si="311"/>
        <v>1+0,135557396946391i</v>
      </c>
      <c r="U340" s="4">
        <f t="shared" ref="U340:U403" si="324">IMABS(T340)</f>
        <v>1.0091460785569557</v>
      </c>
      <c r="V340" s="4">
        <f t="shared" ref="V340:V403" si="325">IMARGUMENT(T340)</f>
        <v>0.13473610765844937</v>
      </c>
      <c r="W340" t="str">
        <f t="shared" si="312"/>
        <v>1-5,00519619494367i</v>
      </c>
      <c r="X340" s="4">
        <f t="shared" ref="X340:X403" si="326">IMABS(W340)</f>
        <v>5.1041149036712126</v>
      </c>
      <c r="Y340" s="4">
        <f t="shared" ref="Y340:Y403" si="327">IMARGUMENT(W340)</f>
        <v>-1.3736004210859942</v>
      </c>
      <c r="Z340" t="str">
        <f t="shared" si="313"/>
        <v>0,994309444827814+0,468289189451168i</v>
      </c>
      <c r="AA340" s="4">
        <f t="shared" ref="AA340:AA403" si="328">IMABS(Z340)</f>
        <v>1.0990659839293671</v>
      </c>
      <c r="AB340" s="4">
        <f t="shared" ref="AB340:AB403" si="329">IMARGUMENT(Z340)</f>
        <v>0.44015448570604554</v>
      </c>
      <c r="AC340" s="47" t="str">
        <f t="shared" ref="AC340:AC403" si="330">(IMDIV(IMPRODUCT(P340,T340,W340),IMPRODUCT(Q340,Z340)))</f>
        <v>-0,343745856668218+0,0369129089865958i</v>
      </c>
      <c r="AD340" s="20">
        <f t="shared" ref="AD340:AD403" si="331">20*LOG(IMABS(AC340))</f>
        <v>-9.2254569206015429</v>
      </c>
      <c r="AE340" s="43">
        <f t="shared" ref="AE340:AE403" si="332">(180/PI())*IMARGUMENT(AC340)</f>
        <v>173.87081999921188</v>
      </c>
      <c r="AF340" t="str">
        <f t="shared" si="314"/>
        <v>405,634542683733</v>
      </c>
      <c r="AG340" t="str">
        <f t="shared" si="315"/>
        <v>1+802,642481919419i</v>
      </c>
      <c r="AH340">
        <f t="shared" ref="AH340:AH403" si="333">IMABS(AG340)</f>
        <v>802.64310486153477</v>
      </c>
      <c r="AI340">
        <f t="shared" ref="AI340:AI403" si="334">IMARGUMENT(AG340)</f>
        <v>1.5695504427243208</v>
      </c>
      <c r="AJ340" t="str">
        <f t="shared" si="316"/>
        <v>1+0,135557396946391i</v>
      </c>
      <c r="AK340">
        <f t="shared" ref="AK340:AK403" si="335">IMABS(AJ340)</f>
        <v>1.0091460785569557</v>
      </c>
      <c r="AL340">
        <f t="shared" ref="AL340:AL403" si="336">IMARGUMENT(AJ340)</f>
        <v>0.13473610765844937</v>
      </c>
      <c r="AM340" t="str">
        <f t="shared" si="317"/>
        <v>1-0,730601241203419i</v>
      </c>
      <c r="AN340">
        <f t="shared" ref="AN340:AN403" si="337">IMABS(AM340)</f>
        <v>1.2384579821891319</v>
      </c>
      <c r="AO340">
        <f t="shared" ref="AO340:AO403" si="338">IMARGUMENT(AM340)</f>
        <v>-0.63096986959806256</v>
      </c>
      <c r="AP340" s="41" t="str">
        <f t="shared" ref="AP340:AP403" si="339">(IMDIV(IMPRODUCT(AF340,AJ340,AM340),IMPRODUCT(AG340)))</f>
        <v>-0,300027152772632-0,555799097327914i</v>
      </c>
      <c r="AQ340">
        <f t="shared" ref="AQ340:AQ403" si="340">20*LOG(IMABS(AP340))</f>
        <v>-3.9910446896523699</v>
      </c>
      <c r="AR340" s="43">
        <f t="shared" ref="AR340:AR403" si="341">(180/PI())*IMARGUMENT(AP340)</f>
        <v>-118.36071631203285</v>
      </c>
      <c r="AS340" t="str">
        <f t="shared" si="318"/>
        <v>-0,0000166666666666667</v>
      </c>
      <c r="AT340" t="str">
        <f t="shared" si="319"/>
        <v>0,0230968949412504i</v>
      </c>
      <c r="AU340">
        <f t="shared" ref="AU340:AU403" si="342">IMABS(AT340)</f>
        <v>2.30968949412504E-2</v>
      </c>
      <c r="AV340">
        <f t="shared" ref="AV340:AV403" si="343">IMARGUMENT(AT340)</f>
        <v>1.5707963267948966</v>
      </c>
      <c r="AW340" t="str">
        <f t="shared" si="320"/>
        <v>1+0,823371721685147i</v>
      </c>
      <c r="AX340">
        <f t="shared" ref="AX340:AX403" si="344">IMABS(AW340)</f>
        <v>1.2953536166123762</v>
      </c>
      <c r="AY340">
        <f t="shared" ref="AY340:AY403" si="345">IMARGUMENT(AW340)</f>
        <v>0.6888304171641102</v>
      </c>
      <c r="AZ340" t="str">
        <f t="shared" si="321"/>
        <v>1+121,58455756884i</v>
      </c>
      <c r="BA340">
        <f t="shared" ref="BA340:BA403" si="346">IMABS(AZ340)</f>
        <v>121.58866986364548</v>
      </c>
      <c r="BB340">
        <f t="shared" ref="BB340:BB403" si="347">IMARGUMENT(AZ340)</f>
        <v>1.5625717835454116</v>
      </c>
      <c r="BC340" s="41" t="str">
        <f t="shared" ref="BC340:BC403" si="348">IMPRODUCT(AS340,IMDIV(AZ340,IMPRODUCT(AT340,AW340)))</f>
        <v>-0,0519332899424533+0,0434820000700066i</v>
      </c>
      <c r="BD340">
        <f t="shared" ref="BD340:BD403" si="349">20*LOG(IMABS(BC340))</f>
        <v>-23.384001676626784</v>
      </c>
      <c r="BE340" s="43">
        <f t="shared" ref="BE340:BE403" si="350">(180/PI())*IMARGUMENT(BC340)</f>
        <v>140.06169267964228</v>
      </c>
      <c r="BF340" s="41" t="str">
        <f t="shared" ref="BF340:BF403" si="351">IMPRODUCT(AC340,BC340)</f>
        <v>0,0162468061297283-0,0168637661687322i</v>
      </c>
      <c r="BG340" s="20">
        <f t="shared" ref="BG340:BG403" si="352">20*LOG(IMABS(BF340))</f>
        <v>-32.609458597228311</v>
      </c>
      <c r="BH340" s="43">
        <f t="shared" ref="BH340:BH403" si="353">(180/PI())*IMARGUMENT(BF340)</f>
        <v>-46.067487321145776</v>
      </c>
      <c r="BI340" s="41" t="str">
        <f t="shared" si="306"/>
        <v>0,0397486535044718+0,0158186949934209i</v>
      </c>
      <c r="BJ340" s="20">
        <f t="shared" ref="BJ340:BJ403" si="354">20*LOG(IMABS(BI340))</f>
        <v>-27.37504636627915</v>
      </c>
      <c r="BK340" s="43">
        <f t="shared" si="307"/>
        <v>21.700976367609403</v>
      </c>
      <c r="BL340">
        <f t="shared" ref="BL340:BL403" si="355">IF($B$31=0,BJ340,BG340)</f>
        <v>-32.609458597228311</v>
      </c>
      <c r="BM340" s="43">
        <f t="shared" ref="BM340:BM403" si="356">IF($B$31=0,BK340,BH340)</f>
        <v>-46.067487321145776</v>
      </c>
    </row>
    <row r="341" spans="14:65" x14ac:dyDescent="0.35">
      <c r="N341" s="9">
        <v>23</v>
      </c>
      <c r="O341" s="34">
        <f t="shared" si="308"/>
        <v>16982.436524617482</v>
      </c>
      <c r="P341" s="33" t="str">
        <f t="shared" si="309"/>
        <v>59,1053597814893</v>
      </c>
      <c r="Q341" s="4" t="str">
        <f t="shared" si="310"/>
        <v>1+819,879610164881i</v>
      </c>
      <c r="R341" s="4">
        <f t="shared" si="322"/>
        <v>819.88022001028742</v>
      </c>
      <c r="S341" s="4">
        <f t="shared" si="323"/>
        <v>1.5695766361333408</v>
      </c>
      <c r="T341" s="4" t="str">
        <f t="shared" si="311"/>
        <v>1+0,138714934347063i</v>
      </c>
      <c r="U341" s="4">
        <f t="shared" si="324"/>
        <v>1.0095750754703239</v>
      </c>
      <c r="V341" s="4">
        <f t="shared" si="325"/>
        <v>0.1378353571716032</v>
      </c>
      <c r="W341" t="str">
        <f t="shared" si="312"/>
        <v>1-5,12178219127618i</v>
      </c>
      <c r="X341" s="4">
        <f t="shared" si="326"/>
        <v>5.2184914309476289</v>
      </c>
      <c r="Y341" s="4">
        <f t="shared" si="327"/>
        <v>-1.3779774796552511</v>
      </c>
      <c r="Z341" t="str">
        <f t="shared" si="313"/>
        <v>0,994041257224945+0,479197045926218i</v>
      </c>
      <c r="AA341" s="4">
        <f t="shared" si="328"/>
        <v>1.1035161212640998</v>
      </c>
      <c r="AB341" s="4">
        <f t="shared" si="329"/>
        <v>0.44920065054405545</v>
      </c>
      <c r="AC341" s="47" t="str">
        <f t="shared" si="330"/>
        <v>-0,34181044580299+0,0402885453985297i</v>
      </c>
      <c r="AD341" s="20">
        <f t="shared" si="331"/>
        <v>-9.2643726215182696</v>
      </c>
      <c r="AE341" s="43">
        <f t="shared" si="332"/>
        <v>173.27767208180438</v>
      </c>
      <c r="AF341" t="str">
        <f t="shared" si="314"/>
        <v>405,634542683733</v>
      </c>
      <c r="AG341" t="str">
        <f t="shared" si="315"/>
        <v>1+821,338427054978i</v>
      </c>
      <c r="AH341">
        <f t="shared" si="333"/>
        <v>821.33903581721063</v>
      </c>
      <c r="AI341">
        <f t="shared" si="334"/>
        <v>1.5695788024797812</v>
      </c>
      <c r="AJ341" t="str">
        <f t="shared" si="316"/>
        <v>1+0,138714934347063i</v>
      </c>
      <c r="AK341">
        <f t="shared" si="335"/>
        <v>1.0095750754703239</v>
      </c>
      <c r="AL341">
        <f t="shared" si="336"/>
        <v>0.1378353571716032</v>
      </c>
      <c r="AM341" t="str">
        <f t="shared" si="317"/>
        <v>1-0,747619130275084i</v>
      </c>
      <c r="AN341">
        <f t="shared" si="337"/>
        <v>1.2485729309709037</v>
      </c>
      <c r="AO341">
        <f t="shared" si="338"/>
        <v>-0.64197560998465419</v>
      </c>
      <c r="AP341" s="41" t="str">
        <f t="shared" si="339"/>
        <v>-0,30005551205063-0,545452756628817i</v>
      </c>
      <c r="AQ341">
        <f t="shared" si="340"/>
        <v>-4.116699951088564</v>
      </c>
      <c r="AR341" s="43">
        <f t="shared" si="341"/>
        <v>-118.81534976413553</v>
      </c>
      <c r="AS341" t="str">
        <f t="shared" si="318"/>
        <v>-0,0000166666666666667</v>
      </c>
      <c r="AT341" t="str">
        <f t="shared" si="319"/>
        <v>0,0236348907368264i</v>
      </c>
      <c r="AU341">
        <f t="shared" si="342"/>
        <v>2.3634890736826401E-2</v>
      </c>
      <c r="AV341">
        <f t="shared" si="343"/>
        <v>1.5707963267948966</v>
      </c>
      <c r="AW341" t="str">
        <f t="shared" si="320"/>
        <v>1+0,842550512842555i</v>
      </c>
      <c r="AX341">
        <f t="shared" si="344"/>
        <v>1.3076281454187395</v>
      </c>
      <c r="AY341">
        <f t="shared" si="345"/>
        <v>0.70015332333122693</v>
      </c>
      <c r="AZ341" t="str">
        <f t="shared" si="321"/>
        <v>1+124,41662572975i</v>
      </c>
      <c r="BA341">
        <f t="shared" si="346"/>
        <v>124.4206444203561</v>
      </c>
      <c r="BB341">
        <f t="shared" si="347"/>
        <v>1.5627589888498408</v>
      </c>
      <c r="BC341" s="41" t="str">
        <f t="shared" si="348"/>
        <v>-0,0509628843943238+0,0436439765302901i</v>
      </c>
      <c r="BD341">
        <f t="shared" si="349"/>
        <v>-23.465933253815038</v>
      </c>
      <c r="BE341" s="43">
        <f t="shared" si="350"/>
        <v>139.4236640182902</v>
      </c>
      <c r="BF341" s="41" t="str">
        <f t="shared" si="351"/>
        <v>0,0156612939044171-0,0169711875559944i</v>
      </c>
      <c r="BG341" s="20">
        <f t="shared" si="352"/>
        <v>-32.730305875333322</v>
      </c>
      <c r="BH341" s="43">
        <f t="shared" si="353"/>
        <v>-47.298663899905392</v>
      </c>
      <c r="BI341" s="41" t="str">
        <f t="shared" si="306"/>
        <v>0,039097421681206+0,0147022300529178i</v>
      </c>
      <c r="BJ341" s="20">
        <f t="shared" si="354"/>
        <v>-27.582633204903605</v>
      </c>
      <c r="BK341" s="43">
        <f t="shared" si="307"/>
        <v>20.608314254154706</v>
      </c>
      <c r="BL341">
        <f t="shared" si="355"/>
        <v>-32.730305875333322</v>
      </c>
      <c r="BM341" s="43">
        <f t="shared" si="356"/>
        <v>-47.298663899905392</v>
      </c>
    </row>
    <row r="342" spans="14:65" x14ac:dyDescent="0.35">
      <c r="N342" s="9">
        <v>24</v>
      </c>
      <c r="O342" s="34">
        <f t="shared" si="308"/>
        <v>17378.008287493791</v>
      </c>
      <c r="P342" s="33" t="str">
        <f t="shared" si="309"/>
        <v>59,1053597814893</v>
      </c>
      <c r="Q342" s="4" t="str">
        <f t="shared" si="310"/>
        <v>1+838,977059595594i</v>
      </c>
      <c r="R342" s="4">
        <f t="shared" si="322"/>
        <v>838.97765555923422</v>
      </c>
      <c r="S342" s="4">
        <f t="shared" si="323"/>
        <v>1.56960439965577</v>
      </c>
      <c r="T342" s="4" t="str">
        <f t="shared" si="311"/>
        <v>1+0,141946020242034i</v>
      </c>
      <c r="U342" s="4">
        <f t="shared" si="324"/>
        <v>1.0100240950900885</v>
      </c>
      <c r="V342" s="4">
        <f t="shared" si="325"/>
        <v>0.14100404076839787</v>
      </c>
      <c r="W342" t="str">
        <f t="shared" si="312"/>
        <v>1-5,24108382432126i</v>
      </c>
      <c r="X342" s="4">
        <f t="shared" si="326"/>
        <v>5.3356311391963711</v>
      </c>
      <c r="Y342" s="4">
        <f t="shared" si="327"/>
        <v>-1.3822621453681774</v>
      </c>
      <c r="Z342" t="str">
        <f t="shared" si="313"/>
        <v>0,993760430329748+0,490358979017935i</v>
      </c>
      <c r="AA342" s="4">
        <f t="shared" si="328"/>
        <v>1.1081569027861884</v>
      </c>
      <c r="AB342" s="4">
        <f t="shared" si="329"/>
        <v>0.4583840963641273</v>
      </c>
      <c r="AC342" s="47" t="str">
        <f t="shared" si="330"/>
        <v>-0,339816580926965+0,0436161014321447i</v>
      </c>
      <c r="AD342" s="20">
        <f t="shared" si="331"/>
        <v>-9.3041450466442939</v>
      </c>
      <c r="AE342" s="43">
        <f t="shared" si="332"/>
        <v>172.68596759700102</v>
      </c>
      <c r="AF342" t="str">
        <f t="shared" si="314"/>
        <v>405,634542683733</v>
      </c>
      <c r="AG342" t="str">
        <f t="shared" si="315"/>
        <v>1+840,469856696252i</v>
      </c>
      <c r="AH342">
        <f t="shared" si="333"/>
        <v>840.47045160137441</v>
      </c>
      <c r="AI342">
        <f t="shared" si="334"/>
        <v>1.5696065166902866</v>
      </c>
      <c r="AJ342" t="str">
        <f t="shared" si="316"/>
        <v>1+0,141946020242034i</v>
      </c>
      <c r="AK342">
        <f t="shared" si="335"/>
        <v>1.0100240950900885</v>
      </c>
      <c r="AL342">
        <f t="shared" si="336"/>
        <v>0.14100404076839787</v>
      </c>
      <c r="AM342" t="str">
        <f t="shared" si="317"/>
        <v>1-0,765033416905522i</v>
      </c>
      <c r="AN342">
        <f t="shared" si="337"/>
        <v>1.2590774912538696</v>
      </c>
      <c r="AO342">
        <f t="shared" si="338"/>
        <v>-0.65305327417165138</v>
      </c>
      <c r="AP342" s="41" t="str">
        <f t="shared" si="339"/>
        <v>-0,300082594954561-0,535395619092349i</v>
      </c>
      <c r="AQ342">
        <f t="shared" si="340"/>
        <v>-4.2400664784368427</v>
      </c>
      <c r="AR342" s="43">
        <f t="shared" si="341"/>
        <v>-119.27008887949948</v>
      </c>
      <c r="AS342" t="str">
        <f t="shared" si="318"/>
        <v>-0,0000166666666666667</v>
      </c>
      <c r="AT342" t="str">
        <f t="shared" si="319"/>
        <v>0,0241854180643158i</v>
      </c>
      <c r="AU342">
        <f t="shared" si="342"/>
        <v>2.4185418064315799E-2</v>
      </c>
      <c r="AV342">
        <f t="shared" si="343"/>
        <v>1.5707963267948966</v>
      </c>
      <c r="AW342" t="str">
        <f t="shared" si="320"/>
        <v>1+0,862176035434338i</v>
      </c>
      <c r="AX342">
        <f t="shared" si="344"/>
        <v>1.3203588588248547</v>
      </c>
      <c r="AY342">
        <f t="shared" si="345"/>
        <v>0.71152054527049813</v>
      </c>
      <c r="AZ342" t="str">
        <f t="shared" si="321"/>
        <v>1+127,31466123247i</v>
      </c>
      <c r="BA342">
        <f t="shared" si="346"/>
        <v>127.31858844936431</v>
      </c>
      <c r="BB342">
        <f t="shared" si="347"/>
        <v>1.5629419333856602</v>
      </c>
      <c r="BC342" s="41" t="str">
        <f t="shared" si="348"/>
        <v>-0,0499848683317111+0,0437848760800678i</v>
      </c>
      <c r="BD342">
        <f t="shared" si="349"/>
        <v>-23.550100357878026</v>
      </c>
      <c r="BE342" s="43">
        <f t="shared" si="350"/>
        <v>138.78285212616876</v>
      </c>
      <c r="BF342" s="41" t="str">
        <f t="shared" si="351"/>
        <v>0,0150759614582645-0,0170589719730678i</v>
      </c>
      <c r="BG342" s="20">
        <f t="shared" si="352"/>
        <v>-32.854245404522317</v>
      </c>
      <c r="BH342" s="43">
        <f t="shared" si="353"/>
        <v>-48.531180276830156</v>
      </c>
      <c r="BI342" s="41" t="str">
        <f t="shared" si="306"/>
        <v>0,0384418198332116+0,0136226002918354i</v>
      </c>
      <c r="BJ342" s="20">
        <f t="shared" si="354"/>
        <v>-27.790166836314867</v>
      </c>
      <c r="BK342" s="43">
        <f t="shared" si="307"/>
        <v>19.512763246669309</v>
      </c>
      <c r="BL342">
        <f t="shared" si="355"/>
        <v>-32.854245404522317</v>
      </c>
      <c r="BM342" s="43">
        <f t="shared" si="356"/>
        <v>-48.531180276830156</v>
      </c>
    </row>
    <row r="343" spans="14:65" x14ac:dyDescent="0.35">
      <c r="N343" s="9">
        <v>25</v>
      </c>
      <c r="O343" s="34">
        <f t="shared" si="308"/>
        <v>17782.794100389234</v>
      </c>
      <c r="P343" s="33" t="str">
        <f t="shared" si="309"/>
        <v>59,1053597814893</v>
      </c>
      <c r="Q343" s="4" t="str">
        <f t="shared" si="310"/>
        <v>1+858,51934576848i</v>
      </c>
      <c r="R343" s="4">
        <f t="shared" si="322"/>
        <v>858.51992816634072</v>
      </c>
      <c r="S343" s="4">
        <f t="shared" si="323"/>
        <v>1.5696315312050486</v>
      </c>
      <c r="T343" s="4" t="str">
        <f t="shared" si="311"/>
        <v>1+0,145252367795815i</v>
      </c>
      <c r="U343" s="4">
        <f t="shared" si="324"/>
        <v>1.0104940625012553</v>
      </c>
      <c r="V343" s="4">
        <f t="shared" si="325"/>
        <v>0.14424358387063083</v>
      </c>
      <c r="W343" t="str">
        <f t="shared" si="312"/>
        <v>1-5,36316434938393i</v>
      </c>
      <c r="X343" s="4">
        <f t="shared" si="326"/>
        <v>5.4555963778951568</v>
      </c>
      <c r="Y343" s="4">
        <f t="shared" si="327"/>
        <v>-1.3864560604320462</v>
      </c>
      <c r="Z343" t="str">
        <f t="shared" si="313"/>
        <v>0,993466368470727+0,501780906930995i</v>
      </c>
      <c r="AA343" s="4">
        <f t="shared" si="328"/>
        <v>1.1129957339733636</v>
      </c>
      <c r="AB343" s="4">
        <f t="shared" si="329"/>
        <v>0.46770407810995285</v>
      </c>
      <c r="AC343" s="47" t="str">
        <f t="shared" si="330"/>
        <v>-0,337763818959631+0,046894224081532i</v>
      </c>
      <c r="AD343" s="20">
        <f t="shared" si="331"/>
        <v>-9.3448203322756989</v>
      </c>
      <c r="AE343" s="43">
        <f t="shared" si="332"/>
        <v>172.09573596907367</v>
      </c>
      <c r="AF343" t="str">
        <f t="shared" si="314"/>
        <v>405,634542683733</v>
      </c>
      <c r="AG343" t="str">
        <f t="shared" si="315"/>
        <v>1+860,04691458048i</v>
      </c>
      <c r="AH343">
        <f t="shared" si="333"/>
        <v>860.04749594391785</v>
      </c>
      <c r="AI343">
        <f t="shared" si="334"/>
        <v>1.5696336000501083</v>
      </c>
      <c r="AJ343" t="str">
        <f t="shared" si="316"/>
        <v>1+0,145252367795815i</v>
      </c>
      <c r="AK343">
        <f t="shared" si="335"/>
        <v>1.0104940625012553</v>
      </c>
      <c r="AL343">
        <f t="shared" si="336"/>
        <v>0.14424358387063083</v>
      </c>
      <c r="AM343" t="str">
        <f t="shared" si="317"/>
        <v>1-0,782853334380017i</v>
      </c>
      <c r="AN343">
        <f t="shared" si="337"/>
        <v>1.2699839932652344</v>
      </c>
      <c r="AO343">
        <f t="shared" si="338"/>
        <v>-0.66419786097672207</v>
      </c>
      <c r="AP343" s="41" t="str">
        <f t="shared" si="339"/>
        <v>-0,300108458930397-0,525622352498562i</v>
      </c>
      <c r="AQ343">
        <f t="shared" si="340"/>
        <v>-4.3611098267709227</v>
      </c>
      <c r="AR343" s="43">
        <f t="shared" si="341"/>
        <v>-119.72456628275135</v>
      </c>
      <c r="AS343" t="str">
        <f t="shared" si="318"/>
        <v>-0,0000166666666666667</v>
      </c>
      <c r="AT343" t="str">
        <f t="shared" si="319"/>
        <v>0,0247487688205946i</v>
      </c>
      <c r="AU343">
        <f t="shared" si="342"/>
        <v>2.47487688205946E-2</v>
      </c>
      <c r="AV343">
        <f t="shared" si="343"/>
        <v>1.5707963267948966</v>
      </c>
      <c r="AW343" t="str">
        <f t="shared" si="320"/>
        <v>1+0,882258695172356i</v>
      </c>
      <c r="AX343">
        <f t="shared" si="344"/>
        <v>1.3335592994716163</v>
      </c>
      <c r="AY343">
        <f t="shared" si="345"/>
        <v>0.72292636046622138</v>
      </c>
      <c r="AZ343" t="str">
        <f t="shared" si="321"/>
        <v>1+130,280200653784i</v>
      </c>
      <c r="BA343">
        <f t="shared" si="346"/>
        <v>130.28403847897187</v>
      </c>
      <c r="BB343">
        <f t="shared" si="347"/>
        <v>1.5631207141034724</v>
      </c>
      <c r="BC343" s="41" t="str">
        <f t="shared" si="348"/>
        <v>-0,0490002002903218+0,0439042869444529i</v>
      </c>
      <c r="BD343">
        <f t="shared" si="349"/>
        <v>-23.636519388305111</v>
      </c>
      <c r="BE343" s="43">
        <f t="shared" si="350"/>
        <v>138.13959043413658</v>
      </c>
      <c r="BF343" s="41" t="str">
        <f t="shared" si="351"/>
        <v>0,0144916373097329-0,0171271059995122i</v>
      </c>
      <c r="BG343" s="20">
        <f t="shared" si="352"/>
        <v>-32.981339720580792</v>
      </c>
      <c r="BH343" s="43">
        <f t="shared" si="353"/>
        <v>-49.764673596789699</v>
      </c>
      <c r="BI343" s="41" t="str">
        <f t="shared" si="306"/>
        <v>0,0377824491849245+0,012579552654162i</v>
      </c>
      <c r="BJ343" s="20">
        <f t="shared" si="354"/>
        <v>-27.997629215076035</v>
      </c>
      <c r="BK343" s="43">
        <f t="shared" si="307"/>
        <v>18.415024151385261</v>
      </c>
      <c r="BL343">
        <f t="shared" si="355"/>
        <v>-32.981339720580792</v>
      </c>
      <c r="BM343" s="43">
        <f t="shared" si="356"/>
        <v>-49.764673596789699</v>
      </c>
    </row>
    <row r="344" spans="14:65" x14ac:dyDescent="0.35">
      <c r="N344" s="9">
        <v>26</v>
      </c>
      <c r="O344" s="34">
        <f t="shared" si="308"/>
        <v>18197.008586099837</v>
      </c>
      <c r="P344" s="33" t="str">
        <f t="shared" si="309"/>
        <v>59,1053597814893</v>
      </c>
      <c r="Q344" s="4" t="str">
        <f t="shared" si="310"/>
        <v>1+878,516830262344i</v>
      </c>
      <c r="R344" s="4">
        <f t="shared" si="322"/>
        <v>878.51739940321966</v>
      </c>
      <c r="S344" s="4">
        <f t="shared" si="323"/>
        <v>1.5696580451665227</v>
      </c>
      <c r="T344" s="4" t="str">
        <f t="shared" si="311"/>
        <v>1+0,148635730077644i</v>
      </c>
      <c r="U344" s="4">
        <f t="shared" si="324"/>
        <v>1.0109859446380618</v>
      </c>
      <c r="V344" s="4">
        <f t="shared" si="325"/>
        <v>0.147555432002269</v>
      </c>
      <c r="W344" t="str">
        <f t="shared" si="312"/>
        <v>1-5,48808849517455i</v>
      </c>
      <c r="X344" s="4">
        <f t="shared" si="326"/>
        <v>5.5784509795163792</v>
      </c>
      <c r="Y344" s="4">
        <f t="shared" si="327"/>
        <v>-1.3905608580974373</v>
      </c>
      <c r="Z344" t="str">
        <f t="shared" si="313"/>
        <v>0,993158447903252+0,51346888572277i</v>
      </c>
      <c r="AA344" s="4">
        <f t="shared" si="328"/>
        <v>1.1180402493859423</v>
      </c>
      <c r="AB344" s="4">
        <f t="shared" si="329"/>
        <v>0.47715967391588676</v>
      </c>
      <c r="AC344" s="47" t="str">
        <f t="shared" si="330"/>
        <v>-0,335651817588521+0,050121467057675i</v>
      </c>
      <c r="AD344" s="20">
        <f t="shared" si="331"/>
        <v>-9.3864440309860928</v>
      </c>
      <c r="AE344" s="43">
        <f t="shared" si="332"/>
        <v>171.50701843687045</v>
      </c>
      <c r="AF344" t="str">
        <f t="shared" si="314"/>
        <v>405,634542683733</v>
      </c>
      <c r="AG344" t="str">
        <f t="shared" si="315"/>
        <v>1+880,079980722891i</v>
      </c>
      <c r="AH344">
        <f t="shared" si="333"/>
        <v>880.08054885289016</v>
      </c>
      <c r="AI344">
        <f t="shared" si="334"/>
        <v>1.5696600669190426</v>
      </c>
      <c r="AJ344" t="str">
        <f t="shared" si="316"/>
        <v>1+0,148635730077644i</v>
      </c>
      <c r="AK344">
        <f t="shared" si="335"/>
        <v>1.0109859446380618</v>
      </c>
      <c r="AL344">
        <f t="shared" si="336"/>
        <v>0.147555432002269</v>
      </c>
      <c r="AM344" t="str">
        <f t="shared" si="317"/>
        <v>1-0,801088331054694i</v>
      </c>
      <c r="AN344">
        <f t="shared" si="337"/>
        <v>1.2813050043420555</v>
      </c>
      <c r="AO344">
        <f t="shared" si="338"/>
        <v>-0.67540420650051192</v>
      </c>
      <c r="AP344" s="41" t="str">
        <f t="shared" si="339"/>
        <v>-0,300133158838642-0,516127775125793i</v>
      </c>
      <c r="AQ344">
        <f t="shared" si="340"/>
        <v>-4.4797970235615923</v>
      </c>
      <c r="AR344" s="43">
        <f t="shared" si="341"/>
        <v>-120.17840410458557</v>
      </c>
      <c r="AS344" t="str">
        <f t="shared" si="318"/>
        <v>-0,0000166666666666667</v>
      </c>
      <c r="AT344" t="str">
        <f t="shared" si="319"/>
        <v>0,0253252417016909i</v>
      </c>
      <c r="AU344">
        <f t="shared" si="342"/>
        <v>2.5325241701690902E-2</v>
      </c>
      <c r="AV344">
        <f t="shared" si="343"/>
        <v>1.5707963267948966</v>
      </c>
      <c r="AW344" t="str">
        <f t="shared" si="320"/>
        <v>1+0,902809140148636i</v>
      </c>
      <c r="AX344">
        <f t="shared" si="344"/>
        <v>1.347243238445055</v>
      </c>
      <c r="AY344">
        <f t="shared" si="345"/>
        <v>0.73436494683660236</v>
      </c>
      <c r="AZ344" t="str">
        <f t="shared" si="321"/>
        <v>1+133,314816361948i</v>
      </c>
      <c r="BA344">
        <f t="shared" si="346"/>
        <v>133.31856683005529</v>
      </c>
      <c r="BB344">
        <f t="shared" si="347"/>
        <v>1.5632954257494402</v>
      </c>
      <c r="BC344" s="41" t="str">
        <f t="shared" si="348"/>
        <v>-0,0480098660732761+0,0440018508481111i</v>
      </c>
      <c r="BD344">
        <f t="shared" si="349"/>
        <v>-23.725204511415448</v>
      </c>
      <c r="BE344" s="43">
        <f t="shared" si="350"/>
        <v>137.49421795146375</v>
      </c>
      <c r="BF344" s="41" t="str">
        <f t="shared" si="351"/>
        <v>0,0139091614919163-0,0171756261352626i</v>
      </c>
      <c r="BG344" s="20">
        <f t="shared" si="352"/>
        <v>-33.111648542401525</v>
      </c>
      <c r="BH344" s="43">
        <f t="shared" si="353"/>
        <v>-50.998763611665716</v>
      </c>
      <c r="BI344" s="41" t="str">
        <f t="shared" si="306"/>
        <v>0,0371199301396451+0,0115728108706969i</v>
      </c>
      <c r="BJ344" s="20">
        <f t="shared" si="354"/>
        <v>-28.205001534977029</v>
      </c>
      <c r="BK344" s="43">
        <f t="shared" si="307"/>
        <v>17.315813846878132</v>
      </c>
      <c r="BL344">
        <f t="shared" si="355"/>
        <v>-33.111648542401525</v>
      </c>
      <c r="BM344" s="43">
        <f t="shared" si="356"/>
        <v>-50.998763611665716</v>
      </c>
    </row>
    <row r="345" spans="14:65" x14ac:dyDescent="0.35">
      <c r="N345" s="9">
        <v>27</v>
      </c>
      <c r="O345" s="34">
        <f t="shared" si="308"/>
        <v>18620.871366628675</v>
      </c>
      <c r="P345" s="33" t="str">
        <f t="shared" si="309"/>
        <v>59,1053597814893</v>
      </c>
      <c r="Q345" s="4" t="str">
        <f t="shared" si="310"/>
        <v>1+898,980116008157i</v>
      </c>
      <c r="R345" s="4">
        <f t="shared" si="322"/>
        <v>898.98067219381267</v>
      </c>
      <c r="S345" s="4">
        <f t="shared" si="323"/>
        <v>1.5696839555980966</v>
      </c>
      <c r="T345" s="4" t="str">
        <f t="shared" si="311"/>
        <v>1+0,152097900990987i</v>
      </c>
      <c r="U345" s="4">
        <f t="shared" si="324"/>
        <v>1.0115007520935733</v>
      </c>
      <c r="V345" s="4">
        <f t="shared" si="325"/>
        <v>0.15094105039426903</v>
      </c>
      <c r="W345" t="str">
        <f t="shared" si="312"/>
        <v>1-5,61592249812875i</v>
      </c>
      <c r="X345" s="4">
        <f t="shared" si="326"/>
        <v>5.7042602942878293</v>
      </c>
      <c r="Y345" s="4">
        <f t="shared" si="327"/>
        <v>-1.3945781612053478</v>
      </c>
      <c r="Z345" t="str">
        <f t="shared" si="313"/>
        <v>0,992836015486518+0,525429112514317i</v>
      </c>
      <c r="AA345" s="4">
        <f t="shared" si="328"/>
        <v>1.1232983156422556</v>
      </c>
      <c r="AB345" s="4">
        <f t="shared" si="329"/>
        <v>0.48674977952679976</v>
      </c>
      <c r="AC345" s="47" t="str">
        <f t="shared" si="330"/>
        <v>-0,333480342471594+0,0532962955372181i</v>
      </c>
      <c r="AD345" s="20">
        <f t="shared" si="331"/>
        <v>-9.4290610434743503</v>
      </c>
      <c r="AE345" s="43">
        <f t="shared" si="332"/>
        <v>170.91986843370142</v>
      </c>
      <c r="AF345" t="str">
        <f t="shared" si="314"/>
        <v>405,634542683733</v>
      </c>
      <c r="AG345" t="str">
        <f t="shared" si="315"/>
        <v>1+900,579676920315i</v>
      </c>
      <c r="AH345">
        <f t="shared" si="333"/>
        <v>900.5802321181045</v>
      </c>
      <c r="AI345">
        <f t="shared" si="334"/>
        <v>1.5696859313300258</v>
      </c>
      <c r="AJ345" t="str">
        <f t="shared" si="316"/>
        <v>1+0,152097900990987i</v>
      </c>
      <c r="AK345">
        <f t="shared" si="335"/>
        <v>1.0115007520935733</v>
      </c>
      <c r="AL345">
        <f t="shared" si="336"/>
        <v>0.15094105039426903</v>
      </c>
      <c r="AM345" t="str">
        <f t="shared" si="317"/>
        <v>1-0,819748075366153i</v>
      </c>
      <c r="AN345">
        <f t="shared" si="337"/>
        <v>1.2930533272322964</v>
      </c>
      <c r="AO345">
        <f t="shared" si="338"/>
        <v>-0.68666699456011582</v>
      </c>
      <c r="AP345" s="41" t="str">
        <f t="shared" si="339"/>
        <v>-0,300156747070697-0,506906853004175i</v>
      </c>
      <c r="AQ345">
        <f t="shared" si="340"/>
        <v>-4.5960966512372821</v>
      </c>
      <c r="AR345" s="43">
        <f t="shared" si="341"/>
        <v>-120.63121460263663</v>
      </c>
      <c r="AS345" t="str">
        <f t="shared" si="318"/>
        <v>-0,0000166666666666667</v>
      </c>
      <c r="AT345" t="str">
        <f t="shared" si="319"/>
        <v>0,0259151423611566i</v>
      </c>
      <c r="AU345">
        <f t="shared" si="342"/>
        <v>2.59151423611566E-2</v>
      </c>
      <c r="AV345">
        <f t="shared" si="343"/>
        <v>1.5707963267948966</v>
      </c>
      <c r="AW345" t="str">
        <f t="shared" si="320"/>
        <v>1+0,923838266481111i</v>
      </c>
      <c r="AX345">
        <f t="shared" si="344"/>
        <v>1.3614246738673514</v>
      </c>
      <c r="AY345">
        <f t="shared" si="345"/>
        <v>0.74583039711496879</v>
      </c>
      <c r="AZ345" t="str">
        <f t="shared" si="321"/>
        <v>1+136,420117350377i</v>
      </c>
      <c r="BA345">
        <f t="shared" si="346"/>
        <v>136.42378244972772</v>
      </c>
      <c r="BB345">
        <f t="shared" si="347"/>
        <v>1.5634661609153029</v>
      </c>
      <c r="BC345" s="41" t="str">
        <f t="shared" si="348"/>
        <v>-0,0470148749310189+0,0440772651976108i</v>
      </c>
      <c r="BD345">
        <f t="shared" si="349"/>
        <v>-23.8161676021716</v>
      </c>
      <c r="BE345" s="43">
        <f t="shared" si="350"/>
        <v>136.84707844471455</v>
      </c>
      <c r="BF345" s="41" t="str">
        <f t="shared" si="351"/>
        <v>0,0133293816408111-0,0172046201622795i</v>
      </c>
      <c r="BG345" s="20">
        <f t="shared" si="352"/>
        <v>-33.245228645645945</v>
      </c>
      <c r="BH345" s="43">
        <f t="shared" si="353"/>
        <v>-52.233053121584177</v>
      </c>
      <c r="BI345" s="41" t="str">
        <f t="shared" si="306"/>
        <v>0,0364548997135816+0,0106020737541804i</v>
      </c>
      <c r="BJ345" s="20">
        <f t="shared" si="354"/>
        <v>-28.412264253408885</v>
      </c>
      <c r="BK345" s="43">
        <f t="shared" si="307"/>
        <v>16.215863842077976</v>
      </c>
      <c r="BL345">
        <f t="shared" si="355"/>
        <v>-33.245228645645945</v>
      </c>
      <c r="BM345" s="43">
        <f t="shared" si="356"/>
        <v>-52.233053121584177</v>
      </c>
    </row>
    <row r="346" spans="14:65" x14ac:dyDescent="0.35">
      <c r="N346" s="9">
        <v>28</v>
      </c>
      <c r="O346" s="34">
        <f t="shared" si="308"/>
        <v>19054.607179632505</v>
      </c>
      <c r="P346" s="33" t="str">
        <f t="shared" si="309"/>
        <v>59,1053597814893</v>
      </c>
      <c r="Q346" s="4" t="str">
        <f t="shared" si="310"/>
        <v>1+919,920052910894i</v>
      </c>
      <c r="R346" s="4">
        <f t="shared" si="322"/>
        <v>919.92059643622611</v>
      </c>
      <c r="S346" s="4">
        <f t="shared" si="323"/>
        <v>1.569709276237685</v>
      </c>
      <c r="T346" s="4" t="str">
        <f t="shared" si="311"/>
        <v>1+0,15564071622469i</v>
      </c>
      <c r="U346" s="4">
        <f t="shared" si="324"/>
        <v>1.0120395409997252</v>
      </c>
      <c r="V346" s="4">
        <f t="shared" si="325"/>
        <v>0.15440192352694579</v>
      </c>
      <c r="W346" t="str">
        <f t="shared" si="312"/>
        <v>1-5,74673413752702i</v>
      </c>
      <c r="X346" s="4">
        <f t="shared" si="326"/>
        <v>5.8330912257068661</v>
      </c>
      <c r="Y346" s="4">
        <f t="shared" si="327"/>
        <v>-1.3985095808537948</v>
      </c>
      <c r="Z346" t="str">
        <f t="shared" si="313"/>
        <v>0,992498387298138+0,537667928776201i</v>
      </c>
      <c r="AA346" s="4">
        <f t="shared" si="328"/>
        <v>1.1287780341696478</v>
      </c>
      <c r="AB346" s="4">
        <f t="shared" si="329"/>
        <v>0.49647310308542758</v>
      </c>
      <c r="AC346" s="47" t="str">
        <f t="shared" si="330"/>
        <v>-0,331249274337984+0,0564170915760867i</v>
      </c>
      <c r="AD346" s="20">
        <f t="shared" si="331"/>
        <v>-9.4727155449387901</v>
      </c>
      <c r="AE346" s="43">
        <f t="shared" si="332"/>
        <v>170.3343519357507</v>
      </c>
      <c r="AF346" t="str">
        <f t="shared" si="314"/>
        <v>405,634542683733</v>
      </c>
      <c r="AG346" t="str">
        <f t="shared" si="315"/>
        <v>1+921,556872383031i</v>
      </c>
      <c r="AH346">
        <f t="shared" si="333"/>
        <v>921.55741494298331</v>
      </c>
      <c r="AI346">
        <f t="shared" si="334"/>
        <v>1.569711206996572</v>
      </c>
      <c r="AJ346" t="str">
        <f t="shared" si="316"/>
        <v>1+0,15564071622469i</v>
      </c>
      <c r="AK346">
        <f t="shared" si="335"/>
        <v>1.0120395409997252</v>
      </c>
      <c r="AL346">
        <f t="shared" si="336"/>
        <v>0.15440192352694579</v>
      </c>
      <c r="AM346" t="str">
        <f t="shared" si="317"/>
        <v>1-0,838842460957827i</v>
      </c>
      <c r="AN346">
        <f t="shared" si="337"/>
        <v>1.3052419983688019</v>
      </c>
      <c r="AO346">
        <f t="shared" si="338"/>
        <v>-0.69798076800630937</v>
      </c>
      <c r="AP346" s="41" t="str">
        <f t="shared" si="339"/>
        <v>-0,300179273659986-0,497954697247406i</v>
      </c>
      <c r="AQ346">
        <f t="shared" si="340"/>
        <v>-4.7099789235965579</v>
      </c>
      <c r="AR346" s="43">
        <f t="shared" si="341"/>
        <v>-121.0826008365556</v>
      </c>
      <c r="AS346" t="str">
        <f t="shared" si="318"/>
        <v>-0,0000166666666666667</v>
      </c>
      <c r="AT346" t="str">
        <f t="shared" si="319"/>
        <v>0,0265187835721298i</v>
      </c>
      <c r="AU346">
        <f t="shared" si="342"/>
        <v>2.6518783572129799E-2</v>
      </c>
      <c r="AV346">
        <f t="shared" si="343"/>
        <v>1.5707963267948966</v>
      </c>
      <c r="AW346" t="str">
        <f t="shared" si="320"/>
        <v>1+0,945357224090929i</v>
      </c>
      <c r="AX346">
        <f t="shared" si="344"/>
        <v>1.3761178296719023</v>
      </c>
      <c r="AY346">
        <f t="shared" si="345"/>
        <v>0.75731673376602993</v>
      </c>
      <c r="AZ346" t="str">
        <f t="shared" si="321"/>
        <v>1+139,59775009076i</v>
      </c>
      <c r="BA346">
        <f t="shared" si="346"/>
        <v>139.60133176442937</v>
      </c>
      <c r="BB346">
        <f t="shared" si="347"/>
        <v>1.5636330100872664</v>
      </c>
      <c r="BC346" s="41" t="str">
        <f t="shared" si="348"/>
        <v>-0,0460162555370368+0,0441302849359286i</v>
      </c>
      <c r="BD346">
        <f t="shared" si="349"/>
        <v>-23.909418194998779</v>
      </c>
      <c r="BE346" s="43">
        <f t="shared" si="350"/>
        <v>136.19851958591113</v>
      </c>
      <c r="BF346" s="41" t="str">
        <f t="shared" si="351"/>
        <v>0,0127531489278856-0,0172142281639764i</v>
      </c>
      <c r="BG346" s="20">
        <f t="shared" si="352"/>
        <v>-33.382133739937579</v>
      </c>
      <c r="BH346" s="43">
        <f t="shared" si="353"/>
        <v>-53.467128478338118</v>
      </c>
      <c r="BI346" s="41" t="str">
        <f t="shared" si="306"/>
        <v>0,0357880088383721+0,00966701371592916i</v>
      </c>
      <c r="BJ346" s="20">
        <f t="shared" si="354"/>
        <v>-28.619397118595341</v>
      </c>
      <c r="BK346" s="43">
        <f t="shared" si="307"/>
        <v>15.115918749355513</v>
      </c>
      <c r="BL346">
        <f t="shared" si="355"/>
        <v>-33.382133739937579</v>
      </c>
      <c r="BM346" s="43">
        <f t="shared" si="356"/>
        <v>-53.467128478338118</v>
      </c>
    </row>
    <row r="347" spans="14:65" x14ac:dyDescent="0.35">
      <c r="N347" s="9">
        <v>29</v>
      </c>
      <c r="O347" s="34">
        <f t="shared" si="308"/>
        <v>19498.445997580486</v>
      </c>
      <c r="P347" s="33" t="str">
        <f t="shared" si="309"/>
        <v>59,1053597814893</v>
      </c>
      <c r="Q347" s="4" t="str">
        <f t="shared" si="310"/>
        <v>1+941,347743602253i</v>
      </c>
      <c r="R347" s="4">
        <f t="shared" si="322"/>
        <v>941.34827475544512</v>
      </c>
      <c r="S347" s="4">
        <f t="shared" si="323"/>
        <v>1.5697340205104959</v>
      </c>
      <c r="T347" s="4" t="str">
        <f t="shared" si="311"/>
        <v>1+0,159266054226282i</v>
      </c>
      <c r="U347" s="4">
        <f t="shared" si="324"/>
        <v>1.0126034149798275</v>
      </c>
      <c r="V347" s="4">
        <f t="shared" si="325"/>
        <v>0.15793955460558187</v>
      </c>
      <c r="W347" t="str">
        <f t="shared" si="312"/>
        <v>1-5,88059277143195i</v>
      </c>
      <c r="X347" s="4">
        <f t="shared" si="326"/>
        <v>5.9650122668287704</v>
      </c>
      <c r="Y347" s="4">
        <f t="shared" si="327"/>
        <v>-1.4023567151777587</v>
      </c>
      <c r="Z347" t="str">
        <f t="shared" si="313"/>
        <v>0,99214484718346+0,550191823690791i</v>
      </c>
      <c r="AA347" s="4">
        <f t="shared" si="328"/>
        <v>1.1344877437191154</v>
      </c>
      <c r="AB347" s="4">
        <f t="shared" si="329"/>
        <v>0.50632816034116113</v>
      </c>
      <c r="AC347" s="47" t="str">
        <f t="shared" si="330"/>
        <v>-0,328958615923843+0,0594821602030416i</v>
      </c>
      <c r="AD347" s="20">
        <f t="shared" si="331"/>
        <v>-9.5174509060412955</v>
      </c>
      <c r="AE347" s="43">
        <f t="shared" si="332"/>
        <v>169.75054777603518</v>
      </c>
      <c r="AF347" t="str">
        <f t="shared" si="314"/>
        <v>405,634542683733</v>
      </c>
      <c r="AG347" t="str">
        <f t="shared" si="315"/>
        <v>1+943,022689497719i</v>
      </c>
      <c r="AH347">
        <f t="shared" si="333"/>
        <v>943.0232197075062</v>
      </c>
      <c r="AI347">
        <f t="shared" si="334"/>
        <v>1.5697359073200452</v>
      </c>
      <c r="AJ347" t="str">
        <f t="shared" si="316"/>
        <v>1+0,159266054226282i</v>
      </c>
      <c r="AK347">
        <f t="shared" si="335"/>
        <v>1.0126034149798275</v>
      </c>
      <c r="AL347">
        <f t="shared" si="336"/>
        <v>0.15793955460558187</v>
      </c>
      <c r="AM347" t="str">
        <f t="shared" si="317"/>
        <v>1-0,858381611925681i</v>
      </c>
      <c r="AN347">
        <f t="shared" si="337"/>
        <v>1.3178842861541868</v>
      </c>
      <c r="AO347">
        <f t="shared" si="338"/>
        <v>-0.70933994087483654</v>
      </c>
      <c r="AP347" s="41" t="str">
        <f t="shared" si="339"/>
        <v>-0,30020078638808-0,489266561461426i</v>
      </c>
      <c r="AQ347">
        <f t="shared" si="340"/>
        <v>-4.8214157553544617</v>
      </c>
      <c r="AR347" s="43">
        <f t="shared" si="341"/>
        <v>-121.53215739468918</v>
      </c>
      <c r="AS347" t="str">
        <f t="shared" si="318"/>
        <v>-0,0000166666666666667</v>
      </c>
      <c r="AT347" t="str">
        <f t="shared" si="319"/>
        <v>0,0271364853931704i</v>
      </c>
      <c r="AU347">
        <f t="shared" si="342"/>
        <v>2.7136485393170401E-2</v>
      </c>
      <c r="AV347">
        <f t="shared" si="343"/>
        <v>1.5707963267948966</v>
      </c>
      <c r="AW347" t="str">
        <f t="shared" si="320"/>
        <v>1+0,967377422614228i</v>
      </c>
      <c r="AX347">
        <f t="shared" si="344"/>
        <v>1.3913371546047875</v>
      </c>
      <c r="AY347">
        <f t="shared" si="345"/>
        <v>0.76881792434749507</v>
      </c>
      <c r="AZ347" t="str">
        <f t="shared" si="321"/>
        <v>1+142,849399406034i</v>
      </c>
      <c r="BA347">
        <f t="shared" si="346"/>
        <v>142.85289955287791</v>
      </c>
      <c r="BB347">
        <f t="shared" si="347"/>
        <v>1.5637960616937898</v>
      </c>
      <c r="BC347" s="41" t="str">
        <f t="shared" si="348"/>
        <v>-0,0450150517925998+0,0441607240474578i</v>
      </c>
      <c r="BD347">
        <f t="shared" si="349"/>
        <v>-24.004963444040758</v>
      </c>
      <c r="BE347" s="43">
        <f t="shared" si="350"/>
        <v>135.54889207511417</v>
      </c>
      <c r="BF347" s="41" t="str">
        <f t="shared" si="351"/>
        <v>0,0121813138709605-0,0172046431831221i</v>
      </c>
      <c r="BG347" s="20">
        <f t="shared" si="352"/>
        <v>-33.522414350082073</v>
      </c>
      <c r="BH347" s="43">
        <f t="shared" si="353"/>
        <v>-54.700560148850698</v>
      </c>
      <c r="BI347" s="41" t="str">
        <f t="shared" si="306"/>
        <v>0,0351199195537852+0,00876727551805948i</v>
      </c>
      <c r="BJ347" s="20">
        <f t="shared" si="354"/>
        <v>-28.826379199395223</v>
      </c>
      <c r="BK347" s="43">
        <f t="shared" si="307"/>
        <v>14.016734680425008</v>
      </c>
      <c r="BL347">
        <f t="shared" si="355"/>
        <v>-33.522414350082073</v>
      </c>
      <c r="BM347" s="43">
        <f t="shared" si="356"/>
        <v>-54.700560148850698</v>
      </c>
    </row>
    <row r="348" spans="14:65" x14ac:dyDescent="0.35">
      <c r="N348" s="9">
        <v>30</v>
      </c>
      <c r="O348" s="34">
        <f t="shared" si="308"/>
        <v>19952.623149688792</v>
      </c>
      <c r="P348" s="33" t="str">
        <f t="shared" si="309"/>
        <v>59,1053597814893</v>
      </c>
      <c r="Q348" s="4" t="str">
        <f t="shared" si="310"/>
        <v>1+963,274549327487i</v>
      </c>
      <c r="R348" s="4">
        <f t="shared" si="322"/>
        <v>963.27506839016291</v>
      </c>
      <c r="S348" s="4">
        <f t="shared" si="323"/>
        <v>1.5697582015361493</v>
      </c>
      <c r="T348" s="4" t="str">
        <f t="shared" si="311"/>
        <v>1+0,162975837197961i</v>
      </c>
      <c r="U348" s="4">
        <f t="shared" si="324"/>
        <v>1.0131935271755226</v>
      </c>
      <c r="V348" s="4">
        <f t="shared" si="325"/>
        <v>0.16155546496479112</v>
      </c>
      <c r="W348" t="str">
        <f t="shared" si="312"/>
        <v>1-6,01756937346318i</v>
      </c>
      <c r="X348" s="4">
        <f t="shared" si="326"/>
        <v>6.1000935373518699</v>
      </c>
      <c r="Y348" s="4">
        <f t="shared" si="327"/>
        <v>-1.4061211482365055</v>
      </c>
      <c r="Z348" t="str">
        <f t="shared" si="313"/>
        <v>0,991774645236498+0,563007437592955i</v>
      </c>
      <c r="AA348" s="4">
        <f t="shared" si="328"/>
        <v>1.1404360226329957</v>
      </c>
      <c r="AB348" s="4">
        <f t="shared" si="329"/>
        <v>0.51631327033539609</v>
      </c>
      <c r="AC348" s="47" t="str">
        <f t="shared" si="330"/>
        <v>-0,326608498675979+0,0624897362024738i</v>
      </c>
      <c r="AD348" s="20">
        <f t="shared" si="331"/>
        <v>-9.5633096085758389</v>
      </c>
      <c r="AE348" s="43">
        <f t="shared" si="332"/>
        <v>169.16854792083211</v>
      </c>
      <c r="AF348" t="str">
        <f t="shared" si="314"/>
        <v>405,634542683733</v>
      </c>
      <c r="AG348" t="str">
        <f t="shared" si="315"/>
        <v>1+964,988509724767i</v>
      </c>
      <c r="AH348">
        <f t="shared" si="333"/>
        <v>964.98902786551253</v>
      </c>
      <c r="AI348">
        <f t="shared" si="334"/>
        <v>1.5697600453967633</v>
      </c>
      <c r="AJ348" t="str">
        <f t="shared" si="316"/>
        <v>1+0,162975837197961i</v>
      </c>
      <c r="AK348">
        <f t="shared" si="335"/>
        <v>1.0131935271755226</v>
      </c>
      <c r="AL348">
        <f t="shared" si="336"/>
        <v>0.16155546496479112</v>
      </c>
      <c r="AM348" t="str">
        <f t="shared" si="317"/>
        <v>1-0,878375888186208i</v>
      </c>
      <c r="AN348">
        <f t="shared" si="337"/>
        <v>1.3309936892964256</v>
      </c>
      <c r="AO348">
        <f t="shared" si="338"/>
        <v>-0.7207388113133123</v>
      </c>
      <c r="AP348" s="41" t="str">
        <f t="shared" si="339"/>
        <v>-0,300221330886043-0,48083783922853i</v>
      </c>
      <c r="AQ348">
        <f t="shared" si="340"/>
        <v>-4.9303808241457956</v>
      </c>
      <c r="AR348" s="43">
        <f t="shared" si="341"/>
        <v>-121.97947116927148</v>
      </c>
      <c r="AS348" t="str">
        <f t="shared" si="318"/>
        <v>-0,0000166666666666667</v>
      </c>
      <c r="AT348" t="str">
        <f t="shared" si="319"/>
        <v>0,0277685753379602i</v>
      </c>
      <c r="AU348">
        <f t="shared" si="342"/>
        <v>2.7768575337960202E-2</v>
      </c>
      <c r="AV348">
        <f t="shared" si="343"/>
        <v>1.5707963267948966</v>
      </c>
      <c r="AW348" t="str">
        <f t="shared" si="320"/>
        <v>1+0,989910537451759i</v>
      </c>
      <c r="AX348">
        <f t="shared" si="344"/>
        <v>1.4070973214948674</v>
      </c>
      <c r="AY348">
        <f t="shared" si="345"/>
        <v>0.78032789722237006</v>
      </c>
      <c r="AZ348" t="str">
        <f t="shared" si="321"/>
        <v>1+146,17678936371i</v>
      </c>
      <c r="BA348">
        <f t="shared" si="346"/>
        <v>146.18020983937066</v>
      </c>
      <c r="BB348">
        <f t="shared" si="347"/>
        <v>1.5639554021522943</v>
      </c>
      <c r="BC348" s="41" t="str">
        <f t="shared" si="348"/>
        <v>-0,0440123184963054+0,0441684566957484i</v>
      </c>
      <c r="BD348">
        <f t="shared" si="349"/>
        <v>-24.102808093204565</v>
      </c>
      <c r="BE348" s="43">
        <f t="shared" si="350"/>
        <v>134.89854874285186</v>
      </c>
      <c r="BF348" s="41" t="str">
        <f t="shared" si="351"/>
        <v>0,0116147220599396-0,0171761115027268i</v>
      </c>
      <c r="BG348" s="20">
        <f t="shared" si="352"/>
        <v>-33.666117701780401</v>
      </c>
      <c r="BH348" s="43">
        <f t="shared" si="353"/>
        <v>-55.932903336316144</v>
      </c>
      <c r="BI348" s="41" t="str">
        <f t="shared" si="306"/>
        <v>0,0344513021139838+0,00790247527282121i</v>
      </c>
      <c r="BJ348" s="20">
        <f t="shared" si="354"/>
        <v>-29.033188917350362</v>
      </c>
      <c r="BK348" s="43">
        <f t="shared" si="307"/>
        <v>12.919077573580383</v>
      </c>
      <c r="BL348">
        <f t="shared" si="355"/>
        <v>-33.666117701780401</v>
      </c>
      <c r="BM348" s="43">
        <f t="shared" si="356"/>
        <v>-55.932903336316144</v>
      </c>
    </row>
    <row r="349" spans="14:65" x14ac:dyDescent="0.35">
      <c r="N349" s="9">
        <v>31</v>
      </c>
      <c r="O349" s="34">
        <f t="shared" si="308"/>
        <v>20417.379446695286</v>
      </c>
      <c r="P349" s="33" t="str">
        <f t="shared" si="309"/>
        <v>59,1053597814893</v>
      </c>
      <c r="Q349" s="4" t="str">
        <f t="shared" si="310"/>
        <v>1+985,712095969216i</v>
      </c>
      <c r="R349" s="4">
        <f t="shared" si="322"/>
        <v>985.71260321658917</v>
      </c>
      <c r="S349" s="4">
        <f t="shared" si="323"/>
        <v>1.5697818321356318</v>
      </c>
      <c r="T349" s="4" t="str">
        <f t="shared" si="311"/>
        <v>1+0,166772032115762i</v>
      </c>
      <c r="U349" s="4">
        <f t="shared" si="324"/>
        <v>1.0138110823501687</v>
      </c>
      <c r="V349" s="4">
        <f t="shared" si="325"/>
        <v>0.16525119339690492</v>
      </c>
      <c r="W349" t="str">
        <f t="shared" si="312"/>
        <v>1-6,15773657042814i</v>
      </c>
      <c r="X349" s="4">
        <f t="shared" si="326"/>
        <v>6.2384068215200674</v>
      </c>
      <c r="Y349" s="4">
        <f t="shared" si="327"/>
        <v>-1.409804449002426</v>
      </c>
      <c r="Z349" t="str">
        <f t="shared" si="313"/>
        <v>0,991386996209291+0,576121565490813i</v>
      </c>
      <c r="AA349" s="4">
        <f t="shared" si="328"/>
        <v>1.1466316908565128</v>
      </c>
      <c r="AB349" s="4">
        <f t="shared" si="329"/>
        <v>0.5264265516187473</v>
      </c>
      <c r="AC349" s="47" t="str">
        <f t="shared" si="330"/>
        <v>-0,324199189152532+0,0654379915890284i</v>
      </c>
      <c r="AD349" s="20">
        <f t="shared" si="331"/>
        <v>-9.610333156008414</v>
      </c>
      <c r="AE349" s="43">
        <f t="shared" si="332"/>
        <v>168.58845770547177</v>
      </c>
      <c r="AF349" t="str">
        <f t="shared" si="314"/>
        <v>405,634542683733</v>
      </c>
      <c r="AG349" t="str">
        <f t="shared" si="315"/>
        <v>1+987,4659796328i</v>
      </c>
      <c r="AH349">
        <f t="shared" si="333"/>
        <v>987.46648597922831</v>
      </c>
      <c r="AI349">
        <f t="shared" si="334"/>
        <v>1.5697836340249411</v>
      </c>
      <c r="AJ349" t="str">
        <f t="shared" si="316"/>
        <v>1+0,166772032115762i</v>
      </c>
      <c r="AK349">
        <f t="shared" si="335"/>
        <v>1.0138110823501687</v>
      </c>
      <c r="AL349">
        <f t="shared" si="336"/>
        <v>0.16525119339690492</v>
      </c>
      <c r="AM349" t="str">
        <f t="shared" si="317"/>
        <v>1-0,898835890969327i</v>
      </c>
      <c r="AN349">
        <f t="shared" si="337"/>
        <v>1.3445839352359614</v>
      </c>
      <c r="AO349">
        <f t="shared" si="338"/>
        <v>-0.73217157521658438</v>
      </c>
      <c r="AP349" s="41" t="str">
        <f t="shared" si="339"/>
        <v>-0,300240950731222-0,472664061665723i</v>
      </c>
      <c r="AQ349">
        <f t="shared" si="340"/>
        <v>-5.036849624354077</v>
      </c>
      <c r="AR349" s="43">
        <f t="shared" si="341"/>
        <v>-122.42412217655094</v>
      </c>
      <c r="AS349" t="str">
        <f t="shared" si="318"/>
        <v>-0,0000166666666666667</v>
      </c>
      <c r="AT349" t="str">
        <f t="shared" si="319"/>
        <v>0,0284153885489549i</v>
      </c>
      <c r="AU349">
        <f t="shared" si="342"/>
        <v>2.8415388548954899E-2</v>
      </c>
      <c r="AV349">
        <f t="shared" si="343"/>
        <v>1.5707963267948966</v>
      </c>
      <c r="AW349" t="str">
        <f t="shared" si="320"/>
        <v>1+1,01296851595926i</v>
      </c>
      <c r="AX349">
        <f t="shared" si="344"/>
        <v>1.4234132268335522</v>
      </c>
      <c r="AY349">
        <f t="shared" si="345"/>
        <v>0.79184055752281157</v>
      </c>
      <c r="AZ349" t="str">
        <f t="shared" si="321"/>
        <v>1+149,581684189983i</v>
      </c>
      <c r="BA349">
        <f t="shared" si="346"/>
        <v>149.58502680787208</v>
      </c>
      <c r="BB349">
        <f t="shared" si="347"/>
        <v>1.5641111159148173</v>
      </c>
      <c r="BC349" s="41" t="str">
        <f t="shared" si="348"/>
        <v>-0,0430091169162613+0,0441534179804114i</v>
      </c>
      <c r="BD349">
        <f t="shared" si="349"/>
        <v>-24.202954456261388</v>
      </c>
      <c r="BE349" s="43">
        <f t="shared" si="350"/>
        <v>134.24784363807331</v>
      </c>
      <c r="BF349" s="41" t="str">
        <f t="shared" si="351"/>
        <v>0,0110542098359893-0,01712893253858i</v>
      </c>
      <c r="BG349" s="20">
        <f t="shared" si="352"/>
        <v>-33.813287612269832</v>
      </c>
      <c r="BH349" s="43">
        <f t="shared" si="353"/>
        <v>-57.163698656454962</v>
      </c>
      <c r="BI349" s="41" t="str">
        <f t="shared" si="306"/>
        <v>0,0337828320320942+0,00707219969782427i</v>
      </c>
      <c r="BJ349" s="20">
        <f t="shared" si="354"/>
        <v>-29.239804080615464</v>
      </c>
      <c r="BK349" s="43">
        <f t="shared" si="307"/>
        <v>11.823721461522341</v>
      </c>
      <c r="BL349">
        <f t="shared" si="355"/>
        <v>-33.813287612269832</v>
      </c>
      <c r="BM349" s="43">
        <f t="shared" si="356"/>
        <v>-57.163698656454962</v>
      </c>
    </row>
    <row r="350" spans="14:65" x14ac:dyDescent="0.35">
      <c r="N350" s="9">
        <v>32</v>
      </c>
      <c r="O350" s="34">
        <f t="shared" si="308"/>
        <v>20892.961308540423</v>
      </c>
      <c r="P350" s="33" t="str">
        <f t="shared" si="309"/>
        <v>59,1053597814893</v>
      </c>
      <c r="Q350" s="4" t="str">
        <f t="shared" si="310"/>
        <v>1+1008,67228021168i</v>
      </c>
      <c r="R350" s="4">
        <f t="shared" si="322"/>
        <v>1008.672775912699</v>
      </c>
      <c r="S350" s="4">
        <f t="shared" si="323"/>
        <v>1.5698049248380943</v>
      </c>
      <c r="T350" s="4" t="str">
        <f t="shared" si="311"/>
        <v>1+0,170656651772481i</v>
      </c>
      <c r="U350" s="4">
        <f t="shared" si="324"/>
        <v>1.0144573390705958</v>
      </c>
      <c r="V350" s="4">
        <f t="shared" si="325"/>
        <v>0.16902829539951023</v>
      </c>
      <c r="W350" t="str">
        <f t="shared" si="312"/>
        <v>1-6,30116868083007i</v>
      </c>
      <c r="X350" s="4">
        <f t="shared" si="326"/>
        <v>6.380025606866619</v>
      </c>
      <c r="Y350" s="4">
        <f t="shared" si="327"/>
        <v>-1.4134081704457939</v>
      </c>
      <c r="Z350" t="str">
        <f t="shared" si="313"/>
        <v>0,990981077846278+0,58954116066857i</v>
      </c>
      <c r="AA350" s="4">
        <f t="shared" si="328"/>
        <v>1.1530838116857836</v>
      </c>
      <c r="AB350" s="4">
        <f t="shared" si="329"/>
        <v>0.53666591905561789</v>
      </c>
      <c r="AC350" s="47" t="str">
        <f t="shared" si="330"/>
        <v>-0,321731095047045+0,0683250437694149i</v>
      </c>
      <c r="AD350" s="20">
        <f t="shared" si="331"/>
        <v>-9.6585619791110453</v>
      </c>
      <c r="AE350" s="43">
        <f t="shared" si="332"/>
        <v>168.0103960263605</v>
      </c>
      <c r="AF350" t="str">
        <f t="shared" si="314"/>
        <v>405,634542683733</v>
      </c>
      <c r="AG350" t="str">
        <f t="shared" si="315"/>
        <v>1+1010,4670170739i</v>
      </c>
      <c r="AH350">
        <f t="shared" si="333"/>
        <v>1010.4675118944821</v>
      </c>
      <c r="AI350">
        <f t="shared" si="334"/>
        <v>1.569806685711477</v>
      </c>
      <c r="AJ350" t="str">
        <f t="shared" si="316"/>
        <v>1+0,170656651772481i</v>
      </c>
      <c r="AK350">
        <f t="shared" si="335"/>
        <v>1.0144573390705958</v>
      </c>
      <c r="AL350">
        <f t="shared" si="336"/>
        <v>0.16902829539951023</v>
      </c>
      <c r="AM350" t="str">
        <f t="shared" si="317"/>
        <v>1-0,919772468439346i</v>
      </c>
      <c r="AN350">
        <f t="shared" si="337"/>
        <v>1.358668978706369</v>
      </c>
      <c r="AO350">
        <f t="shared" si="338"/>
        <v>-0.74363234049577909</v>
      </c>
      <c r="AP350" s="41" t="str">
        <f t="shared" si="339"/>
        <v>-0,300259687539677-0,464740895055891i</v>
      </c>
      <c r="AQ350">
        <f t="shared" si="340"/>
        <v>-5.1407995121962138</v>
      </c>
      <c r="AR350" s="43">
        <f t="shared" si="341"/>
        <v>-122.86568441784827</v>
      </c>
      <c r="AS350" t="str">
        <f t="shared" si="318"/>
        <v>-0,0000166666666666667</v>
      </c>
      <c r="AT350" t="str">
        <f t="shared" si="319"/>
        <v>0,0290772679750804i</v>
      </c>
      <c r="AU350">
        <f t="shared" si="342"/>
        <v>2.9077267975080399E-2</v>
      </c>
      <c r="AV350">
        <f t="shared" si="343"/>
        <v>1.5707963267948966</v>
      </c>
      <c r="AW350" t="str">
        <f t="shared" si="320"/>
        <v>1+1,03656358378215i</v>
      </c>
      <c r="AX350">
        <f t="shared" si="344"/>
        <v>1.4402999907044696</v>
      </c>
      <c r="AY350">
        <f t="shared" si="345"/>
        <v>0.80334980326373451</v>
      </c>
      <c r="AZ350" t="str">
        <f t="shared" si="321"/>
        <v>1+153,065889205164i</v>
      </c>
      <c r="BA350">
        <f t="shared" si="346"/>
        <v>153.0691557374233</v>
      </c>
      <c r="BB350">
        <f t="shared" si="347"/>
        <v>1.5642632855126353</v>
      </c>
      <c r="BC350" s="41" t="str">
        <f t="shared" si="348"/>
        <v>-0,0420065103042273+0,0441156043041074i</v>
      </c>
      <c r="BD350">
        <f t="shared" si="349"/>
        <v>-24.305402407181013</v>
      </c>
      <c r="BE350" s="43">
        <f t="shared" si="350"/>
        <v>133.59713110746469</v>
      </c>
      <c r="BF350" s="41" t="str">
        <f t="shared" si="351"/>
        <v>0,0105005999642917-0,0170634583365593i</v>
      </c>
      <c r="BG350" s="20">
        <f t="shared" si="352"/>
        <v>-33.963964386292062</v>
      </c>
      <c r="BH350" s="43">
        <f t="shared" si="353"/>
        <v>-58.392472866174806</v>
      </c>
      <c r="BI350" s="41" t="str">
        <f t="shared" si="306"/>
        <v>0,0331151870888019+0,00627600563298578i</v>
      </c>
      <c r="BJ350" s="20">
        <f t="shared" si="354"/>
        <v>-29.446201919377227</v>
      </c>
      <c r="BK350" s="43">
        <f t="shared" si="307"/>
        <v>10.731446689616416</v>
      </c>
      <c r="BL350">
        <f t="shared" si="355"/>
        <v>-33.963964386292062</v>
      </c>
      <c r="BM350" s="43">
        <f t="shared" si="356"/>
        <v>-58.392472866174806</v>
      </c>
    </row>
    <row r="351" spans="14:65" x14ac:dyDescent="0.35">
      <c r="N351" s="9">
        <v>33</v>
      </c>
      <c r="O351" s="34">
        <f t="shared" si="308"/>
        <v>21379.620895022348</v>
      </c>
      <c r="P351" s="33" t="str">
        <f t="shared" si="309"/>
        <v>59,1053597814893</v>
      </c>
      <c r="Q351" s="4" t="str">
        <f t="shared" si="310"/>
        <v>1+1032,16727584846i</v>
      </c>
      <c r="R351" s="4">
        <f t="shared" si="322"/>
        <v>1032.1677602659515</v>
      </c>
      <c r="S351" s="4">
        <f t="shared" si="323"/>
        <v>1.569827491887495</v>
      </c>
      <c r="T351" s="4" t="str">
        <f t="shared" si="311"/>
        <v>1+0,174631755844876i</v>
      </c>
      <c r="U351" s="4">
        <f t="shared" si="324"/>
        <v>1.0151336119691163</v>
      </c>
      <c r="V351" s="4">
        <f t="shared" si="325"/>
        <v>0.1728883423370059</v>
      </c>
      <c r="W351" t="str">
        <f t="shared" si="312"/>
        <v>1-6,44794175427236i</v>
      </c>
      <c r="X351" s="4">
        <f t="shared" si="326"/>
        <v>6.5250251238205141</v>
      </c>
      <c r="Y351" s="4">
        <f t="shared" si="327"/>
        <v>-1.4169338487099374</v>
      </c>
      <c r="Z351" t="str">
        <f t="shared" si="313"/>
        <v>0,990556029140188+0,603273338373209i</v>
      </c>
      <c r="AA351" s="4">
        <f t="shared" si="328"/>
        <v>1.159801693246709</v>
      </c>
      <c r="AB351" s="4">
        <f t="shared" si="329"/>
        <v>0.54702908127067174</v>
      </c>
      <c r="AC351" s="47" t="str">
        <f t="shared" si="330"/>
        <v>-0,319204770760213+0,071148964378799i</v>
      </c>
      <c r="AD351" s="20">
        <f t="shared" si="331"/>
        <v>-9.7080353369687007</v>
      </c>
      <c r="AE351" s="43">
        <f t="shared" si="332"/>
        <v>167.43449548612639</v>
      </c>
      <c r="AF351" t="str">
        <f t="shared" si="314"/>
        <v>405,634542683733</v>
      </c>
      <c r="AG351" t="str">
        <f t="shared" si="315"/>
        <v>1+1034,00381750256i</v>
      </c>
      <c r="AH351">
        <f t="shared" si="333"/>
        <v>1034.004301059656</v>
      </c>
      <c r="AI351">
        <f t="shared" si="334"/>
        <v>1.5698292126785818</v>
      </c>
      <c r="AJ351" t="str">
        <f t="shared" si="316"/>
        <v>1+0,174631755844876i</v>
      </c>
      <c r="AK351">
        <f t="shared" si="335"/>
        <v>1.0151336119691163</v>
      </c>
      <c r="AL351">
        <f t="shared" si="336"/>
        <v>0.1728883423370059</v>
      </c>
      <c r="AM351" t="str">
        <f t="shared" si="317"/>
        <v>1-0,941196721446751i</v>
      </c>
      <c r="AN351">
        <f t="shared" si="337"/>
        <v>1.3732630004708177</v>
      </c>
      <c r="AO351">
        <f t="shared" si="338"/>
        <v>-0.75511514189878537</v>
      </c>
      <c r="AP351" s="41" t="str">
        <f t="shared" si="339"/>
        <v>-0,300277581054452-0,457064138550631i</v>
      </c>
      <c r="AQ351">
        <f t="shared" si="340"/>
        <v>-5.242209741556314</v>
      </c>
      <c r="AR351" s="43">
        <f t="shared" si="341"/>
        <v>-123.30372677712695</v>
      </c>
      <c r="AS351" t="str">
        <f t="shared" si="318"/>
        <v>-0,0000166666666666667</v>
      </c>
      <c r="AT351" t="str">
        <f t="shared" si="319"/>
        <v>0,0297545645535693i</v>
      </c>
      <c r="AU351">
        <f t="shared" si="342"/>
        <v>2.9754564553569299E-2</v>
      </c>
      <c r="AV351">
        <f t="shared" si="343"/>
        <v>1.5707963267948966</v>
      </c>
      <c r="AW351" t="str">
        <f t="shared" si="320"/>
        <v>1+1,06070825133769i</v>
      </c>
      <c r="AX351">
        <f t="shared" si="344"/>
        <v>1.4577729571012972</v>
      </c>
      <c r="AY351">
        <f t="shared" si="345"/>
        <v>0.81484954150231492</v>
      </c>
      <c r="AZ351" t="str">
        <f t="shared" si="321"/>
        <v>1+156,631251780866i</v>
      </c>
      <c r="BA351">
        <f t="shared" si="346"/>
        <v>156.63444395930622</v>
      </c>
      <c r="BB351">
        <f t="shared" si="347"/>
        <v>1.5644119915998778</v>
      </c>
      <c r="BC351" s="41" t="str">
        <f t="shared" si="348"/>
        <v>-0,0410055593919158+0,0440550733451543i</v>
      </c>
      <c r="BD351">
        <f t="shared" si="349"/>
        <v>-24.410149380789864</v>
      </c>
      <c r="BE351" s="43">
        <f t="shared" si="350"/>
        <v>132.9467648720757</v>
      </c>
      <c r="BF351" s="41" t="str">
        <f t="shared" si="351"/>
        <v>0,00995469734145102-0,0169800926724725i</v>
      </c>
      <c r="BG351" s="20">
        <f t="shared" si="352"/>
        <v>-34.118184717758567</v>
      </c>
      <c r="BH351" s="43">
        <f t="shared" si="353"/>
        <v>-59.618739641797902</v>
      </c>
      <c r="BI351" s="41" t="str">
        <f t="shared" si="306"/>
        <v>0,032449044331277+0,00551341982199333i</v>
      </c>
      <c r="BJ351" s="20">
        <f t="shared" si="354"/>
        <v>-29.652359122346166</v>
      </c>
      <c r="BK351" s="43">
        <f t="shared" si="307"/>
        <v>9.6430380949487606</v>
      </c>
      <c r="BL351">
        <f t="shared" si="355"/>
        <v>-34.118184717758567</v>
      </c>
      <c r="BM351" s="43">
        <f t="shared" si="356"/>
        <v>-59.618739641797902</v>
      </c>
    </row>
    <row r="352" spans="14:65" x14ac:dyDescent="0.35">
      <c r="N352" s="9">
        <v>34</v>
      </c>
      <c r="O352" s="34">
        <f t="shared" si="308"/>
        <v>21877.61623949555</v>
      </c>
      <c r="P352" s="33" t="str">
        <f t="shared" si="309"/>
        <v>59,1053597814893</v>
      </c>
      <c r="Q352" s="4" t="str">
        <f t="shared" si="310"/>
        <v>1+1056,20954023724i</v>
      </c>
      <c r="R352" s="4">
        <f t="shared" si="322"/>
        <v>1056.210013628048</v>
      </c>
      <c r="S352" s="4">
        <f t="shared" si="323"/>
        <v>1.5698495452490899</v>
      </c>
      <c r="T352" s="4" t="str">
        <f t="shared" si="311"/>
        <v>1+0,178699451985746i</v>
      </c>
      <c r="U352" s="4">
        <f t="shared" si="324"/>
        <v>1.015841274087643</v>
      </c>
      <c r="V352" s="4">
        <f t="shared" si="325"/>
        <v>0.17683292051091229</v>
      </c>
      <c r="W352" t="str">
        <f t="shared" si="312"/>
        <v>1-6,59813361178139i</v>
      </c>
      <c r="X352" s="4">
        <f t="shared" si="326"/>
        <v>6.6734823861998258</v>
      </c>
      <c r="Y352" s="4">
        <f t="shared" si="327"/>
        <v>-1.4203830023715958</v>
      </c>
      <c r="Z352" t="str">
        <f t="shared" si="313"/>
        <v>0,990110948505731+0,617325379587121i</v>
      </c>
      <c r="AA352" s="4">
        <f t="shared" si="328"/>
        <v>1.1667948897013996</v>
      </c>
      <c r="AB352" s="4">
        <f t="shared" si="329"/>
        <v>0.55751353879062282</v>
      </c>
      <c r="AC352" s="47" t="str">
        <f t="shared" si="330"/>
        <v>-0,316620922442274+0,0739077887707228i</v>
      </c>
      <c r="AD352" s="20">
        <f t="shared" si="331"/>
        <v>-9.7587912136974211</v>
      </c>
      <c r="AE352" s="43">
        <f t="shared" si="332"/>
        <v>166.86090248882454</v>
      </c>
      <c r="AF352" t="str">
        <f t="shared" si="314"/>
        <v>405,634542683733</v>
      </c>
      <c r="AG352" t="str">
        <f t="shared" si="315"/>
        <v>1+1058,08886044191i</v>
      </c>
      <c r="AH352">
        <f t="shared" si="333"/>
        <v>1058.0893329919074</v>
      </c>
      <c r="AI352">
        <f t="shared" si="334"/>
        <v>1.5698512268702605</v>
      </c>
      <c r="AJ352" t="str">
        <f t="shared" si="316"/>
        <v>1+0,178699451985746i</v>
      </c>
      <c r="AK352">
        <f t="shared" si="335"/>
        <v>1.015841274087643</v>
      </c>
      <c r="AL352">
        <f t="shared" si="336"/>
        <v>0.17683292051091229</v>
      </c>
      <c r="AM352" t="str">
        <f t="shared" si="317"/>
        <v>1-0,963120009414083i</v>
      </c>
      <c r="AN352">
        <f t="shared" si="337"/>
        <v>1.3883804062769625</v>
      </c>
      <c r="AO352">
        <f t="shared" si="338"/>
        <v>-0.76661395629381224</v>
      </c>
      <c r="AP352" s="41" t="str">
        <f t="shared" si="339"/>
        <v>-0,300294669229875-0,449629721943469i</v>
      </c>
      <c r="AQ352">
        <f t="shared" si="340"/>
        <v>-5.3410614901380891</v>
      </c>
      <c r="AR352" s="43">
        <f t="shared" si="341"/>
        <v>-123.73781395031455</v>
      </c>
      <c r="AS352" t="str">
        <f t="shared" si="318"/>
        <v>-0,0000166666666666667</v>
      </c>
      <c r="AT352" t="str">
        <f t="shared" si="319"/>
        <v>0,0304476373960328i</v>
      </c>
      <c r="AU352">
        <f t="shared" si="342"/>
        <v>3.04476373960328E-2</v>
      </c>
      <c r="AV352">
        <f t="shared" si="343"/>
        <v>1.5707963267948966</v>
      </c>
      <c r="AW352" t="str">
        <f t="shared" si="320"/>
        <v>1+1,08541532044824i</v>
      </c>
      <c r="AX352">
        <f t="shared" si="344"/>
        <v>1.4758476946703394</v>
      </c>
      <c r="AY352">
        <f t="shared" si="345"/>
        <v>0.82633370443918641</v>
      </c>
      <c r="AZ352" t="str">
        <f t="shared" si="321"/>
        <v>1+160,279662319523i</v>
      </c>
      <c r="BA352">
        <f t="shared" si="346"/>
        <v>160.2827818365414</v>
      </c>
      <c r="BB352">
        <f t="shared" si="347"/>
        <v>1.5645573129961585</v>
      </c>
      <c r="BC352" s="41" t="str">
        <f t="shared" si="348"/>
        <v>-0,0400073179099512+0,0439719436360516i</v>
      </c>
      <c r="BD352">
        <f t="shared" si="349"/>
        <v>-24.517190383744165</v>
      </c>
      <c r="BE352" s="43">
        <f t="shared" si="350"/>
        <v>132.29709710723225</v>
      </c>
      <c r="BF352" s="41" t="str">
        <f t="shared" si="351"/>
        <v>0,00941728477899863-0,0168792897569982i</v>
      </c>
      <c r="BG352" s="20">
        <f t="shared" si="352"/>
        <v>-34.275981597441572</v>
      </c>
      <c r="BH352" s="43">
        <f t="shared" si="353"/>
        <v>-60.84200040394326</v>
      </c>
      <c r="BI352" s="41" t="str">
        <f t="shared" si="306"/>
        <v>0,031785077088935+0,0047839389579725i</v>
      </c>
      <c r="BJ352" s="20">
        <f t="shared" si="354"/>
        <v>-29.858251873882256</v>
      </c>
      <c r="BK352" s="43">
        <f t="shared" si="307"/>
        <v>8.5592831569177097</v>
      </c>
      <c r="BL352">
        <f t="shared" si="355"/>
        <v>-34.275981597441572</v>
      </c>
      <c r="BM352" s="43">
        <f t="shared" si="356"/>
        <v>-60.84200040394326</v>
      </c>
    </row>
    <row r="353" spans="14:65" x14ac:dyDescent="0.35">
      <c r="N353" s="9">
        <v>35</v>
      </c>
      <c r="O353" s="34">
        <f t="shared" si="308"/>
        <v>22387.211385683382</v>
      </c>
      <c r="P353" s="33" t="str">
        <f t="shared" si="309"/>
        <v>59,1053597814893</v>
      </c>
      <c r="Q353" s="4" t="str">
        <f t="shared" si="310"/>
        <v>1+1080,81182090484i</v>
      </c>
      <c r="R353" s="4">
        <f t="shared" si="322"/>
        <v>1080.8122835199624</v>
      </c>
      <c r="S353" s="4">
        <f t="shared" si="323"/>
        <v>1.5698710966157776</v>
      </c>
      <c r="T353" s="4" t="str">
        <f t="shared" si="311"/>
        <v>1+0,182861896941424i</v>
      </c>
      <c r="U353" s="4">
        <f t="shared" si="324"/>
        <v>1.0165817593056723</v>
      </c>
      <c r="V353" s="4">
        <f t="shared" si="325"/>
        <v>0.18086363013340367</v>
      </c>
      <c r="W353" t="str">
        <f t="shared" si="312"/>
        <v>1-6,75182388706796i</v>
      </c>
      <c r="X353" s="4">
        <f t="shared" si="326"/>
        <v>6.8254762326142124</v>
      </c>
      <c r="Y353" s="4">
        <f t="shared" si="327"/>
        <v>-1.4237571317813524</v>
      </c>
      <c r="Z353" t="str">
        <f t="shared" si="313"/>
        <v>0,989644891867205+0,631704734888554i</v>
      </c>
      <c r="AA353" s="4">
        <f t="shared" si="328"/>
        <v>1.174073202180967</v>
      </c>
      <c r="AB353" s="4">
        <f t="shared" si="329"/>
        <v>0.56811658293253953</v>
      </c>
      <c r="AC353" s="47" t="str">
        <f t="shared" si="330"/>
        <v>-0,31398041242882+0,0765995261304674i</v>
      </c>
      <c r="AD353" s="20">
        <f t="shared" si="331"/>
        <v>-9.8108662112689498</v>
      </c>
      <c r="AE353" s="43">
        <f t="shared" si="332"/>
        <v>166.28977728224953</v>
      </c>
      <c r="AF353" t="str">
        <f t="shared" si="314"/>
        <v>405,634542683733</v>
      </c>
      <c r="AG353" t="str">
        <f t="shared" si="315"/>
        <v>1+1082,73491610053i</v>
      </c>
      <c r="AH353">
        <f t="shared" si="333"/>
        <v>1082.735377893981</v>
      </c>
      <c r="AI353">
        <f t="shared" si="334"/>
        <v>1.5698727399586432</v>
      </c>
      <c r="AJ353" t="str">
        <f t="shared" si="316"/>
        <v>1+0,182861896941424i</v>
      </c>
      <c r="AK353">
        <f t="shared" si="335"/>
        <v>1.0165817593056723</v>
      </c>
      <c r="AL353">
        <f t="shared" si="336"/>
        <v>0.18086363013340367</v>
      </c>
      <c r="AM353" t="str">
        <f t="shared" si="317"/>
        <v>1-0,9855539563588i</v>
      </c>
      <c r="AN353">
        <f t="shared" si="337"/>
        <v>1.4040358260722849</v>
      </c>
      <c r="AO353">
        <f t="shared" si="338"/>
        <v>-0.77812271832200386</v>
      </c>
      <c r="AP353" s="41" t="str">
        <f t="shared" si="339"/>
        <v>-0,300310988312054-0,442433703512305i</v>
      </c>
      <c r="AQ353">
        <f t="shared" si="340"/>
        <v>-5.4373378755856088</v>
      </c>
      <c r="AR353" s="43">
        <f t="shared" si="341"/>
        <v>-124.16750740130746</v>
      </c>
      <c r="AS353" t="str">
        <f t="shared" si="318"/>
        <v>-0,0000166666666666667</v>
      </c>
      <c r="AT353" t="str">
        <f t="shared" si="319"/>
        <v>0,0311568539788657i</v>
      </c>
      <c r="AU353">
        <f t="shared" si="342"/>
        <v>3.1156853978865699E-2</v>
      </c>
      <c r="AV353">
        <f t="shared" si="343"/>
        <v>1.5707963267948966</v>
      </c>
      <c r="AW353" t="str">
        <f t="shared" si="320"/>
        <v>1+1,11069789112884i</v>
      </c>
      <c r="AX353">
        <f t="shared" si="344"/>
        <v>1.4945399979117497</v>
      </c>
      <c r="AY353">
        <f t="shared" si="345"/>
        <v>0.83779626535759222</v>
      </c>
      <c r="AZ353" t="str">
        <f t="shared" si="321"/>
        <v>1+164,013055256692i</v>
      </c>
      <c r="BA353">
        <f t="shared" si="346"/>
        <v>164.01610376616898</v>
      </c>
      <c r="BB353">
        <f t="shared" si="347"/>
        <v>1.5646993267282394</v>
      </c>
      <c r="BC353" s="41" t="str">
        <f t="shared" si="348"/>
        <v>-0,0390128281696197+0,0438663937529133i</v>
      </c>
      <c r="BD353">
        <f t="shared" si="349"/>
        <v>-24.6265180157217</v>
      </c>
      <c r="BE353" s="43">
        <f t="shared" si="350"/>
        <v>131.64847753167714</v>
      </c>
      <c r="BF353" s="41" t="str">
        <f t="shared" si="351"/>
        <v>0,00888911890418623-0,016761552553107i</v>
      </c>
      <c r="BG353" s="20">
        <f t="shared" si="352"/>
        <v>-34.437384226990631</v>
      </c>
      <c r="BH353" s="43">
        <f t="shared" si="353"/>
        <v>-62.061745186073402</v>
      </c>
      <c r="BI353" s="41" t="str">
        <f t="shared" si="306"/>
        <v>0,0311239520322973+0,00408702998995092i</v>
      </c>
      <c r="BJ353" s="20">
        <f t="shared" si="354"/>
        <v>-30.063855891307306</v>
      </c>
      <c r="BK353" s="43">
        <f t="shared" si="307"/>
        <v>7.480970130369661</v>
      </c>
      <c r="BL353">
        <f t="shared" si="355"/>
        <v>-34.437384226990631</v>
      </c>
      <c r="BM353" s="43">
        <f t="shared" si="356"/>
        <v>-62.061745186073402</v>
      </c>
    </row>
    <row r="354" spans="14:65" x14ac:dyDescent="0.35">
      <c r="N354" s="9">
        <v>36</v>
      </c>
      <c r="O354" s="34">
        <f t="shared" si="308"/>
        <v>22908.676527677751</v>
      </c>
      <c r="P354" s="33" t="str">
        <f t="shared" si="309"/>
        <v>59,1053597814893</v>
      </c>
      <c r="Q354" s="4" t="str">
        <f t="shared" si="310"/>
        <v>1+1105,98716230613i</v>
      </c>
      <c r="R354" s="4">
        <f t="shared" si="322"/>
        <v>1105.9876143908511</v>
      </c>
      <c r="S354" s="4">
        <f t="shared" si="323"/>
        <v>1.5698921574142979</v>
      </c>
      <c r="T354" s="4" t="str">
        <f t="shared" si="311"/>
        <v>1+0,187121297695326i</v>
      </c>
      <c r="U354" s="4">
        <f t="shared" si="324"/>
        <v>1.0173565648538287</v>
      </c>
      <c r="V354" s="4">
        <f t="shared" si="325"/>
        <v>0.18498208419843667</v>
      </c>
      <c r="W354" t="str">
        <f t="shared" si="312"/>
        <v>1-6,90909406875049i</v>
      </c>
      <c r="X354" s="4">
        <f t="shared" si="326"/>
        <v>6.9810873688017399</v>
      </c>
      <c r="Y354" s="4">
        <f t="shared" si="327"/>
        <v>-1.4270577184793054</v>
      </c>
      <c r="Z354" t="str">
        <f t="shared" si="313"/>
        <v>0,989156870655996+0,646419028402033i</v>
      </c>
      <c r="AA354" s="4">
        <f t="shared" si="328"/>
        <v>1.1816466794461833</v>
      </c>
      <c r="AB354" s="4">
        <f t="shared" si="329"/>
        <v>0.57883529548725265</v>
      </c>
      <c r="AC354" s="47" t="str">
        <f t="shared" si="330"/>
        <v>-0,311284262993565+0,0792221701725898i</v>
      </c>
      <c r="AD354" s="20">
        <f t="shared" si="331"/>
        <v>-9.8642954388957662</v>
      </c>
      <c r="AE354" s="43">
        <f t="shared" si="332"/>
        <v>165.72129394451733</v>
      </c>
      <c r="AF354" t="str">
        <f t="shared" si="314"/>
        <v>405,634542683733</v>
      </c>
      <c r="AG354" t="str">
        <f t="shared" si="315"/>
        <v>1+1107,95505214337i</v>
      </c>
      <c r="AH354">
        <f t="shared" si="333"/>
        <v>1107.9555034251232</v>
      </c>
      <c r="AI354">
        <f t="shared" si="334"/>
        <v>1.5698937633501746</v>
      </c>
      <c r="AJ354" t="str">
        <f t="shared" si="316"/>
        <v>1+0,187121297695326i</v>
      </c>
      <c r="AK354">
        <f t="shared" si="335"/>
        <v>1.0173565648538287</v>
      </c>
      <c r="AL354">
        <f t="shared" si="336"/>
        <v>0.18498208419843667</v>
      </c>
      <c r="AM354" t="str">
        <f t="shared" si="317"/>
        <v>1-1,00851045705654i</v>
      </c>
      <c r="AN354">
        <f t="shared" si="337"/>
        <v>1.4202441135214718</v>
      </c>
      <c r="AO354">
        <f t="shared" si="338"/>
        <v>-0.78963533632097871</v>
      </c>
      <c r="AP354" s="41" t="str">
        <f t="shared" si="339"/>
        <v>-0,30032657291577-0,435472267929972i</v>
      </c>
      <c r="AQ354">
        <f t="shared" si="340"/>
        <v>-5.5310239613082857</v>
      </c>
      <c r="AR354" s="43">
        <f t="shared" si="341"/>
        <v>-124.59236633935592</v>
      </c>
      <c r="AS354" t="str">
        <f t="shared" si="318"/>
        <v>-0,0000166666666666667</v>
      </c>
      <c r="AT354" t="str">
        <f t="shared" si="319"/>
        <v>0,0318825903380881i</v>
      </c>
      <c r="AU354">
        <f t="shared" si="342"/>
        <v>3.1882590338088102E-2</v>
      </c>
      <c r="AV354">
        <f t="shared" si="343"/>
        <v>1.5707963267948966</v>
      </c>
      <c r="AW354" t="str">
        <f t="shared" si="320"/>
        <v>1+1,13656936853316i</v>
      </c>
      <c r="AX354">
        <f t="shared" si="344"/>
        <v>1.5138658888712255</v>
      </c>
      <c r="AY354">
        <f t="shared" si="345"/>
        <v>0.84923125429904223</v>
      </c>
      <c r="AZ354" t="str">
        <f t="shared" si="321"/>
        <v>1+167,83341008673i</v>
      </c>
      <c r="BA354">
        <f t="shared" si="346"/>
        <v>167.83638920490537</v>
      </c>
      <c r="BB354">
        <f t="shared" si="347"/>
        <v>1.5648381080707556</v>
      </c>
      <c r="BC354" s="41" t="str">
        <f t="shared" si="348"/>
        <v>-0,0380231167465734+0,0437386611254464i</v>
      </c>
      <c r="BD354">
        <f t="shared" si="349"/>
        <v>-24.738122500643428</v>
      </c>
      <c r="BE354" s="43">
        <f t="shared" si="350"/>
        <v>131.00125251175467</v>
      </c>
      <c r="BF354" s="41" t="str">
        <f t="shared" si="351"/>
        <v>0,00837092621837403-0,0166274307181492i</v>
      </c>
      <c r="BG354" s="20">
        <f t="shared" si="352"/>
        <v>-34.60241793953918</v>
      </c>
      <c r="BH354" s="43">
        <f t="shared" si="353"/>
        <v>-63.277453543728065</v>
      </c>
      <c r="BI354" s="41" t="str">
        <f t="shared" si="306"/>
        <v>0,0304663263005933+0,00342213068366689i</v>
      </c>
      <c r="BJ354" s="20">
        <f t="shared" si="354"/>
        <v>-30.269146461951699</v>
      </c>
      <c r="BK354" s="43">
        <f t="shared" si="307"/>
        <v>6.4088861723987254</v>
      </c>
      <c r="BL354">
        <f t="shared" si="355"/>
        <v>-34.60241793953918</v>
      </c>
      <c r="BM354" s="43">
        <f t="shared" si="356"/>
        <v>-63.277453543728065</v>
      </c>
    </row>
    <row r="355" spans="14:65" x14ac:dyDescent="0.35">
      <c r="N355" s="9">
        <v>37</v>
      </c>
      <c r="O355" s="34">
        <f t="shared" si="308"/>
        <v>23442.288153199243</v>
      </c>
      <c r="P355" s="33" t="str">
        <f t="shared" si="309"/>
        <v>59,1053597814893</v>
      </c>
      <c r="Q355" s="4" t="str">
        <f t="shared" si="310"/>
        <v>1+1131,74891274035i</v>
      </c>
      <c r="R355" s="4">
        <f t="shared" si="322"/>
        <v>1131.7493545343707</v>
      </c>
      <c r="S355" s="4">
        <f t="shared" si="323"/>
        <v>1.5699127388112899</v>
      </c>
      <c r="T355" s="4" t="str">
        <f t="shared" si="311"/>
        <v>1+0,191479912638108i</v>
      </c>
      <c r="U355" s="4">
        <f t="shared" si="324"/>
        <v>1.0181672539145508</v>
      </c>
      <c r="V355" s="4">
        <f t="shared" si="325"/>
        <v>0.18918990724457496</v>
      </c>
      <c r="W355" t="str">
        <f t="shared" si="312"/>
        <v>1-7,07002754356091i</v>
      </c>
      <c r="X355" s="4">
        <f t="shared" si="326"/>
        <v>7.1403984109228746</v>
      </c>
      <c r="Y355" s="4">
        <f t="shared" si="327"/>
        <v>-1.4302862246812675</v>
      </c>
      <c r="Z355" t="str">
        <f t="shared" si="313"/>
        <v>0,988645849713685+0,661476061840735i</v>
      </c>
      <c r="AA355" s="4">
        <f t="shared" si="328"/>
        <v>1.1895256182800025</v>
      </c>
      <c r="AB355" s="4">
        <f t="shared" si="329"/>
        <v>0.5896665492428268</v>
      </c>
      <c r="AC355" s="47" t="str">
        <f t="shared" si="330"/>
        <v>-0,308533659343548+0,0817737103736916i</v>
      </c>
      <c r="AD355" s="20">
        <f t="shared" si="331"/>
        <v>-9.9191123994897463</v>
      </c>
      <c r="AE355" s="43">
        <f t="shared" si="332"/>
        <v>165.15564031228078</v>
      </c>
      <c r="AF355" t="str">
        <f t="shared" si="314"/>
        <v>405,634542683733</v>
      </c>
      <c r="AG355" t="str">
        <f t="shared" si="315"/>
        <v>1+1133,76264062037i</v>
      </c>
      <c r="AH355">
        <f t="shared" si="333"/>
        <v>1133.7630816297001</v>
      </c>
      <c r="AI355">
        <f t="shared" si="334"/>
        <v>1.5699143081916607</v>
      </c>
      <c r="AJ355" t="str">
        <f t="shared" si="316"/>
        <v>1+0,191479912638108i</v>
      </c>
      <c r="AK355">
        <f t="shared" si="335"/>
        <v>1.0181672539145508</v>
      </c>
      <c r="AL355">
        <f t="shared" si="336"/>
        <v>0.18918990724457496</v>
      </c>
      <c r="AM355" t="str">
        <f t="shared" si="317"/>
        <v>1-1,03200168334782i</v>
      </c>
      <c r="AN355">
        <f t="shared" si="337"/>
        <v>1.4370203458659638</v>
      </c>
      <c r="AO355">
        <f t="shared" si="338"/>
        <v>-0.80114570841769961</v>
      </c>
      <c r="AP355" s="41" t="str">
        <f t="shared" si="339"/>
        <v>-0,300341456097893-0,428741724241761i</v>
      </c>
      <c r="AQ355">
        <f t="shared" si="340"/>
        <v>-5.6221067518390209</v>
      </c>
      <c r="AR355" s="43">
        <f t="shared" si="341"/>
        <v>-125.01194871234959</v>
      </c>
      <c r="AS355" t="str">
        <f t="shared" si="318"/>
        <v>-0,0000166666666666667</v>
      </c>
      <c r="AT355" t="str">
        <f t="shared" si="319"/>
        <v>0,0326252312687236i</v>
      </c>
      <c r="AU355">
        <f t="shared" si="342"/>
        <v>3.2625231268723603E-2</v>
      </c>
      <c r="AV355">
        <f t="shared" si="343"/>
        <v>1.5707963267948966</v>
      </c>
      <c r="AW355" t="str">
        <f t="shared" si="320"/>
        <v>1+1,16304347006095i</v>
      </c>
      <c r="AX355">
        <f t="shared" si="344"/>
        <v>1.5338416193503865</v>
      </c>
      <c r="AY355">
        <f t="shared" si="345"/>
        <v>0.86063277337669553</v>
      </c>
      <c r="AZ355" t="str">
        <f t="shared" si="321"/>
        <v>1+171,742752412333i</v>
      </c>
      <c r="BA355">
        <f t="shared" si="346"/>
        <v>171.74566371866254</v>
      </c>
      <c r="BB355">
        <f t="shared" si="347"/>
        <v>1.5649737305860152</v>
      </c>
      <c r="BC355" s="41" t="str">
        <f t="shared" si="348"/>
        <v>-0,0370391903041216+0,0435890404815478i</v>
      </c>
      <c r="BD355">
        <f t="shared" si="349"/>
        <v>-24.851991727645768</v>
      </c>
      <c r="BE355" s="43">
        <f t="shared" si="350"/>
        <v>130.35576418629847</v>
      </c>
      <c r="BF355" s="41" t="str">
        <f t="shared" si="351"/>
        <v>0,00786339935184749-0,0164775181874513i</v>
      </c>
      <c r="BG355" s="20">
        <f t="shared" si="352"/>
        <v>-34.771104127135501</v>
      </c>
      <c r="BH355" s="43">
        <f t="shared" si="353"/>
        <v>-64.488595501420789</v>
      </c>
      <c r="BI355" s="41" t="str">
        <f t="shared" si="306"/>
        <v>0,0298128447227296+0,00278865042736974i</v>
      </c>
      <c r="BJ355" s="20">
        <f t="shared" si="354"/>
        <v>-30.474098479484777</v>
      </c>
      <c r="BK355" s="43">
        <f t="shared" si="307"/>
        <v>5.3438154739488715</v>
      </c>
      <c r="BL355">
        <f t="shared" si="355"/>
        <v>-34.771104127135501</v>
      </c>
      <c r="BM355" s="43">
        <f t="shared" si="356"/>
        <v>-64.488595501420789</v>
      </c>
    </row>
    <row r="356" spans="14:65" x14ac:dyDescent="0.35">
      <c r="N356" s="9">
        <v>38</v>
      </c>
      <c r="O356" s="34">
        <f t="shared" si="308"/>
        <v>23988.329190194923</v>
      </c>
      <c r="P356" s="33" t="str">
        <f t="shared" si="309"/>
        <v>59,1053597814893</v>
      </c>
      <c r="Q356" s="4" t="str">
        <f t="shared" si="310"/>
        <v>1+1158,11073142855i</v>
      </c>
      <c r="R356" s="4">
        <f t="shared" si="322"/>
        <v>1158.1111631661149</v>
      </c>
      <c r="S356" s="4">
        <f t="shared" si="323"/>
        <v>1.569932851719213</v>
      </c>
      <c r="T356" s="4" t="str">
        <f t="shared" si="311"/>
        <v>1+0,195940052765106i</v>
      </c>
      <c r="U356" s="4">
        <f t="shared" si="324"/>
        <v>1.0190154583113999</v>
      </c>
      <c r="V356" s="4">
        <f t="shared" si="325"/>
        <v>0.19348873400355082</v>
      </c>
      <c r="W356" t="str">
        <f t="shared" si="312"/>
        <v>1-7,23470964055777i</v>
      </c>
      <c r="X356" s="4">
        <f t="shared" si="326"/>
        <v>7.3034939298379333</v>
      </c>
      <c r="Y356" s="4">
        <f t="shared" si="327"/>
        <v>-1.4334440928310637</v>
      </c>
      <c r="Z356" t="str">
        <f t="shared" si="313"/>
        <v>0,98811074509634+0,676883818643093i</v>
      </c>
      <c r="AA356" s="4">
        <f t="shared" si="328"/>
        <v>1.1977205636189519</v>
      </c>
      <c r="AB356" s="4">
        <f t="shared" si="329"/>
        <v>0.60060700938894263</v>
      </c>
      <c r="AC356" s="47" t="str">
        <f t="shared" si="330"/>
        <v>-0,305729951785531+0,0842521436820277i</v>
      </c>
      <c r="AD356" s="20">
        <f t="shared" si="331"/>
        <v>-9.975348873760483</v>
      </c>
      <c r="AE356" s="43">
        <f t="shared" si="332"/>
        <v>164.59301784814454</v>
      </c>
      <c r="AF356" t="str">
        <f t="shared" si="314"/>
        <v>405,634542683733</v>
      </c>
      <c r="AG356" t="str">
        <f t="shared" si="315"/>
        <v>1+1160,17136505655i</v>
      </c>
      <c r="AH356">
        <f t="shared" si="333"/>
        <v>1160.1717960272861</v>
      </c>
      <c r="AI356">
        <f t="shared" si="334"/>
        <v>1.5699343853761791</v>
      </c>
      <c r="AJ356" t="str">
        <f t="shared" si="316"/>
        <v>1+0,195940052765106i</v>
      </c>
      <c r="AK356">
        <f t="shared" si="335"/>
        <v>1.0190154583113999</v>
      </c>
      <c r="AL356">
        <f t="shared" si="336"/>
        <v>0.19348873400355082</v>
      </c>
      <c r="AM356" t="str">
        <f t="shared" si="317"/>
        <v>1-1,05604009059176i</v>
      </c>
      <c r="AN356">
        <f t="shared" si="337"/>
        <v>1.4543798241646</v>
      </c>
      <c r="AO356">
        <f t="shared" si="338"/>
        <v>-0.81264773868729911</v>
      </c>
      <c r="AP356" s="41" t="str">
        <f t="shared" si="339"/>
        <v>-0,300355669427492-0,422238503908851i</v>
      </c>
      <c r="AQ356">
        <f t="shared" si="340"/>
        <v>-5.7105751776478995</v>
      </c>
      <c r="AR356" s="43">
        <f t="shared" si="341"/>
        <v>-125.42581221041951</v>
      </c>
      <c r="AS356" t="str">
        <f t="shared" si="318"/>
        <v>-0,0000166666666666667</v>
      </c>
      <c r="AT356" t="str">
        <f t="shared" si="319"/>
        <v>0,0333851705288238i</v>
      </c>
      <c r="AU356">
        <f t="shared" si="342"/>
        <v>3.3385170528823803E-2</v>
      </c>
      <c r="AV356">
        <f t="shared" si="343"/>
        <v>1.5707963267948966</v>
      </c>
      <c r="AW356" t="str">
        <f t="shared" si="320"/>
        <v>1+1,19013423263126i</v>
      </c>
      <c r="AX356">
        <f t="shared" si="344"/>
        <v>1.5544836736617076</v>
      </c>
      <c r="AY356">
        <f t="shared" si="345"/>
        <v>0.87199501163245285</v>
      </c>
      <c r="AZ356" t="str">
        <f t="shared" si="321"/>
        <v>1+175,743155018549i</v>
      </c>
      <c r="BA356">
        <f t="shared" si="346"/>
        <v>175.74600005654111</v>
      </c>
      <c r="BB356">
        <f t="shared" si="347"/>
        <v>1.5651062661629032</v>
      </c>
      <c r="BC356" s="41" t="str">
        <f t="shared" si="348"/>
        <v>-0,0360620315915949+0,0434178819447698i</v>
      </c>
      <c r="BD356">
        <f t="shared" si="349"/>
        <v>-24.968111301443884</v>
      </c>
      <c r="BE356" s="43">
        <f t="shared" si="350"/>
        <v>129.7123496176126</v>
      </c>
      <c r="BF356" s="41" t="str">
        <f t="shared" si="351"/>
        <v>0,00736719355180654-0,0163124504207252i</v>
      </c>
      <c r="BG356" s="20">
        <f t="shared" si="352"/>
        <v>-34.943460175204372</v>
      </c>
      <c r="BH356" s="43">
        <f t="shared" si="353"/>
        <v>-65.694632534242842</v>
      </c>
      <c r="BI356" s="41" t="str">
        <f t="shared" si="306"/>
        <v>0,0291641371548596+0,0021859712705036i</v>
      </c>
      <c r="BJ356" s="20">
        <f t="shared" si="354"/>
        <v>-30.678686479091766</v>
      </c>
      <c r="BK356" s="43">
        <f t="shared" si="307"/>
        <v>4.2865374071930695</v>
      </c>
      <c r="BL356">
        <f t="shared" si="355"/>
        <v>-34.943460175204372</v>
      </c>
      <c r="BM356" s="43">
        <f t="shared" si="356"/>
        <v>-65.694632534242842</v>
      </c>
    </row>
    <row r="357" spans="14:65" x14ac:dyDescent="0.35">
      <c r="N357" s="9">
        <v>39</v>
      </c>
      <c r="O357" s="34">
        <f t="shared" si="308"/>
        <v>24547.089156850321</v>
      </c>
      <c r="P357" s="33" t="str">
        <f t="shared" si="309"/>
        <v>59,1053597814893</v>
      </c>
      <c r="Q357" s="4" t="str">
        <f t="shared" si="310"/>
        <v>1+1185,08659575598i</v>
      </c>
      <c r="R357" s="4">
        <f t="shared" si="322"/>
        <v>1185.0870176660014</v>
      </c>
      <c r="S357" s="4">
        <f t="shared" si="323"/>
        <v>1.5699525068021323</v>
      </c>
      <c r="T357" s="4" t="str">
        <f t="shared" si="311"/>
        <v>1+0,200504082901654i</v>
      </c>
      <c r="U357" s="4">
        <f t="shared" si="324"/>
        <v>1.0199028812883282</v>
      </c>
      <c r="V357" s="4">
        <f t="shared" si="325"/>
        <v>0.19788020792836644</v>
      </c>
      <c r="W357" t="str">
        <f t="shared" si="312"/>
        <v>1-7,40322767636876i</v>
      </c>
      <c r="X357" s="4">
        <f t="shared" si="326"/>
        <v>7.470460496391933</v>
      </c>
      <c r="Y357" s="4">
        <f t="shared" si="327"/>
        <v>-1.4365327452146224</v>
      </c>
      <c r="Z357" t="str">
        <f t="shared" si="313"/>
        <v>0,987550421775323+0,692650468205713i</v>
      </c>
      <c r="AA357" s="4">
        <f t="shared" si="328"/>
        <v>1.2062423084331819</v>
      </c>
      <c r="AB357" s="4">
        <f t="shared" si="329"/>
        <v>0.61165313583786918</v>
      </c>
      <c r="AC357" s="47" t="str">
        <f t="shared" si="330"/>
        <v>-0,302874656996744+0,0866554866359488i</v>
      </c>
      <c r="AD357" s="20">
        <f t="shared" si="331"/>
        <v>-10.033034802576157</v>
      </c>
      <c r="AE357" s="43">
        <f t="shared" si="332"/>
        <v>164.03364144512889</v>
      </c>
      <c r="AF357" t="str">
        <f t="shared" si="314"/>
        <v>405,634542683733</v>
      </c>
      <c r="AG357" t="str">
        <f t="shared" si="315"/>
        <v>1+1187,19522770716i</v>
      </c>
      <c r="AH357">
        <f t="shared" si="333"/>
        <v>1187.1956488678081</v>
      </c>
      <c r="AI357">
        <f t="shared" si="334"/>
        <v>1.5699540055488539</v>
      </c>
      <c r="AJ357" t="str">
        <f t="shared" si="316"/>
        <v>1+0,200504082901654i</v>
      </c>
      <c r="AK357">
        <f t="shared" si="335"/>
        <v>1.0199028812883282</v>
      </c>
      <c r="AL357">
        <f t="shared" si="336"/>
        <v>0.19788020792836644</v>
      </c>
      <c r="AM357" t="str">
        <f t="shared" si="317"/>
        <v>1-1,08063842427008i</v>
      </c>
      <c r="AN357">
        <f t="shared" si="337"/>
        <v>1.4723380739520804</v>
      </c>
      <c r="AO357">
        <f t="shared" si="338"/>
        <v>-0.82413535327348186</v>
      </c>
      <c r="AP357" s="41" t="str">
        <f t="shared" si="339"/>
        <v>-0,300369243052814-0,415959158916635i</v>
      </c>
      <c r="AQ357">
        <f t="shared" si="340"/>
        <v>-5.7964200694300239</v>
      </c>
      <c r="AR357" s="43">
        <f t="shared" si="341"/>
        <v>-125.83351527423459</v>
      </c>
      <c r="AS357" t="str">
        <f t="shared" si="318"/>
        <v>-0,0000166666666666667</v>
      </c>
      <c r="AT357" t="str">
        <f t="shared" si="319"/>
        <v>0,0341628110482434i</v>
      </c>
      <c r="AU357">
        <f t="shared" si="342"/>
        <v>3.4162811048243397E-2</v>
      </c>
      <c r="AV357">
        <f t="shared" si="343"/>
        <v>1.5707963267948966</v>
      </c>
      <c r="AW357" t="str">
        <f t="shared" si="320"/>
        <v>1+1,217856020125i</v>
      </c>
      <c r="AX357">
        <f t="shared" si="344"/>
        <v>1.5758087719500435</v>
      </c>
      <c r="AY357">
        <f t="shared" si="345"/>
        <v>0.88331225934871893</v>
      </c>
      <c r="AZ357" t="str">
        <f t="shared" si="321"/>
        <v>1+179,836738971791i</v>
      </c>
      <c r="BA357">
        <f t="shared" si="346"/>
        <v>179.83951924982475</v>
      </c>
      <c r="BB357">
        <f t="shared" si="347"/>
        <v>1.5652357850549015</v>
      </c>
      <c r="BC357" s="41" t="str">
        <f t="shared" si="348"/>
        <v>-0,0350925956506711+0,0432255888067404i</v>
      </c>
      <c r="BD357">
        <f t="shared" si="349"/>
        <v>-25.086464601644746</v>
      </c>
      <c r="BE357" s="43">
        <f t="shared" si="350"/>
        <v>129.07133997364517</v>
      </c>
      <c r="BF357" s="41" t="str">
        <f t="shared" si="351"/>
        <v>0,00688292343764893-0,0161329013367513i</v>
      </c>
      <c r="BG357" s="20">
        <f t="shared" si="352"/>
        <v>-35.119499404220896</v>
      </c>
      <c r="BH357" s="43">
        <f t="shared" si="353"/>
        <v>-66.895018581225912</v>
      </c>
      <c r="BI357" s="41" t="str">
        <f t="shared" si="306"/>
        <v>0,0285208159560786+0,00161344918066191i</v>
      </c>
      <c r="BJ357" s="20">
        <f t="shared" si="354"/>
        <v>-30.88288467107477</v>
      </c>
      <c r="BK357" s="43">
        <f t="shared" si="307"/>
        <v>3.2378246994106075</v>
      </c>
      <c r="BL357">
        <f t="shared" si="355"/>
        <v>-35.119499404220896</v>
      </c>
      <c r="BM357" s="43">
        <f t="shared" si="356"/>
        <v>-66.895018581225912</v>
      </c>
    </row>
    <row r="358" spans="14:65" x14ac:dyDescent="0.35">
      <c r="N358" s="9">
        <v>40</v>
      </c>
      <c r="O358" s="34">
        <f t="shared" si="308"/>
        <v>25118.86431509586</v>
      </c>
      <c r="P358" s="33" t="str">
        <f t="shared" si="309"/>
        <v>59,1053597814893</v>
      </c>
      <c r="Q358" s="4" t="str">
        <f t="shared" si="310"/>
        <v>1+1212,69080868295i</v>
      </c>
      <c r="R358" s="4">
        <f t="shared" si="322"/>
        <v>1212.6912209891302</v>
      </c>
      <c r="S358" s="4">
        <f t="shared" si="323"/>
        <v>1.5699717144813718</v>
      </c>
      <c r="T358" s="4" t="str">
        <f t="shared" si="311"/>
        <v>1+0,205174422956942i</v>
      </c>
      <c r="U358" s="4">
        <f t="shared" si="324"/>
        <v>1.0208313003800942</v>
      </c>
      <c r="V358" s="4">
        <f t="shared" si="325"/>
        <v>0.20236597959465694</v>
      </c>
      <c r="W358" t="str">
        <f t="shared" si="312"/>
        <v>1-7,57567100148712i</v>
      </c>
      <c r="X358" s="4">
        <f t="shared" si="326"/>
        <v>7.6413867277329217</v>
      </c>
      <c r="Y358" s="4">
        <f t="shared" si="327"/>
        <v>-1.4395535836317983</v>
      </c>
      <c r="Z358" t="str">
        <f t="shared" si="313"/>
        <v>0,986963691229748+0,708784370214892i</v>
      </c>
      <c r="AA358" s="4">
        <f t="shared" si="328"/>
        <v>1.2151018933681119</v>
      </c>
      <c r="AB358" s="4">
        <f t="shared" si="329"/>
        <v>0.62280118649204375</v>
      </c>
      <c r="AC358" s="47" t="str">
        <f t="shared" si="330"/>
        <v>-0,299969458339114+0,0889817878140435i</v>
      </c>
      <c r="AD358" s="20">
        <f t="shared" si="331"/>
        <v>-10.092198168254676</v>
      </c>
      <c r="AE358" s="43">
        <f t="shared" si="332"/>
        <v>163.47773916633466</v>
      </c>
      <c r="AF358" t="str">
        <f t="shared" si="314"/>
        <v>405,634542683733</v>
      </c>
      <c r="AG358" t="str">
        <f t="shared" si="315"/>
        <v>1+1214,8485569819i</v>
      </c>
      <c r="AH358">
        <f t="shared" si="333"/>
        <v>1214.8489685557643</v>
      </c>
      <c r="AI358">
        <f t="shared" si="334"/>
        <v>1.5699731791125</v>
      </c>
      <c r="AJ358" t="str">
        <f t="shared" si="316"/>
        <v>1+0,205174422956942i</v>
      </c>
      <c r="AK358">
        <f t="shared" si="335"/>
        <v>1.0208313003800942</v>
      </c>
      <c r="AL358">
        <f t="shared" si="336"/>
        <v>0.20236597959465694</v>
      </c>
      <c r="AM358" t="str">
        <f t="shared" si="317"/>
        <v>1-1,10580972674489i</v>
      </c>
      <c r="AN358">
        <f t="shared" si="337"/>
        <v>1.4909108463498442</v>
      </c>
      <c r="AO358">
        <f t="shared" si="338"/>
        <v>-0.83560251636668681</v>
      </c>
      <c r="AP358" s="41" t="str">
        <f t="shared" si="339"/>
        <v>-0,300382205765207-0,409900359946899i</v>
      </c>
      <c r="AQ358">
        <f t="shared" si="340"/>
        <v>-5.879634121985081</v>
      </c>
      <c r="AR358" s="43">
        <f t="shared" si="341"/>
        <v>-126.23461810240073</v>
      </c>
      <c r="AS358" t="str">
        <f t="shared" si="318"/>
        <v>-0,0000166666666666667</v>
      </c>
      <c r="AT358" t="str">
        <f t="shared" si="319"/>
        <v>0,034958565142279i</v>
      </c>
      <c r="AU358">
        <f t="shared" si="342"/>
        <v>3.4958565142278998E-2</v>
      </c>
      <c r="AV358">
        <f t="shared" si="343"/>
        <v>1.5707963267948966</v>
      </c>
      <c r="AW358" t="str">
        <f t="shared" si="320"/>
        <v>1+1,24622353100084i</v>
      </c>
      <c r="AX358">
        <f t="shared" si="344"/>
        <v>1.5978338740996205</v>
      </c>
      <c r="AY358">
        <f t="shared" si="345"/>
        <v>0.89457892173225206</v>
      </c>
      <c r="AZ358" t="str">
        <f t="shared" si="321"/>
        <v>1+184,025674744458i</v>
      </c>
      <c r="BA358">
        <f t="shared" si="346"/>
        <v>184.02839173658245</v>
      </c>
      <c r="BB358">
        <f t="shared" si="347"/>
        <v>1.5653623559172491</v>
      </c>
      <c r="BC358" s="41" t="str">
        <f t="shared" si="348"/>
        <v>-0,0341318062594732+0,0430126150000444i</v>
      </c>
      <c r="BD358">
        <f t="shared" si="349"/>
        <v>-25.207032850498191</v>
      </c>
      <c r="BE358" s="43">
        <f t="shared" si="350"/>
        <v>128.43305974609177</v>
      </c>
      <c r="BF358" s="41" t="str">
        <f t="shared" si="351"/>
        <v>0,00641116005452866-0,0159395799656027i</v>
      </c>
      <c r="BG358" s="20">
        <f t="shared" si="352"/>
        <v>-35.299231018752849</v>
      </c>
      <c r="BH358" s="43">
        <f t="shared" si="353"/>
        <v>-68.089201087573628</v>
      </c>
      <c r="BI358" s="41" t="str">
        <f t="shared" si="306"/>
        <v>0,0278834736217468+0,00107041550195292i</v>
      </c>
      <c r="BJ358" s="20">
        <f t="shared" si="354"/>
        <v>-31.086666972483286</v>
      </c>
      <c r="BK358" s="43">
        <f t="shared" si="307"/>
        <v>2.198441643691035</v>
      </c>
      <c r="BL358">
        <f t="shared" si="355"/>
        <v>-35.299231018752849</v>
      </c>
      <c r="BM358" s="43">
        <f t="shared" si="356"/>
        <v>-68.089201087573628</v>
      </c>
    </row>
    <row r="359" spans="14:65" x14ac:dyDescent="0.35">
      <c r="N359" s="9">
        <v>41</v>
      </c>
      <c r="O359" s="34">
        <f t="shared" si="308"/>
        <v>25703.95782768865</v>
      </c>
      <c r="P359" s="33" t="str">
        <f t="shared" si="309"/>
        <v>59,1053597814893</v>
      </c>
      <c r="Q359" s="4" t="str">
        <f t="shared" si="310"/>
        <v>1+1240,93800632854i</v>
      </c>
      <c r="R359" s="4">
        <f t="shared" si="322"/>
        <v>1240.9384092494888</v>
      </c>
      <c r="S359" s="4">
        <f t="shared" si="323"/>
        <v>1.5699904849410411</v>
      </c>
      <c r="T359" s="4" t="str">
        <f t="shared" si="311"/>
        <v>1+0,209953549207086i</v>
      </c>
      <c r="U359" s="4">
        <f t="shared" si="324"/>
        <v>1.021802570374851</v>
      </c>
      <c r="V359" s="4">
        <f t="shared" si="325"/>
        <v>0.20694770496892442</v>
      </c>
      <c r="W359" t="str">
        <f t="shared" si="312"/>
        <v>1-7,75213104764627i</v>
      </c>
      <c r="X359" s="4">
        <f t="shared" si="326"/>
        <v>7.8163633346896866</v>
      </c>
      <c r="Y359" s="4">
        <f t="shared" si="327"/>
        <v>-1.4425079891220431</v>
      </c>
      <c r="Z359" t="str">
        <f t="shared" si="313"/>
        <v>0,986349308925463+0,725294079079025i</v>
      </c>
      <c r="AA359" s="4">
        <f t="shared" si="328"/>
        <v>1.2243106061636604</v>
      </c>
      <c r="AB359" s="4">
        <f t="shared" si="329"/>
        <v>0.63404722148179771</v>
      </c>
      <c r="AC359" s="47" t="str">
        <f t="shared" si="330"/>
        <v>-0,29701620516299+0,0912291405310167i</v>
      </c>
      <c r="AD359" s="20">
        <f t="shared" si="331"/>
        <v>-10.152864875505887</v>
      </c>
      <c r="AE359" s="43">
        <f t="shared" si="332"/>
        <v>162.925551918319</v>
      </c>
      <c r="AF359" t="str">
        <f t="shared" si="314"/>
        <v>405,634542683733</v>
      </c>
      <c r="AG359" t="str">
        <f t="shared" si="315"/>
        <v>1+1243,14601504196i</v>
      </c>
      <c r="AH359">
        <f t="shared" si="333"/>
        <v>1243.1464172472624</v>
      </c>
      <c r="AI359">
        <f t="shared" si="334"/>
        <v>1.5699919162331379</v>
      </c>
      <c r="AJ359" t="str">
        <f t="shared" si="316"/>
        <v>1+0,209953549207086i</v>
      </c>
      <c r="AK359">
        <f t="shared" si="335"/>
        <v>1.021802570374851</v>
      </c>
      <c r="AL359">
        <f t="shared" si="336"/>
        <v>0.20694770496892442</v>
      </c>
      <c r="AM359" t="str">
        <f t="shared" si="317"/>
        <v>1-1,13156734417394i</v>
      </c>
      <c r="AN359">
        <f t="shared" si="337"/>
        <v>1.510114119661446</v>
      </c>
      <c r="AO359">
        <f t="shared" si="338"/>
        <v>-0.84704324593792235</v>
      </c>
      <c r="AP359" s="41" t="str">
        <f t="shared" si="339"/>
        <v>-0,300394585060213-0,404058894612951i</v>
      </c>
      <c r="AQ359">
        <f t="shared" si="340"/>
        <v>-5.9602118478992399</v>
      </c>
      <c r="AR359" s="43">
        <f t="shared" si="341"/>
        <v>-126.62868365248237</v>
      </c>
      <c r="AS359" t="str">
        <f t="shared" si="318"/>
        <v>-0,0000166666666666667</v>
      </c>
      <c r="AT359" t="str">
        <f t="shared" si="319"/>
        <v>0,0357728547302843i</v>
      </c>
      <c r="AU359">
        <f t="shared" si="342"/>
        <v>3.5772854730284298E-2</v>
      </c>
      <c r="AV359">
        <f t="shared" si="343"/>
        <v>1.5707963267948966</v>
      </c>
      <c r="AW359" t="str">
        <f t="shared" si="320"/>
        <v>1+1,27525180608854i</v>
      </c>
      <c r="AX359">
        <f t="shared" si="344"/>
        <v>1.6205761842419146</v>
      </c>
      <c r="AY359">
        <f t="shared" si="345"/>
        <v>0.90578953189465361</v>
      </c>
      <c r="AZ359" t="str">
        <f t="shared" si="321"/>
        <v>1+188,31218336574i</v>
      </c>
      <c r="BA359">
        <f t="shared" si="346"/>
        <v>188.31483851245522</v>
      </c>
      <c r="BB359">
        <f t="shared" si="347"/>
        <v>1.5654860458432625</v>
      </c>
      <c r="BC359" s="41" t="str">
        <f t="shared" si="348"/>
        <v>-0,0331805526407934+0,0427794623000336i</v>
      </c>
      <c r="BD359">
        <f t="shared" si="349"/>
        <v>-25.329795188510182</v>
      </c>
      <c r="BE359" s="43">
        <f t="shared" si="350"/>
        <v>127.7978260087486</v>
      </c>
      <c r="BF359" s="41" t="str">
        <f t="shared" si="351"/>
        <v>0,00595242825256819-0,0157332268510329i</v>
      </c>
      <c r="BG359" s="20">
        <f t="shared" si="352"/>
        <v>-35.482660064016073</v>
      </c>
      <c r="BH359" s="43">
        <f t="shared" si="353"/>
        <v>-69.276622072932355</v>
      </c>
      <c r="BI359" s="41" t="str">
        <f t="shared" si="306"/>
        <v>0,0272526805916877+0,000556178595968196i</v>
      </c>
      <c r="BJ359" s="20">
        <f t="shared" si="354"/>
        <v>-31.290007036409413</v>
      </c>
      <c r="BK359" s="43">
        <f t="shared" si="307"/>
        <v>1.1691423562662331</v>
      </c>
      <c r="BL359">
        <f t="shared" si="355"/>
        <v>-35.482660064016073</v>
      </c>
      <c r="BM359" s="43">
        <f t="shared" si="356"/>
        <v>-69.276622072932355</v>
      </c>
    </row>
    <row r="360" spans="14:65" x14ac:dyDescent="0.35">
      <c r="N360" s="9">
        <v>42</v>
      </c>
      <c r="O360" s="34">
        <f t="shared" si="308"/>
        <v>26302.679918953829</v>
      </c>
      <c r="P360" s="33" t="str">
        <f t="shared" si="309"/>
        <v>59,1053597814893</v>
      </c>
      <c r="Q360" s="4" t="str">
        <f t="shared" si="310"/>
        <v>1+1269,84316573084i</v>
      </c>
      <c r="R360" s="4">
        <f t="shared" si="322"/>
        <v>1269.8435594801911</v>
      </c>
      <c r="S360" s="4">
        <f t="shared" si="323"/>
        <v>1.5700088281334328</v>
      </c>
      <c r="T360" s="4" t="str">
        <f t="shared" si="311"/>
        <v>1+0,214843995608083i</v>
      </c>
      <c r="U360" s="4">
        <f t="shared" si="324"/>
        <v>1.0228186263697225</v>
      </c>
      <c r="V360" s="4">
        <f t="shared" si="325"/>
        <v>0.21162704353715464</v>
      </c>
      <c r="W360" t="str">
        <f t="shared" si="312"/>
        <v>1-7,93270137629848i</v>
      </c>
      <c r="X360" s="4">
        <f t="shared" si="326"/>
        <v>7.9954831702360432</v>
      </c>
      <c r="Y360" s="4">
        <f t="shared" si="327"/>
        <v>-1.4453973217402412</v>
      </c>
      <c r="Z360" t="str">
        <f t="shared" si="313"/>
        <v>0,985705971675229+0,742188348464288i</v>
      </c>
      <c r="AA360" s="4">
        <f t="shared" si="328"/>
        <v>1.2338799808702443</v>
      </c>
      <c r="AB360" s="4">
        <f t="shared" si="329"/>
        <v>0.64538710838963909</v>
      </c>
      <c r="AC360" s="47" t="str">
        <f t="shared" si="330"/>
        <v>-0,294016911055109+0,0933956956854007i</v>
      </c>
      <c r="AD360" s="20">
        <f t="shared" si="331"/>
        <v>-10.215058632777128</v>
      </c>
      <c r="AE360" s="43">
        <f t="shared" si="332"/>
        <v>162.37733305707724</v>
      </c>
      <c r="AF360" t="str">
        <f t="shared" si="314"/>
        <v>405,634542683733</v>
      </c>
      <c r="AG360" t="str">
        <f t="shared" si="315"/>
        <v>1+1272,10260557418i</v>
      </c>
      <c r="AH360">
        <f t="shared" si="333"/>
        <v>1272.1029986241751</v>
      </c>
      <c r="AI360">
        <f t="shared" si="334"/>
        <v>1.5700102268453848</v>
      </c>
      <c r="AJ360" t="str">
        <f t="shared" si="316"/>
        <v>1+0,214843995608083i</v>
      </c>
      <c r="AK360">
        <f t="shared" si="335"/>
        <v>1.0228186263697225</v>
      </c>
      <c r="AL360">
        <f t="shared" si="336"/>
        <v>0.21162704353715464</v>
      </c>
      <c r="AM360" t="str">
        <f t="shared" si="317"/>
        <v>1-1,15792493358694i</v>
      </c>
      <c r="AN360">
        <f t="shared" si="337"/>
        <v>1.5299641014815739</v>
      </c>
      <c r="AO360">
        <f t="shared" si="338"/>
        <v>-0.85845162912903206</v>
      </c>
      <c r="AP360" s="41" t="str">
        <f t="shared" si="339"/>
        <v>-0,300406407195869-0,39843166575667i</v>
      </c>
      <c r="AQ360">
        <f t="shared" si="340"/>
        <v>-6.0381495213379992</v>
      </c>
      <c r="AR360" s="43">
        <f t="shared" si="341"/>
        <v>-127.01527863033058</v>
      </c>
      <c r="AS360" t="str">
        <f t="shared" si="318"/>
        <v>-0,0000166666666666667</v>
      </c>
      <c r="AT360" t="str">
        <f t="shared" si="319"/>
        <v>0,0366061115593773i</v>
      </c>
      <c r="AU360">
        <f t="shared" si="342"/>
        <v>3.6606111559377298E-2</v>
      </c>
      <c r="AV360">
        <f t="shared" si="343"/>
        <v>1.5707963267948966</v>
      </c>
      <c r="AW360" t="str">
        <f t="shared" si="320"/>
        <v>1+1,30495623656377i</v>
      </c>
      <c r="AX360">
        <f t="shared" si="344"/>
        <v>1.6440531558762563</v>
      </c>
      <c r="AY360">
        <f t="shared" si="345"/>
        <v>0.91693876306186195</v>
      </c>
      <c r="AZ360" t="str">
        <f t="shared" si="321"/>
        <v>1+192,69853759925i</v>
      </c>
      <c r="BA360">
        <f t="shared" si="346"/>
        <v>192.70113230827045</v>
      </c>
      <c r="BB360">
        <f t="shared" si="347"/>
        <v>1.5656069203998295</v>
      </c>
      <c r="BC360" s="41" t="str">
        <f t="shared" si="348"/>
        <v>-0,0322396864570577+0,0425266772864979i</v>
      </c>
      <c r="BD360">
        <f t="shared" si="349"/>
        <v>-25.454728757283508</v>
      </c>
      <c r="BE360" s="43">
        <f t="shared" si="350"/>
        <v>127.16594771999357</v>
      </c>
      <c r="BF360" s="41" t="str">
        <f t="shared" si="351"/>
        <v>0,00550720441512834-0,0155146102385497i</v>
      </c>
      <c r="BG360" s="20">
        <f t="shared" si="352"/>
        <v>-35.66978739006062</v>
      </c>
      <c r="BH360" s="43">
        <f t="shared" si="353"/>
        <v>-70.456719222929209</v>
      </c>
      <c r="BI360" s="41" t="str">
        <f t="shared" si="306"/>
        <v>0,0266289832480417+0,0000700256449432529i</v>
      </c>
      <c r="BJ360" s="20">
        <f t="shared" si="354"/>
        <v>-31.492878278621514</v>
      </c>
      <c r="BK360" s="43">
        <f t="shared" si="307"/>
        <v>0.15066908966298054</v>
      </c>
      <c r="BL360">
        <f t="shared" si="355"/>
        <v>-35.66978739006062</v>
      </c>
      <c r="BM360" s="43">
        <f t="shared" si="356"/>
        <v>-70.456719222929209</v>
      </c>
    </row>
    <row r="361" spans="14:65" x14ac:dyDescent="0.35">
      <c r="N361" s="9">
        <v>43</v>
      </c>
      <c r="O361" s="34">
        <f t="shared" si="308"/>
        <v>26915.348039269167</v>
      </c>
      <c r="P361" s="33" t="str">
        <f t="shared" si="309"/>
        <v>59,1053597814893</v>
      </c>
      <c r="Q361" s="4" t="str">
        <f t="shared" si="310"/>
        <v>1+1299,42161278798i</v>
      </c>
      <c r="R361" s="4">
        <f t="shared" si="322"/>
        <v>1299.4219975745043</v>
      </c>
      <c r="S361" s="4">
        <f t="shared" si="323"/>
        <v>1.5700267537843013</v>
      </c>
      <c r="T361" s="4" t="str">
        <f t="shared" si="311"/>
        <v>1+0,219848355139349i</v>
      </c>
      <c r="U361" s="4">
        <f t="shared" si="324"/>
        <v>1.0238814869199839</v>
      </c>
      <c r="V361" s="4">
        <f t="shared" si="325"/>
        <v>0.21640565628728345</v>
      </c>
      <c r="W361" t="str">
        <f t="shared" si="312"/>
        <v>1-8,11747772822214i</v>
      </c>
      <c r="X361" s="4">
        <f t="shared" si="326"/>
        <v>8.1788412790677416</v>
      </c>
      <c r="Y361" s="4">
        <f t="shared" si="327"/>
        <v>-1.448222920379187</v>
      </c>
      <c r="Z361" t="str">
        <f t="shared" si="313"/>
        <v>0,985032314874484+0,759476135935934i</v>
      </c>
      <c r="AA361" s="4">
        <f t="shared" si="328"/>
        <v>1.2438217968837664</v>
      </c>
      <c r="AB361" s="4">
        <f t="shared" si="329"/>
        <v>0.65681652846971406</v>
      </c>
      <c r="AC361" s="47" t="str">
        <f t="shared" si="330"/>
        <v>-0,290973750994939+0,0954796746578575i</v>
      </c>
      <c r="AD361" s="20">
        <f t="shared" si="331"/>
        <v>-10.278800834796959</v>
      </c>
      <c r="AE361" s="43">
        <f t="shared" si="332"/>
        <v>161.8333479259675</v>
      </c>
      <c r="AF361" t="str">
        <f t="shared" si="314"/>
        <v>405,634542683733</v>
      </c>
      <c r="AG361" t="str">
        <f t="shared" si="315"/>
        <v>1+1301,73368174615i</v>
      </c>
      <c r="AH361">
        <f t="shared" si="333"/>
        <v>1301.7340658492376</v>
      </c>
      <c r="AI361">
        <f t="shared" si="334"/>
        <v>1.5700281206577205</v>
      </c>
      <c r="AJ361" t="str">
        <f t="shared" si="316"/>
        <v>1+0,219848355139349i</v>
      </c>
      <c r="AK361">
        <f t="shared" si="335"/>
        <v>1.0238814869199839</v>
      </c>
      <c r="AL361">
        <f t="shared" si="336"/>
        <v>0.21640565628728345</v>
      </c>
      <c r="AM361" t="str">
        <f t="shared" si="317"/>
        <v>1-1,18489647012667i</v>
      </c>
      <c r="AN361">
        <f t="shared" si="337"/>
        <v>1.5504772313448019</v>
      </c>
      <c r="AO361">
        <f t="shared" si="338"/>
        <v>-0.86982183720422579</v>
      </c>
      <c r="AP361" s="41" t="str">
        <f t="shared" si="339"/>
        <v>-0,300417697248411-0,393015689806675i</v>
      </c>
      <c r="AQ361">
        <f t="shared" si="340"/>
        <v>-6.1134451123443343</v>
      </c>
      <c r="AR361" s="43">
        <f t="shared" si="341"/>
        <v>-127.39397446264117</v>
      </c>
      <c r="AS361" t="str">
        <f t="shared" si="318"/>
        <v>-0,0000166666666666667</v>
      </c>
      <c r="AT361" t="str">
        <f t="shared" si="319"/>
        <v>0,0374587774333583i</v>
      </c>
      <c r="AU361">
        <f t="shared" si="342"/>
        <v>3.7458777433358299E-2</v>
      </c>
      <c r="AV361">
        <f t="shared" si="343"/>
        <v>1.5707963267948966</v>
      </c>
      <c r="AW361" t="str">
        <f t="shared" si="320"/>
        <v>1+1,33535257210878i</v>
      </c>
      <c r="AX361">
        <f t="shared" si="344"/>
        <v>1.6682824976117008</v>
      </c>
      <c r="AY361">
        <f t="shared" si="345"/>
        <v>0.92802143995352793</v>
      </c>
      <c r="AZ361" t="str">
        <f t="shared" si="321"/>
        <v>1+197,187063148063i</v>
      </c>
      <c r="BA361">
        <f t="shared" si="346"/>
        <v>197.18959879506372</v>
      </c>
      <c r="BB361">
        <f t="shared" si="347"/>
        <v>1.5657250436621035</v>
      </c>
      <c r="BC361" s="41" t="str">
        <f t="shared" si="348"/>
        <v>-0,0313100191106446+0,0422548480980253i</v>
      </c>
      <c r="BD361">
        <f t="shared" si="349"/>
        <v>-25.581808788908415</v>
      </c>
      <c r="BE361" s="43">
        <f t="shared" si="350"/>
        <v>126.53772507278458</v>
      </c>
      <c r="BF361" s="41" t="str">
        <f t="shared" si="351"/>
        <v>0,00507591455523084-0,0152845220870194i</v>
      </c>
      <c r="BG361" s="20">
        <f t="shared" si="352"/>
        <v>-35.860609623705393</v>
      </c>
      <c r="BH361" s="43">
        <f t="shared" si="353"/>
        <v>-71.628927001247902</v>
      </c>
      <c r="BI361" s="41" t="str">
        <f t="shared" si="306"/>
        <v>0,0260129021149453-0,000388775404559996i</v>
      </c>
      <c r="BJ361" s="20">
        <f t="shared" si="354"/>
        <v>-31.695253901252745</v>
      </c>
      <c r="BK361" s="43">
        <f t="shared" si="307"/>
        <v>-0.85624938985658816</v>
      </c>
      <c r="BL361">
        <f t="shared" si="355"/>
        <v>-35.860609623705393</v>
      </c>
      <c r="BM361" s="43">
        <f t="shared" si="356"/>
        <v>-71.628927001247902</v>
      </c>
    </row>
    <row r="362" spans="14:65" x14ac:dyDescent="0.35">
      <c r="N362" s="9">
        <v>44</v>
      </c>
      <c r="O362" s="34">
        <f t="shared" si="308"/>
        <v>27542.287033381719</v>
      </c>
      <c r="P362" s="33" t="str">
        <f t="shared" si="309"/>
        <v>59,1053597814893</v>
      </c>
      <c r="Q362" s="4" t="str">
        <f t="shared" si="310"/>
        <v>1+1329,6890303841i</v>
      </c>
      <c r="R362" s="4">
        <f t="shared" si="322"/>
        <v>1329.6894064118162</v>
      </c>
      <c r="S362" s="4">
        <f t="shared" si="323"/>
        <v>1.5700442713980178</v>
      </c>
      <c r="T362" s="4" t="str">
        <f t="shared" si="311"/>
        <v>1+0,224969281178547i</v>
      </c>
      <c r="U362" s="4">
        <f t="shared" si="324"/>
        <v>1.0249932572822087</v>
      </c>
      <c r="V362" s="4">
        <f t="shared" si="325"/>
        <v>0.22128520353895356</v>
      </c>
      <c r="W362" t="str">
        <f t="shared" si="312"/>
        <v>1-8,30655807428483i</v>
      </c>
      <c r="X362" s="4">
        <f t="shared" si="326"/>
        <v>8.3665349483203908</v>
      </c>
      <c r="Y362" s="4">
        <f t="shared" si="327"/>
        <v>-1.4509861026353974</v>
      </c>
      <c r="Z362" t="str">
        <f t="shared" si="313"/>
        <v>0,984326909606835+0,777166607707708i</v>
      </c>
      <c r="AA362" s="4">
        <f t="shared" si="328"/>
        <v>1.2541480778249627</v>
      </c>
      <c r="AB362" s="4">
        <f t="shared" si="329"/>
        <v>0.66833098386288015</v>
      </c>
      <c r="AC362" s="47" t="str">
        <f t="shared" si="330"/>
        <v>-0,287889057394541+0,097479382152855i</v>
      </c>
      <c r="AD362" s="20">
        <f t="shared" si="331"/>
        <v>-10.344110447132843</v>
      </c>
      <c r="AE362" s="43">
        <f t="shared" si="332"/>
        <v>161.29387332536325</v>
      </c>
      <c r="AF362" t="str">
        <f t="shared" si="314"/>
        <v>405,634542683733</v>
      </c>
      <c r="AG362" t="str">
        <f t="shared" si="315"/>
        <v>1+1332,05495434666i</v>
      </c>
      <c r="AH362">
        <f t="shared" si="333"/>
        <v>1332.0553297064962</v>
      </c>
      <c r="AI362">
        <f t="shared" si="334"/>
        <v>1.5700456071576347</v>
      </c>
      <c r="AJ362" t="str">
        <f t="shared" si="316"/>
        <v>1+0,224969281178547i</v>
      </c>
      <c r="AK362">
        <f t="shared" si="335"/>
        <v>1.0249932572822087</v>
      </c>
      <c r="AL362">
        <f t="shared" si="336"/>
        <v>0.22128520353895356</v>
      </c>
      <c r="AM362" t="str">
        <f t="shared" si="317"/>
        <v>1-1,21249625445883i</v>
      </c>
      <c r="AN362">
        <f t="shared" si="337"/>
        <v>1.5716701839370408</v>
      </c>
      <c r="AO362">
        <f t="shared" si="338"/>
        <v>-0.88114813997291885</v>
      </c>
      <c r="AP362" s="41" t="str">
        <f t="shared" si="339"/>
        <v>-0,300428479165474-0,387808095196681i</v>
      </c>
      <c r="AQ362">
        <f t="shared" si="340"/>
        <v>-6.186098212125172</v>
      </c>
      <c r="AR362" s="43">
        <f t="shared" si="341"/>
        <v>-127.7643482479628</v>
      </c>
      <c r="AS362" t="str">
        <f t="shared" si="318"/>
        <v>-0,0000166666666666667</v>
      </c>
      <c r="AT362" t="str">
        <f t="shared" si="319"/>
        <v>0,0383313044469601i</v>
      </c>
      <c r="AU362">
        <f t="shared" si="342"/>
        <v>3.8331304446960097E-2</v>
      </c>
      <c r="AV362">
        <f t="shared" si="343"/>
        <v>1.5707963267948966</v>
      </c>
      <c r="AW362" t="str">
        <f t="shared" si="320"/>
        <v>1+1,366456929263i</v>
      </c>
      <c r="AX362">
        <f t="shared" si="344"/>
        <v>1.6932821795350201</v>
      </c>
      <c r="AY362">
        <f t="shared" si="345"/>
        <v>0.93903254928187829</v>
      </c>
      <c r="AZ362" t="str">
        <f t="shared" si="321"/>
        <v>1+201,780139887835i</v>
      </c>
      <c r="BA362">
        <f t="shared" si="346"/>
        <v>201.7826178171803</v>
      </c>
      <c r="BB362">
        <f t="shared" si="347"/>
        <v>1.5658404782474089</v>
      </c>
      <c r="BC362" s="41" t="str">
        <f t="shared" si="348"/>
        <v>-0,0303923193640717+0,0419646010132673i</v>
      </c>
      <c r="BD362">
        <f t="shared" si="349"/>
        <v>-25.711008701182415</v>
      </c>
      <c r="BE362" s="43">
        <f t="shared" si="350"/>
        <v>125.91344889506075</v>
      </c>
      <c r="BF362" s="41" t="str">
        <f t="shared" si="351"/>
        <v>0,00465893279469209-0,0150437739434495i</v>
      </c>
      <c r="BG362" s="20">
        <f t="shared" si="352"/>
        <v>-36.055119148315249</v>
      </c>
      <c r="BH362" s="43">
        <f t="shared" si="353"/>
        <v>-72.792677779575982</v>
      </c>
      <c r="BI362" s="41" t="str">
        <f t="shared" si="306"/>
        <v>0,0254049302695033-0,000820973780011953i</v>
      </c>
      <c r="BJ362" s="20">
        <f t="shared" si="354"/>
        <v>-31.897106913307599</v>
      </c>
      <c r="BK362" s="43">
        <f t="shared" si="307"/>
        <v>-1.8508993529020155</v>
      </c>
      <c r="BL362">
        <f t="shared" si="355"/>
        <v>-36.055119148315249</v>
      </c>
      <c r="BM362" s="43">
        <f t="shared" si="356"/>
        <v>-72.792677779575982</v>
      </c>
    </row>
    <row r="363" spans="14:65" x14ac:dyDescent="0.35">
      <c r="N363" s="9">
        <v>45</v>
      </c>
      <c r="O363" s="34">
        <f t="shared" si="308"/>
        <v>28183.829312644593</v>
      </c>
      <c r="P363" s="33" t="str">
        <f t="shared" si="309"/>
        <v>59,1053597814893</v>
      </c>
      <c r="Q363" s="4" t="str">
        <f t="shared" si="310"/>
        <v>1+1360,66146670464i</v>
      </c>
      <c r="R363" s="4">
        <f t="shared" si="322"/>
        <v>1360.6618341729227</v>
      </c>
      <c r="S363" s="4">
        <f t="shared" si="323"/>
        <v>1.5700613902626099</v>
      </c>
      <c r="T363" s="4" t="str">
        <f t="shared" si="311"/>
        <v>1+0,230209488908446i</v>
      </c>
      <c r="U363" s="4">
        <f t="shared" si="324"/>
        <v>1.0261561327514872</v>
      </c>
      <c r="V363" s="4">
        <f t="shared" si="325"/>
        <v>0.22626734261403883</v>
      </c>
      <c r="W363" t="str">
        <f t="shared" si="312"/>
        <v>1-8,50004266738878i</v>
      </c>
      <c r="X363" s="4">
        <f t="shared" si="326"/>
        <v>8.5586637594562465</v>
      </c>
      <c r="Y363" s="4">
        <f t="shared" si="327"/>
        <v>-1.4536881647150977</v>
      </c>
      <c r="Z363" t="str">
        <f t="shared" si="313"/>
        <v>0,983588259613135+0,795269143501903i</v>
      </c>
      <c r="AA363" s="4">
        <f t="shared" si="328"/>
        <v>1.264871090291436</v>
      </c>
      <c r="AB363" s="4">
        <f t="shared" si="329"/>
        <v>0.67992580579909245</v>
      </c>
      <c r="AC363" s="47" t="str">
        <f t="shared" si="330"/>
        <v>-0,284765315008721+0,0993932188715098i</v>
      </c>
      <c r="AD363" s="20">
        <f t="shared" si="331"/>
        <v>-10.411003893604496</v>
      </c>
      <c r="AE363" s="43">
        <f t="shared" si="332"/>
        <v>160.75919691432173</v>
      </c>
      <c r="AF363" t="str">
        <f t="shared" si="314"/>
        <v>405,634542683733</v>
      </c>
      <c r="AG363" t="str">
        <f t="shared" si="315"/>
        <v>1+1363,0825001158i</v>
      </c>
      <c r="AH363">
        <f t="shared" si="333"/>
        <v>1363.0828669314058</v>
      </c>
      <c r="AI363">
        <f t="shared" si="334"/>
        <v>1.570062695616659</v>
      </c>
      <c r="AJ363" t="str">
        <f t="shared" si="316"/>
        <v>1+0,230209488908446i</v>
      </c>
      <c r="AK363">
        <f t="shared" si="335"/>
        <v>1.0261561327514872</v>
      </c>
      <c r="AL363">
        <f t="shared" si="336"/>
        <v>0.22626734261403883</v>
      </c>
      <c r="AM363" t="str">
        <f t="shared" si="317"/>
        <v>1-1,24073892035438i</v>
      </c>
      <c r="AN363">
        <f t="shared" si="337"/>
        <v>1.5935598728890461</v>
      </c>
      <c r="AO363">
        <f t="shared" si="338"/>
        <v>-0.8924249195999151</v>
      </c>
      <c r="AP363" s="41" t="str">
        <f t="shared" si="339"/>
        <v>-0,300438775816864-0,382806120843214i</v>
      </c>
      <c r="AQ363">
        <f t="shared" si="340"/>
        <v>-6.2561099498875352</v>
      </c>
      <c r="AR363" s="43">
        <f t="shared" si="341"/>
        <v>-128.12598368171976</v>
      </c>
      <c r="AS363" t="str">
        <f t="shared" si="318"/>
        <v>-0,0000166666666666667</v>
      </c>
      <c r="AT363" t="str">
        <f t="shared" si="319"/>
        <v>0,0392241552255544i</v>
      </c>
      <c r="AU363">
        <f t="shared" si="342"/>
        <v>3.9224155225554398E-2</v>
      </c>
      <c r="AV363">
        <f t="shared" si="343"/>
        <v>1.5707963267948966</v>
      </c>
      <c r="AW363" t="str">
        <f t="shared" si="320"/>
        <v>1+1,3982857999683i</v>
      </c>
      <c r="AX363">
        <f t="shared" si="344"/>
        <v>1.7190704402068544</v>
      </c>
      <c r="AY363">
        <f t="shared" si="345"/>
        <v>0.94996724932903942</v>
      </c>
      <c r="AZ363" t="str">
        <f t="shared" si="321"/>
        <v>1+206,480203128652i</v>
      </c>
      <c r="BA363">
        <f t="shared" si="346"/>
        <v>206.48262465410835</v>
      </c>
      <c r="BB363">
        <f t="shared" si="347"/>
        <v>1.5659532853483782</v>
      </c>
      <c r="BC363" s="41" t="str">
        <f t="shared" si="348"/>
        <v>-0,0294873112903611+0,0416565968941168i</v>
      </c>
      <c r="BD363">
        <f t="shared" si="349"/>
        <v>-25.84230019791374</v>
      </c>
      <c r="BE363" s="43">
        <f t="shared" si="350"/>
        <v>125.29340010290159</v>
      </c>
      <c r="BF363" s="41" t="str">
        <f t="shared" si="351"/>
        <v>0,00425658023582069-0,0147931927217597i</v>
      </c>
      <c r="BG363" s="20">
        <f t="shared" si="352"/>
        <v>-36.253304091518224</v>
      </c>
      <c r="BH363" s="43">
        <f t="shared" si="353"/>
        <v>-73.94740298277668</v>
      </c>
      <c r="BI363" s="41" t="str">
        <f t="shared" si="306"/>
        <v>0,0248055319707732-0,00122733372640559i</v>
      </c>
      <c r="BJ363" s="20">
        <f t="shared" si="354"/>
        <v>-32.098410147801282</v>
      </c>
      <c r="BK363" s="43">
        <f t="shared" si="307"/>
        <v>-2.8325835788181664</v>
      </c>
      <c r="BL363">
        <f t="shared" si="355"/>
        <v>-36.253304091518224</v>
      </c>
      <c r="BM363" s="43">
        <f t="shared" si="356"/>
        <v>-73.94740298277668</v>
      </c>
    </row>
    <row r="364" spans="14:65" x14ac:dyDescent="0.35">
      <c r="N364" s="9">
        <v>46</v>
      </c>
      <c r="O364" s="34">
        <f t="shared" si="308"/>
        <v>28840.315031266062</v>
      </c>
      <c r="P364" s="33" t="str">
        <f t="shared" si="309"/>
        <v>59,1053597814893</v>
      </c>
      <c r="Q364" s="4" t="str">
        <f t="shared" si="310"/>
        <v>1+1392,3553437453i</v>
      </c>
      <c r="R364" s="4">
        <f t="shared" si="322"/>
        <v>1392.3557028489856</v>
      </c>
      <c r="S364" s="4">
        <f t="shared" si="323"/>
        <v>1.570078119454686</v>
      </c>
      <c r="T364" s="4" t="str">
        <f t="shared" si="311"/>
        <v>1+0,235571756756545i</v>
      </c>
      <c r="U364" s="4">
        <f t="shared" si="324"/>
        <v>1.027372402092525</v>
      </c>
      <c r="V364" s="4">
        <f t="shared" si="325"/>
        <v>0.23135372534145479</v>
      </c>
      <c r="W364" t="str">
        <f t="shared" si="312"/>
        <v>1-8,6980340956263i</v>
      </c>
      <c r="X364" s="4">
        <f t="shared" si="326"/>
        <v>8.7553296413486112</v>
      </c>
      <c r="Y364" s="4">
        <f t="shared" si="327"/>
        <v>-1.4563303813774064</v>
      </c>
      <c r="Z364" t="str">
        <f t="shared" si="313"/>
        <v>0,982814798117714+0,813793341522611i</v>
      </c>
      <c r="AA364" s="4">
        <f t="shared" si="328"/>
        <v>1.2760033425135298</v>
      </c>
      <c r="AB364" s="4">
        <f t="shared" si="329"/>
        <v>0.69159616376976996</v>
      </c>
      <c r="AC364" s="47" t="str">
        <f t="shared" si="330"/>
        <v>-0,281605154715071+0,101219693900084i</v>
      </c>
      <c r="AD364" s="20">
        <f t="shared" si="331"/>
        <v>-10.479494947400948</v>
      </c>
      <c r="AE364" s="43">
        <f t="shared" si="332"/>
        <v>160.22961654505437</v>
      </c>
      <c r="AF364" t="str">
        <f t="shared" si="314"/>
        <v>405,634542683733</v>
      </c>
      <c r="AG364" t="str">
        <f t="shared" si="315"/>
        <v>1+1394,83277026902i</v>
      </c>
      <c r="AH364">
        <f t="shared" si="333"/>
        <v>1394.8331287348851</v>
      </c>
      <c r="AI364">
        <f t="shared" si="334"/>
        <v>1.5700793950952803</v>
      </c>
      <c r="AJ364" t="str">
        <f t="shared" si="316"/>
        <v>1+0,235571756756545i</v>
      </c>
      <c r="AK364">
        <f t="shared" si="335"/>
        <v>1.027372402092525</v>
      </c>
      <c r="AL364">
        <f t="shared" si="336"/>
        <v>0.23135372534145479</v>
      </c>
      <c r="AM364" t="str">
        <f t="shared" si="317"/>
        <v>1-1,26963944244862i</v>
      </c>
      <c r="AN364">
        <f t="shared" si="337"/>
        <v>1.6161634551682087</v>
      </c>
      <c r="AO364">
        <f t="shared" si="338"/>
        <v>-0.90364668372613721</v>
      </c>
      <c r="AP364" s="41" t="str">
        <f t="shared" si="339"/>
        <v>-0,300448609043092-0,378007114681913i</v>
      </c>
      <c r="AQ364">
        <f t="shared" si="340"/>
        <v>-6.3234829018566518</v>
      </c>
      <c r="AR364" s="43">
        <f t="shared" si="341"/>
        <v>-128.47847195121943</v>
      </c>
      <c r="AS364" t="str">
        <f t="shared" si="318"/>
        <v>-0,0000166666666666667</v>
      </c>
      <c r="AT364" t="str">
        <f t="shared" si="319"/>
        <v>0,0401378031704423i</v>
      </c>
      <c r="AU364">
        <f t="shared" si="342"/>
        <v>4.0137803170442299E-2</v>
      </c>
      <c r="AV364">
        <f t="shared" si="343"/>
        <v>1.5707963267948966</v>
      </c>
      <c r="AW364" t="str">
        <f t="shared" si="320"/>
        <v>1+1,43085606031324i</v>
      </c>
      <c r="AX364">
        <f t="shared" si="344"/>
        <v>1.745665794284555</v>
      </c>
      <c r="AY364">
        <f t="shared" si="345"/>
        <v>0.96082087857089638</v>
      </c>
      <c r="AZ364" t="str">
        <f t="shared" si="321"/>
        <v>1+211,289744906255i</v>
      </c>
      <c r="BA364">
        <f t="shared" si="346"/>
        <v>211.29211131168694</v>
      </c>
      <c r="BB364">
        <f t="shared" si="347"/>
        <v>1.5660635247653383</v>
      </c>
      <c r="BC364" s="41" t="str">
        <f t="shared" si="348"/>
        <v>-0,0285956725597351+0,0413315275260642i</v>
      </c>
      <c r="BD364">
        <f t="shared" si="349"/>
        <v>-25.97565337354375</v>
      </c>
      <c r="BE364" s="43">
        <f t="shared" si="350"/>
        <v>124.6778492082713</v>
      </c>
      <c r="BF364" s="41" t="str">
        <f t="shared" si="351"/>
        <v>0,0038691242307546-0,0145336164269509i</v>
      </c>
      <c r="BG364" s="20">
        <f t="shared" si="352"/>
        <v>-36.455148320944716</v>
      </c>
      <c r="BH364" s="43">
        <f t="shared" si="353"/>
        <v>-75.09253424667429</v>
      </c>
      <c r="BI364" s="41" t="str">
        <f t="shared" si="306"/>
        <v>0,0242151415107477-0,00160863227813804i</v>
      </c>
      <c r="BJ364" s="20">
        <f t="shared" si="354"/>
        <v>-32.299136275400407</v>
      </c>
      <c r="BK364" s="43">
        <f t="shared" si="307"/>
        <v>-3.8006227429481596</v>
      </c>
      <c r="BL364">
        <f t="shared" si="355"/>
        <v>-36.455148320944716</v>
      </c>
      <c r="BM364" s="43">
        <f t="shared" si="356"/>
        <v>-75.09253424667429</v>
      </c>
    </row>
    <row r="365" spans="14:65" x14ac:dyDescent="0.35">
      <c r="N365" s="9">
        <v>47</v>
      </c>
      <c r="O365" s="34">
        <f t="shared" si="308"/>
        <v>29512.092266663854</v>
      </c>
      <c r="P365" s="33" t="str">
        <f t="shared" si="309"/>
        <v>59,1053597814893</v>
      </c>
      <c r="Q365" s="4" t="str">
        <f t="shared" si="310"/>
        <v>1+1424,78746601924i</v>
      </c>
      <c r="R365" s="4">
        <f t="shared" si="322"/>
        <v>1424.7878169487294</v>
      </c>
      <c r="S365" s="4">
        <f t="shared" si="323"/>
        <v>1.5700944678442477</v>
      </c>
      <c r="T365" s="4" t="str">
        <f t="shared" si="311"/>
        <v>1+0,24105892786824i</v>
      </c>
      <c r="U365" s="4">
        <f t="shared" si="324"/>
        <v>1.0286444510641106</v>
      </c>
      <c r="V365" s="4">
        <f t="shared" si="325"/>
        <v>0.23654599538991428</v>
      </c>
      <c r="W365" t="str">
        <f t="shared" si="312"/>
        <v>1-8,9006373366735i</v>
      </c>
      <c r="X365" s="4">
        <f t="shared" si="326"/>
        <v>8.9566369245931998</v>
      </c>
      <c r="Y365" s="4">
        <f t="shared" si="327"/>
        <v>-1.4589140059119059</v>
      </c>
      <c r="Z365" t="str">
        <f t="shared" si="313"/>
        <v>0,98200488450504+0,83274902354483i</v>
      </c>
      <c r="AA365" s="4">
        <f t="shared" si="328"/>
        <v>1.2875575829478949</v>
      </c>
      <c r="AB365" s="4">
        <f t="shared" si="329"/>
        <v>0.70333707564359238</v>
      </c>
      <c r="AC365" s="47" t="str">
        <f t="shared" si="330"/>
        <v>-0,278411346176697+0,102957436696689i</v>
      </c>
      <c r="AD365" s="20">
        <f t="shared" si="331"/>
        <v>-10.549594626756706</v>
      </c>
      <c r="AE365" s="43">
        <f t="shared" si="332"/>
        <v>159.70543953152125</v>
      </c>
      <c r="AF365" t="str">
        <f t="shared" si="314"/>
        <v>405,634542683733</v>
      </c>
      <c r="AG365" t="str">
        <f t="shared" si="315"/>
        <v>1+1427,32259921984i</v>
      </c>
      <c r="AH365">
        <f t="shared" si="333"/>
        <v>1427.3229495260277</v>
      </c>
      <c r="AI365">
        <f t="shared" si="334"/>
        <v>1.5700957144477459</v>
      </c>
      <c r="AJ365" t="str">
        <f t="shared" si="316"/>
        <v>1+0,24105892786824i</v>
      </c>
      <c r="AK365">
        <f t="shared" si="335"/>
        <v>1.0286444510641106</v>
      </c>
      <c r="AL365">
        <f t="shared" si="336"/>
        <v>0.23654599538991428</v>
      </c>
      <c r="AM365" t="str">
        <f t="shared" si="317"/>
        <v>1-1,29921314418092i</v>
      </c>
      <c r="AN365">
        <f t="shared" si="337"/>
        <v>1.639498336081032</v>
      </c>
      <c r="AO365">
        <f t="shared" si="338"/>
        <v>-0.91480807783065377</v>
      </c>
      <c r="AP365" s="41" t="str">
        <f t="shared" si="339"/>
        <v>-0,30045799970168-0,37340853226158i</v>
      </c>
      <c r="AQ365">
        <f t="shared" si="340"/>
        <v>-6.3882209931758194</v>
      </c>
      <c r="AR365" s="43">
        <f t="shared" si="341"/>
        <v>-128.82141259704213</v>
      </c>
      <c r="AS365" t="str">
        <f t="shared" si="318"/>
        <v>-0,0000166666666666667</v>
      </c>
      <c r="AT365" t="str">
        <f t="shared" si="319"/>
        <v>0,0410727327098578i</v>
      </c>
      <c r="AU365">
        <f t="shared" si="342"/>
        <v>4.1072732709857798E-2</v>
      </c>
      <c r="AV365">
        <f t="shared" si="343"/>
        <v>1.5707963267948966</v>
      </c>
      <c r="AW365" t="str">
        <f t="shared" si="320"/>
        <v>1+1,464184979481i</v>
      </c>
      <c r="AX365">
        <f t="shared" si="344"/>
        <v>1.7730870407675356</v>
      </c>
      <c r="AY365">
        <f t="shared" si="345"/>
        <v>0.97158896332496125</v>
      </c>
      <c r="AZ365" t="str">
        <f t="shared" si="321"/>
        <v>1+216,21131530336i</v>
      </c>
      <c r="BA365">
        <f t="shared" si="346"/>
        <v>216.21362784341085</v>
      </c>
      <c r="BB365">
        <f t="shared" si="347"/>
        <v>1.5661712549379641</v>
      </c>
      <c r="BC365" s="41" t="str">
        <f t="shared" si="348"/>
        <v>-0,0277180330647314+0,0409901118907466i</v>
      </c>
      <c r="BD365">
        <f t="shared" si="349"/>
        <v>-26.111036821310705</v>
      </c>
      <c r="BE365" s="43">
        <f t="shared" si="350"/>
        <v>124.06705588264181</v>
      </c>
      <c r="BF365" s="41" t="str">
        <f t="shared" si="351"/>
        <v>0,00349677804874033-0,014265889866055i</v>
      </c>
      <c r="BG365" s="20">
        <f t="shared" si="352"/>
        <v>-36.66063144806742</v>
      </c>
      <c r="BH365" s="43">
        <f t="shared" si="353"/>
        <v>-76.22750458583694</v>
      </c>
      <c r="BI365" s="41" t="str">
        <f t="shared" si="306"/>
        <v>0,0236341622886558-0,00196565698236248i</v>
      </c>
      <c r="BJ365" s="20">
        <f t="shared" si="354"/>
        <v>-32.49925781448654</v>
      </c>
      <c r="BK365" s="43">
        <f t="shared" si="307"/>
        <v>-4.7543567144003411</v>
      </c>
      <c r="BL365">
        <f t="shared" si="355"/>
        <v>-36.66063144806742</v>
      </c>
      <c r="BM365" s="43">
        <f t="shared" si="356"/>
        <v>-76.22750458583694</v>
      </c>
    </row>
    <row r="366" spans="14:65" x14ac:dyDescent="0.35">
      <c r="N366" s="9">
        <v>48</v>
      </c>
      <c r="O366" s="34">
        <f t="shared" si="308"/>
        <v>30199.517204020212</v>
      </c>
      <c r="P366" s="33" t="str">
        <f t="shared" si="309"/>
        <v>59,1053597814893</v>
      </c>
      <c r="Q366" s="4" t="str">
        <f t="shared" si="310"/>
        <v>1+1457,97502946694i</v>
      </c>
      <c r="R366" s="4">
        <f t="shared" si="322"/>
        <v>1457.9753724083012</v>
      </c>
      <c r="S366" s="4">
        <f t="shared" si="323"/>
        <v>1.5701104440993927</v>
      </c>
      <c r="T366" s="4" t="str">
        <f t="shared" si="311"/>
        <v>1+0,246673911614282i</v>
      </c>
      <c r="U366" s="4">
        <f t="shared" si="324"/>
        <v>1.0299747660360863</v>
      </c>
      <c r="V366" s="4">
        <f t="shared" si="325"/>
        <v>0.24184578542241172</v>
      </c>
      <c r="W366" t="str">
        <f t="shared" si="312"/>
        <v>1-9,10795981345043i</v>
      </c>
      <c r="X366" s="4">
        <f t="shared" si="326"/>
        <v>9.162692397075654</v>
      </c>
      <c r="Y366" s="4">
        <f t="shared" si="327"/>
        <v>-1.4614402701479241</v>
      </c>
      <c r="Z366" t="str">
        <f t="shared" si="313"/>
        <v>0,981156800839754+0,852146240122065i</v>
      </c>
      <c r="AA366" s="4">
        <f t="shared" si="328"/>
        <v>1.2995467988449945</v>
      </c>
      <c r="AB366" s="4">
        <f t="shared" si="329"/>
        <v>0.71514341868982534</v>
      </c>
      <c r="AC366" s="47" t="str">
        <f t="shared" si="330"/>
        <v>-0,275186789414305+0,104605208558647i</v>
      </c>
      <c r="AD366" s="20">
        <f t="shared" si="331"/>
        <v>-10.621311096033324</v>
      </c>
      <c r="AE366" s="43">
        <f t="shared" si="332"/>
        <v>159.18698185400515</v>
      </c>
      <c r="AF366" t="str">
        <f t="shared" si="314"/>
        <v>405,634542683733</v>
      </c>
      <c r="AG366" t="str">
        <f t="shared" si="315"/>
        <v>1+1460,56921350562i</v>
      </c>
      <c r="AH366">
        <f t="shared" si="333"/>
        <v>1460.5695558378675</v>
      </c>
      <c r="AI366">
        <f t="shared" si="334"/>
        <v>1.5701116623267577</v>
      </c>
      <c r="AJ366" t="str">
        <f t="shared" si="316"/>
        <v>1+0,246673911614282i</v>
      </c>
      <c r="AK366">
        <f t="shared" si="335"/>
        <v>1.0299747660360863</v>
      </c>
      <c r="AL366">
        <f t="shared" si="336"/>
        <v>0.24184578542241172</v>
      </c>
      <c r="AM366" t="str">
        <f t="shared" si="317"/>
        <v>1-1,32947570591938i</v>
      </c>
      <c r="AN366">
        <f t="shared" si="337"/>
        <v>1.6635821748954374</v>
      </c>
      <c r="AO366">
        <f t="shared" si="338"/>
        <v>-0.92590389677321094</v>
      </c>
      <c r="AP366" s="41" t="str">
        <f t="shared" si="339"/>
        <v>-0,300466967711414-0,369007935395313i</v>
      </c>
      <c r="AQ366">
        <f t="shared" si="340"/>
        <v>-6.450329393440275</v>
      </c>
      <c r="AR366" s="43">
        <f t="shared" si="341"/>
        <v>-129.15441433768396</v>
      </c>
      <c r="AS366" t="str">
        <f t="shared" si="318"/>
        <v>-0,0000166666666666667</v>
      </c>
      <c r="AT366" t="str">
        <f t="shared" si="319"/>
        <v>0,0420294395558181i</v>
      </c>
      <c r="AU366">
        <f t="shared" si="342"/>
        <v>4.2029439555818102E-2</v>
      </c>
      <c r="AV366">
        <f t="shared" si="343"/>
        <v>1.5707963267948966</v>
      </c>
      <c r="AW366" t="str">
        <f t="shared" si="320"/>
        <v>1+1,49829022890564i</v>
      </c>
      <c r="AX366">
        <f t="shared" si="344"/>
        <v>1.8013532718581646</v>
      </c>
      <c r="AY366">
        <f t="shared" si="345"/>
        <v>0.98226722440883074</v>
      </c>
      <c r="AZ366" t="str">
        <f t="shared" si="321"/>
        <v>1+221,247523801733i</v>
      </c>
      <c r="BA366">
        <f t="shared" si="346"/>
        <v>221.24978370248954</v>
      </c>
      <c r="BB366">
        <f t="shared" si="347"/>
        <v>1.5662765329762105</v>
      </c>
      <c r="BC366" s="41" t="str">
        <f t="shared" si="348"/>
        <v>-0,0268549738819017+0,0406330924049164i</v>
      </c>
      <c r="BD366">
        <f t="shared" si="349"/>
        <v>-26.248417744182376</v>
      </c>
      <c r="BE366" s="43">
        <f t="shared" si="350"/>
        <v>123.46126857726422</v>
      </c>
      <c r="BF366" s="41" t="str">
        <f t="shared" si="351"/>
        <v>0,00313970093696649-0,0139908603866371i</v>
      </c>
      <c r="BG366" s="20">
        <f t="shared" si="352"/>
        <v>-36.869728840215679</v>
      </c>
      <c r="BH366" s="43">
        <f t="shared" si="353"/>
        <v>-77.351749568730654</v>
      </c>
      <c r="BI366" s="41" t="str">
        <f t="shared" si="306"/>
        <v>0,0230629661073294-0,00229920359638732i</v>
      </c>
      <c r="BJ366" s="20">
        <f t="shared" si="354"/>
        <v>-32.698747137622647</v>
      </c>
      <c r="BK366" s="43">
        <f t="shared" si="307"/>
        <v>-5.6931457604197595</v>
      </c>
      <c r="BL366">
        <f t="shared" si="355"/>
        <v>-36.869728840215679</v>
      </c>
      <c r="BM366" s="43">
        <f t="shared" si="356"/>
        <v>-77.351749568730654</v>
      </c>
    </row>
    <row r="367" spans="14:65" x14ac:dyDescent="0.35">
      <c r="N367" s="9">
        <v>49</v>
      </c>
      <c r="O367" s="34">
        <f t="shared" si="308"/>
        <v>30902.954325135954</v>
      </c>
      <c r="P367" s="33" t="str">
        <f t="shared" si="309"/>
        <v>59,1053597814893</v>
      </c>
      <c r="Q367" s="4" t="str">
        <f t="shared" si="310"/>
        <v>1+1491,93563057384i</v>
      </c>
      <c r="R367" s="4">
        <f t="shared" si="322"/>
        <v>1491.9359657089044</v>
      </c>
      <c r="S367" s="4">
        <f t="shared" si="323"/>
        <v>1.5701260566909101</v>
      </c>
      <c r="T367" s="4" t="str">
        <f t="shared" si="311"/>
        <v>1+0,252419685133377i</v>
      </c>
      <c r="U367" s="4">
        <f t="shared" si="324"/>
        <v>1.0313659376975921</v>
      </c>
      <c r="V367" s="4">
        <f t="shared" si="325"/>
        <v>0.24725471406653615</v>
      </c>
      <c r="W367" t="str">
        <f t="shared" si="312"/>
        <v>1-9,32011145107854i</v>
      </c>
      <c r="X367" s="4">
        <f t="shared" si="326"/>
        <v>9.3736053608270336</v>
      </c>
      <c r="Y367" s="4">
        <f t="shared" si="327"/>
        <v>-1.4639103844930492</v>
      </c>
      <c r="Z367" t="str">
        <f t="shared" si="313"/>
        <v>0,980268748222697+0,871995275915301i</v>
      </c>
      <c r="AA367" s="4">
        <f t="shared" si="328"/>
        <v>1.3119842148290868</v>
      </c>
      <c r="AB367" s="4">
        <f t="shared" si="329"/>
        <v>0.72700994146411668</v>
      </c>
      <c r="AC367" s="47" t="str">
        <f t="shared" si="330"/>
        <v>-0,271934505328162+0,106161913454624i</v>
      </c>
      <c r="AD367" s="20">
        <f t="shared" si="331"/>
        <v>-10.69464957304092</v>
      </c>
      <c r="AE367" s="43">
        <f t="shared" si="332"/>
        <v>158.67456730204643</v>
      </c>
      <c r="AF367" t="str">
        <f t="shared" si="314"/>
        <v>405,634542683733</v>
      </c>
      <c r="AG367" t="str">
        <f t="shared" si="315"/>
        <v>1+1494,59024092131i</v>
      </c>
      <c r="AH367">
        <f t="shared" si="333"/>
        <v>1494.5905754611258</v>
      </c>
      <c r="AI367">
        <f t="shared" si="334"/>
        <v>1.5701272471880601</v>
      </c>
      <c r="AJ367" t="str">
        <f t="shared" si="316"/>
        <v>1+0,252419685133377i</v>
      </c>
      <c r="AK367">
        <f t="shared" si="335"/>
        <v>1.0313659376975921</v>
      </c>
      <c r="AL367">
        <f t="shared" si="336"/>
        <v>0.24725471406653615</v>
      </c>
      <c r="AM367" t="str">
        <f t="shared" si="317"/>
        <v>1-1,36044317327481i</v>
      </c>
      <c r="AN367">
        <f t="shared" si="337"/>
        <v>1.688432891088667</v>
      </c>
      <c r="AO367">
        <f t="shared" si="338"/>
        <v>-0.9369290954652707</v>
      </c>
      <c r="AP367" s="41" t="str">
        <f t="shared" si="339"/>
        <v>-0,300475532094593-0,364802990867948i</v>
      </c>
      <c r="AQ367">
        <f t="shared" si="340"/>
        <v>-6.5098144066675632</v>
      </c>
      <c r="AR367" s="43">
        <f t="shared" si="341"/>
        <v>-129.47709585481331</v>
      </c>
      <c r="AS367" t="str">
        <f t="shared" si="318"/>
        <v>-0,0000166666666666667</v>
      </c>
      <c r="AT367" t="str">
        <f t="shared" si="319"/>
        <v>0,0430084309669561i</v>
      </c>
      <c r="AU367">
        <f t="shared" si="342"/>
        <v>4.3008430966956099E-2</v>
      </c>
      <c r="AV367">
        <f t="shared" si="343"/>
        <v>1.5707963267948966</v>
      </c>
      <c r="AW367" t="str">
        <f t="shared" si="320"/>
        <v>1+1,53318989164187i</v>
      </c>
      <c r="AX367">
        <f t="shared" si="344"/>
        <v>1.8304838824291267</v>
      </c>
      <c r="AY367">
        <f t="shared" si="345"/>
        <v>0.99285158280484287</v>
      </c>
      <c r="AZ367" t="str">
        <f t="shared" si="321"/>
        <v>1+226,401040665783i</v>
      </c>
      <c r="BA367">
        <f t="shared" si="346"/>
        <v>226.40324912542559</v>
      </c>
      <c r="BB367">
        <f t="shared" si="347"/>
        <v>1.566379414690547</v>
      </c>
      <c r="BC367" s="41" t="str">
        <f t="shared" si="348"/>
        <v>-0,0260070265645814+0,0402612311588639i</v>
      </c>
      <c r="BD367">
        <f t="shared" si="349"/>
        <v>-26.387762067788827</v>
      </c>
      <c r="BE367" s="43">
        <f t="shared" si="350"/>
        <v>122.86072420033956</v>
      </c>
      <c r="BF367" s="41" t="str">
        <f t="shared" si="351"/>
        <v>0,00279799856603189-0,0137093736824496i</v>
      </c>
      <c r="BG367" s="20">
        <f t="shared" si="352"/>
        <v>-37.082411640829768</v>
      </c>
      <c r="BH367" s="43">
        <f t="shared" si="353"/>
        <v>-78.464708497613998</v>
      </c>
      <c r="BI367" s="41" t="str">
        <f t="shared" si="306"/>
        <v>0,0225018926879702-0,00261007378090157i</v>
      </c>
      <c r="BJ367" s="20">
        <f t="shared" si="354"/>
        <v>-32.897576474456386</v>
      </c>
      <c r="BK367" s="43">
        <f t="shared" si="307"/>
        <v>-6.6163716544737659</v>
      </c>
      <c r="BL367">
        <f t="shared" si="355"/>
        <v>-37.082411640829768</v>
      </c>
      <c r="BM367" s="43">
        <f t="shared" si="356"/>
        <v>-78.464708497613998</v>
      </c>
    </row>
    <row r="368" spans="14:65" x14ac:dyDescent="0.35">
      <c r="N368" s="9">
        <v>50</v>
      </c>
      <c r="O368" s="34">
        <f t="shared" si="308"/>
        <v>31622.77660168384</v>
      </c>
      <c r="P368" s="33" t="str">
        <f t="shared" si="309"/>
        <v>59,1053597814893</v>
      </c>
      <c r="Q368" s="4" t="str">
        <f t="shared" si="310"/>
        <v>1+1526,68727570018i</v>
      </c>
      <c r="R368" s="4">
        <f t="shared" si="322"/>
        <v>1526.6876032066407</v>
      </c>
      <c r="S368" s="4">
        <f t="shared" si="323"/>
        <v>1.5701413138967721</v>
      </c>
      <c r="T368" s="4" t="str">
        <f t="shared" si="311"/>
        <v>1+0,258299294910699i</v>
      </c>
      <c r="U368" s="4">
        <f t="shared" si="324"/>
        <v>1.0328206648549225</v>
      </c>
      <c r="V368" s="4">
        <f t="shared" si="325"/>
        <v>0.25277438269492059</v>
      </c>
      <c r="W368" t="str">
        <f t="shared" si="312"/>
        <v>1-9,53720473516427i</v>
      </c>
      <c r="X368" s="4">
        <f t="shared" si="326"/>
        <v>9.5894876901969983</v>
      </c>
      <c r="Y368" s="4">
        <f t="shared" si="327"/>
        <v>-1.466325537998489</v>
      </c>
      <c r="Z368" t="str">
        <f t="shared" si="313"/>
        <v>0,979338842975207+0,892306655146049i</v>
      </c>
      <c r="AA368" s="4">
        <f t="shared" si="328"/>
        <v>1.3248832915309738</v>
      </c>
      <c r="AB368" s="4">
        <f t="shared" si="329"/>
        <v>0.73893127650250823</v>
      </c>
      <c r="AC368" s="47" t="str">
        <f t="shared" si="330"/>
        <v>-0,268657625224535+0,10762660810913i</v>
      </c>
      <c r="AD368" s="20">
        <f t="shared" si="331"/>
        <v>-10.769612243405277</v>
      </c>
      <c r="AE368" s="43">
        <f t="shared" si="332"/>
        <v>158.16852655866126</v>
      </c>
      <c r="AF368" t="str">
        <f t="shared" si="314"/>
        <v>405,634542683733</v>
      </c>
      <c r="AG368" t="str">
        <f t="shared" si="315"/>
        <v>1+1529,40371986598i</v>
      </c>
      <c r="AH368">
        <f t="shared" si="333"/>
        <v>1529.4040467907419</v>
      </c>
      <c r="AI368">
        <f t="shared" si="334"/>
        <v>1.570142477294922</v>
      </c>
      <c r="AJ368" t="str">
        <f t="shared" si="316"/>
        <v>1+0,258299294910699i</v>
      </c>
      <c r="AK368">
        <f t="shared" si="335"/>
        <v>1.0328206648549225</v>
      </c>
      <c r="AL368">
        <f t="shared" si="336"/>
        <v>0.25277438269492059</v>
      </c>
      <c r="AM368" t="str">
        <f t="shared" si="317"/>
        <v>1-1,39213196560831i</v>
      </c>
      <c r="AN368">
        <f t="shared" si="337"/>
        <v>1.7140686712230806</v>
      </c>
      <c r="AO368">
        <f t="shared" si="338"/>
        <v>-0.94787879862659419</v>
      </c>
      <c r="AP368" s="41" t="str">
        <f t="shared" si="339"/>
        <v>-0,300483711017371-0,360791469199135i</v>
      </c>
      <c r="AQ368">
        <f t="shared" si="340"/>
        <v>-6.566683356543292</v>
      </c>
      <c r="AR368" s="43">
        <f t="shared" si="341"/>
        <v>-129.78908653700572</v>
      </c>
      <c r="AS368" t="str">
        <f t="shared" si="318"/>
        <v>-0,0000166666666666667</v>
      </c>
      <c r="AT368" t="str">
        <f t="shared" si="319"/>
        <v>0,0440102260174768i</v>
      </c>
      <c r="AU368">
        <f t="shared" si="342"/>
        <v>4.4010226017476797E-2</v>
      </c>
      <c r="AV368">
        <f t="shared" si="343"/>
        <v>1.5707963267948966</v>
      </c>
      <c r="AW368" t="str">
        <f t="shared" si="320"/>
        <v>1+1,56890247195281i</v>
      </c>
      <c r="AX368">
        <f t="shared" si="344"/>
        <v>1.8604985800853588</v>
      </c>
      <c r="AY368">
        <f t="shared" si="345"/>
        <v>1.0033381643348016</v>
      </c>
      <c r="AZ368" t="str">
        <f t="shared" si="321"/>
        <v>1+231,674598358365i</v>
      </c>
      <c r="BA368">
        <f t="shared" si="346"/>
        <v>231.67675654780248</v>
      </c>
      <c r="BB368">
        <f t="shared" si="347"/>
        <v>1.5664799546215036</v>
      </c>
      <c r="BC368" s="41" t="str">
        <f t="shared" si="348"/>
        <v>-0,0251746727578141+0,0398753061856834i</v>
      </c>
      <c r="BD368">
        <f t="shared" si="349"/>
        <v>-26.529034554606081</v>
      </c>
      <c r="BE368" s="43">
        <f t="shared" si="350"/>
        <v>122.26564785086946</v>
      </c>
      <c r="BF368" s="41" t="str">
        <f t="shared" si="351"/>
        <v>0,00247172384684102-0,0134222697041278i</v>
      </c>
      <c r="BG368" s="20">
        <f t="shared" si="352"/>
        <v>-37.298646798011333</v>
      </c>
      <c r="BH368" s="43">
        <f t="shared" si="353"/>
        <v>-79.565825590469288</v>
      </c>
      <c r="BI368" s="41" t="str">
        <f t="shared" si="306"/>
        <v>0,021951249397414-0,00289907280972889i</v>
      </c>
      <c r="BJ368" s="20">
        <f t="shared" si="354"/>
        <v>-33.095717911149364</v>
      </c>
      <c r="BK368" s="43">
        <f t="shared" si="307"/>
        <v>-7.5234386861362363</v>
      </c>
      <c r="BL368">
        <f t="shared" si="355"/>
        <v>-37.298646798011333</v>
      </c>
      <c r="BM368" s="43">
        <f t="shared" si="356"/>
        <v>-79.565825590469288</v>
      </c>
    </row>
    <row r="369" spans="14:65" x14ac:dyDescent="0.35">
      <c r="N369" s="9">
        <v>51</v>
      </c>
      <c r="O369" s="34">
        <f t="shared" si="308"/>
        <v>32359.365692962871</v>
      </c>
      <c r="P369" s="33" t="str">
        <f t="shared" si="309"/>
        <v>59,1053597814893</v>
      </c>
      <c r="Q369" s="4" t="str">
        <f t="shared" si="310"/>
        <v>1+1562,24839062819i</v>
      </c>
      <c r="R369" s="4">
        <f t="shared" si="322"/>
        <v>1562.2487106796953</v>
      </c>
      <c r="S369" s="4">
        <f t="shared" si="323"/>
        <v>1.5701562238065232</v>
      </c>
      <c r="T369" s="4" t="str">
        <f t="shared" si="311"/>
        <v>1+0,264315858393178i</v>
      </c>
      <c r="U369" s="4">
        <f t="shared" si="324"/>
        <v>1.0343417583169126</v>
      </c>
      <c r="V369" s="4">
        <f t="shared" si="325"/>
        <v>0.25840637201058503</v>
      </c>
      <c r="W369" t="str">
        <f t="shared" si="312"/>
        <v>1-9,75935477144042i</v>
      </c>
      <c r="X369" s="4">
        <f t="shared" si="326"/>
        <v>9.81045389137714</v>
      </c>
      <c r="Y369" s="4">
        <f t="shared" si="327"/>
        <v>-1.4686868984490689</v>
      </c>
      <c r="Z369" t="str">
        <f t="shared" si="313"/>
        <v>0,978365112643577+0,913091147176431i</v>
      </c>
      <c r="AA369" s="4">
        <f t="shared" si="328"/>
        <v>1.3382577243154812</v>
      </c>
      <c r="AB369" s="4">
        <f t="shared" si="329"/>
        <v>0.75090195376084368</v>
      </c>
      <c r="AC369" s="47" t="str">
        <f t="shared" si="330"/>
        <v>-0,265359379414691+0,108998511232377i</v>
      </c>
      <c r="AD369" s="20">
        <f t="shared" si="331"/>
        <v>-10.84619818275522</v>
      </c>
      <c r="AE369" s="43">
        <f t="shared" si="332"/>
        <v>157.66919622926693</v>
      </c>
      <c r="AF369" t="str">
        <f t="shared" si="314"/>
        <v>405,634542683733</v>
      </c>
      <c r="AG369" t="str">
        <f t="shared" si="315"/>
        <v>1+1565,02810890697i</v>
      </c>
      <c r="AH369">
        <f t="shared" si="333"/>
        <v>1565.0284283900171</v>
      </c>
      <c r="AI369">
        <f t="shared" si="334"/>
        <v>1.5701573607225199</v>
      </c>
      <c r="AJ369" t="str">
        <f t="shared" si="316"/>
        <v>1+0,264315858393178i</v>
      </c>
      <c r="AK369">
        <f t="shared" si="335"/>
        <v>1.0343417583169126</v>
      </c>
      <c r="AL369">
        <f t="shared" si="336"/>
        <v>0.25840637201058503</v>
      </c>
      <c r="AM369" t="str">
        <f t="shared" si="317"/>
        <v>1-1,42455888473701i</v>
      </c>
      <c r="AN369">
        <f t="shared" si="337"/>
        <v>1.7405079764491613</v>
      </c>
      <c r="AO369">
        <f t="shared" si="338"/>
        <v>-0.95874830959375912</v>
      </c>
      <c r="AP369" s="41" t="str">
        <f t="shared" si="339"/>
        <v>-0,300491521828292-0,356971243461424i</v>
      </c>
      <c r="AQ369">
        <f t="shared" si="340"/>
        <v>-6.6209444678093909</v>
      </c>
      <c r="AR369" s="43">
        <f t="shared" si="341"/>
        <v>-130.09002718033116</v>
      </c>
      <c r="AS369" t="str">
        <f t="shared" si="318"/>
        <v>-0,0000166666666666667</v>
      </c>
      <c r="AT369" t="str">
        <f t="shared" si="319"/>
        <v>0,0450353558723761i</v>
      </c>
      <c r="AU369">
        <f t="shared" si="342"/>
        <v>4.5035355872376101E-2</v>
      </c>
      <c r="AV369">
        <f t="shared" si="343"/>
        <v>1.5707963267948966</v>
      </c>
      <c r="AW369" t="str">
        <f t="shared" si="320"/>
        <v>1+1,60544690512126i</v>
      </c>
      <c r="AX369">
        <f t="shared" si="344"/>
        <v>1.8914173958075546</v>
      </c>
      <c r="AY369">
        <f t="shared" si="345"/>
        <v>1.0137233033569804</v>
      </c>
      <c r="AZ369" t="str">
        <f t="shared" si="321"/>
        <v>1+237,070992989573i</v>
      </c>
      <c r="BA369">
        <f t="shared" si="346"/>
        <v>237.07310205306331</v>
      </c>
      <c r="BB369">
        <f t="shared" si="347"/>
        <v>1.5665782060685476</v>
      </c>
      <c r="BC369" s="41" t="str">
        <f t="shared" si="348"/>
        <v>-0,0243583441234194+0,0394761077908094i</v>
      </c>
      <c r="BD369">
        <f t="shared" si="349"/>
        <v>-26.672198918663952</v>
      </c>
      <c r="BE369" s="43">
        <f t="shared" si="350"/>
        <v>121.67625260848854</v>
      </c>
      <c r="BF369" s="41" t="str">
        <f t="shared" si="351"/>
        <v>0,00216087810171299-0,0131303787106153i</v>
      </c>
      <c r="BG369" s="20">
        <f t="shared" si="352"/>
        <v>-37.518397101419147</v>
      </c>
      <c r="BH369" s="43">
        <f t="shared" si="353"/>
        <v>-80.654551162244573</v>
      </c>
      <c r="BI369" s="41" t="str">
        <f t="shared" si="306"/>
        <v>0,021411311179966-0,00316700731551972i</v>
      </c>
      <c r="BJ369" s="20">
        <f t="shared" si="354"/>
        <v>-33.293143386473332</v>
      </c>
      <c r="BK369" s="43">
        <f t="shared" si="307"/>
        <v>-8.4137745718426267</v>
      </c>
      <c r="BL369">
        <f t="shared" si="355"/>
        <v>-37.518397101419147</v>
      </c>
      <c r="BM369" s="43">
        <f t="shared" si="356"/>
        <v>-80.654551162244573</v>
      </c>
    </row>
    <row r="370" spans="14:65" x14ac:dyDescent="0.35">
      <c r="N370" s="9">
        <v>52</v>
      </c>
      <c r="O370" s="34">
        <f t="shared" si="308"/>
        <v>33113.11214825909</v>
      </c>
      <c r="P370" s="33" t="str">
        <f t="shared" si="309"/>
        <v>59,1053597814893</v>
      </c>
      <c r="Q370" s="4" t="str">
        <f t="shared" si="310"/>
        <v>1+1598,63783033171i</v>
      </c>
      <c r="R370" s="4">
        <f t="shared" si="322"/>
        <v>1598.6381430979548</v>
      </c>
      <c r="S370" s="4">
        <f t="shared" si="323"/>
        <v>1.5701707943255678</v>
      </c>
      <c r="T370" s="4" t="str">
        <f t="shared" si="311"/>
        <v>1+0,27047256564241i</v>
      </c>
      <c r="U370" s="4">
        <f t="shared" si="324"/>
        <v>1.0359321448652841</v>
      </c>
      <c r="V370" s="4">
        <f t="shared" si="325"/>
        <v>0.26415223843236191</v>
      </c>
      <c r="W370" t="str">
        <f t="shared" si="312"/>
        <v>1-9,9866793467967i</v>
      </c>
      <c r="X370" s="4">
        <f t="shared" si="326"/>
        <v>10.036621163306693</v>
      </c>
      <c r="Y370" s="4">
        <f t="shared" si="327"/>
        <v>-1.4709956124757744</v>
      </c>
      <c r="Z370" t="str">
        <f t="shared" si="313"/>
        <v>0,977345491815224+0,934359772219235i</v>
      </c>
      <c r="AA370" s="4">
        <f t="shared" si="328"/>
        <v>1.3521214421467929</v>
      </c>
      <c r="AB370" s="4">
        <f t="shared" si="329"/>
        <v>0.76291641472846361</v>
      </c>
      <c r="AC370" s="47" t="str">
        <f t="shared" si="330"/>
        <v>-0,262043084967559+0,110277011795648i</v>
      </c>
      <c r="AD370" s="20">
        <f t="shared" si="331"/>
        <v>-10.924403287461896</v>
      </c>
      <c r="AE370" s="43">
        <f t="shared" si="332"/>
        <v>157.17691781923205</v>
      </c>
      <c r="AF370" t="str">
        <f t="shared" si="314"/>
        <v>405,634542683733</v>
      </c>
      <c r="AG370" t="str">
        <f t="shared" si="315"/>
        <v>1+1601,4822965669i</v>
      </c>
      <c r="AH370">
        <f t="shared" si="333"/>
        <v>1601.4826087776264</v>
      </c>
      <c r="AI370">
        <f t="shared" si="334"/>
        <v>1.5701719053622174</v>
      </c>
      <c r="AJ370" t="str">
        <f t="shared" si="316"/>
        <v>1+0,27047256564241i</v>
      </c>
      <c r="AK370">
        <f t="shared" si="335"/>
        <v>1.0359321448652841</v>
      </c>
      <c r="AL370">
        <f t="shared" si="336"/>
        <v>0.26415223843236191</v>
      </c>
      <c r="AM370" t="str">
        <f t="shared" si="317"/>
        <v>1-1,45774112384267i</v>
      </c>
      <c r="AN370">
        <f t="shared" si="337"/>
        <v>1.7677695506321209</v>
      </c>
      <c r="AO370">
        <f t="shared" si="338"/>
        <v>-0.96953311815631738</v>
      </c>
      <c r="AP370" s="41" t="str">
        <f t="shared" si="339"/>
        <v>-0,300498981095094-0,3533402881527i</v>
      </c>
      <c r="AQ370">
        <f t="shared" si="340"/>
        <v>-6.672606744682259</v>
      </c>
      <c r="AR370" s="43">
        <f t="shared" si="341"/>
        <v>-130.37957064467773</v>
      </c>
      <c r="AS370" t="str">
        <f t="shared" si="318"/>
        <v>-0,0000166666666666667</v>
      </c>
      <c r="AT370" t="str">
        <f t="shared" si="319"/>
        <v>0,0460843640690723i</v>
      </c>
      <c r="AU370">
        <f t="shared" si="342"/>
        <v>4.6084364069072299E-2</v>
      </c>
      <c r="AV370">
        <f t="shared" si="343"/>
        <v>1.5707963267948966</v>
      </c>
      <c r="AW370" t="str">
        <f t="shared" si="320"/>
        <v>1+1,64284256748941i</v>
      </c>
      <c r="AX370">
        <f t="shared" si="344"/>
        <v>1.9232606951620461</v>
      </c>
      <c r="AY370">
        <f t="shared" si="345"/>
        <v>1.0240035455048644</v>
      </c>
      <c r="AZ370" t="str">
        <f t="shared" si="321"/>
        <v>1+242,59308579927i</v>
      </c>
      <c r="BA370">
        <f t="shared" si="346"/>
        <v>242.59514685502671</v>
      </c>
      <c r="BB370">
        <f t="shared" si="347"/>
        <v>1.5666742211183045</v>
      </c>
      <c r="BC370" s="41" t="str">
        <f t="shared" si="348"/>
        <v>-0,0235584225604654+0,0390644349689681i</v>
      </c>
      <c r="BD370">
        <f t="shared" si="349"/>
        <v>-26.817217940083225</v>
      </c>
      <c r="BE370" s="43">
        <f t="shared" si="350"/>
        <v>121.09273937816313</v>
      </c>
      <c r="BF370" s="41" t="str">
        <f t="shared" si="351"/>
        <v>0,00186541256885047-0,0128345174943703i</v>
      </c>
      <c r="BG370" s="20">
        <f t="shared" si="352"/>
        <v>-37.741621227545117</v>
      </c>
      <c r="BH370" s="43">
        <f t="shared" si="353"/>
        <v>-81.730342802604838</v>
      </c>
      <c r="BI370" s="41" t="str">
        <f t="shared" ref="BI370:BI433" si="357">IMPRODUCT(AP370,BC370)</f>
        <v>0,0208823206840851-0,00341468308929256i</v>
      </c>
      <c r="BJ370" s="20">
        <f t="shared" si="354"/>
        <v>-33.489824684765502</v>
      </c>
      <c r="BK370" s="43">
        <f t="shared" ref="BK370:BK433" si="358">(180/PI())*IMARGUMENT(BI370)</f>
        <v>-9.2868312665146107</v>
      </c>
      <c r="BL370">
        <f t="shared" si="355"/>
        <v>-37.741621227545117</v>
      </c>
      <c r="BM370" s="43">
        <f t="shared" si="356"/>
        <v>-81.730342802604838</v>
      </c>
    </row>
    <row r="371" spans="14:65" x14ac:dyDescent="0.35">
      <c r="N371" s="9">
        <v>53</v>
      </c>
      <c r="O371" s="34">
        <f t="shared" si="308"/>
        <v>33884.41561392029</v>
      </c>
      <c r="P371" s="33" t="str">
        <f t="shared" si="309"/>
        <v>59,1053597814893</v>
      </c>
      <c r="Q371" s="4" t="str">
        <f t="shared" si="310"/>
        <v>1+1635,87488897336i</v>
      </c>
      <c r="R371" s="4">
        <f t="shared" si="322"/>
        <v>1635.8751946201771</v>
      </c>
      <c r="S371" s="4">
        <f t="shared" si="323"/>
        <v>1.5701850331793636</v>
      </c>
      <c r="T371" s="4" t="str">
        <f t="shared" si="311"/>
        <v>1+0,276772681026076i</v>
      </c>
      <c r="U371" s="4">
        <f t="shared" si="324"/>
        <v>1.0375948713068901</v>
      </c>
      <c r="V371" s="4">
        <f t="shared" si="325"/>
        <v>0.27001351027616743</v>
      </c>
      <c r="W371" t="str">
        <f t="shared" si="312"/>
        <v>1-10,2192989917321i</v>
      </c>
      <c r="X371" s="4">
        <f t="shared" si="326"/>
        <v>10.268109459993925</v>
      </c>
      <c r="Y371" s="4">
        <f t="shared" si="327"/>
        <v>-1.4732528056888821</v>
      </c>
      <c r="Z371" t="str">
        <f t="shared" si="313"/>
        <v>0,976277817737668+0,956123807180991i</v>
      </c>
      <c r="AA371" s="4">
        <f t="shared" si="328"/>
        <v>1.3664886066355972</v>
      </c>
      <c r="AB371" s="4">
        <f t="shared" si="329"/>
        <v>0.77496902713757621</v>
      </c>
      <c r="AC371" s="47" t="str">
        <f t="shared" si="330"/>
        <v>-0,258712132709357+0,111461676261314i</v>
      </c>
      <c r="AD371" s="20">
        <f t="shared" si="331"/>
        <v>-11.004220214607958</v>
      </c>
      <c r="AE371" s="43">
        <f t="shared" si="332"/>
        <v>156.69203666442741</v>
      </c>
      <c r="AF371" t="str">
        <f t="shared" si="314"/>
        <v>405,634542683733</v>
      </c>
      <c r="AG371" t="str">
        <f t="shared" si="315"/>
        <v>1+1638,78561133861i</v>
      </c>
      <c r="AH371">
        <f t="shared" si="333"/>
        <v>1638.7859164425538</v>
      </c>
      <c r="AI371">
        <f t="shared" si="334"/>
        <v>1.5701861189257507</v>
      </c>
      <c r="AJ371" t="str">
        <f t="shared" si="316"/>
        <v>1+0,276772681026076i</v>
      </c>
      <c r="AK371">
        <f t="shared" si="335"/>
        <v>1.0375948713068901</v>
      </c>
      <c r="AL371">
        <f t="shared" si="336"/>
        <v>0.27001351027616743</v>
      </c>
      <c r="AM371" t="str">
        <f t="shared" si="317"/>
        <v>1-1,49169627658768i</v>
      </c>
      <c r="AN371">
        <f t="shared" si="337"/>
        <v>1.795872429095549</v>
      </c>
      <c r="AO371">
        <f t="shared" si="338"/>
        <v>-0.98022890740539947</v>
      </c>
      <c r="AP371" s="41" t="str">
        <f t="shared" si="339"/>
        <v>-0,300506104639841-0,349896678122388i</v>
      </c>
      <c r="AQ371">
        <f t="shared" si="340"/>
        <v>-6.7216798471979988</v>
      </c>
      <c r="AR371" s="43">
        <f t="shared" si="341"/>
        <v>-130.65738246518501</v>
      </c>
      <c r="AS371" t="str">
        <f t="shared" si="318"/>
        <v>-0,0000166666666666667</v>
      </c>
      <c r="AT371" t="str">
        <f t="shared" si="319"/>
        <v>0,0471578068055967i</v>
      </c>
      <c r="AU371">
        <f t="shared" si="342"/>
        <v>4.7157806805596697E-2</v>
      </c>
      <c r="AV371">
        <f t="shared" si="343"/>
        <v>1.5707963267948966</v>
      </c>
      <c r="AW371" t="str">
        <f t="shared" si="320"/>
        <v>1+1,68110928673245i</v>
      </c>
      <c r="AX371">
        <f t="shared" si="344"/>
        <v>1.9560491900609469</v>
      </c>
      <c r="AY371">
        <f t="shared" si="345"/>
        <v>1.0341756494940753</v>
      </c>
      <c r="AZ371" t="str">
        <f t="shared" si="321"/>
        <v>1+248,243804674158i</v>
      </c>
      <c r="BA371">
        <f t="shared" si="346"/>
        <v>248.24581881494299</v>
      </c>
      <c r="BB371">
        <f t="shared" si="347"/>
        <v>1.5667680506721395</v>
      </c>
      <c r="BC371" s="41" t="str">
        <f t="shared" si="348"/>
        <v>-0,0227752407040472+0,0386410919331859i</v>
      </c>
      <c r="BD371">
        <f t="shared" si="349"/>
        <v>-26.964053578783428</v>
      </c>
      <c r="BE371" s="43">
        <f t="shared" si="350"/>
        <v>120.51529678824156</v>
      </c>
      <c r="BF371" s="41" t="str">
        <f t="shared" si="351"/>
        <v>0,00158523021607257-0,0125354858103809i</v>
      </c>
      <c r="BG371" s="20">
        <f t="shared" si="352"/>
        <v>-37.968273793391361</v>
      </c>
      <c r="BH371" s="43">
        <f t="shared" si="353"/>
        <v>-82.792666547331038</v>
      </c>
      <c r="BI371" s="41" t="str">
        <f t="shared" si="357"/>
        <v>0,0203644885726515-0,00364290295008777i</v>
      </c>
      <c r="BJ371" s="20">
        <f t="shared" si="354"/>
        <v>-33.685733425981439</v>
      </c>
      <c r="BK371" s="43">
        <f t="shared" si="358"/>
        <v>-10.142085676943458</v>
      </c>
      <c r="BL371">
        <f t="shared" si="355"/>
        <v>-37.968273793391361</v>
      </c>
      <c r="BM371" s="43">
        <f t="shared" si="356"/>
        <v>-82.792666547331038</v>
      </c>
    </row>
    <row r="372" spans="14:65" x14ac:dyDescent="0.35">
      <c r="N372" s="9">
        <v>54</v>
      </c>
      <c r="O372" s="34">
        <f t="shared" si="308"/>
        <v>34673.685045253202</v>
      </c>
      <c r="P372" s="33" t="str">
        <f t="shared" si="309"/>
        <v>59,1053597814893</v>
      </c>
      <c r="Q372" s="4" t="str">
        <f t="shared" si="310"/>
        <v>1+1673,97931013449i</v>
      </c>
      <c r="R372" s="4">
        <f t="shared" si="322"/>
        <v>1673.9796088239377</v>
      </c>
      <c r="S372" s="4">
        <f t="shared" si="323"/>
        <v>1.5701989479175162</v>
      </c>
      <c r="T372" s="4" t="str">
        <f t="shared" si="311"/>
        <v>1+0,283219544948739i</v>
      </c>
      <c r="U372" s="4">
        <f t="shared" si="324"/>
        <v>1.0393331086042485</v>
      </c>
      <c r="V372" s="4">
        <f t="shared" si="325"/>
        <v>0.27599168372849914</v>
      </c>
      <c r="W372" t="str">
        <f t="shared" si="312"/>
        <v>1-10,4573370442612i</v>
      </c>
      <c r="X372" s="4">
        <f t="shared" si="326"/>
        <v>10.505041554286093</v>
      </c>
      <c r="Y372" s="4">
        <f t="shared" si="327"/>
        <v>-1.4754595828298267</v>
      </c>
      <c r="Z372" t="str">
        <f t="shared" si="313"/>
        <v>0,975159825731045+0,978394791641098i</v>
      </c>
      <c r="AA372" s="4">
        <f t="shared" si="328"/>
        <v>1.3813736113123884</v>
      </c>
      <c r="AB372" s="4">
        <f t="shared" si="329"/>
        <v>0.78705410018282906</v>
      </c>
      <c r="AC372" s="47" t="str">
        <f t="shared" si="330"/>
        <v>-0,255369973574394+0,112552254687195i</v>
      </c>
      <c r="AD372" s="20">
        <f t="shared" si="331"/>
        <v>-11.085638331808177</v>
      </c>
      <c r="AE372" s="43">
        <f t="shared" si="332"/>
        <v>156.21490081957171</v>
      </c>
      <c r="AF372" t="str">
        <f t="shared" si="314"/>
        <v>405,634542683733</v>
      </c>
      <c r="AG372" t="str">
        <f t="shared" si="315"/>
        <v>1+1676,95783193332i</v>
      </c>
      <c r="AH372">
        <f t="shared" si="333"/>
        <v>1676.9581300922514</v>
      </c>
      <c r="AI372">
        <f t="shared" si="334"/>
        <v>1.5702000089493158</v>
      </c>
      <c r="AJ372" t="str">
        <f t="shared" si="316"/>
        <v>1+0,283219544948739i</v>
      </c>
      <c r="AK372">
        <f t="shared" si="335"/>
        <v>1.0393331086042485</v>
      </c>
      <c r="AL372">
        <f t="shared" si="336"/>
        <v>0.27599168372849914</v>
      </c>
      <c r="AM372" t="str">
        <f t="shared" si="317"/>
        <v>1-1,52644234644346i</v>
      </c>
      <c r="AN372">
        <f t="shared" si="337"/>
        <v>1.8248359479733558</v>
      </c>
      <c r="AO372">
        <f t="shared" si="338"/>
        <v>-0.9908315595886541</v>
      </c>
      <c r="AP372" s="41" t="str">
        <f t="shared" si="339"/>
        <v>-0,300512907572495-0,346638587550867i</v>
      </c>
      <c r="AQ372">
        <f t="shared" si="340"/>
        <v>-6.7681739663827809</v>
      </c>
      <c r="AR372" s="43">
        <f t="shared" si="341"/>
        <v>-130.92314141864242</v>
      </c>
      <c r="AS372" t="str">
        <f t="shared" si="318"/>
        <v>-0,0000166666666666667</v>
      </c>
      <c r="AT372" t="str">
        <f t="shared" si="319"/>
        <v>0,0482562532354968i</v>
      </c>
      <c r="AU372">
        <f t="shared" si="342"/>
        <v>4.8256253235496802E-2</v>
      </c>
      <c r="AV372">
        <f t="shared" si="343"/>
        <v>1.5707963267948966</v>
      </c>
      <c r="AW372" t="str">
        <f t="shared" si="320"/>
        <v>1+1,7202673523714i</v>
      </c>
      <c r="AX372">
        <f t="shared" si="344"/>
        <v>1.9898039510552055</v>
      </c>
      <c r="AY372">
        <f t="shared" si="345"/>
        <v>1.0442365880299922</v>
      </c>
      <c r="AZ372" t="str">
        <f t="shared" si="321"/>
        <v>1+254,026145700177i</v>
      </c>
      <c r="BA372">
        <f t="shared" si="346"/>
        <v>254.02811399387971</v>
      </c>
      <c r="BB372">
        <f t="shared" si="347"/>
        <v>1.5668597444731114</v>
      </c>
      <c r="BC372" s="41" t="str">
        <f t="shared" si="348"/>
        <v>-0,0220090826833187+0,0382068847778141i</v>
      </c>
      <c r="BD372">
        <f t="shared" si="349"/>
        <v>-27.112667086743038</v>
      </c>
      <c r="BE372" s="43">
        <f t="shared" si="350"/>
        <v>119.94410113999608</v>
      </c>
      <c r="BF372" s="41" t="str">
        <f t="shared" si="351"/>
        <v>0,0013201878369189-0,0122340630356747i</v>
      </c>
      <c r="BG372" s="20">
        <f t="shared" si="352"/>
        <v>-38.198305418551236</v>
      </c>
      <c r="BH372" s="43">
        <f t="shared" si="353"/>
        <v>-83.840998040432225</v>
      </c>
      <c r="BI372" s="41" t="str">
        <f t="shared" si="357"/>
        <v>0,0198579940042678-0,00385246469923238i</v>
      </c>
      <c r="BJ372" s="20">
        <f t="shared" si="354"/>
        <v>-33.880841053125799</v>
      </c>
      <c r="BK372" s="43">
        <f t="shared" si="358"/>
        <v>-10.979040278646316</v>
      </c>
      <c r="BL372">
        <f t="shared" si="355"/>
        <v>-38.198305418551236</v>
      </c>
      <c r="BM372" s="43">
        <f t="shared" si="356"/>
        <v>-83.840998040432225</v>
      </c>
    </row>
    <row r="373" spans="14:65" x14ac:dyDescent="0.35">
      <c r="N373" s="9">
        <v>55</v>
      </c>
      <c r="O373" s="34">
        <f t="shared" si="308"/>
        <v>35481.33892335758</v>
      </c>
      <c r="P373" s="33" t="str">
        <f t="shared" si="309"/>
        <v>59,1053597814893</v>
      </c>
      <c r="Q373" s="4" t="str">
        <f t="shared" si="310"/>
        <v>1+1712,9712972836i</v>
      </c>
      <c r="R373" s="4">
        <f t="shared" si="322"/>
        <v>1712.971589174047</v>
      </c>
      <c r="S373" s="4">
        <f t="shared" si="323"/>
        <v>1.5702125459177823</v>
      </c>
      <c r="T373" s="4" t="str">
        <f t="shared" si="311"/>
        <v>1+0,28981657562299i</v>
      </c>
      <c r="U373" s="4">
        <f t="shared" si="324"/>
        <v>1.0411501560802054</v>
      </c>
      <c r="V373" s="4">
        <f t="shared" si="325"/>
        <v>0.28208821860937949</v>
      </c>
      <c r="W373" t="str">
        <f t="shared" si="312"/>
        <v>1-10,7009197153104i</v>
      </c>
      <c r="X373" s="4">
        <f t="shared" si="326"/>
        <v>10.747543103124492</v>
      </c>
      <c r="Y373" s="4">
        <f t="shared" si="327"/>
        <v>-1.4776170279401029</v>
      </c>
      <c r="Z373" t="str">
        <f t="shared" si="313"/>
        <v>0,973989144384418+1,00118453397033i</v>
      </c>
      <c r="AA373" s="4">
        <f t="shared" si="328"/>
        <v>1.3967910811714388</v>
      </c>
      <c r="AB373" s="4">
        <f t="shared" si="329"/>
        <v>0.79916590015985123</v>
      </c>
      <c r="AC373" s="47" t="str">
        <f t="shared" si="330"/>
        <v>-0,252020104420959+0,113548685637078i</v>
      </c>
      <c r="AD373" s="20">
        <f t="shared" si="331"/>
        <v>-11.16864367743397</v>
      </c>
      <c r="AE373" s="43">
        <f t="shared" si="332"/>
        <v>155.74585990953534</v>
      </c>
      <c r="AF373" t="str">
        <f t="shared" si="314"/>
        <v>405,634542683733</v>
      </c>
      <c r="AG373" t="str">
        <f t="shared" si="315"/>
        <v>1+1716,0191977677i</v>
      </c>
      <c r="AH373">
        <f t="shared" si="333"/>
        <v>1716.019489139707</v>
      </c>
      <c r="AI373">
        <f t="shared" si="334"/>
        <v>1.5702135827975661</v>
      </c>
      <c r="AJ373" t="str">
        <f t="shared" si="316"/>
        <v>1+0,28981657562299i</v>
      </c>
      <c r="AK373">
        <f t="shared" si="335"/>
        <v>1.0411501560802054</v>
      </c>
      <c r="AL373">
        <f t="shared" si="336"/>
        <v>0.28208821860937949</v>
      </c>
      <c r="AM373" t="str">
        <f t="shared" si="317"/>
        <v>1-1,56199775623619i</v>
      </c>
      <c r="AN373">
        <f t="shared" si="337"/>
        <v>1.8546797541588931</v>
      </c>
      <c r="AO373">
        <f t="shared" si="338"/>
        <v>-1.0013371609739403</v>
      </c>
      <c r="AP373" s="41" t="str">
        <f t="shared" si="339"/>
        <v>-0,300519404322956-0,343564288981506i</v>
      </c>
      <c r="AQ373">
        <f t="shared" si="340"/>
        <v>-6.8120996991415534</v>
      </c>
      <c r="AR373" s="43">
        <f t="shared" si="341"/>
        <v>-131.17654004515393</v>
      </c>
      <c r="AS373" t="str">
        <f t="shared" si="318"/>
        <v>-0,0000166666666666667</v>
      </c>
      <c r="AT373" t="str">
        <f t="shared" si="319"/>
        <v>0,0493802857696093i</v>
      </c>
      <c r="AU373">
        <f t="shared" si="342"/>
        <v>4.9380285769609303E-2</v>
      </c>
      <c r="AV373">
        <f t="shared" si="343"/>
        <v>1.5707963267948966</v>
      </c>
      <c r="AW373" t="str">
        <f t="shared" si="320"/>
        <v>1+1,76033752653103i</v>
      </c>
      <c r="AX373">
        <f t="shared" si="344"/>
        <v>2.024546420142888</v>
      </c>
      <c r="AY373">
        <f t="shared" si="345"/>
        <v>1.0541835478541459</v>
      </c>
      <c r="AZ373" t="str">
        <f t="shared" si="321"/>
        <v>1+259,943174751082i</v>
      </c>
      <c r="BA373">
        <f t="shared" si="346"/>
        <v>259.94509824128545</v>
      </c>
      <c r="BB373">
        <f t="shared" si="347"/>
        <v>1.5669493511323165</v>
      </c>
      <c r="BC373" s="41" t="str">
        <f t="shared" si="348"/>
        <v>-0,0212601851181417+0,0377626182947221i</v>
      </c>
      <c r="BD373">
        <f t="shared" si="349"/>
        <v>-27.263019118242234</v>
      </c>
      <c r="BE373" s="43">
        <f t="shared" si="350"/>
        <v>119.37931640647463</v>
      </c>
      <c r="BF373" s="41" t="str">
        <f t="shared" si="351"/>
        <v>0,00107009839990262-0,0119310050824106i</v>
      </c>
      <c r="BG373" s="20">
        <f t="shared" si="352"/>
        <v>-38.431662795676232</v>
      </c>
      <c r="BH373" s="43">
        <f t="shared" si="353"/>
        <v>-84.87482368399003</v>
      </c>
      <c r="BI373" s="41" t="str">
        <f t="shared" si="357"/>
        <v>0,0193629852720059-0,0040441591718755i</v>
      </c>
      <c r="BJ373" s="20">
        <f t="shared" si="354"/>
        <v>-34.075118817383803</v>
      </c>
      <c r="BK373" s="43">
        <f t="shared" si="358"/>
        <v>-11.797223638679311</v>
      </c>
      <c r="BL373">
        <f t="shared" si="355"/>
        <v>-38.431662795676232</v>
      </c>
      <c r="BM373" s="43">
        <f t="shared" si="356"/>
        <v>-84.87482368399003</v>
      </c>
    </row>
    <row r="374" spans="14:65" x14ac:dyDescent="0.35">
      <c r="N374" s="9">
        <v>56</v>
      </c>
      <c r="O374" s="34">
        <f t="shared" si="308"/>
        <v>36307.805477010232</v>
      </c>
      <c r="P374" s="33" t="str">
        <f t="shared" si="309"/>
        <v>59,1053597814893</v>
      </c>
      <c r="Q374" s="4" t="str">
        <f t="shared" si="310"/>
        <v>1+1752,87152448837i</v>
      </c>
      <c r="R374" s="4">
        <f t="shared" si="322"/>
        <v>1752.8718097345802</v>
      </c>
      <c r="S374" s="4">
        <f t="shared" si="323"/>
        <v>1.5702258343899813</v>
      </c>
      <c r="T374" s="4" t="str">
        <f t="shared" si="311"/>
        <v>1+0,296567270881811i</v>
      </c>
      <c r="U374" s="4">
        <f t="shared" si="324"/>
        <v>1.0430494456919506</v>
      </c>
      <c r="V374" s="4">
        <f t="shared" si="325"/>
        <v>0.28830453392272298</v>
      </c>
      <c r="W374" t="str">
        <f t="shared" si="312"/>
        <v>1-10,9501761556361i</v>
      </c>
      <c r="X374" s="4">
        <f t="shared" si="326"/>
        <v>10.995742714317275</v>
      </c>
      <c r="Y374" s="4">
        <f t="shared" si="327"/>
        <v>-1.4797262045455593</v>
      </c>
      <c r="Z374" t="str">
        <f t="shared" si="313"/>
        <v>0,972763290525694+1,02450511759171i</v>
      </c>
      <c r="AA374" s="4">
        <f t="shared" si="328"/>
        <v>1.4127558725292841</v>
      </c>
      <c r="AB374" s="4">
        <f t="shared" si="329"/>
        <v>0.81129866642642323</v>
      </c>
      <c r="AC374" s="47" t="str">
        <f t="shared" si="330"/>
        <v>-0,24866605343422+0,114451099842447i</v>
      </c>
      <c r="AD374" s="20">
        <f t="shared" si="331"/>
        <v>-11.253218931723563</v>
      </c>
      <c r="AE374" s="43">
        <f t="shared" si="332"/>
        <v>155.28526394910554</v>
      </c>
      <c r="AF374" t="str">
        <f t="shared" si="314"/>
        <v>405,634542683733</v>
      </c>
      <c r="AG374" t="str">
        <f t="shared" si="315"/>
        <v>1+1755,99041969493i</v>
      </c>
      <c r="AH374">
        <f t="shared" si="333"/>
        <v>1755.9907044345014</v>
      </c>
      <c r="AI374">
        <f t="shared" si="334"/>
        <v>1.5702268476675152</v>
      </c>
      <c r="AJ374" t="str">
        <f t="shared" si="316"/>
        <v>1+0,296567270881811i</v>
      </c>
      <c r="AK374">
        <f t="shared" si="335"/>
        <v>1.0430494456919506</v>
      </c>
      <c r="AL374">
        <f t="shared" si="336"/>
        <v>0.28830453392272298</v>
      </c>
      <c r="AM374" t="str">
        <f t="shared" si="317"/>
        <v>1-1,59838135791475i</v>
      </c>
      <c r="AN374">
        <f t="shared" si="337"/>
        <v>1.8854238158380732</v>
      </c>
      <c r="AO374">
        <f t="shared" si="338"/>
        <v>-1.0117420057322901</v>
      </c>
      <c r="AP374" s="41" t="str">
        <f t="shared" si="339"/>
        <v>-0,300525608671672-0,340672152404893i</v>
      </c>
      <c r="AQ374">
        <f t="shared" si="340"/>
        <v>-6.8534679237411815</v>
      </c>
      <c r="AR374" s="43">
        <f t="shared" si="341"/>
        <v>-131.41728512578294</v>
      </c>
      <c r="AS374" t="str">
        <f t="shared" si="318"/>
        <v>-0,0000166666666666667</v>
      </c>
      <c r="AT374" t="str">
        <f t="shared" si="319"/>
        <v>0,0505305003848624i</v>
      </c>
      <c r="AU374">
        <f t="shared" si="342"/>
        <v>5.0530500384862398E-2</v>
      </c>
      <c r="AV374">
        <f t="shared" si="343"/>
        <v>1.5707963267948966</v>
      </c>
      <c r="AW374" t="str">
        <f t="shared" si="320"/>
        <v>1+1,80134105494804i</v>
      </c>
      <c r="AX374">
        <f t="shared" si="344"/>
        <v>2.0602984240738809</v>
      </c>
      <c r="AY374">
        <f t="shared" si="345"/>
        <v>1.0640139289719159</v>
      </c>
      <c r="AZ374" t="str">
        <f t="shared" si="321"/>
        <v>1+265,998029113993i</v>
      </c>
      <c r="BA374">
        <f t="shared" si="346"/>
        <v>265.99990882052703</v>
      </c>
      <c r="BB374">
        <f t="shared" si="347"/>
        <v>1.5670369181546322</v>
      </c>
      <c r="BC374" s="41" t="str">
        <f t="shared" si="348"/>
        <v>-0,0205287383325585+0,0373090929589609i</v>
      </c>
      <c r="BD374">
        <f t="shared" si="349"/>
        <v>-27.415069837563721</v>
      </c>
      <c r="BE374" s="43">
        <f t="shared" si="350"/>
        <v>118.82109427822448</v>
      </c>
      <c r="BF374" s="41" t="str">
        <f t="shared" si="351"/>
        <v>0,000834733619863942-0,0116270415838544i</v>
      </c>
      <c r="BG374" s="20">
        <f t="shared" si="352"/>
        <v>-38.668288769287265</v>
      </c>
      <c r="BH374" s="43">
        <f t="shared" si="353"/>
        <v>-85.89364177266998</v>
      </c>
      <c r="BI374" s="41" t="str">
        <f t="shared" si="357"/>
        <v>0,0188795805852571-0,00421876839657018i</v>
      </c>
      <c r="BJ374" s="20">
        <f t="shared" si="354"/>
        <v>-34.268537761304891</v>
      </c>
      <c r="BK374" s="43">
        <f t="shared" si="358"/>
        <v>-12.596190847558452</v>
      </c>
      <c r="BL374">
        <f t="shared" si="355"/>
        <v>-38.668288769287265</v>
      </c>
      <c r="BM374" s="43">
        <f t="shared" si="356"/>
        <v>-85.89364177266998</v>
      </c>
    </row>
    <row r="375" spans="14:65" x14ac:dyDescent="0.35">
      <c r="N375" s="9">
        <v>57</v>
      </c>
      <c r="O375" s="34">
        <f t="shared" si="308"/>
        <v>37153.522909717351</v>
      </c>
      <c r="P375" s="33" t="str">
        <f t="shared" si="309"/>
        <v>59,1053597814893</v>
      </c>
      <c r="Q375" s="4" t="str">
        <f t="shared" si="310"/>
        <v>1+1793,70114737744i</v>
      </c>
      <c r="R375" s="4">
        <f t="shared" si="322"/>
        <v>1793.7014261306547</v>
      </c>
      <c r="S375" s="4">
        <f t="shared" si="323"/>
        <v>1.5702388203798188</v>
      </c>
      <c r="T375" s="4" t="str">
        <f t="shared" si="311"/>
        <v>1+0,303475210033185i</v>
      </c>
      <c r="U375" s="4">
        <f t="shared" si="324"/>
        <v>1.0450345463690116</v>
      </c>
      <c r="V375" s="4">
        <f t="shared" si="325"/>
        <v>0.29464200319323142</v>
      </c>
      <c r="W375" t="str">
        <f t="shared" si="312"/>
        <v>1-11,2052385243022i</v>
      </c>
      <c r="X375" s="4">
        <f t="shared" si="326"/>
        <v>11.249772014867951</v>
      </c>
      <c r="Y375" s="4">
        <f t="shared" si="327"/>
        <v>-1.4817881558545949</v>
      </c>
      <c r="Z375" t="str">
        <f t="shared" si="313"/>
        <v>0,971479663954486+1,04836890738737i</v>
      </c>
      <c r="AA375" s="4">
        <f t="shared" si="328"/>
        <v>1.429283073241165</v>
      </c>
      <c r="AB375" s="4">
        <f t="shared" si="329"/>
        <v>0.82344662758643639</v>
      </c>
      <c r="AC375" s="47" t="str">
        <f t="shared" si="330"/>
        <v>-0,24531136524428+0,11525982257495i</v>
      </c>
      <c r="AD375" s="20">
        <f t="shared" si="331"/>
        <v>-11.339343399182145</v>
      </c>
      <c r="AE375" s="43">
        <f t="shared" si="332"/>
        <v>154.83346213696248</v>
      </c>
      <c r="AF375" t="str">
        <f t="shared" si="314"/>
        <v>405,634542683733</v>
      </c>
      <c r="AG375" t="str">
        <f t="shared" si="315"/>
        <v>1+1796,89269098596i</v>
      </c>
      <c r="AH375">
        <f t="shared" si="333"/>
        <v>1796.8929692440684</v>
      </c>
      <c r="AI375">
        <f t="shared" si="334"/>
        <v>1.5702398105923545</v>
      </c>
      <c r="AJ375" t="str">
        <f t="shared" si="316"/>
        <v>1+0,303475210033185i</v>
      </c>
      <c r="AK375">
        <f t="shared" si="335"/>
        <v>1.0450345463690116</v>
      </c>
      <c r="AL375">
        <f t="shared" si="336"/>
        <v>0.29464200319323142</v>
      </c>
      <c r="AM375" t="str">
        <f t="shared" si="317"/>
        <v>1-1,63561244254636i</v>
      </c>
      <c r="AN375">
        <f t="shared" si="337"/>
        <v>1.917088433592063</v>
      </c>
      <c r="AO375">
        <f t="shared" si="338"/>
        <v>-1.0220425988583961</v>
      </c>
      <c r="AP375" s="41" t="str">
        <f t="shared" si="339"/>
        <v>-0,300531533778875-0,337960644394686i</v>
      </c>
      <c r="AQ375">
        <f t="shared" si="340"/>
        <v>-6.8922896767458566</v>
      </c>
      <c r="AR375" s="43">
        <f t="shared" si="341"/>
        <v>-131.64509811727964</v>
      </c>
      <c r="AS375" t="str">
        <f t="shared" si="318"/>
        <v>-0,0000166666666666667</v>
      </c>
      <c r="AT375" t="str">
        <f t="shared" si="319"/>
        <v>0,0517075069402696i</v>
      </c>
      <c r="AU375">
        <f t="shared" si="342"/>
        <v>5.1707506940269599E-2</v>
      </c>
      <c r="AV375">
        <f t="shared" si="343"/>
        <v>1.5707963267948966</v>
      </c>
      <c r="AW375" t="str">
        <f t="shared" si="320"/>
        <v>1+1,84329967823595i</v>
      </c>
      <c r="AX375">
        <f t="shared" si="344"/>
        <v>2.0970821881330157</v>
      </c>
      <c r="AY375">
        <f t="shared" si="345"/>
        <v>1.0737253431082949</v>
      </c>
      <c r="AZ375" t="str">
        <f t="shared" si="321"/>
        <v>1+272,193919152841i</v>
      </c>
      <c r="BA375">
        <f t="shared" si="346"/>
        <v>272.19575607232258</v>
      </c>
      <c r="BB375">
        <f t="shared" si="347"/>
        <v>1.567122491963878</v>
      </c>
      <c r="BC375" s="41" t="str">
        <f t="shared" si="348"/>
        <v>-0,0198148877624829+0,0368471020973242i</v>
      </c>
      <c r="BD375">
        <f t="shared" si="349"/>
        <v>-27.568779023680804</v>
      </c>
      <c r="BE375" s="43">
        <f t="shared" si="350"/>
        <v>118.26957425321304</v>
      </c>
      <c r="BF375" s="41" t="str">
        <f t="shared" si="351"/>
        <v>0,000613826719038202-0,0113228733686363i</v>
      </c>
      <c r="BG375" s="20">
        <f t="shared" si="352"/>
        <v>-38.908122422862952</v>
      </c>
      <c r="BH375" s="43">
        <f t="shared" si="353"/>
        <v>-86.896963609824496</v>
      </c>
      <c r="BI375" s="41" t="str">
        <f t="shared" si="357"/>
        <v>0,0184078689798037-0,00437706387179854i</v>
      </c>
      <c r="BJ375" s="20">
        <f t="shared" si="354"/>
        <v>-34.461068700426672</v>
      </c>
      <c r="BK375" s="43">
        <f t="shared" si="358"/>
        <v>-13.375523864066642</v>
      </c>
      <c r="BL375">
        <f t="shared" si="355"/>
        <v>-38.908122422862952</v>
      </c>
      <c r="BM375" s="43">
        <f t="shared" si="356"/>
        <v>-86.896963609824496</v>
      </c>
    </row>
    <row r="376" spans="14:65" x14ac:dyDescent="0.35">
      <c r="N376" s="9">
        <v>58</v>
      </c>
      <c r="O376" s="34">
        <f t="shared" si="308"/>
        <v>38018.939632056143</v>
      </c>
      <c r="P376" s="33" t="str">
        <f t="shared" si="309"/>
        <v>59,1053597814893</v>
      </c>
      <c r="Q376" s="4" t="str">
        <f t="shared" si="310"/>
        <v>1+1835,48181435728i</v>
      </c>
      <c r="R376" s="4">
        <f t="shared" si="322"/>
        <v>1835.4820867652977</v>
      </c>
      <c r="S376" s="4">
        <f t="shared" si="323"/>
        <v>1.5702515107726205</v>
      </c>
      <c r="T376" s="4" t="str">
        <f t="shared" si="311"/>
        <v>1+0,310544055757888i</v>
      </c>
      <c r="U376" s="4">
        <f t="shared" si="324"/>
        <v>1.0471091684091771</v>
      </c>
      <c r="V376" s="4">
        <f t="shared" si="325"/>
        <v>0.30110194958993775</v>
      </c>
      <c r="W376" t="str">
        <f t="shared" si="312"/>
        <v>1-11,4662420587528i</v>
      </c>
      <c r="X376" s="4">
        <f t="shared" si="326"/>
        <v>11.509765720895958</v>
      </c>
      <c r="Y376" s="4">
        <f t="shared" si="327"/>
        <v>-1.4838039049688376</v>
      </c>
      <c r="Z376" t="str">
        <f t="shared" si="313"/>
        <v>0,970135541926737+1,07278855625452i</v>
      </c>
      <c r="AA376" s="4">
        <f t="shared" si="328"/>
        <v>1.4463880033172776</v>
      </c>
      <c r="AB376" s="4">
        <f t="shared" si="329"/>
        <v>0.83560401779388727</v>
      </c>
      <c r="AC376" s="47" t="str">
        <f t="shared" si="330"/>
        <v>-0,241959585892006+0,115975374704235i</v>
      </c>
      <c r="AD376" s="20">
        <f t="shared" si="331"/>
        <v>-11.426993002591733</v>
      </c>
      <c r="AE376" s="43">
        <f t="shared" si="332"/>
        <v>154.39080162984243</v>
      </c>
      <c r="AF376" t="str">
        <f t="shared" si="314"/>
        <v>405,634542683733</v>
      </c>
      <c r="AG376" t="str">
        <f t="shared" si="315"/>
        <v>1+1838,74769856644i</v>
      </c>
      <c r="AH376">
        <f t="shared" si="333"/>
        <v>1838.7479704906218</v>
      </c>
      <c r="AI376">
        <f t="shared" si="334"/>
        <v>1.5702524784451806</v>
      </c>
      <c r="AJ376" t="str">
        <f t="shared" si="316"/>
        <v>1+0,310544055757888i</v>
      </c>
      <c r="AK376">
        <f t="shared" si="335"/>
        <v>1.0471091684091771</v>
      </c>
      <c r="AL376">
        <f t="shared" si="336"/>
        <v>0.30110194958993775</v>
      </c>
      <c r="AM376" t="str">
        <f t="shared" si="317"/>
        <v>1-1,6737107505449i</v>
      </c>
      <c r="AN376">
        <f t="shared" si="337"/>
        <v>1.9496942520532732</v>
      </c>
      <c r="AO376">
        <f t="shared" si="338"/>
        <v>-1.0322356581536676</v>
      </c>
      <c r="AP376" s="41" t="str">
        <f t="shared" si="339"/>
        <v>-0,300537192212487-0,335428327294679i</v>
      </c>
      <c r="AQ376">
        <f t="shared" si="340"/>
        <v>-6.9285760322334706</v>
      </c>
      <c r="AR376" s="43">
        <f t="shared" si="341"/>
        <v>-131.85971554531574</v>
      </c>
      <c r="AS376" t="str">
        <f t="shared" si="318"/>
        <v>-0,0000166666666666667</v>
      </c>
      <c r="AT376" t="str">
        <f t="shared" si="319"/>
        <v>0,0529119295002862i</v>
      </c>
      <c r="AU376">
        <f t="shared" si="342"/>
        <v>5.2911929500286198E-2</v>
      </c>
      <c r="AV376">
        <f t="shared" si="343"/>
        <v>1.5707963267948966</v>
      </c>
      <c r="AW376" t="str">
        <f t="shared" si="320"/>
        <v>1+1,88623564341221i</v>
      </c>
      <c r="AX376">
        <f t="shared" si="344"/>
        <v>2.1349203503828131</v>
      </c>
      <c r="AY376">
        <f t="shared" si="345"/>
        <v>1.0833156114413813</v>
      </c>
      <c r="AZ376" t="str">
        <f t="shared" si="321"/>
        <v>1+278,534130010536i</v>
      </c>
      <c r="BA376">
        <f t="shared" si="346"/>
        <v>278.53592511689794</v>
      </c>
      <c r="BB376">
        <f t="shared" si="347"/>
        <v>1.5672061179274044</v>
      </c>
      <c r="BC376" s="41" t="str">
        <f t="shared" si="348"/>
        <v>-0,0191187355345787+0,0363774292504101i</v>
      </c>
      <c r="BD376">
        <f t="shared" si="349"/>
        <v>-27.724106171513512</v>
      </c>
      <c r="BE376" s="43">
        <f t="shared" si="350"/>
        <v>117.72488376809699</v>
      </c>
      <c r="BF376" s="41" t="str">
        <f t="shared" si="351"/>
        <v>0,000407075344632333-0,0110191702347389i</v>
      </c>
      <c r="BG376" s="20">
        <f t="shared" si="352"/>
        <v>-39.151099174105248</v>
      </c>
      <c r="BH376" s="43">
        <f t="shared" si="353"/>
        <v>-87.884314602060599</v>
      </c>
      <c r="BI376" s="41" t="str">
        <f t="shared" si="357"/>
        <v>0,017947911340961-0,00451980496647357i</v>
      </c>
      <c r="BJ376" s="20">
        <f t="shared" si="354"/>
        <v>-34.65268220374697</v>
      </c>
      <c r="BK376" s="43">
        <f t="shared" si="358"/>
        <v>-14.13483177721873</v>
      </c>
      <c r="BL376">
        <f t="shared" si="355"/>
        <v>-39.151099174105248</v>
      </c>
      <c r="BM376" s="43">
        <f t="shared" si="356"/>
        <v>-87.884314602060599</v>
      </c>
    </row>
    <row r="377" spans="14:65" x14ac:dyDescent="0.35">
      <c r="N377" s="9">
        <v>59</v>
      </c>
      <c r="O377" s="34">
        <f t="shared" si="308"/>
        <v>38904.514499428085</v>
      </c>
      <c r="P377" s="33" t="str">
        <f t="shared" si="309"/>
        <v>59,1053597814893</v>
      </c>
      <c r="Q377" s="4" t="str">
        <f t="shared" si="310"/>
        <v>1+1878,23567809057i</v>
      </c>
      <c r="R377" s="4">
        <f t="shared" si="322"/>
        <v>1878.235944297825</v>
      </c>
      <c r="S377" s="4">
        <f t="shared" si="323"/>
        <v>1.5702639122969844</v>
      </c>
      <c r="T377" s="4" t="str">
        <f t="shared" si="311"/>
        <v>1+0,317777556051491i</v>
      </c>
      <c r="U377" s="4">
        <f t="shared" si="324"/>
        <v>1.0492771679256432</v>
      </c>
      <c r="V377" s="4">
        <f t="shared" si="325"/>
        <v>0.30768564083784461</v>
      </c>
      <c r="W377" t="str">
        <f t="shared" si="312"/>
        <v>1-11,7333251465166i</v>
      </c>
      <c r="X377" s="4">
        <f t="shared" si="326"/>
        <v>11.775861709186245</v>
      </c>
      <c r="Y377" s="4">
        <f t="shared" si="327"/>
        <v>-1.4857744551049861</v>
      </c>
      <c r="Z377" t="str">
        <f t="shared" si="313"/>
        <v>0,968728073379417+1,09777701181424i</v>
      </c>
      <c r="AA377" s="4">
        <f t="shared" si="328"/>
        <v>1.4640862159795096</v>
      </c>
      <c r="AB377" s="4">
        <f t="shared" si="329"/>
        <v>0.84776509307301096</v>
      </c>
      <c r="AC377" s="47" t="str">
        <f t="shared" si="330"/>
        <v>-0,238614247777387+0,116598472431379i</v>
      </c>
      <c r="AD377" s="20">
        <f t="shared" si="331"/>
        <v>-11.516140288872514</v>
      </c>
      <c r="AE377" s="43">
        <f t="shared" si="332"/>
        <v>153.95762630300422</v>
      </c>
      <c r="AF377" t="str">
        <f t="shared" si="314"/>
        <v>405,634542683733</v>
      </c>
      <c r="AG377" t="str">
        <f t="shared" si="315"/>
        <v>1+1881,5776345154i</v>
      </c>
      <c r="AH377">
        <f t="shared" si="333"/>
        <v>1881.5779002498325</v>
      </c>
      <c r="AI377">
        <f t="shared" si="334"/>
        <v>1.5702648579426404</v>
      </c>
      <c r="AJ377" t="str">
        <f t="shared" si="316"/>
        <v>1+0,317777556051491i</v>
      </c>
      <c r="AK377">
        <f t="shared" si="335"/>
        <v>1.0492771679256432</v>
      </c>
      <c r="AL377">
        <f t="shared" si="336"/>
        <v>0.30768564083784461</v>
      </c>
      <c r="AM377" t="str">
        <f t="shared" si="317"/>
        <v>1-1,71269648213756i</v>
      </c>
      <c r="AN377">
        <f t="shared" si="337"/>
        <v>1.9832622720977611</v>
      </c>
      <c r="AO377">
        <f t="shared" si="338"/>
        <v>-1.0423181153033541</v>
      </c>
      <c r="AP377" s="41" t="str">
        <f t="shared" si="339"/>
        <v>-0,300542595974783-0,333073858456645i</v>
      </c>
      <c r="AQ377">
        <f t="shared" si="340"/>
        <v>-6.9623379840890038</v>
      </c>
      <c r="AR377" s="43">
        <f t="shared" si="341"/>
        <v>-132.06088935794895</v>
      </c>
      <c r="AS377" t="str">
        <f t="shared" si="318"/>
        <v>-0,0000166666666666667</v>
      </c>
      <c r="AT377" t="str">
        <f t="shared" si="319"/>
        <v>0,0541444066656962i</v>
      </c>
      <c r="AU377">
        <f t="shared" si="342"/>
        <v>5.4144406665696199E-2</v>
      </c>
      <c r="AV377">
        <f t="shared" si="343"/>
        <v>1.5707963267948966</v>
      </c>
      <c r="AW377" t="str">
        <f t="shared" si="320"/>
        <v>1+1,9301717156939i</v>
      </c>
      <c r="AX377">
        <f t="shared" si="344"/>
        <v>2.1738359763479704</v>
      </c>
      <c r="AY377">
        <f t="shared" si="345"/>
        <v>1.0927827616658747</v>
      </c>
      <c r="AZ377" t="str">
        <f t="shared" si="321"/>
        <v>1+285,022023350799i</v>
      </c>
      <c r="BA377">
        <f t="shared" si="346"/>
        <v>285.02377759580583</v>
      </c>
      <c r="BB377">
        <f t="shared" si="347"/>
        <v>1.5672878403801227</v>
      </c>
      <c r="BC377" s="41" t="str">
        <f t="shared" si="348"/>
        <v>-0,018440342193198+0,0359008457360482i</v>
      </c>
      <c r="BD377">
        <f t="shared" si="349"/>
        <v>-27.881010589385649</v>
      </c>
      <c r="BE377" s="43">
        <f t="shared" si="350"/>
        <v>117.18713836784923</v>
      </c>
      <c r="BF377" s="41" t="str">
        <f t="shared" si="351"/>
        <v>0,000214144609369745-0,0107165690307179i</v>
      </c>
      <c r="BG377" s="20">
        <f t="shared" si="352"/>
        <v>-39.397150878258202</v>
      </c>
      <c r="BH377" s="43">
        <f t="shared" si="353"/>
        <v>-88.855235329146538</v>
      </c>
      <c r="BI377" s="41" t="str">
        <f t="shared" si="357"/>
        <v>0,0174997415245694-0,00464773744965282i</v>
      </c>
      <c r="BJ377" s="20">
        <f t="shared" si="354"/>
        <v>-34.843348573474657</v>
      </c>
      <c r="BK377" s="43">
        <f t="shared" si="358"/>
        <v>-14.873750990099738</v>
      </c>
      <c r="BL377">
        <f t="shared" si="355"/>
        <v>-39.397150878258202</v>
      </c>
      <c r="BM377" s="43">
        <f t="shared" si="356"/>
        <v>-88.855235329146538</v>
      </c>
    </row>
    <row r="378" spans="14:65" x14ac:dyDescent="0.35">
      <c r="N378" s="9">
        <v>60</v>
      </c>
      <c r="O378" s="34">
        <f t="shared" si="308"/>
        <v>39810.717055349742</v>
      </c>
      <c r="P378" s="33" t="str">
        <f t="shared" si="309"/>
        <v>59,1053597814893</v>
      </c>
      <c r="Q378" s="4" t="str">
        <f t="shared" si="310"/>
        <v>1+1921,98540724176i</v>
      </c>
      <c r="R378" s="4">
        <f t="shared" si="322"/>
        <v>1921.9856673893992</v>
      </c>
      <c r="S378" s="4">
        <f t="shared" si="323"/>
        <v>1.5702760315283475</v>
      </c>
      <c r="T378" s="4" t="str">
        <f t="shared" si="311"/>
        <v>1+0,325179546211594i</v>
      </c>
      <c r="U378" s="4">
        <f t="shared" si="324"/>
        <v>1.0515425513379753</v>
      </c>
      <c r="V378" s="4">
        <f t="shared" si="325"/>
        <v>0.31439428392047325</v>
      </c>
      <c r="W378" t="str">
        <f t="shared" si="312"/>
        <v>1-12,006629398582i</v>
      </c>
      <c r="X378" s="4">
        <f t="shared" si="326"/>
        <v>12.04820109040738</v>
      </c>
      <c r="Y378" s="4">
        <f t="shared" si="327"/>
        <v>-1.4877007898265886</v>
      </c>
      <c r="Z378" t="str">
        <f t="shared" si="313"/>
        <v>0,967254272883035+1,12334752327642i</v>
      </c>
      <c r="AA378" s="4">
        <f t="shared" si="328"/>
        <v>1.4823934991970773</v>
      </c>
      <c r="AB378" s="4">
        <f t="shared" si="329"/>
        <v>0.85992414755027613</v>
      </c>
      <c r="AC378" s="47" t="str">
        <f t="shared" si="330"/>
        <v>-0,235278854725644+0,11713002570407i</v>
      </c>
      <c r="AD378" s="20">
        <f t="shared" si="331"/>
        <v>-11.606754446944391</v>
      </c>
      <c r="AE378" s="43">
        <f t="shared" si="332"/>
        <v>153.53427550319614</v>
      </c>
      <c r="AF378" t="str">
        <f t="shared" si="314"/>
        <v>405,634542683733</v>
      </c>
      <c r="AG378" t="str">
        <f t="shared" si="315"/>
        <v>1+1925,40520783181i</v>
      </c>
      <c r="AH378">
        <f t="shared" si="333"/>
        <v>1925.4054675173891</v>
      </c>
      <c r="AI378">
        <f t="shared" si="334"/>
        <v>1.5702769556484923</v>
      </c>
      <c r="AJ378" t="str">
        <f t="shared" si="316"/>
        <v>1+0,325179546211594i</v>
      </c>
      <c r="AK378">
        <f t="shared" si="335"/>
        <v>1.0515425513379753</v>
      </c>
      <c r="AL378">
        <f t="shared" si="336"/>
        <v>0.31439428392047325</v>
      </c>
      <c r="AM378" t="str">
        <f t="shared" si="317"/>
        <v>1-1,75259030807526i</v>
      </c>
      <c r="AN378">
        <f t="shared" si="337"/>
        <v>2.0178138635561345</v>
      </c>
      <c r="AO378">
        <f t="shared" si="338"/>
        <v>-1.0522871160847078</v>
      </c>
      <c r="AP378" s="41" t="str">
        <f t="shared" si="339"/>
        <v>-0,300547756527844-0,330895989528532i</v>
      </c>
      <c r="AQ378">
        <f t="shared" si="340"/>
        <v>-6.9935863321344875</v>
      </c>
      <c r="AR378" s="43">
        <f t="shared" si="341"/>
        <v>-132.24838724127591</v>
      </c>
      <c r="AS378" t="str">
        <f t="shared" si="318"/>
        <v>-0,0000166666666666667</v>
      </c>
      <c r="AT378" t="str">
        <f t="shared" si="319"/>
        <v>0,0554055919122063i</v>
      </c>
      <c r="AU378">
        <f t="shared" si="342"/>
        <v>5.5405591912206301E-2</v>
      </c>
      <c r="AV378">
        <f t="shared" si="343"/>
        <v>1.5707963267948966</v>
      </c>
      <c r="AW378" t="str">
        <f t="shared" si="320"/>
        <v>1+1,97513119056808i</v>
      </c>
      <c r="AX378">
        <f t="shared" si="344"/>
        <v>2.213852574123869</v>
      </c>
      <c r="AY378">
        <f t="shared" si="345"/>
        <v>1.1021250244404781</v>
      </c>
      <c r="AZ378" t="str">
        <f t="shared" si="321"/>
        <v>1+291,661039140553i</v>
      </c>
      <c r="BA378">
        <f t="shared" si="346"/>
        <v>291.6627534543058</v>
      </c>
      <c r="BB378">
        <f t="shared" si="347"/>
        <v>1.5673677026479904</v>
      </c>
      <c r="BC378" s="41" t="str">
        <f t="shared" si="348"/>
        <v>-0,0177797285524622+0,0354181084193326i</v>
      </c>
      <c r="BD378">
        <f t="shared" si="349"/>
        <v>-28.039451492369626</v>
      </c>
      <c r="BE378" s="43">
        <f t="shared" si="350"/>
        <v>116.65644191065351</v>
      </c>
      <c r="BF378" s="41" t="str">
        <f t="shared" si="351"/>
        <v>0,0000346702216101726-0,0104156720478105i</v>
      </c>
      <c r="BG378" s="20">
        <f t="shared" si="352"/>
        <v>-39.646205939314058</v>
      </c>
      <c r="BH378" s="43">
        <f t="shared" si="353"/>
        <v>-89.809282586150346</v>
      </c>
      <c r="BI378" s="41" t="str">
        <f t="shared" si="357"/>
        <v>0,0170633675607605-0,00476159215297468i</v>
      </c>
      <c r="BJ378" s="20">
        <f t="shared" si="354"/>
        <v>-35.033037824504099</v>
      </c>
      <c r="BK378" s="43">
        <f t="shared" si="358"/>
        <v>-15.591945330622355</v>
      </c>
      <c r="BL378">
        <f t="shared" si="355"/>
        <v>-39.646205939314058</v>
      </c>
      <c r="BM378" s="43">
        <f t="shared" si="356"/>
        <v>-89.809282586150346</v>
      </c>
    </row>
    <row r="379" spans="14:65" x14ac:dyDescent="0.35">
      <c r="N379" s="9">
        <v>61</v>
      </c>
      <c r="O379" s="34">
        <f t="shared" si="308"/>
        <v>40738.027780411358</v>
      </c>
      <c r="P379" s="33" t="str">
        <f t="shared" si="309"/>
        <v>59,1053597814893</v>
      </c>
      <c r="Q379" s="4" t="str">
        <f t="shared" si="310"/>
        <v>1+1966,75419849637i</v>
      </c>
      <c r="R379" s="4">
        <f t="shared" si="322"/>
        <v>1966.7544527223267</v>
      </c>
      <c r="S379" s="4">
        <f t="shared" si="323"/>
        <v>1.5702878748924727</v>
      </c>
      <c r="T379" s="4" t="str">
        <f t="shared" si="311"/>
        <v>1+0,33275395087136i</v>
      </c>
      <c r="U379" s="4">
        <f t="shared" si="324"/>
        <v>1.0539094798987716</v>
      </c>
      <c r="V379" s="4">
        <f t="shared" si="325"/>
        <v>0.32122901957770533</v>
      </c>
      <c r="W379" t="str">
        <f t="shared" si="312"/>
        <v>1-12,286299724481i</v>
      </c>
      <c r="X379" s="4">
        <f t="shared" si="326"/>
        <v>12.326928284036615</v>
      </c>
      <c r="Y379" s="4">
        <f t="shared" si="327"/>
        <v>-1.4895838732846105</v>
      </c>
      <c r="Z379" t="str">
        <f t="shared" si="313"/>
        <v>0,965711014309141+1,1495136484647i</v>
      </c>
      <c r="AA379" s="4">
        <f t="shared" si="328"/>
        <v>1.5013258777376133</v>
      </c>
      <c r="AB379" s="4">
        <f t="shared" si="329"/>
        <v>0.87207552949526523</v>
      </c>
      <c r="AC379" s="47" t="str">
        <f t="shared" si="330"/>
        <v>-0,231956867304286+0,11757113533528i</v>
      </c>
      <c r="AD379" s="20">
        <f t="shared" si="331"/>
        <v>-11.698801337659745</v>
      </c>
      <c r="AE379" s="43">
        <f t="shared" si="332"/>
        <v>153.1210828003488</v>
      </c>
      <c r="AF379" t="str">
        <f t="shared" si="314"/>
        <v>405,634542683733</v>
      </c>
      <c r="AG379" t="str">
        <f t="shared" si="315"/>
        <v>1+1970,25365647516i</v>
      </c>
      <c r="AH379">
        <f t="shared" si="333"/>
        <v>1970.2539102495741</v>
      </c>
      <c r="AI379">
        <f t="shared" si="334"/>
        <v>1.5702887779770858</v>
      </c>
      <c r="AJ379" t="str">
        <f t="shared" si="316"/>
        <v>1+0,33275395087136i</v>
      </c>
      <c r="AK379">
        <f t="shared" si="335"/>
        <v>1.0539094798987716</v>
      </c>
      <c r="AL379">
        <f t="shared" si="336"/>
        <v>0.32122901957770533</v>
      </c>
      <c r="AM379" t="str">
        <f t="shared" si="317"/>
        <v>1-1,79341338059258i</v>
      </c>
      <c r="AN379">
        <f t="shared" si="337"/>
        <v>2.0533707784247115</v>
      </c>
      <c r="AO379">
        <f t="shared" si="338"/>
        <v>-1.0621400197480433</v>
      </c>
      <c r="AP379" s="41" t="str">
        <f t="shared" si="339"/>
        <v>-0,300552684817881-0,328893565792668i</v>
      </c>
      <c r="AQ379">
        <f t="shared" si="340"/>
        <v>-7.0223315728123303</v>
      </c>
      <c r="AR379" s="43">
        <f t="shared" si="341"/>
        <v>-132.42199289941954</v>
      </c>
      <c r="AS379" t="str">
        <f t="shared" si="318"/>
        <v>-0,0000166666666666667</v>
      </c>
      <c r="AT379" t="str">
        <f t="shared" si="319"/>
        <v>0,056696153936928i</v>
      </c>
      <c r="AU379">
        <f t="shared" si="342"/>
        <v>5.6696153936928E-2</v>
      </c>
      <c r="AV379">
        <f t="shared" si="343"/>
        <v>1.5707963267948966</v>
      </c>
      <c r="AW379" t="str">
        <f t="shared" si="320"/>
        <v>1+2,02113790614346i</v>
      </c>
      <c r="AX379">
        <f t="shared" si="344"/>
        <v>2.2549941098925226</v>
      </c>
      <c r="AY379">
        <f t="shared" si="345"/>
        <v>1.1113408292742619</v>
      </c>
      <c r="AZ379" t="str">
        <f t="shared" si="321"/>
        <v>1+298,454697473851i</v>
      </c>
      <c r="BA379">
        <f t="shared" si="346"/>
        <v>298.45637276528026</v>
      </c>
      <c r="BB379">
        <f t="shared" si="347"/>
        <v>1.5674457470709617</v>
      </c>
      <c r="BC379" s="41" t="str">
        <f t="shared" si="348"/>
        <v>-0,0171368776510547+0,0349299576920319i</v>
      </c>
      <c r="BD379">
        <f t="shared" si="349"/>
        <v>-28.199388091258527</v>
      </c>
      <c r="BE379" s="43">
        <f t="shared" si="350"/>
        <v>116.13288680491222</v>
      </c>
      <c r="BF379" s="41" t="str">
        <f t="shared" si="351"/>
        <v>-0,000131738327750008-0,0101170457228513i</v>
      </c>
      <c r="BG379" s="20">
        <f t="shared" si="352"/>
        <v>-39.898189428918236</v>
      </c>
      <c r="BH379" s="43">
        <f t="shared" si="353"/>
        <v>-90.74603039473898</v>
      </c>
      <c r="BI379" s="41" t="str">
        <f t="shared" si="357"/>
        <v>0,0166387729257394-0,00486208376770712i</v>
      </c>
      <c r="BJ379" s="20">
        <f t="shared" si="354"/>
        <v>-35.221719664070875</v>
      </c>
      <c r="BK379" s="43">
        <f t="shared" si="358"/>
        <v>-16.289106094507357</v>
      </c>
      <c r="BL379">
        <f t="shared" si="355"/>
        <v>-39.898189428918236</v>
      </c>
      <c r="BM379" s="43">
        <f t="shared" si="356"/>
        <v>-90.74603039473898</v>
      </c>
    </row>
    <row r="380" spans="14:65" x14ac:dyDescent="0.35">
      <c r="N380" s="9">
        <v>62</v>
      </c>
      <c r="O380" s="34">
        <f t="shared" si="308"/>
        <v>41686.938347033625</v>
      </c>
      <c r="P380" s="33" t="str">
        <f t="shared" si="309"/>
        <v>59,1053597814893</v>
      </c>
      <c r="Q380" s="4" t="str">
        <f t="shared" si="310"/>
        <v>1+2012,56578886009i</v>
      </c>
      <c r="R380" s="4">
        <f t="shared" si="322"/>
        <v>2012.5660372991581</v>
      </c>
      <c r="S380" s="4">
        <f t="shared" si="323"/>
        <v>1.5702994486688551</v>
      </c>
      <c r="T380" s="4" t="str">
        <f t="shared" si="311"/>
        <v>1+0,340504786080398i</v>
      </c>
      <c r="U380" s="4">
        <f t="shared" si="324"/>
        <v>1.0563822742471862</v>
      </c>
      <c r="V380" s="4">
        <f t="shared" si="325"/>
        <v>0.32819091660495237</v>
      </c>
      <c r="W380" t="str">
        <f t="shared" si="312"/>
        <v>1-12,5724844091224i</v>
      </c>
      <c r="X380" s="4">
        <f t="shared" si="326"/>
        <v>12.612191095032845</v>
      </c>
      <c r="Y380" s="4">
        <f t="shared" si="327"/>
        <v>-1.4914246504657245</v>
      </c>
      <c r="Z380" t="str">
        <f t="shared" si="313"/>
        <v>0,964095024199393+1,17628926100501i</v>
      </c>
      <c r="AA380" s="4">
        <f t="shared" si="328"/>
        <v>1.5208996157675039</v>
      </c>
      <c r="AB380" s="4">
        <f t="shared" si="329"/>
        <v>0.88421365706963118</v>
      </c>
      <c r="AC380" s="47" t="str">
        <f t="shared" si="330"/>
        <v>-0,228651688520608+0,117923088862583i</v>
      </c>
      <c r="AD380" s="20">
        <f t="shared" si="331"/>
        <v>-11.792243535787762</v>
      </c>
      <c r="AE380" s="43">
        <f t="shared" si="332"/>
        <v>152.71837474417049</v>
      </c>
      <c r="AF380" t="str">
        <f t="shared" si="314"/>
        <v>405,634542683733</v>
      </c>
      <c r="AG380" t="str">
        <f t="shared" si="315"/>
        <v>1+2016,14675968657i</v>
      </c>
      <c r="AH380">
        <f t="shared" si="333"/>
        <v>2016.1470076843741</v>
      </c>
      <c r="AI380">
        <f t="shared" si="334"/>
        <v>1.5703003311967629</v>
      </c>
      <c r="AJ380" t="str">
        <f t="shared" si="316"/>
        <v>1+0,340504786080398i</v>
      </c>
      <c r="AK380">
        <f t="shared" si="335"/>
        <v>1.0563822742471862</v>
      </c>
      <c r="AL380">
        <f t="shared" si="336"/>
        <v>0.32819091660495237</v>
      </c>
      <c r="AM380" t="str">
        <f t="shared" si="317"/>
        <v>1-1,83518734462293i</v>
      </c>
      <c r="AN380">
        <f t="shared" si="337"/>
        <v>2.0899551645583601</v>
      </c>
      <c r="AO380">
        <f t="shared" si="338"/>
        <v>-1.0718743976165794</v>
      </c>
      <c r="AP380" s="41" t="str">
        <f t="shared" si="339"/>
        <v>-0,30055739129844-0,32706552555359i</v>
      </c>
      <c r="AQ380">
        <f t="shared" si="340"/>
        <v>-7.0485837950963806</v>
      </c>
      <c r="AR380" s="43">
        <f t="shared" si="341"/>
        <v>-132.58150630113363</v>
      </c>
      <c r="AS380" t="str">
        <f t="shared" si="318"/>
        <v>-0,0000166666666666667</v>
      </c>
      <c r="AT380" t="str">
        <f t="shared" si="319"/>
        <v>0,0580167770129293i</v>
      </c>
      <c r="AU380">
        <f t="shared" si="342"/>
        <v>5.8016777012929302E-2</v>
      </c>
      <c r="AV380">
        <f t="shared" si="343"/>
        <v>1.5707963267948966</v>
      </c>
      <c r="AW380" t="str">
        <f t="shared" si="320"/>
        <v>1+2,06821625578961i</v>
      </c>
      <c r="AX380">
        <f t="shared" si="344"/>
        <v>2.2972850238297364</v>
      </c>
      <c r="AY380">
        <f t="shared" si="345"/>
        <v>1.1204287999073446</v>
      </c>
      <c r="AZ380" t="str">
        <f t="shared" si="321"/>
        <v>1+305,406600438265i</v>
      </c>
      <c r="BA380">
        <f t="shared" si="346"/>
        <v>305.40823759561243</v>
      </c>
      <c r="BB380">
        <f t="shared" si="347"/>
        <v>1.5675220150254177</v>
      </c>
      <c r="BC380" s="41" t="str">
        <f t="shared" si="348"/>
        <v>-0,0165117367880399+0,0344371156618612i</v>
      </c>
      <c r="BD380">
        <f t="shared" si="349"/>
        <v>-28.360779676953463</v>
      </c>
      <c r="BE380" s="43">
        <f t="shared" si="350"/>
        <v>115.61655427520039</v>
      </c>
      <c r="BF380" s="41" t="str">
        <f t="shared" si="351"/>
        <v>-0,000285494553371544-0,00982121964839565i</v>
      </c>
      <c r="BG380" s="20">
        <f t="shared" si="352"/>
        <v>-40.153023212741218</v>
      </c>
      <c r="BH380" s="43">
        <f t="shared" si="353"/>
        <v>-91.665070980629125</v>
      </c>
      <c r="BI380" s="41" t="str">
        <f t="shared" si="357"/>
        <v>0,0162259178673162-0,00494990977678884i</v>
      </c>
      <c r="BJ380" s="20">
        <f t="shared" si="354"/>
        <v>-35.409363472049819</v>
      </c>
      <c r="BK380" s="43">
        <f t="shared" si="358"/>
        <v>-16.964952025933197</v>
      </c>
      <c r="BL380">
        <f t="shared" si="355"/>
        <v>-40.153023212741218</v>
      </c>
      <c r="BM380" s="43">
        <f t="shared" si="356"/>
        <v>-91.665070980629125</v>
      </c>
    </row>
    <row r="381" spans="14:65" x14ac:dyDescent="0.35">
      <c r="N381" s="9">
        <v>63</v>
      </c>
      <c r="O381" s="34">
        <f t="shared" si="308"/>
        <v>42657.951880159271</v>
      </c>
      <c r="P381" s="33" t="str">
        <f t="shared" si="309"/>
        <v>59,1053597814893</v>
      </c>
      <c r="Q381" s="4" t="str">
        <f t="shared" si="310"/>
        <v>1+2059,44446824452i</v>
      </c>
      <c r="R381" s="4">
        <f t="shared" si="322"/>
        <v>2059.4447110284254</v>
      </c>
      <c r="S381" s="4">
        <f t="shared" si="323"/>
        <v>1.5703107589940515</v>
      </c>
      <c r="T381" s="4" t="str">
        <f t="shared" si="311"/>
        <v>1+0,348436161434128i</v>
      </c>
      <c r="U381" s="4">
        <f t="shared" si="324"/>
        <v>1.0589654189797464</v>
      </c>
      <c r="V381" s="4">
        <f t="shared" si="325"/>
        <v>0.33528096596158219</v>
      </c>
      <c r="W381" t="str">
        <f t="shared" si="312"/>
        <v>1-12,865335191414i</v>
      </c>
      <c r="X381" s="4">
        <f t="shared" si="326"/>
        <v>12.904140792297467</v>
      </c>
      <c r="Y381" s="4">
        <f t="shared" si="327"/>
        <v>-1.493224047447328</v>
      </c>
      <c r="Z381" t="str">
        <f t="shared" si="313"/>
        <v>0,962402874822108+1,20368855768153i</v>
      </c>
      <c r="AA381" s="4">
        <f t="shared" si="328"/>
        <v>1.5411312200326419</v>
      </c>
      <c r="AB381" s="4">
        <f t="shared" si="329"/>
        <v>0.89633303368689365</v>
      </c>
      <c r="AC381" s="47" t="str">
        <f t="shared" si="330"/>
        <v>-0,225366650023191+0,118187355199746i</v>
      </c>
      <c r="AD381" s="20">
        <f t="shared" si="331"/>
        <v>-11.887040383954288</v>
      </c>
      <c r="AE381" s="43">
        <f t="shared" si="332"/>
        <v>152.32646963173309</v>
      </c>
      <c r="AF381" t="str">
        <f t="shared" si="314"/>
        <v>405,634542683733</v>
      </c>
      <c r="AG381" t="str">
        <f t="shared" si="315"/>
        <v>1+2063,10885059681i</v>
      </c>
      <c r="AH381">
        <f t="shared" si="333"/>
        <v>2063.1090929494958</v>
      </c>
      <c r="AI381">
        <f t="shared" si="334"/>
        <v>1.5703116214331811</v>
      </c>
      <c r="AJ381" t="str">
        <f t="shared" si="316"/>
        <v>1+0,348436161434128i</v>
      </c>
      <c r="AK381">
        <f t="shared" si="335"/>
        <v>1.0589654189797464</v>
      </c>
      <c r="AL381">
        <f t="shared" si="336"/>
        <v>0.33528096596158219</v>
      </c>
      <c r="AM381" t="str">
        <f t="shared" si="317"/>
        <v>1-1,87793434927497i</v>
      </c>
      <c r="AN381">
        <f t="shared" si="337"/>
        <v>2.1275895798266182</v>
      </c>
      <c r="AO381">
        <f t="shared" si="338"/>
        <v>-1.0814880309543102</v>
      </c>
      <c r="AP381" s="41" t="str">
        <f t="shared" si="339"/>
        <v>-0,300561885952583-0,325410899575201i</v>
      </c>
      <c r="AQ381">
        <f t="shared" si="340"/>
        <v>-7.0723525822561353</v>
      </c>
      <c r="AR381" s="43">
        <f t="shared" si="341"/>
        <v>-132.72674389539395</v>
      </c>
      <c r="AS381" t="str">
        <f t="shared" si="318"/>
        <v>-0,0000166666666666667</v>
      </c>
      <c r="AT381" t="str">
        <f t="shared" si="319"/>
        <v>0,0593681613520456i</v>
      </c>
      <c r="AU381">
        <f t="shared" si="342"/>
        <v>5.9368161352045597E-2</v>
      </c>
      <c r="AV381">
        <f t="shared" si="343"/>
        <v>1.5707963267948966</v>
      </c>
      <c r="AW381" t="str">
        <f t="shared" si="320"/>
        <v>1+2,11639120107064i</v>
      </c>
      <c r="AX381">
        <f t="shared" si="344"/>
        <v>2.3407502463887999</v>
      </c>
      <c r="AY381">
        <f t="shared" si="345"/>
        <v>1.1293877492412112</v>
      </c>
      <c r="AZ381" t="str">
        <f t="shared" si="321"/>
        <v>1+312,520434024764i</v>
      </c>
      <c r="BA381">
        <f t="shared" si="346"/>
        <v>312.52203391605343</v>
      </c>
      <c r="BB381">
        <f t="shared" si="347"/>
        <v>1.567596546946086</v>
      </c>
      <c r="BC381" s="41" t="str">
        <f t="shared" si="348"/>
        <v>-0,0159042196189504+0,0339402845500019i</v>
      </c>
      <c r="BD381">
        <f t="shared" si="349"/>
        <v>-28.523585700105478</v>
      </c>
      <c r="BE381" s="43">
        <f t="shared" si="350"/>
        <v>115.10751465399143</v>
      </c>
      <c r="BF381" s="41" t="str">
        <f t="shared" si="351"/>
        <v>-0,000427031768935563-0,00952868588314745i</v>
      </c>
      <c r="BG381" s="20">
        <f t="shared" si="352"/>
        <v>-40.410626084059771</v>
      </c>
      <c r="BH381" s="43">
        <f t="shared" si="353"/>
        <v>-92.566015714275451</v>
      </c>
      <c r="BI381" s="41" t="str">
        <f t="shared" si="357"/>
        <v>0,0158247407705302-0,00502574952087168i</v>
      </c>
      <c r="BJ381" s="20">
        <f t="shared" si="354"/>
        <v>-35.595938282361622</v>
      </c>
      <c r="BK381" s="43">
        <f t="shared" si="358"/>
        <v>-17.619229241402561</v>
      </c>
      <c r="BL381">
        <f t="shared" si="355"/>
        <v>-40.410626084059771</v>
      </c>
      <c r="BM381" s="43">
        <f t="shared" si="356"/>
        <v>-92.566015714275451</v>
      </c>
    </row>
    <row r="382" spans="14:65" x14ac:dyDescent="0.35">
      <c r="N382" s="9">
        <v>64</v>
      </c>
      <c r="O382" s="34">
        <f t="shared" si="308"/>
        <v>43651.583224016598</v>
      </c>
      <c r="P382" s="33" t="str">
        <f t="shared" si="309"/>
        <v>59,1053597814893</v>
      </c>
      <c r="Q382" s="4" t="str">
        <f t="shared" si="310"/>
        <v>1+2107,41509234597i</v>
      </c>
      <c r="R382" s="4">
        <f t="shared" si="322"/>
        <v>2107.4153296034397</v>
      </c>
      <c r="S382" s="4">
        <f t="shared" si="323"/>
        <v>1.5703218118649347</v>
      </c>
      <c r="T382" s="4" t="str">
        <f t="shared" si="311"/>
        <v>1+0,356552282252748i</v>
      </c>
      <c r="U382" s="4">
        <f t="shared" si="324"/>
        <v>1.0616635672281702</v>
      </c>
      <c r="V382" s="4">
        <f t="shared" si="325"/>
        <v>0.34250007469849336</v>
      </c>
      <c r="W382" t="str">
        <f t="shared" si="312"/>
        <v>1-13,1650073447169i</v>
      </c>
      <c r="X382" s="4">
        <f t="shared" si="326"/>
        <v>13.202932188966582</v>
      </c>
      <c r="Y382" s="4">
        <f t="shared" si="327"/>
        <v>-1.4949829716583716</v>
      </c>
      <c r="Z382" t="str">
        <f t="shared" si="313"/>
        <v>0,960630976901586+1,23172606596404i</v>
      </c>
      <c r="AA382" s="4">
        <f t="shared" si="328"/>
        <v>1.5620374436479256</v>
      </c>
      <c r="AB382" s="4">
        <f t="shared" si="329"/>
        <v>0.90842826289047984</v>
      </c>
      <c r="AC382" s="47" t="str">
        <f t="shared" si="330"/>
        <v>-0,222104998923424+0,118365578145951i</v>
      </c>
      <c r="AD382" s="20">
        <f t="shared" si="331"/>
        <v>-11.983148058359056</v>
      </c>
      <c r="AE382" s="43">
        <f t="shared" si="332"/>
        <v>151.94567629196604</v>
      </c>
      <c r="AF382" t="str">
        <f t="shared" si="314"/>
        <v>405,634542683733</v>
      </c>
      <c r="AG382" t="str">
        <f t="shared" si="315"/>
        <v>1+2111,16482912811i</v>
      </c>
      <c r="AH382">
        <f t="shared" si="333"/>
        <v>2111.1650659641755</v>
      </c>
      <c r="AI382">
        <f t="shared" si="334"/>
        <v>1.5703226546725619</v>
      </c>
      <c r="AJ382" t="str">
        <f t="shared" si="316"/>
        <v>1+0,356552282252748i</v>
      </c>
      <c r="AK382">
        <f t="shared" si="335"/>
        <v>1.0616635672281702</v>
      </c>
      <c r="AL382">
        <f t="shared" si="336"/>
        <v>0.34250007469849336</v>
      </c>
      <c r="AM382" t="str">
        <f t="shared" si="317"/>
        <v>1-1,92167705957639i</v>
      </c>
      <c r="AN382">
        <f t="shared" si="337"/>
        <v>2.1662970067149518</v>
      </c>
      <c r="AO382">
        <f t="shared" si="338"/>
        <v>-1.0909789081537102</v>
      </c>
      <c r="AP382" s="41" t="str">
        <f t="shared" si="339"/>
        <v>-0,300566178314058-0,323928810566932i</v>
      </c>
      <c r="AQ382">
        <f t="shared" si="340"/>
        <v>-7.0936469200529126</v>
      </c>
      <c r="AR382" s="43">
        <f t="shared" si="341"/>
        <v>-132.85753879837631</v>
      </c>
      <c r="AS382" t="str">
        <f t="shared" si="318"/>
        <v>-0,0000166666666666667</v>
      </c>
      <c r="AT382" t="str">
        <f t="shared" si="319"/>
        <v>0,0607510234761414i</v>
      </c>
      <c r="AU382">
        <f t="shared" si="342"/>
        <v>6.0751023476141398E-2</v>
      </c>
      <c r="AV382">
        <f t="shared" si="343"/>
        <v>1.5707963267948966</v>
      </c>
      <c r="AW382" t="str">
        <f t="shared" si="320"/>
        <v>1+2,16568828498023i</v>
      </c>
      <c r="AX382">
        <f t="shared" si="344"/>
        <v>2.3854152149469932</v>
      </c>
      <c r="AY382">
        <f t="shared" si="345"/>
        <v>1.1382166738732671</v>
      </c>
      <c r="AZ382" t="str">
        <f t="shared" si="321"/>
        <v>1+319,799970082081i</v>
      </c>
      <c r="BA382">
        <f t="shared" si="346"/>
        <v>319.80153355557871</v>
      </c>
      <c r="BB382">
        <f t="shared" si="347"/>
        <v>1.5676693823474639</v>
      </c>
      <c r="BC382" s="41" t="str">
        <f t="shared" si="348"/>
        <v>-0,0153142082925125+0,0334401452933736i</v>
      </c>
      <c r="BD382">
        <f t="shared" si="349"/>
        <v>-28.687765845895502</v>
      </c>
      <c r="BE382" s="43">
        <f t="shared" si="350"/>
        <v>114.60582769603361</v>
      </c>
      <c r="BF382" s="41" t="str">
        <f t="shared" si="351"/>
        <v>-0,000556799914613189-0,00923989855277465i</v>
      </c>
      <c r="BG382" s="20">
        <f t="shared" si="352"/>
        <v>-40.670913904254547</v>
      </c>
      <c r="BH382" s="43">
        <f t="shared" si="353"/>
        <v>-93.448496012000362</v>
      </c>
      <c r="BI382" s="41" t="str">
        <f t="shared" si="357"/>
        <v>0,0154351595504538-0,00509026339612832i</v>
      </c>
      <c r="BJ382" s="20">
        <f t="shared" si="354"/>
        <v>-35.781412765948431</v>
      </c>
      <c r="BK382" s="43">
        <f t="shared" si="358"/>
        <v>-18.25171110234275</v>
      </c>
      <c r="BL382">
        <f t="shared" si="355"/>
        <v>-40.670913904254547</v>
      </c>
      <c r="BM382" s="43">
        <f t="shared" si="356"/>
        <v>-93.448496012000362</v>
      </c>
    </row>
    <row r="383" spans="14:65" x14ac:dyDescent="0.35">
      <c r="N383" s="9">
        <v>65</v>
      </c>
      <c r="O383" s="34">
        <f t="shared" si="308"/>
        <v>44668.359215096389</v>
      </c>
      <c r="P383" s="33" t="str">
        <f t="shared" si="309"/>
        <v>59,1053597814893</v>
      </c>
      <c r="Q383" s="4" t="str">
        <f t="shared" si="310"/>
        <v>1+2156,50309582434i</v>
      </c>
      <c r="R383" s="4">
        <f t="shared" si="322"/>
        <v>2156.503327681171</v>
      </c>
      <c r="S383" s="4">
        <f t="shared" si="323"/>
        <v>1.5703326131418722</v>
      </c>
      <c r="T383" s="4" t="str">
        <f t="shared" si="311"/>
        <v>1+0,364857451810948i</v>
      </c>
      <c r="U383" s="4">
        <f t="shared" si="324"/>
        <v>1.0644815452331611</v>
      </c>
      <c r="V383" s="4">
        <f t="shared" si="325"/>
        <v>0.34984905971686503</v>
      </c>
      <c r="W383" t="str">
        <f t="shared" si="312"/>
        <v>1-13,4716597591735i</v>
      </c>
      <c r="X383" s="4">
        <f t="shared" si="326"/>
        <v>13.50872372457645</v>
      </c>
      <c r="Y383" s="4">
        <f t="shared" si="327"/>
        <v>-1.4967023121451377</v>
      </c>
      <c r="Z383" t="str">
        <f t="shared" si="313"/>
        <v>0,958775572004775+1,26041665171055i</v>
      </c>
      <c r="AA383" s="4">
        <f t="shared" si="328"/>
        <v>1.5836352905206164</v>
      </c>
      <c r="AB383" s="4">
        <f t="shared" si="329"/>
        <v>0.92049406266299838</v>
      </c>
      <c r="AC383" s="47" t="str">
        <f t="shared" si="330"/>
        <v>-0,21886988534375+0,118459568830282i</v>
      </c>
      <c r="AD383" s="20">
        <f t="shared" si="331"/>
        <v>-12.080519646021923</v>
      </c>
      <c r="AE383" s="43">
        <f t="shared" si="332"/>
        <v>151.57629289278881</v>
      </c>
      <c r="AF383" t="str">
        <f t="shared" si="314"/>
        <v>405,634542683733</v>
      </c>
      <c r="AG383" t="str">
        <f t="shared" si="315"/>
        <v>1+2160,3401751964i</v>
      </c>
      <c r="AH383">
        <f t="shared" si="333"/>
        <v>2160.3404066414196</v>
      </c>
      <c r="AI383">
        <f t="shared" si="334"/>
        <v>1.5703334367648638</v>
      </c>
      <c r="AJ383" t="str">
        <f t="shared" si="316"/>
        <v>1+0,364857451810948i</v>
      </c>
      <c r="AK383">
        <f t="shared" si="335"/>
        <v>1.0644815452331611</v>
      </c>
      <c r="AL383">
        <f t="shared" si="336"/>
        <v>0.34984905971686503</v>
      </c>
      <c r="AM383" t="str">
        <f t="shared" si="317"/>
        <v>1-1,96643866849121i</v>
      </c>
      <c r="AN383">
        <f t="shared" si="337"/>
        <v>2.2061008673534137</v>
      </c>
      <c r="AO383">
        <f t="shared" si="338"/>
        <v>-1.100345221296928</v>
      </c>
      <c r="AP383" s="41" t="str">
        <f t="shared" si="339"/>
        <v>-0,300570277487528-0,322618472718664i</v>
      </c>
      <c r="AQ383">
        <f t="shared" si="340"/>
        <v>-7.1124751118954324</v>
      </c>
      <c r="AR383" s="43">
        <f t="shared" si="341"/>
        <v>-132.97374095420639</v>
      </c>
      <c r="AS383" t="str">
        <f t="shared" si="318"/>
        <v>-0,0000166666666666667</v>
      </c>
      <c r="AT383" t="str">
        <f t="shared" si="319"/>
        <v>0,0621660965970191i</v>
      </c>
      <c r="AU383">
        <f t="shared" si="342"/>
        <v>6.2166096597019098E-2</v>
      </c>
      <c r="AV383">
        <f t="shared" si="343"/>
        <v>1.5707963267948966</v>
      </c>
      <c r="AW383" t="str">
        <f t="shared" si="320"/>
        <v>1+2,2161336454848i</v>
      </c>
      <c r="AX383">
        <f t="shared" si="344"/>
        <v>2.4313058908022551</v>
      </c>
      <c r="AY383">
        <f t="shared" si="345"/>
        <v>1.1469147482890203</v>
      </c>
      <c r="AZ383" t="str">
        <f t="shared" si="321"/>
        <v>1+327,249068316589i</v>
      </c>
      <c r="BA383">
        <f t="shared" si="346"/>
        <v>327.25059620125296</v>
      </c>
      <c r="BB383">
        <f t="shared" si="347"/>
        <v>1.5677405598447518</v>
      </c>
      <c r="BC383" s="41" t="str">
        <f t="shared" si="348"/>
        <v>-0,0147415556096244+0,0329373563464924i</v>
      </c>
      <c r="BD383">
        <f t="shared" si="349"/>
        <v>-28.853280103881175</v>
      </c>
      <c r="BE383" s="43">
        <f t="shared" si="350"/>
        <v>114.11154291231111</v>
      </c>
      <c r="BF383" s="41" t="str">
        <f t="shared" si="351"/>
        <v>-0,000675262445147835-0,00895527372848676i</v>
      </c>
      <c r="BG383" s="20">
        <f t="shared" si="352"/>
        <v>-40.933799749903095</v>
      </c>
      <c r="BH383" s="43">
        <f t="shared" si="353"/>
        <v>-94.312164194900078</v>
      </c>
      <c r="BI383" s="41" t="str">
        <f t="shared" si="357"/>
        <v>0,0150570730600784-0,00514409218049653i</v>
      </c>
      <c r="BJ383" s="20">
        <f t="shared" si="354"/>
        <v>-35.96575521577661</v>
      </c>
      <c r="BK383" s="43">
        <f t="shared" si="358"/>
        <v>-18.862198041895262</v>
      </c>
      <c r="BL383">
        <f t="shared" si="355"/>
        <v>-40.933799749903095</v>
      </c>
      <c r="BM383" s="43">
        <f t="shared" si="356"/>
        <v>-94.312164194900078</v>
      </c>
    </row>
    <row r="384" spans="14:65" x14ac:dyDescent="0.35">
      <c r="N384" s="9">
        <v>66</v>
      </c>
      <c r="O384" s="34">
        <f t="shared" ref="O384:O418" si="359">10^(4+(N384/100))</f>
        <v>45708.818961487581</v>
      </c>
      <c r="P384" s="33" t="str">
        <f t="shared" si="309"/>
        <v>59,1053597814893</v>
      </c>
      <c r="Q384" s="4" t="str">
        <f t="shared" si="310"/>
        <v>1+2206,73450578879i</v>
      </c>
      <c r="R384" s="4">
        <f t="shared" si="322"/>
        <v>2206.7347323679155</v>
      </c>
      <c r="S384" s="4">
        <f t="shared" si="323"/>
        <v>1.5703431685518339</v>
      </c>
      <c r="T384" s="4" t="str">
        <f t="shared" si="311"/>
        <v>1+0,373356073619555i</v>
      </c>
      <c r="U384" s="4">
        <f t="shared" si="324"/>
        <v>1.0674243569024506</v>
      </c>
      <c r="V384" s="4">
        <f t="shared" si="325"/>
        <v>0.3573286413724121</v>
      </c>
      <c r="W384" t="str">
        <f t="shared" si="312"/>
        <v>1-13,7854550259528i</v>
      </c>
      <c r="X384" s="4">
        <f t="shared" si="326"/>
        <v>13.821677549146026</v>
      </c>
      <c r="Y384" s="4">
        <f t="shared" si="327"/>
        <v>-1.4983829398411761</v>
      </c>
      <c r="Z384" t="str">
        <f t="shared" si="313"/>
        <v>0,956832724569131+1,28977552704937i</v>
      </c>
      <c r="AA384" s="4">
        <f t="shared" si="328"/>
        <v>1.6059420204297123</v>
      </c>
      <c r="AB384" s="4">
        <f t="shared" si="329"/>
        <v>0.93252527908638927</v>
      </c>
      <c r="AC384" s="47" t="str">
        <f t="shared" si="330"/>
        <v>-0,215664350788705+0,118471297180182i</v>
      </c>
      <c r="AD384" s="20">
        <f t="shared" si="331"/>
        <v>-12.179105233238626</v>
      </c>
      <c r="AE384" s="43">
        <f t="shared" si="332"/>
        <v>151.21860577634857</v>
      </c>
      <c r="AF384" t="str">
        <f t="shared" si="314"/>
        <v>405,634542683733</v>
      </c>
      <c r="AG384" t="str">
        <f t="shared" si="315"/>
        <v>1+2210,66096222105i</v>
      </c>
      <c r="AH384">
        <f t="shared" si="333"/>
        <v>2210.6611883977375</v>
      </c>
      <c r="AI384">
        <f t="shared" si="334"/>
        <v>1.5703439734268851</v>
      </c>
      <c r="AJ384" t="str">
        <f t="shared" si="316"/>
        <v>1+0,373356073619555i</v>
      </c>
      <c r="AK384">
        <f t="shared" si="335"/>
        <v>1.0674243569024506</v>
      </c>
      <c r="AL384">
        <f t="shared" si="336"/>
        <v>0.3573286413724121</v>
      </c>
      <c r="AM384" t="str">
        <f t="shared" si="317"/>
        <v>1-2,01224290921695i</v>
      </c>
      <c r="AN384">
        <f t="shared" si="337"/>
        <v>2.247025038955706</v>
      </c>
      <c r="AO384">
        <f t="shared" si="338"/>
        <v>-1.1095853621453082</v>
      </c>
      <c r="AP384" s="41" t="str">
        <f t="shared" si="339"/>
        <v>-0,300574192167878-0,321479191284148i</v>
      </c>
      <c r="AQ384">
        <f t="shared" si="340"/>
        <v>-7.128844701433124</v>
      </c>
      <c r="AR384" s="43">
        <f t="shared" si="341"/>
        <v>-133.07521727180264</v>
      </c>
      <c r="AS384" t="str">
        <f t="shared" si="318"/>
        <v>-0,0000166666666666667</v>
      </c>
      <c r="AT384" t="str">
        <f t="shared" si="319"/>
        <v>0,0636141310051781i</v>
      </c>
      <c r="AU384">
        <f t="shared" si="342"/>
        <v>6.3614131005178098E-2</v>
      </c>
      <c r="AV384">
        <f t="shared" si="343"/>
        <v>1.5707963267948966</v>
      </c>
      <c r="AW384" t="str">
        <f t="shared" si="320"/>
        <v>1+2,26775402938219i</v>
      </c>
      <c r="AX384">
        <f t="shared" si="344"/>
        <v>2.4784487765090404</v>
      </c>
      <c r="AY384">
        <f t="shared" si="345"/>
        <v>1.1554813187638193</v>
      </c>
      <c r="AZ384" t="str">
        <f t="shared" si="321"/>
        <v>1+334,87167833877i</v>
      </c>
      <c r="BA384">
        <f t="shared" si="346"/>
        <v>334.87317144468983</v>
      </c>
      <c r="BB384">
        <f t="shared" si="347"/>
        <v>1.5678101171743148</v>
      </c>
      <c r="BC384" s="41" t="str">
        <f t="shared" si="348"/>
        <v>-0,0141860871875684+0,0324325526763044i</v>
      </c>
      <c r="BD384">
        <f t="shared" si="349"/>
        <v>-29.020088832878645</v>
      </c>
      <c r="BE384" s="43">
        <f t="shared" si="350"/>
        <v>113.62469992062199</v>
      </c>
      <c r="BF384" s="41" t="str">
        <f t="shared" si="351"/>
        <v>-0,000782893302887461-0,00867518956837805i</v>
      </c>
      <c r="BG384" s="20">
        <f t="shared" si="352"/>
        <v>-41.199194066117279</v>
      </c>
      <c r="BH384" s="43">
        <f t="shared" si="353"/>
        <v>-95.156694303029411</v>
      </c>
      <c r="BI384" s="41" t="str">
        <f t="shared" si="357"/>
        <v>0,0146903625020853-0,00518785648407644i</v>
      </c>
      <c r="BJ384" s="20">
        <f t="shared" si="354"/>
        <v>-36.14893353431178</v>
      </c>
      <c r="BK384" s="43">
        <f t="shared" si="358"/>
        <v>-19.45051735118064</v>
      </c>
      <c r="BL384">
        <f t="shared" si="355"/>
        <v>-41.199194066117279</v>
      </c>
      <c r="BM384" s="43">
        <f t="shared" si="356"/>
        <v>-95.156694303029411</v>
      </c>
    </row>
    <row r="385" spans="14:65" x14ac:dyDescent="0.35">
      <c r="N385" s="9">
        <v>67</v>
      </c>
      <c r="O385" s="34">
        <f t="shared" si="359"/>
        <v>46773.514128719893</v>
      </c>
      <c r="P385" s="33" t="str">
        <f t="shared" si="309"/>
        <v>59,1053597814893</v>
      </c>
      <c r="Q385" s="4" t="str">
        <f t="shared" si="310"/>
        <v>1+2258,13595559781i</v>
      </c>
      <c r="R385" s="4">
        <f t="shared" si="322"/>
        <v>2258.1361770193657</v>
      </c>
      <c r="S385" s="4">
        <f t="shared" si="323"/>
        <v>1.5703534836914284</v>
      </c>
      <c r="T385" s="4" t="str">
        <f t="shared" si="311"/>
        <v>1+0,382052653760349i</v>
      </c>
      <c r="U385" s="4">
        <f t="shared" si="324"/>
        <v>1.0704971883406911</v>
      </c>
      <c r="V385" s="4">
        <f t="shared" si="325"/>
        <v>0.36493943694192255</v>
      </c>
      <c r="W385" t="str">
        <f t="shared" si="312"/>
        <v>1-14,1065595234591i</v>
      </c>
      <c r="X385" s="4">
        <f t="shared" si="326"/>
        <v>14.141959609222997</v>
      </c>
      <c r="Y385" s="4">
        <f t="shared" si="327"/>
        <v>-1.500025707840668</v>
      </c>
      <c r="Z385" t="str">
        <f t="shared" si="313"/>
        <v>0,954798313554761+1,31981825844484i</v>
      </c>
      <c r="AA385" s="4">
        <f t="shared" si="328"/>
        <v>1.6289751547802642</v>
      </c>
      <c r="AB385" s="4">
        <f t="shared" si="329"/>
        <v>0.94451689927995108</v>
      </c>
      <c r="AC385" s="47" t="str">
        <f t="shared" si="330"/>
        <v>-0,212491317422845+0,11840288251186i</v>
      </c>
      <c r="AD385" s="20">
        <f t="shared" si="331"/>
        <v>-12.278852004868888</v>
      </c>
      <c r="AE385" s="43">
        <f t="shared" si="332"/>
        <v>150.87288832754956</v>
      </c>
      <c r="AF385" t="str">
        <f t="shared" si="314"/>
        <v>405,634542683733</v>
      </c>
      <c r="AG385" t="str">
        <f t="shared" si="315"/>
        <v>1+2262,15387094943i</v>
      </c>
      <c r="AH385">
        <f t="shared" si="333"/>
        <v>2262.154091977708</v>
      </c>
      <c r="AI385">
        <f t="shared" si="334"/>
        <v>1.5703542702452939</v>
      </c>
      <c r="AJ385" t="str">
        <f t="shared" si="316"/>
        <v>1+0,382052653760349i</v>
      </c>
      <c r="AK385">
        <f t="shared" si="335"/>
        <v>1.0704971883406911</v>
      </c>
      <c r="AL385">
        <f t="shared" si="336"/>
        <v>0.36493943694192255</v>
      </c>
      <c r="AM385" t="str">
        <f t="shared" si="317"/>
        <v>1-2,05911406776834i</v>
      </c>
      <c r="AN385">
        <f t="shared" si="337"/>
        <v>2.2890938696526795</v>
      </c>
      <c r="AO385">
        <f t="shared" si="338"/>
        <v>-1.1186979176126668</v>
      </c>
      <c r="AP385" s="41" t="str">
        <f t="shared" si="339"/>
        <v>-0,300577930658658-0,320510362212688i</v>
      </c>
      <c r="AQ385">
        <f t="shared" si="340"/>
        <v>-7.1427624030142614</v>
      </c>
      <c r="AR385" s="43">
        <f t="shared" si="341"/>
        <v>-133.16185174002854</v>
      </c>
      <c r="AS385" t="str">
        <f t="shared" si="318"/>
        <v>-0,0000166666666666667</v>
      </c>
      <c r="AT385" t="str">
        <f t="shared" si="319"/>
        <v>0,0650958944676286i</v>
      </c>
      <c r="AU385">
        <f t="shared" si="342"/>
        <v>6.5095894467628604E-2</v>
      </c>
      <c r="AV385">
        <f t="shared" si="343"/>
        <v>1.5707963267948966</v>
      </c>
      <c r="AW385" t="str">
        <f t="shared" si="320"/>
        <v>1+2,32057680648325i</v>
      </c>
      <c r="AX385">
        <f t="shared" si="344"/>
        <v>2.5268709335436976</v>
      </c>
      <c r="AY385">
        <f t="shared" si="345"/>
        <v>1.1639158970241181</v>
      </c>
      <c r="AZ385" t="str">
        <f t="shared" si="321"/>
        <v>1+342,671841757359i</v>
      </c>
      <c r="BA385">
        <f t="shared" si="346"/>
        <v>342.67330087618512</v>
      </c>
      <c r="BB385">
        <f t="shared" si="347"/>
        <v>1.5678780912136758</v>
      </c>
      <c r="BC385" s="41" t="str">
        <f t="shared" si="348"/>
        <v>-0,0136476036138639+0,0319263449421531i</v>
      </c>
      <c r="BD385">
        <f t="shared" si="349"/>
        <v>-29.188152820886117</v>
      </c>
      <c r="BE385" s="43">
        <f t="shared" si="350"/>
        <v>113.14532880990595</v>
      </c>
      <c r="BF385" s="41" t="str">
        <f t="shared" si="351"/>
        <v>-0,000880173997644149-0,00839998670451506i</v>
      </c>
      <c r="BG385" s="20">
        <f t="shared" si="352"/>
        <v>-41.467004825755005</v>
      </c>
      <c r="BH385" s="43">
        <f t="shared" si="353"/>
        <v>-95.98178286254452</v>
      </c>
      <c r="BI385" s="41" t="str">
        <f t="shared" si="357"/>
        <v>0,0143348928342415-0,00522215631859218i</v>
      </c>
      <c r="BJ385" s="20">
        <f t="shared" si="354"/>
        <v>-36.330915223900398</v>
      </c>
      <c r="BK385" s="43">
        <f t="shared" si="358"/>
        <v>-20.016522930122644</v>
      </c>
      <c r="BL385">
        <f t="shared" si="355"/>
        <v>-41.467004825755005</v>
      </c>
      <c r="BM385" s="43">
        <f t="shared" si="356"/>
        <v>-95.98178286254452</v>
      </c>
    </row>
    <row r="386" spans="14:65" x14ac:dyDescent="0.35">
      <c r="N386" s="9">
        <v>68</v>
      </c>
      <c r="O386" s="34">
        <f t="shared" si="359"/>
        <v>47863.009232263823</v>
      </c>
      <c r="P386" s="33" t="str">
        <f t="shared" si="309"/>
        <v>59,1053597814893</v>
      </c>
      <c r="Q386" s="4" t="str">
        <f t="shared" si="310"/>
        <v>1+2310,73469898044i</v>
      </c>
      <c r="R386" s="4">
        <f t="shared" si="322"/>
        <v>2310.7349153618261</v>
      </c>
      <c r="S386" s="4">
        <f t="shared" si="323"/>
        <v>1.5703635640298708</v>
      </c>
      <c r="T386" s="4" t="str">
        <f t="shared" si="311"/>
        <v>1+0,390951803275229i</v>
      </c>
      <c r="U386" s="4">
        <f t="shared" si="324"/>
        <v>1.0737054123381111</v>
      </c>
      <c r="V386" s="4">
        <f t="shared" si="325"/>
        <v>0.37268195397133047</v>
      </c>
      <c r="W386" t="str">
        <f t="shared" si="312"/>
        <v>1-14,435143505547i</v>
      </c>
      <c r="X386" s="4">
        <f t="shared" si="326"/>
        <v>14.469739735936363</v>
      </c>
      <c r="Y386" s="4">
        <f t="shared" si="327"/>
        <v>-1.5016314516745235</v>
      </c>
      <c r="Z386" t="str">
        <f t="shared" si="313"/>
        <v>0,952668023703145+1,35056077495079i</v>
      </c>
      <c r="AA386" s="4">
        <f t="shared" si="328"/>
        <v>1.6527524830482436</v>
      </c>
      <c r="AB386" s="4">
        <f t="shared" si="329"/>
        <v>0.95646406355121427</v>
      </c>
      <c r="AC386" s="47" t="str">
        <f t="shared" si="330"/>
        <v>-0,209353578326951+0,118256583348325i</v>
      </c>
      <c r="AD386" s="20">
        <f t="shared" si="331"/>
        <v>-12.379704354020191</v>
      </c>
      <c r="AE386" s="43">
        <f t="shared" si="332"/>
        <v>150.53939988074202</v>
      </c>
      <c r="AF386" t="str">
        <f t="shared" si="314"/>
        <v>405,634542683733</v>
      </c>
      <c r="AG386" t="str">
        <f t="shared" si="315"/>
        <v>1+2314,84620360333i</v>
      </c>
      <c r="AH386">
        <f t="shared" si="333"/>
        <v>2314.8464196003911</v>
      </c>
      <c r="AI386">
        <f t="shared" si="334"/>
        <v>1.5703643326795913</v>
      </c>
      <c r="AJ386" t="str">
        <f t="shared" si="316"/>
        <v>1+0,390951803275229i</v>
      </c>
      <c r="AK386">
        <f t="shared" si="335"/>
        <v>1.0737054123381111</v>
      </c>
      <c r="AL386">
        <f t="shared" si="336"/>
        <v>0.37268195397133047</v>
      </c>
      <c r="AM386" t="str">
        <f t="shared" si="317"/>
        <v>1-2,10707699585406i</v>
      </c>
      <c r="AN386">
        <f t="shared" si="337"/>
        <v>2.3323321947049847</v>
      </c>
      <c r="AO386">
        <f t="shared" si="338"/>
        <v>-1.1276816647776207</v>
      </c>
      <c r="AP386" s="41" t="str">
        <f t="shared" si="339"/>
        <v>-0,300581500889702-0,31971147182893i</v>
      </c>
      <c r="AQ386">
        <f t="shared" si="340"/>
        <v>-7.1542340403847406</v>
      </c>
      <c r="AR386" s="43">
        <f t="shared" si="341"/>
        <v>-133.23354552321661</v>
      </c>
      <c r="AS386" t="str">
        <f t="shared" si="318"/>
        <v>-0,0000166666666666667</v>
      </c>
      <c r="AT386" t="str">
        <f t="shared" si="319"/>
        <v>0,0666121726349718i</v>
      </c>
      <c r="AU386">
        <f t="shared" si="342"/>
        <v>6.6612172634971795E-2</v>
      </c>
      <c r="AV386">
        <f t="shared" si="343"/>
        <v>1.5707963267948966</v>
      </c>
      <c r="AW386" t="str">
        <f t="shared" si="320"/>
        <v>1+2,37462998412355i</v>
      </c>
      <c r="AX386">
        <f t="shared" si="344"/>
        <v>2.5766000002908114</v>
      </c>
      <c r="AY386">
        <f t="shared" si="345"/>
        <v>1.1722181537159766</v>
      </c>
      <c r="AZ386" t="str">
        <f t="shared" si="321"/>
        <v>1+350,653694322244i</v>
      </c>
      <c r="BA386">
        <f t="shared" si="346"/>
        <v>350.65512022760731</v>
      </c>
      <c r="BB386">
        <f t="shared" si="347"/>
        <v>1.5679445180010565</v>
      </c>
      <c r="BC386" s="41" t="str">
        <f t="shared" si="348"/>
        <v>-0,0131258825756524+0,0314193188520244i</v>
      </c>
      <c r="BD386">
        <f t="shared" si="349"/>
        <v>-29.357433340089262</v>
      </c>
      <c r="BE386" s="43">
        <f t="shared" si="350"/>
        <v>112.67345051559171</v>
      </c>
      <c r="BF386" s="41" t="str">
        <f t="shared" si="351"/>
        <v>-0,000967590812659816-0,0081299688570947i</v>
      </c>
      <c r="BG386" s="20">
        <f t="shared" si="352"/>
        <v>-41.737137694109457</v>
      </c>
      <c r="BH386" s="43">
        <f t="shared" si="353"/>
        <v>-96.787149603666265</v>
      </c>
      <c r="BI386" s="41" t="str">
        <f t="shared" si="357"/>
        <v>0,0139905141591348-0,00524757078015807i</v>
      </c>
      <c r="BJ386" s="20">
        <f t="shared" si="354"/>
        <v>-36.51166738047398</v>
      </c>
      <c r="BK386" s="43">
        <f t="shared" si="358"/>
        <v>-20.560095007624835</v>
      </c>
      <c r="BL386">
        <f t="shared" si="355"/>
        <v>-41.737137694109457</v>
      </c>
      <c r="BM386" s="43">
        <f t="shared" si="356"/>
        <v>-96.787149603666265</v>
      </c>
    </row>
    <row r="387" spans="14:65" x14ac:dyDescent="0.35">
      <c r="N387" s="9">
        <v>69</v>
      </c>
      <c r="O387" s="34">
        <f t="shared" si="359"/>
        <v>48977.881936844598</v>
      </c>
      <c r="P387" s="33" t="str">
        <f t="shared" si="309"/>
        <v>59,1053597814893</v>
      </c>
      <c r="Q387" s="4" t="str">
        <f t="shared" si="310"/>
        <v>1+2364,55862448666i</v>
      </c>
      <c r="R387" s="4">
        <f t="shared" si="322"/>
        <v>2364.5588359426042</v>
      </c>
      <c r="S387" s="4">
        <f t="shared" si="323"/>
        <v>1.5703734149118813</v>
      </c>
      <c r="T387" s="4" t="str">
        <f t="shared" si="311"/>
        <v>1+0,400058240611065i</v>
      </c>
      <c r="U387" s="4">
        <f t="shared" si="324"/>
        <v>1.0770545928042927</v>
      </c>
      <c r="V387" s="4">
        <f t="shared" si="325"/>
        <v>0.38055658352736071</v>
      </c>
      <c r="W387" t="str">
        <f t="shared" si="312"/>
        <v>1-14,7713811917932i</v>
      </c>
      <c r="X387" s="4">
        <f t="shared" si="326"/>
        <v>14.805191735106366</v>
      </c>
      <c r="Y387" s="4">
        <f t="shared" si="327"/>
        <v>-1.5032009895886078</v>
      </c>
      <c r="Z387" t="str">
        <f t="shared" si="313"/>
        <v>0,950437336383895+1,38201937665641i</v>
      </c>
      <c r="AA387" s="4">
        <f t="shared" si="328"/>
        <v>1.6772920699288736</v>
      </c>
      <c r="AB387" s="4">
        <f t="shared" si="329"/>
        <v>0.96836207670340702</v>
      </c>
      <c r="AC387" s="47" t="str">
        <f t="shared" si="330"/>
        <v>-0,206253788790336+0,11803478657652i</v>
      </c>
      <c r="AD387" s="20">
        <f t="shared" si="331"/>
        <v>-12.481604001645426</v>
      </c>
      <c r="AE387" s="43">
        <f t="shared" si="332"/>
        <v>150.21838466909338</v>
      </c>
      <c r="AF387" t="str">
        <f t="shared" si="314"/>
        <v>405,634542683733</v>
      </c>
      <c r="AG387" t="str">
        <f t="shared" si="315"/>
        <v>1+2368,76589835499i</v>
      </c>
      <c r="AH387">
        <f t="shared" si="333"/>
        <v>2368.766109435358</v>
      </c>
      <c r="AI387">
        <f t="shared" si="334"/>
        <v>1.5703741660650044</v>
      </c>
      <c r="AJ387" t="str">
        <f t="shared" si="316"/>
        <v>1+0,400058240611065i</v>
      </c>
      <c r="AK387">
        <f t="shared" si="335"/>
        <v>1.0770545928042927</v>
      </c>
      <c r="AL387">
        <f t="shared" si="336"/>
        <v>0.38055658352736071</v>
      </c>
      <c r="AM387" t="str">
        <f t="shared" si="317"/>
        <v>1-2,15615712405344i</v>
      </c>
      <c r="AN387">
        <f t="shared" si="337"/>
        <v>2.3767653530810318</v>
      </c>
      <c r="AO387">
        <f t="shared" si="338"/>
        <v>-1.1365355654897593</v>
      </c>
      <c r="AP387" s="41" t="str">
        <f t="shared" si="339"/>
        <v>-0,300584910433938-0,319082096560549i</v>
      </c>
      <c r="AQ387">
        <f t="shared" si="340"/>
        <v>-7.1632644939543884</v>
      </c>
      <c r="AR387" s="43">
        <f t="shared" si="341"/>
        <v>-133.29021703894301</v>
      </c>
      <c r="AS387" t="str">
        <f t="shared" si="318"/>
        <v>-0,0000166666666666667</v>
      </c>
      <c r="AT387" t="str">
        <f t="shared" si="319"/>
        <v>0,0681637694579624i</v>
      </c>
      <c r="AU387">
        <f t="shared" si="342"/>
        <v>6.8163769457962403E-2</v>
      </c>
      <c r="AV387">
        <f t="shared" si="343"/>
        <v>1.5707963267948966</v>
      </c>
      <c r="AW387" t="str">
        <f t="shared" si="320"/>
        <v>1+2,42994222201339i</v>
      </c>
      <c r="AX387">
        <f t="shared" si="344"/>
        <v>2.6276642103441166</v>
      </c>
      <c r="AY387">
        <f t="shared" si="345"/>
        <v>1.1803879117261831</v>
      </c>
      <c r="AZ387" t="str">
        <f t="shared" si="321"/>
        <v>1+358,82146811731i</v>
      </c>
      <c r="BA387">
        <f t="shared" si="346"/>
        <v>358.82286156523219</v>
      </c>
      <c r="BB387">
        <f t="shared" si="347"/>
        <v>1.568009432754472</v>
      </c>
      <c r="BC387" s="41" t="str">
        <f t="shared" si="348"/>
        <v>-0,0126206809519945+0,0309120346854072i</v>
      </c>
      <c r="BD387">
        <f t="shared" si="349"/>
        <v>-29.527892197019028</v>
      </c>
      <c r="BE387" s="43">
        <f t="shared" si="350"/>
        <v>112.20907720336238</v>
      </c>
      <c r="BF387" s="41" t="str">
        <f t="shared" si="351"/>
        <v>-0,00104563215327513-0,00786540365570254i</v>
      </c>
      <c r="BG387" s="20">
        <f t="shared" si="352"/>
        <v>-42.009496198664458</v>
      </c>
      <c r="BH387" s="43">
        <f t="shared" si="353"/>
        <v>-97.572538127544206</v>
      </c>
      <c r="BI387" s="41" t="str">
        <f t="shared" si="357"/>
        <v>0,0136570630899427-0,00526465783905972i</v>
      </c>
      <c r="BJ387" s="20">
        <f t="shared" si="354"/>
        <v>-36.691156690973429</v>
      </c>
      <c r="BK387" s="43">
        <f t="shared" si="358"/>
        <v>-21.081139835580668</v>
      </c>
      <c r="BL387">
        <f t="shared" si="355"/>
        <v>-42.009496198664458</v>
      </c>
      <c r="BM387" s="43">
        <f t="shared" si="356"/>
        <v>-97.572538127544206</v>
      </c>
    </row>
    <row r="388" spans="14:65" x14ac:dyDescent="0.35">
      <c r="N388" s="9">
        <v>70</v>
      </c>
      <c r="O388" s="34">
        <f t="shared" si="359"/>
        <v>50118.723362727294</v>
      </c>
      <c r="P388" s="33" t="str">
        <f t="shared" si="309"/>
        <v>59,1053597814893</v>
      </c>
      <c r="Q388" s="4" t="str">
        <f t="shared" si="310"/>
        <v>1+2419,63627027422i</v>
      </c>
      <c r="R388" s="4">
        <f t="shared" si="322"/>
        <v>2419.6364769168399</v>
      </c>
      <c r="S388" s="4">
        <f t="shared" si="323"/>
        <v>1.5703830415605207</v>
      </c>
      <c r="T388" s="4" t="str">
        <f t="shared" si="311"/>
        <v>1+0,409376794121472i</v>
      </c>
      <c r="U388" s="4">
        <f t="shared" si="324"/>
        <v>1.0805504891328188</v>
      </c>
      <c r="V388" s="4">
        <f t="shared" si="325"/>
        <v>0.38856359337743585</v>
      </c>
      <c r="W388" t="str">
        <f t="shared" si="312"/>
        <v>1-15,1154508598698i</v>
      </c>
      <c r="X388" s="4">
        <f t="shared" si="326"/>
        <v>15.148493479456585</v>
      </c>
      <c r="Y388" s="4">
        <f t="shared" si="327"/>
        <v>-1.5047351228234935</v>
      </c>
      <c r="Z388" t="str">
        <f t="shared" si="313"/>
        <v>0,948101520010133+1,41421074332872i</v>
      </c>
      <c r="AA388" s="4">
        <f t="shared" si="328"/>
        <v>1.7026122631979062</v>
      </c>
      <c r="AB388" s="4">
        <f t="shared" si="329"/>
        <v>0.98020641845201373</v>
      </c>
      <c r="AC388" s="47" t="str">
        <f t="shared" si="330"/>
        <v>-0,203194458683232+0,117739996058977i</v>
      </c>
      <c r="AD388" s="20">
        <f t="shared" si="331"/>
        <v>-12.584490125531126</v>
      </c>
      <c r="AE388" s="43">
        <f t="shared" si="332"/>
        <v>149.91007082080895</v>
      </c>
      <c r="AF388" t="str">
        <f t="shared" si="314"/>
        <v>405,634542683733</v>
      </c>
      <c r="AG388" t="str">
        <f t="shared" si="315"/>
        <v>1+2423,94154414029i</v>
      </c>
      <c r="AH388">
        <f t="shared" si="333"/>
        <v>2423.9417504158823</v>
      </c>
      <c r="AI388">
        <f t="shared" si="334"/>
        <v>1.5703837756153169</v>
      </c>
      <c r="AJ388" t="str">
        <f t="shared" si="316"/>
        <v>1+0,409376794121472i</v>
      </c>
      <c r="AK388">
        <f t="shared" si="335"/>
        <v>1.0805504891328188</v>
      </c>
      <c r="AL388">
        <f t="shared" si="336"/>
        <v>0.38856359337743585</v>
      </c>
      <c r="AM388" t="str">
        <f t="shared" si="317"/>
        <v>1-2,20638047530011i</v>
      </c>
      <c r="AN388">
        <f t="shared" si="337"/>
        <v>2.4224192043875354</v>
      </c>
      <c r="AO388">
        <f t="shared" si="338"/>
        <v>-1.1452587606233509</v>
      </c>
      <c r="AP388" s="41" t="str">
        <f t="shared" si="339"/>
        <v>-0,300588166523458-0,318621902713715i</v>
      </c>
      <c r="AQ388">
        <f t="shared" si="340"/>
        <v>-7.1698576569061121</v>
      </c>
      <c r="AR388" s="43">
        <f t="shared" si="341"/>
        <v>-133.33180201971393</v>
      </c>
      <c r="AS388" t="str">
        <f t="shared" si="318"/>
        <v>-0,0000166666666666667</v>
      </c>
      <c r="AT388" t="str">
        <f t="shared" si="319"/>
        <v>0,069751507613774i</v>
      </c>
      <c r="AU388">
        <f t="shared" si="342"/>
        <v>6.9751507613773994E-2</v>
      </c>
      <c r="AV388">
        <f t="shared" si="343"/>
        <v>1.5707963267948966</v>
      </c>
      <c r="AW388" t="str">
        <f t="shared" si="320"/>
        <v>1+2,48654284743343i</v>
      </c>
      <c r="AX388">
        <f t="shared" si="344"/>
        <v>2.6800924111161448</v>
      </c>
      <c r="AY388">
        <f t="shared" si="345"/>
        <v>1.1884251393985796</v>
      </c>
      <c r="AZ388" t="str">
        <f t="shared" si="321"/>
        <v>1+367,179493804336i</v>
      </c>
      <c r="BA388">
        <f t="shared" si="346"/>
        <v>367.18085553362999</v>
      </c>
      <c r="BB388">
        <f t="shared" si="347"/>
        <v>1.5680728698903947</v>
      </c>
      <c r="BC388" s="41" t="str">
        <f t="shared" si="348"/>
        <v>-0,0121317368579546+0,0304050269724851i</v>
      </c>
      <c r="BD388">
        <f t="shared" si="349"/>
        <v>-29.699491777960475</v>
      </c>
      <c r="BE388" s="43">
        <f t="shared" si="350"/>
        <v>111.75221265890124</v>
      </c>
      <c r="BF388" s="41" t="str">
        <f t="shared" si="351"/>
        <v>-0,00111478605217399-0,0076065236467673i</v>
      </c>
      <c r="BG388" s="20">
        <f t="shared" si="352"/>
        <v>-42.2839819034916</v>
      </c>
      <c r="BH388" s="43">
        <f t="shared" si="353"/>
        <v>-98.337716520289803</v>
      </c>
      <c r="BI388" s="41" t="str">
        <f t="shared" si="357"/>
        <v>0,0133343640849127-0,00527395422985198i</v>
      </c>
      <c r="BJ388" s="20">
        <f t="shared" si="354"/>
        <v>-36.869349434866564</v>
      </c>
      <c r="BK388" s="43">
        <f t="shared" si="358"/>
        <v>-21.579589360812616</v>
      </c>
      <c r="BL388">
        <f t="shared" si="355"/>
        <v>-42.2839819034916</v>
      </c>
      <c r="BM388" s="43">
        <f t="shared" si="356"/>
        <v>-98.337716520289803</v>
      </c>
    </row>
    <row r="389" spans="14:65" x14ac:dyDescent="0.35">
      <c r="N389" s="9">
        <v>71</v>
      </c>
      <c r="O389" s="34">
        <f t="shared" si="359"/>
        <v>51286.138399136544</v>
      </c>
      <c r="P389" s="33" t="str">
        <f t="shared" si="309"/>
        <v>59,1053597814893</v>
      </c>
      <c r="Q389" s="4" t="str">
        <f t="shared" si="310"/>
        <v>1+2475,99683923996i</v>
      </c>
      <c r="R389" s="4">
        <f t="shared" si="322"/>
        <v>2475.9970411788204</v>
      </c>
      <c r="S389" s="4">
        <f t="shared" si="323"/>
        <v>1.5703924490799579</v>
      </c>
      <c r="T389" s="4" t="str">
        <f t="shared" si="311"/>
        <v>1+0,418912404626864i</v>
      </c>
      <c r="U389" s="4">
        <f t="shared" si="324"/>
        <v>1.0841990604820968</v>
      </c>
      <c r="V389" s="4">
        <f t="shared" si="325"/>
        <v>0.39670312112546785</v>
      </c>
      <c r="W389" t="str">
        <f t="shared" si="312"/>
        <v>1-15,4675349400689i</v>
      </c>
      <c r="X389" s="4">
        <f t="shared" si="326"/>
        <v>15.499827002978201</v>
      </c>
      <c r="Y389" s="4">
        <f t="shared" si="327"/>
        <v>-1.5062346358952177</v>
      </c>
      <c r="Z389" t="str">
        <f t="shared" si="313"/>
        <v>0,945655620002161+1,44715194325644i</v>
      </c>
      <c r="AA389" s="4">
        <f t="shared" si="328"/>
        <v>1.7287317022929154</v>
      </c>
      <c r="AB389" s="4">
        <f t="shared" si="329"/>
        <v>0.99199275291232358</v>
      </c>
      <c r="AC389" s="47" t="str">
        <f t="shared" si="330"/>
        <v>-0,200177945939238+0,117374820817531i</v>
      </c>
      <c r="AD389" s="20">
        <f t="shared" si="331"/>
        <v>-12.688299498119351</v>
      </c>
      <c r="AE389" s="43">
        <f t="shared" si="332"/>
        <v>149.6146694060015</v>
      </c>
      <c r="AF389" t="str">
        <f t="shared" si="314"/>
        <v>405,634542683733</v>
      </c>
      <c r="AG389" t="str">
        <f t="shared" si="315"/>
        <v>1+2480,40239581696i</v>
      </c>
      <c r="AH389">
        <f t="shared" si="333"/>
        <v>2480.4025973971475</v>
      </c>
      <c r="AI389">
        <f t="shared" si="334"/>
        <v>1.5703931664256328</v>
      </c>
      <c r="AJ389" t="str">
        <f t="shared" si="316"/>
        <v>1+0,418912404626864i</v>
      </c>
      <c r="AK389">
        <f t="shared" si="335"/>
        <v>1.0841990604820968</v>
      </c>
      <c r="AL389">
        <f t="shared" si="336"/>
        <v>0.39670312112546785</v>
      </c>
      <c r="AM389" t="str">
        <f t="shared" si="317"/>
        <v>1-2,25777367867969i</v>
      </c>
      <c r="AN389">
        <f t="shared" si="337"/>
        <v>2.4693201461412047</v>
      </c>
      <c r="AO389">
        <f t="shared" si="338"/>
        <v>-1.1538505640307843</v>
      </c>
      <c r="AP389" s="41" t="str">
        <f t="shared" si="339"/>
        <v>-0,300591276064857-0,31833064629621i</v>
      </c>
      <c r="AQ389">
        <f t="shared" si="340"/>
        <v>-7.1740164003750371</v>
      </c>
      <c r="AR389" s="43">
        <f t="shared" si="341"/>
        <v>-133.35825355997136</v>
      </c>
      <c r="AS389" t="str">
        <f t="shared" si="318"/>
        <v>-0,0000166666666666667</v>
      </c>
      <c r="AT389" t="str">
        <f t="shared" si="319"/>
        <v>0,0713762289421925i</v>
      </c>
      <c r="AU389">
        <f t="shared" si="342"/>
        <v>7.1376228942192504E-2</v>
      </c>
      <c r="AV389">
        <f t="shared" si="343"/>
        <v>1.5707963267948966</v>
      </c>
      <c r="AW389" t="str">
        <f t="shared" si="320"/>
        <v>1+2,54446187078446i</v>
      </c>
      <c r="AX389">
        <f t="shared" si="344"/>
        <v>2.7339140827531421</v>
      </c>
      <c r="AY389">
        <f t="shared" si="345"/>
        <v>1.196329943685553</v>
      </c>
      <c r="AZ389" t="str">
        <f t="shared" si="321"/>
        <v>1+375,732202919172i</v>
      </c>
      <c r="BA389">
        <f t="shared" si="346"/>
        <v>375.73353365183391</v>
      </c>
      <c r="BB389">
        <f t="shared" si="347"/>
        <v>1.56813486304199</v>
      </c>
      <c r="BC389" s="41" t="str">
        <f t="shared" si="348"/>
        <v>-0,0116587716308053+0,0298988043189456i</v>
      </c>
      <c r="BD389">
        <f t="shared" si="349"/>
        <v>-29.872195089734568</v>
      </c>
      <c r="BE389" s="43">
        <f t="shared" si="350"/>
        <v>111.30285268132577</v>
      </c>
      <c r="BF389" s="41" t="str">
        <f t="shared" si="351"/>
        <v>-0,0011755378423654-0,00735352746572403i</v>
      </c>
      <c r="BG389" s="20">
        <f t="shared" si="352"/>
        <v>-42.560494587853917</v>
      </c>
      <c r="BH389" s="43">
        <f t="shared" si="353"/>
        <v>-99.082477912672758</v>
      </c>
      <c r="BI389" s="41" t="str">
        <f t="shared" si="357"/>
        <v>0,0130222307441864-0,00527597543479115i</v>
      </c>
      <c r="BJ389" s="20">
        <f t="shared" si="354"/>
        <v>-37.046211490109606</v>
      </c>
      <c r="BK389" s="43">
        <f t="shared" si="358"/>
        <v>-22.05540087864556</v>
      </c>
      <c r="BL389">
        <f t="shared" si="355"/>
        <v>-42.560494587853917</v>
      </c>
      <c r="BM389" s="43">
        <f t="shared" si="356"/>
        <v>-99.082477912672758</v>
      </c>
    </row>
    <row r="390" spans="14:65" x14ac:dyDescent="0.35">
      <c r="N390" s="9">
        <v>72</v>
      </c>
      <c r="O390" s="34">
        <f t="shared" si="359"/>
        <v>52480.746024977314</v>
      </c>
      <c r="P390" s="33" t="str">
        <f t="shared" si="309"/>
        <v>59,1053597814893</v>
      </c>
      <c r="Q390" s="4" t="str">
        <f t="shared" si="310"/>
        <v>1+2533,67021450354i</v>
      </c>
      <c r="R390" s="4">
        <f t="shared" si="322"/>
        <v>2533.670411845711</v>
      </c>
      <c r="S390" s="4">
        <f t="shared" si="323"/>
        <v>1.5704016424581781</v>
      </c>
      <c r="T390" s="4" t="str">
        <f t="shared" si="311"/>
        <v>1+0,428670128034149i</v>
      </c>
      <c r="U390" s="4">
        <f t="shared" si="324"/>
        <v>1.0880064699572396</v>
      </c>
      <c r="V390" s="4">
        <f t="shared" si="325"/>
        <v>0.40497516733403399</v>
      </c>
      <c r="W390" t="str">
        <f t="shared" si="312"/>
        <v>1-15,8278201120302i</v>
      </c>
      <c r="X390" s="4">
        <f t="shared" si="326"/>
        <v>15.859378597498315</v>
      </c>
      <c r="Y390" s="4">
        <f t="shared" si="327"/>
        <v>-1.5077002968765518</v>
      </c>
      <c r="Z390" t="str">
        <f t="shared" si="313"/>
        <v>0,943094448278137+1,48086044229979i</v>
      </c>
      <c r="AA390" s="4">
        <f t="shared" si="328"/>
        <v>1.7556693276187783</v>
      </c>
      <c r="AB390" s="4">
        <f t="shared" si="329"/>
        <v>1.0037169371290411</v>
      </c>
      <c r="AC390" s="47" t="str">
        <f t="shared" si="330"/>
        <v>-0,197206451163996+0,116941962906937i</v>
      </c>
      <c r="AD390" s="20">
        <f t="shared" si="331"/>
        <v>-12.792966632578104</v>
      </c>
      <c r="AE390" s="43">
        <f t="shared" si="332"/>
        <v>149.33237353763889</v>
      </c>
      <c r="AF390" t="str">
        <f t="shared" si="314"/>
        <v>405,634542683733</v>
      </c>
      <c r="AG390" t="str">
        <f t="shared" si="315"/>
        <v>1+2538,17838967588i</v>
      </c>
      <c r="AH390">
        <f t="shared" si="333"/>
        <v>2538.1785866675423</v>
      </c>
      <c r="AI390">
        <f t="shared" si="334"/>
        <v>1.5704023434750769</v>
      </c>
      <c r="AJ390" t="str">
        <f t="shared" si="316"/>
        <v>1+0,428670128034149i</v>
      </c>
      <c r="AK390">
        <f t="shared" si="335"/>
        <v>1.0880064699572396</v>
      </c>
      <c r="AL390">
        <f t="shared" si="336"/>
        <v>0.40497516733403399</v>
      </c>
      <c r="AM390" t="str">
        <f t="shared" si="317"/>
        <v>1-2,31036398354886i</v>
      </c>
      <c r="AN390">
        <f t="shared" si="337"/>
        <v>2.5174951313716094</v>
      </c>
      <c r="AO390">
        <f t="shared" si="338"/>
        <v>-1.1623104562461142</v>
      </c>
      <c r="AP390" s="41" t="str">
        <f t="shared" si="339"/>
        <v>-0,300594245653884-0,3182081728881i</v>
      </c>
      <c r="AQ390">
        <f t="shared" si="340"/>
        <v>-7.1757425478753678</v>
      </c>
      <c r="AR390" s="43">
        <f t="shared" si="341"/>
        <v>-133.36954214955878</v>
      </c>
      <c r="AS390" t="str">
        <f t="shared" si="318"/>
        <v>-0,0000166666666666667</v>
      </c>
      <c r="AT390" t="str">
        <f t="shared" si="319"/>
        <v>0,0730387948919724i</v>
      </c>
      <c r="AU390">
        <f t="shared" si="342"/>
        <v>7.3038794891972403E-2</v>
      </c>
      <c r="AV390">
        <f t="shared" si="343"/>
        <v>1.5707963267948966</v>
      </c>
      <c r="AW390" t="str">
        <f t="shared" si="320"/>
        <v>1+2,60373000149932i</v>
      </c>
      <c r="AX390">
        <f t="shared" si="344"/>
        <v>2.7891593573526143</v>
      </c>
      <c r="AY390">
        <f t="shared" si="345"/>
        <v>1.2041025632716749</v>
      </c>
      <c r="AZ390" t="str">
        <f t="shared" si="321"/>
        <v>1+384,484130221399i</v>
      </c>
      <c r="BA390">
        <f t="shared" si="346"/>
        <v>384.48543066299106</v>
      </c>
      <c r="BB390">
        <f t="shared" si="347"/>
        <v>1.5681954450769406</v>
      </c>
      <c r="BC390" s="41" t="str">
        <f t="shared" si="348"/>
        <v>-0,011201491750111+0,0293938493654204i</v>
      </c>
      <c r="BD390">
        <f t="shared" si="349"/>
        <v>-30.045965795995599</v>
      </c>
      <c r="BE390" s="43">
        <f t="shared" si="350"/>
        <v>110.86098547819728</v>
      </c>
      <c r="BF390" s="41" t="str">
        <f t="shared" si="351"/>
        <v>-0,00122836800640092-0,00710658115214747i</v>
      </c>
      <c r="BG390" s="20">
        <f t="shared" si="352"/>
        <v>-42.838932428573706</v>
      </c>
      <c r="BH390" s="43">
        <f t="shared" si="353"/>
        <v>-99.806640984163835</v>
      </c>
      <c r="BI390" s="41" t="str">
        <f t="shared" si="357"/>
        <v>0,0127204670635413-0,00527121575343849i</v>
      </c>
      <c r="BJ390" s="20">
        <f t="shared" si="354"/>
        <v>-37.221708343870958</v>
      </c>
      <c r="BK390" s="43">
        <f t="shared" si="358"/>
        <v>-22.50855667136145</v>
      </c>
      <c r="BL390">
        <f t="shared" si="355"/>
        <v>-42.838932428573706</v>
      </c>
      <c r="BM390" s="43">
        <f t="shared" si="356"/>
        <v>-99.806640984163835</v>
      </c>
    </row>
    <row r="391" spans="14:65" x14ac:dyDescent="0.35">
      <c r="N391" s="9">
        <v>73</v>
      </c>
      <c r="O391" s="34">
        <f t="shared" si="359"/>
        <v>53703.179637025423</v>
      </c>
      <c r="P391" s="33" t="str">
        <f t="shared" si="309"/>
        <v>59,1053597814893</v>
      </c>
      <c r="Q391" s="4" t="str">
        <f t="shared" si="310"/>
        <v>1+2592,68697525195i</v>
      </c>
      <c r="R391" s="4">
        <f t="shared" si="322"/>
        <v>2592.6871681020652</v>
      </c>
      <c r="S391" s="4">
        <f t="shared" si="323"/>
        <v>1.5704106265696256</v>
      </c>
      <c r="T391" s="4" t="str">
        <f t="shared" si="311"/>
        <v>1+0,438655138017439i</v>
      </c>
      <c r="U391" s="4">
        <f t="shared" si="324"/>
        <v>1.0919790886775711</v>
      </c>
      <c r="V391" s="4">
        <f t="shared" si="325"/>
        <v>0.41337958866635566</v>
      </c>
      <c r="W391" t="str">
        <f t="shared" si="312"/>
        <v>1-16,1964974037209i</v>
      </c>
      <c r="X391" s="4">
        <f t="shared" si="326"/>
        <v>16.227338911501722</v>
      </c>
      <c r="Y391" s="4">
        <f t="shared" si="327"/>
        <v>-1.5091328576783301</v>
      </c>
      <c r="Z391" t="str">
        <f t="shared" si="313"/>
        <v>0,94041257224945+1,51535411315115i</v>
      </c>
      <c r="AA391" s="4">
        <f t="shared" si="328"/>
        <v>1.7834443905793462</v>
      </c>
      <c r="AB391" s="4">
        <f t="shared" si="329"/>
        <v>1.0153750286283969</v>
      </c>
      <c r="AC391" s="47" t="str">
        <f t="shared" si="330"/>
        <v>-0,194282013372728+0,116444205094763i</v>
      </c>
      <c r="AD391" s="20">
        <f t="shared" si="331"/>
        <v>-12.898423936518036</v>
      </c>
      <c r="AE391" s="43">
        <f t="shared" si="332"/>
        <v>149.06335752963361</v>
      </c>
      <c r="AF391" t="str">
        <f t="shared" si="314"/>
        <v>405,634542683733</v>
      </c>
      <c r="AG391" t="str">
        <f t="shared" si="315"/>
        <v>1+2597,30015931378i</v>
      </c>
      <c r="AH391">
        <f t="shared" si="333"/>
        <v>2597.3003518213654</v>
      </c>
      <c r="AI391">
        <f t="shared" si="334"/>
        <v>1.5704113116294365</v>
      </c>
      <c r="AJ391" t="str">
        <f t="shared" si="316"/>
        <v>1+0,438655138017439i</v>
      </c>
      <c r="AK391">
        <f t="shared" si="335"/>
        <v>1.0919790886775711</v>
      </c>
      <c r="AL391">
        <f t="shared" si="336"/>
        <v>0.41337958866635566</v>
      </c>
      <c r="AM391" t="str">
        <f t="shared" si="317"/>
        <v>1-2,3641792739834i</v>
      </c>
      <c r="AN391">
        <f t="shared" si="337"/>
        <v>2.566971686546752</v>
      </c>
      <c r="AO391">
        <f t="shared" si="338"/>
        <v>-1.1706380779869237</v>
      </c>
      <c r="AP391" s="41" t="str">
        <f t="shared" si="339"/>
        <v>-0,30059708158943-0,318254417559895i</v>
      </c>
      <c r="AQ391">
        <f t="shared" si="340"/>
        <v>-7.1750368591044591</v>
      </c>
      <c r="AR391" s="43">
        <f t="shared" si="341"/>
        <v>-133.36565569449178</v>
      </c>
      <c r="AS391" t="str">
        <f t="shared" si="318"/>
        <v>-0,0000166666666666667</v>
      </c>
      <c r="AT391" t="str">
        <f t="shared" si="319"/>
        <v>0,0747400869775868i</v>
      </c>
      <c r="AU391">
        <f t="shared" si="342"/>
        <v>7.47400869775868E-2</v>
      </c>
      <c r="AV391">
        <f t="shared" si="343"/>
        <v>1.5707963267948966</v>
      </c>
      <c r="AW391" t="str">
        <f t="shared" si="320"/>
        <v>1+2,66437866432541i</v>
      </c>
      <c r="AX391">
        <f t="shared" si="344"/>
        <v>2.8458590384824856</v>
      </c>
      <c r="AY391">
        <f t="shared" si="345"/>
        <v>1.2117433617035933</v>
      </c>
      <c r="AZ391" t="str">
        <f t="shared" si="321"/>
        <v>1+393,439916098719i</v>
      </c>
      <c r="BA391">
        <f t="shared" si="346"/>
        <v>393.44118693874316</v>
      </c>
      <c r="BB391">
        <f t="shared" si="347"/>
        <v>1.5682546481148631</v>
      </c>
      <c r="BC391" s="41" t="str">
        <f t="shared" si="348"/>
        <v>-0,0107595906848034+0,0288906188704577i</v>
      </c>
      <c r="BD391">
        <f t="shared" si="349"/>
        <v>-30.220768249203559</v>
      </c>
      <c r="BE391" s="43">
        <f t="shared" si="350"/>
        <v>110.42659206014542</v>
      </c>
      <c r="BF391" s="41" t="str">
        <f t="shared" si="351"/>
        <v>-0,00127375020775615-0,0068658195861736i</v>
      </c>
      <c r="BG391" s="20">
        <f t="shared" si="352"/>
        <v>-43.119192185721602</v>
      </c>
      <c r="BH391" s="43">
        <f t="shared" si="353"/>
        <v>-100.51005041022094</v>
      </c>
      <c r="BI391" s="41" t="str">
        <f t="shared" si="357"/>
        <v>0,0124288686405111-0,00526014845119712i</v>
      </c>
      <c r="BJ391" s="20">
        <f t="shared" si="354"/>
        <v>-37.395805108308046</v>
      </c>
      <c r="BK391" s="43">
        <f t="shared" si="358"/>
        <v>-22.939063634346411</v>
      </c>
      <c r="BL391">
        <f t="shared" si="355"/>
        <v>-43.119192185721602</v>
      </c>
      <c r="BM391" s="43">
        <f t="shared" si="356"/>
        <v>-100.51005041022094</v>
      </c>
    </row>
    <row r="392" spans="14:65" x14ac:dyDescent="0.35">
      <c r="N392" s="9">
        <v>74</v>
      </c>
      <c r="O392" s="34">
        <f t="shared" si="359"/>
        <v>54954.087385762505</v>
      </c>
      <c r="P392" s="33" t="str">
        <f t="shared" si="309"/>
        <v>59,1053597814893</v>
      </c>
      <c r="Q392" s="4" t="str">
        <f t="shared" si="310"/>
        <v>1+2653,0784129529i</v>
      </c>
      <c r="R392" s="4">
        <f t="shared" si="322"/>
        <v>2653.0786014132109</v>
      </c>
      <c r="S392" s="4">
        <f t="shared" si="323"/>
        <v>1.5704194061777896</v>
      </c>
      <c r="T392" s="4" t="str">
        <f t="shared" si="311"/>
        <v>1+0,448872728761192i</v>
      </c>
      <c r="U392" s="4">
        <f t="shared" si="324"/>
        <v>1.0961234997141147</v>
      </c>
      <c r="V392" s="4">
        <f t="shared" si="325"/>
        <v>0.4219160910844324</v>
      </c>
      <c r="W392" t="str">
        <f t="shared" si="312"/>
        <v>1-16,573762292721i</v>
      </c>
      <c r="X392" s="4">
        <f t="shared" si="326"/>
        <v>16.603903051259376</v>
      </c>
      <c r="Y392" s="4">
        <f t="shared" si="327"/>
        <v>-1.5105330543304218</v>
      </c>
      <c r="Z392" t="str">
        <f t="shared" si="313"/>
        <v>0,937604303297479+1,55065124481139i</v>
      </c>
      <c r="AA392" s="4">
        <f t="shared" si="328"/>
        <v>1.8120764643350635</v>
      </c>
      <c r="AB392" s="4">
        <f t="shared" si="329"/>
        <v>1.0269632919821863</v>
      </c>
      <c r="AC392" s="47" t="str">
        <f t="shared" si="330"/>
        <v>-0,191406506846515+0,115884398460902i</v>
      </c>
      <c r="AD392" s="20">
        <f t="shared" si="331"/>
        <v>-13.004601872735522</v>
      </c>
      <c r="AE392" s="43">
        <f t="shared" si="332"/>
        <v>148.8077761147878</v>
      </c>
      <c r="AF392" t="str">
        <f t="shared" si="314"/>
        <v>405,634542683733</v>
      </c>
      <c r="AG392" t="str">
        <f t="shared" si="315"/>
        <v>1+2657,79905187548i</v>
      </c>
      <c r="AH392">
        <f t="shared" si="333"/>
        <v>2657.799240001058</v>
      </c>
      <c r="AI392">
        <f t="shared" si="334"/>
        <v>1.5704200756437399</v>
      </c>
      <c r="AJ392" t="str">
        <f t="shared" si="316"/>
        <v>1+0,448872728761192i</v>
      </c>
      <c r="AK392">
        <f t="shared" si="335"/>
        <v>1.0961234997141147</v>
      </c>
      <c r="AL392">
        <f t="shared" si="336"/>
        <v>0.4219160910844324</v>
      </c>
      <c r="AM392" t="str">
        <f t="shared" si="317"/>
        <v>1-2,41924808356261i</v>
      </c>
      <c r="AN392">
        <f t="shared" si="337"/>
        <v>2.6177779298140171</v>
      </c>
      <c r="AO392">
        <f t="shared" si="338"/>
        <v>-1.1788332235002634</v>
      </c>
      <c r="AP392" s="41" t="str">
        <f t="shared" si="339"/>
        <v>-0,300599789886886-0,318469404838164i</v>
      </c>
      <c r="AQ392">
        <f t="shared" si="340"/>
        <v>-7.1718990232054391</v>
      </c>
      <c r="AR392" s="43">
        <f t="shared" si="341"/>
        <v>-133.34659952557385</v>
      </c>
      <c r="AS392" t="str">
        <f t="shared" si="318"/>
        <v>-0,0000166666666666667</v>
      </c>
      <c r="AT392" t="str">
        <f t="shared" si="319"/>
        <v>0,0764810072466185i</v>
      </c>
      <c r="AU392">
        <f t="shared" si="342"/>
        <v>7.6481007246618493E-2</v>
      </c>
      <c r="AV392">
        <f t="shared" si="343"/>
        <v>1.5707963267948966</v>
      </c>
      <c r="AW392" t="str">
        <f t="shared" si="320"/>
        <v>1+2,72644001598655i</v>
      </c>
      <c r="AX392">
        <f t="shared" si="344"/>
        <v>2.9040446210023596</v>
      </c>
      <c r="AY392">
        <f t="shared" si="345"/>
        <v>1.2192528205573574</v>
      </c>
      <c r="AZ392" t="str">
        <f t="shared" si="321"/>
        <v>1+402,604309027346i</v>
      </c>
      <c r="BA392">
        <f t="shared" si="346"/>
        <v>402.60555093960977</v>
      </c>
      <c r="BB392">
        <f t="shared" si="347"/>
        <v>1.5683125035443315</v>
      </c>
      <c r="BC392" s="41" t="str">
        <f t="shared" si="348"/>
        <v>-0,0103327506616565+0,0283895439059362i</v>
      </c>
      <c r="BD392">
        <f t="shared" si="349"/>
        <v>-30.396567518446986</v>
      </c>
      <c r="BE392" s="43">
        <f t="shared" si="350"/>
        <v>109.999646633328</v>
      </c>
      <c r="BF392" s="41" t="str">
        <f t="shared" si="351"/>
        <v>-0,0013121495078551-0,00663134802487357i</v>
      </c>
      <c r="BG392" s="20">
        <f t="shared" si="352"/>
        <v>-43.401169391182499</v>
      </c>
      <c r="BH392" s="43">
        <f t="shared" si="353"/>
        <v>-101.19257725188422</v>
      </c>
      <c r="BI392" s="41" t="str">
        <f t="shared" si="357"/>
        <v>0,012147223829198-0,00524322597955006i</v>
      </c>
      <c r="BJ392" s="20">
        <f t="shared" si="354"/>
        <v>-37.568466541652391</v>
      </c>
      <c r="BK392" s="43">
        <f t="shared" si="358"/>
        <v>-23.346952892245763</v>
      </c>
      <c r="BL392">
        <f t="shared" si="355"/>
        <v>-43.401169391182499</v>
      </c>
      <c r="BM392" s="43">
        <f t="shared" si="356"/>
        <v>-101.19257725188422</v>
      </c>
    </row>
    <row r="393" spans="14:65" x14ac:dyDescent="0.35">
      <c r="N393" s="9">
        <v>75</v>
      </c>
      <c r="O393" s="34">
        <f t="shared" si="359"/>
        <v>56234.132519034953</v>
      </c>
      <c r="P393" s="33" t="str">
        <f t="shared" si="309"/>
        <v>59,1053597814893</v>
      </c>
      <c r="Q393" s="4" t="str">
        <f t="shared" si="310"/>
        <v>1+2714,87654794605i</v>
      </c>
      <c r="R393" s="4">
        <f t="shared" si="322"/>
        <v>2714.8767321164805</v>
      </c>
      <c r="S393" s="4">
        <f t="shared" si="323"/>
        <v>1.5704279859377288</v>
      </c>
      <c r="T393" s="4" t="str">
        <f t="shared" si="311"/>
        <v>1+0,459328317767267i</v>
      </c>
      <c r="U393" s="4">
        <f t="shared" si="324"/>
        <v>1.1004465018813534</v>
      </c>
      <c r="V393" s="4">
        <f t="shared" si="325"/>
        <v>0.43058422314259737</v>
      </c>
      <c r="W393" t="str">
        <f t="shared" si="312"/>
        <v>1-16,9598148098683i</v>
      </c>
      <c r="X393" s="4">
        <f t="shared" si="326"/>
        <v>16.989270684318029</v>
      </c>
      <c r="Y393" s="4">
        <f t="shared" si="327"/>
        <v>-1.5119016072619724</v>
      </c>
      <c r="Z393" t="str">
        <f t="shared" si="313"/>
        <v>0,934663684707265+1,58677055228692i</v>
      </c>
      <c r="AA393" s="4">
        <f t="shared" si="328"/>
        <v>1.8415854552845217</v>
      </c>
      <c r="AB393" s="4">
        <f t="shared" si="329"/>
        <v>1.0384782043820109</v>
      </c>
      <c r="AC393" s="47" t="str">
        <f t="shared" si="330"/>
        <v>-0,188581639085069+0,115265450025524i</v>
      </c>
      <c r="AD393" s="20">
        <f t="shared" si="331"/>
        <v>-13.111429126356448</v>
      </c>
      <c r="AE393" s="43">
        <f t="shared" si="332"/>
        <v>148.56576372495789</v>
      </c>
      <c r="AF393" t="str">
        <f t="shared" si="314"/>
        <v>405,634542683733</v>
      </c>
      <c r="AG393" t="str">
        <f t="shared" si="315"/>
        <v>1+2719,70714467461i</v>
      </c>
      <c r="AH393">
        <f t="shared" si="333"/>
        <v>2719.7073285179272</v>
      </c>
      <c r="AI393">
        <f t="shared" si="334"/>
        <v>1.5704286401647778</v>
      </c>
      <c r="AJ393" t="str">
        <f t="shared" si="316"/>
        <v>1+0,459328317767267i</v>
      </c>
      <c r="AK393">
        <f t="shared" si="335"/>
        <v>1.1004465018813534</v>
      </c>
      <c r="AL393">
        <f t="shared" si="336"/>
        <v>0.43058422314259737</v>
      </c>
      <c r="AM393" t="str">
        <f t="shared" si="317"/>
        <v>1-2,47559961049826i</v>
      </c>
      <c r="AN393">
        <f t="shared" si="337"/>
        <v>2.6699425895511566</v>
      </c>
      <c r="AO393">
        <f t="shared" si="338"/>
        <v>-1.1868958337958961</v>
      </c>
      <c r="AP393" s="41" t="str">
        <f t="shared" si="339"/>
        <v>-0,300602376290911-0,318853248718571i</v>
      </c>
      <c r="AQ393">
        <f t="shared" si="340"/>
        <v>-7.1663276615221765</v>
      </c>
      <c r="AR393" s="43">
        <f t="shared" si="341"/>
        <v>-133.3123963950863</v>
      </c>
      <c r="AS393" t="str">
        <f t="shared" si="318"/>
        <v>-0,0000166666666666667</v>
      </c>
      <c r="AT393" t="str">
        <f t="shared" si="319"/>
        <v>0,0782624787580382i</v>
      </c>
      <c r="AU393">
        <f t="shared" si="342"/>
        <v>7.8262478758038198E-2</v>
      </c>
      <c r="AV393">
        <f t="shared" si="343"/>
        <v>1.5707963267948966</v>
      </c>
      <c r="AW393" t="str">
        <f t="shared" si="320"/>
        <v>1+2,78994696223286i</v>
      </c>
      <c r="AX393">
        <f t="shared" si="344"/>
        <v>2.9637483111884459</v>
      </c>
      <c r="AY393">
        <f t="shared" si="345"/>
        <v>1.2266315326714048</v>
      </c>
      <c r="AZ393" t="str">
        <f t="shared" si="321"/>
        <v>1+411,982168089718i</v>
      </c>
      <c r="BA393">
        <f t="shared" si="346"/>
        <v>411.98338173269161</v>
      </c>
      <c r="BB393">
        <f t="shared" si="347"/>
        <v>1.5683690420395096</v>
      </c>
      <c r="BC393" s="41" t="str">
        <f t="shared" si="348"/>
        <v>-0,00992064435077869+0,0278910301539757i</v>
      </c>
      <c r="BD393">
        <f t="shared" si="349"/>
        <v>-30.57332941330035</v>
      </c>
      <c r="BE393" s="43">
        <f t="shared" si="350"/>
        <v>109.58011698810482</v>
      </c>
      <c r="BF393" s="41" t="str">
        <f t="shared" si="351"/>
        <v>-0,00134402076992359-0,0064032437178435i</v>
      </c>
      <c r="BG393" s="20">
        <f t="shared" si="352"/>
        <v>-43.684758539656798</v>
      </c>
      <c r="BH393" s="43">
        <f t="shared" si="353"/>
        <v>-101.85411928693725</v>
      </c>
      <c r="BI393" s="41" t="str">
        <f t="shared" si="357"/>
        <v>0,0118753148408839-0,00522088026085923i</v>
      </c>
      <c r="BJ393" s="20">
        <f t="shared" si="354"/>
        <v>-37.739657074822496</v>
      </c>
      <c r="BK393" s="43">
        <f t="shared" si="358"/>
        <v>-23.732279406981416</v>
      </c>
      <c r="BL393">
        <f t="shared" si="355"/>
        <v>-43.684758539656798</v>
      </c>
      <c r="BM393" s="43">
        <f t="shared" si="356"/>
        <v>-101.85411928693725</v>
      </c>
    </row>
    <row r="394" spans="14:65" x14ac:dyDescent="0.35">
      <c r="N394" s="9">
        <v>76</v>
      </c>
      <c r="O394" s="34">
        <f t="shared" si="359"/>
        <v>57543.993733715732</v>
      </c>
      <c r="P394" s="33" t="str">
        <f t="shared" si="309"/>
        <v>59,1053597814893</v>
      </c>
      <c r="Q394" s="4" t="str">
        <f t="shared" si="310"/>
        <v>1+2778,11414642056i</v>
      </c>
      <c r="R394" s="4">
        <f t="shared" si="322"/>
        <v>2778.1143263987601</v>
      </c>
      <c r="S394" s="4">
        <f t="shared" si="323"/>
        <v>1.5704363703985409</v>
      </c>
      <c r="T394" s="4" t="str">
        <f t="shared" si="311"/>
        <v>1+0,470027448727352i</v>
      </c>
      <c r="U394" s="4">
        <f t="shared" si="324"/>
        <v>1.1049551133675719</v>
      </c>
      <c r="V394" s="4">
        <f t="shared" si="325"/>
        <v>0.43938336941851525</v>
      </c>
      <c r="W394" t="str">
        <f t="shared" si="312"/>
        <v>1-17,3548596453176i</v>
      </c>
      <c r="X394" s="4">
        <f t="shared" si="326"/>
        <v>17.383646145405553</v>
      </c>
      <c r="Y394" s="4">
        <f t="shared" si="327"/>
        <v>-1.513239221580565</v>
      </c>
      <c r="Z394" t="str">
        <f t="shared" si="313"/>
        <v>0,931584479032522+1,62373118651267i</v>
      </c>
      <c r="AA394" s="4">
        <f t="shared" si="328"/>
        <v>1.8719916152665157</v>
      </c>
      <c r="AB394" s="4">
        <f t="shared" si="329"/>
        <v>1.0499164602303599</v>
      </c>
      <c r="AC394" s="47" t="str">
        <f t="shared" si="330"/>
        <v>-0,185808949822769+0,114590310508438i</v>
      </c>
      <c r="AD394" s="20">
        <f t="shared" si="331"/>
        <v>-13.218832777748675</v>
      </c>
      <c r="AE394" s="43">
        <f t="shared" si="332"/>
        <v>148.33743383549546</v>
      </c>
      <c r="AF394" t="str">
        <f t="shared" si="314"/>
        <v>405,634542683733</v>
      </c>
      <c r="AG394" t="str">
        <f t="shared" si="315"/>
        <v>1+2783,05726220143i</v>
      </c>
      <c r="AH394">
        <f t="shared" si="333"/>
        <v>2783.0574418599626</v>
      </c>
      <c r="AI394">
        <f t="shared" si="334"/>
        <v>1.5704370097335678</v>
      </c>
      <c r="AJ394" t="str">
        <f t="shared" si="316"/>
        <v>1+0,470027448727352i</v>
      </c>
      <c r="AK394">
        <f t="shared" si="335"/>
        <v>1.1049551133675719</v>
      </c>
      <c r="AL394">
        <f t="shared" si="336"/>
        <v>0.43938336941851525</v>
      </c>
      <c r="AM394" t="str">
        <f t="shared" si="317"/>
        <v>1-2,53326373311584i</v>
      </c>
      <c r="AN394">
        <f t="shared" si="337"/>
        <v>2.723495023222918</v>
      </c>
      <c r="AO394">
        <f t="shared" si="338"/>
        <v>-1.1948259898072435</v>
      </c>
      <c r="AP394" s="41" t="str">
        <f t="shared" si="339"/>
        <v>-0,300604846287612-0,319406152726344i</v>
      </c>
      <c r="AQ394">
        <f t="shared" si="340"/>
        <v>-7.1583203398331108</v>
      </c>
      <c r="AR394" s="43">
        <f t="shared" si="341"/>
        <v>-133.26308646145654</v>
      </c>
      <c r="AS394" t="str">
        <f t="shared" si="318"/>
        <v>-0,0000166666666666667</v>
      </c>
      <c r="AT394" t="str">
        <f t="shared" si="319"/>
        <v>0,0800854460716219i</v>
      </c>
      <c r="AU394">
        <f t="shared" si="342"/>
        <v>8.0085446071621894E-2</v>
      </c>
      <c r="AV394">
        <f t="shared" si="343"/>
        <v>1.5707963267948966</v>
      </c>
      <c r="AW394" t="str">
        <f t="shared" si="320"/>
        <v>1+2,85493317528786i</v>
      </c>
      <c r="AX394">
        <f t="shared" si="344"/>
        <v>3.0250030471652791</v>
      </c>
      <c r="AY394">
        <f t="shared" si="345"/>
        <v>1.2338801954706224</v>
      </c>
      <c r="AZ394" t="str">
        <f t="shared" si="321"/>
        <v>1+421,578465550841i</v>
      </c>
      <c r="BA394">
        <f t="shared" si="346"/>
        <v>421.5796515680064</v>
      </c>
      <c r="BB394">
        <f t="shared" si="347"/>
        <v>1.5684242935764094</v>
      </c>
      <c r="BC394" s="41" t="str">
        <f t="shared" si="348"/>
        <v>-0,00952293646486269+0,0273954582946271i</v>
      </c>
      <c r="BD394">
        <f t="shared" si="349"/>
        <v>-30.751020503911768</v>
      </c>
      <c r="BE394" s="43">
        <f t="shared" si="350"/>
        <v>109.16796488247209</v>
      </c>
      <c r="BF394" s="41" t="str">
        <f t="shared" si="351"/>
        <v>-0,00136980724873719-0,00618155758209887i</v>
      </c>
      <c r="BG394" s="20">
        <f t="shared" si="352"/>
        <v>-43.969853281660448</v>
      </c>
      <c r="BH394" s="43">
        <f t="shared" si="353"/>
        <v>-102.49460128203239</v>
      </c>
      <c r="BI394" s="41" t="str">
        <f t="shared" si="357"/>
        <v>0,0116129187882886-0,00519352303073586i</v>
      </c>
      <c r="BJ394" s="20">
        <f t="shared" si="354"/>
        <v>-37.909340843744879</v>
      </c>
      <c r="BK394" s="43">
        <f t="shared" si="358"/>
        <v>-24.095121578984443</v>
      </c>
      <c r="BL394">
        <f t="shared" si="355"/>
        <v>-43.969853281660448</v>
      </c>
      <c r="BM394" s="43">
        <f t="shared" si="356"/>
        <v>-102.49460128203239</v>
      </c>
    </row>
    <row r="395" spans="14:65" x14ac:dyDescent="0.35">
      <c r="N395" s="9">
        <v>77</v>
      </c>
      <c r="O395" s="34">
        <f t="shared" si="359"/>
        <v>58884.365535558936</v>
      </c>
      <c r="P395" s="33" t="str">
        <f t="shared" si="309"/>
        <v>59,1053597814893</v>
      </c>
      <c r="Q395" s="4" t="str">
        <f t="shared" si="310"/>
        <v>1+2842,82473778818i</v>
      </c>
      <c r="R395" s="4">
        <f t="shared" si="322"/>
        <v>2842.8249136695758</v>
      </c>
      <c r="S395" s="4">
        <f t="shared" si="323"/>
        <v>1.5704445640057729</v>
      </c>
      <c r="T395" s="4" t="str">
        <f t="shared" si="311"/>
        <v>1+0,480975794462301i</v>
      </c>
      <c r="U395" s="4">
        <f t="shared" si="324"/>
        <v>1.1096565751883065</v>
      </c>
      <c r="V395" s="4">
        <f t="shared" si="325"/>
        <v>0.44831274412635397</v>
      </c>
      <c r="W395" t="str">
        <f t="shared" si="312"/>
        <v>1-17,7591062570696i</v>
      </c>
      <c r="X395" s="4">
        <f t="shared" si="326"/>
        <v>17.787238544807582</v>
      </c>
      <c r="Y395" s="4">
        <f t="shared" si="327"/>
        <v>-1.5145465873499824</v>
      </c>
      <c r="Z395" t="str">
        <f t="shared" si="313"/>
        <v>0,928360154865179+1,66155274450613i</v>
      </c>
      <c r="AA395" s="4">
        <f t="shared" si="328"/>
        <v>1.9033155544778042</v>
      </c>
      <c r="AB395" s="4">
        <f t="shared" si="329"/>
        <v>1.0612749747629859</v>
      </c>
      <c r="AC395" s="47" t="str">
        <f t="shared" si="330"/>
        <v>-0,183089811064709+0,113861962315918i</v>
      </c>
      <c r="AD395" s="20">
        <f t="shared" si="331"/>
        <v>-13.326738480572724</v>
      </c>
      <c r="AE395" s="43">
        <f t="shared" si="332"/>
        <v>148.12287837570724</v>
      </c>
      <c r="AF395" t="str">
        <f t="shared" si="314"/>
        <v>405,634542683733</v>
      </c>
      <c r="AG395" t="str">
        <f t="shared" si="315"/>
        <v>1+2847,88299352678i</v>
      </c>
      <c r="AH395">
        <f t="shared" si="333"/>
        <v>2847.883169095785</v>
      </c>
      <c r="AI395">
        <f t="shared" si="334"/>
        <v>1.5704451887877615</v>
      </c>
      <c r="AJ395" t="str">
        <f t="shared" si="316"/>
        <v>1+0,480975794462301i</v>
      </c>
      <c r="AK395">
        <f t="shared" si="335"/>
        <v>1.1096565751883065</v>
      </c>
      <c r="AL395">
        <f t="shared" si="336"/>
        <v>0.44831274412635397</v>
      </c>
      <c r="AM395" t="str">
        <f t="shared" si="317"/>
        <v>1-2,59227102569642i</v>
      </c>
      <c r="AN395">
        <f t="shared" si="337"/>
        <v>2.7784652365407001</v>
      </c>
      <c r="AO395">
        <f t="shared" si="338"/>
        <v>-1.2026239055176262</v>
      </c>
      <c r="AP395" s="41" t="str">
        <f t="shared" si="339"/>
        <v>-0,300607205116176-0,320128410024222i</v>
      </c>
      <c r="AQ395">
        <f t="shared" si="340"/>
        <v>-7.1478735900020709</v>
      </c>
      <c r="AR395" s="43">
        <f t="shared" si="341"/>
        <v>-133.19872726149597</v>
      </c>
      <c r="AS395" t="str">
        <f t="shared" si="318"/>
        <v>-0,0000166666666666667</v>
      </c>
      <c r="AT395" t="str">
        <f t="shared" si="319"/>
        <v>0,0819508757487689i</v>
      </c>
      <c r="AU395">
        <f t="shared" si="342"/>
        <v>8.19508757487689E-2</v>
      </c>
      <c r="AV395">
        <f t="shared" si="343"/>
        <v>1.5707963267948966</v>
      </c>
      <c r="AW395" t="str">
        <f t="shared" si="320"/>
        <v>1+2,92143311170191i</v>
      </c>
      <c r="AX395">
        <f t="shared" si="344"/>
        <v>3.0878425196483552</v>
      </c>
      <c r="AY395">
        <f t="shared" si="345"/>
        <v>1.2409996044040599</v>
      </c>
      <c r="AZ395" t="str">
        <f t="shared" si="321"/>
        <v>1+431,398289494648i</v>
      </c>
      <c r="BA395">
        <f t="shared" si="346"/>
        <v>431.39944851484006</v>
      </c>
      <c r="BB395">
        <f t="shared" si="347"/>
        <v>1.5684782874487773</v>
      </c>
      <c r="BC395" s="41" t="str">
        <f t="shared" si="348"/>
        <v>-0,00913928526997105+0,0269031844739551i</v>
      </c>
      <c r="BD395">
        <f t="shared" si="349"/>
        <v>-30.929608137520908</v>
      </c>
      <c r="BE395" s="43">
        <f t="shared" si="350"/>
        <v>108.76314641896457</v>
      </c>
      <c r="BF395" s="41" t="str">
        <f t="shared" si="351"/>
        <v>-0,00138993936340619-0,00596631591737932i</v>
      </c>
      <c r="BG395" s="20">
        <f t="shared" si="352"/>
        <v>-44.25634661809363</v>
      </c>
      <c r="BH395" s="43">
        <f t="shared" si="353"/>
        <v>-103.11397520532822</v>
      </c>
      <c r="BI395" s="41" t="str">
        <f t="shared" si="357"/>
        <v>0,011359808672001-0,00516154623120692i</v>
      </c>
      <c r="BJ395" s="20">
        <f t="shared" si="354"/>
        <v>-38.077481727522986</v>
      </c>
      <c r="BK395" s="43">
        <f t="shared" si="358"/>
        <v>-24.435580842531447</v>
      </c>
      <c r="BL395">
        <f t="shared" si="355"/>
        <v>-44.25634661809363</v>
      </c>
      <c r="BM395" s="43">
        <f t="shared" si="356"/>
        <v>-103.11397520532822</v>
      </c>
    </row>
    <row r="396" spans="14:65" x14ac:dyDescent="0.35">
      <c r="N396" s="9">
        <v>78</v>
      </c>
      <c r="O396" s="34">
        <f t="shared" si="359"/>
        <v>60255.95860743591</v>
      </c>
      <c r="P396" s="33" t="str">
        <f t="shared" si="309"/>
        <v>59,1053597814893</v>
      </c>
      <c r="Q396" s="4" t="str">
        <f t="shared" si="310"/>
        <v>1+2909,04263246103i</v>
      </c>
      <c r="R396" s="4">
        <f t="shared" si="322"/>
        <v>2909.0428043388774</v>
      </c>
      <c r="S396" s="4">
        <f t="shared" si="323"/>
        <v>1.5704525711037796</v>
      </c>
      <c r="T396" s="4" t="str">
        <f t="shared" si="311"/>
        <v>1+0,492179159929942i</v>
      </c>
      <c r="U396" s="4">
        <f t="shared" si="324"/>
        <v>1.1145583544477802</v>
      </c>
      <c r="V396" s="4">
        <f t="shared" si="325"/>
        <v>0.4573713849593517</v>
      </c>
      <c r="W396" t="str">
        <f t="shared" si="312"/>
        <v>1-18,1727689820287i</v>
      </c>
      <c r="X396" s="4">
        <f t="shared" si="326"/>
        <v>18.20026187927483</v>
      </c>
      <c r="Y396" s="4">
        <f t="shared" si="327"/>
        <v>-1.515824379866292</v>
      </c>
      <c r="Z396" t="str">
        <f t="shared" si="313"/>
        <v>0,924983872981384+1,70025527975798i</v>
      </c>
      <c r="AA396" s="4">
        <f t="shared" si="328"/>
        <v>1.93557825510118</v>
      </c>
      <c r="AB396" s="4">
        <f t="shared" si="329"/>
        <v>1.0725508867243865</v>
      </c>
      <c r="AC396" s="47" t="str">
        <f t="shared" si="330"/>
        <v>-0,180425428090814+0,113083407843146i</v>
      </c>
      <c r="AD396" s="20">
        <f t="shared" si="331"/>
        <v>-13.43507064434203</v>
      </c>
      <c r="AE396" s="43">
        <f t="shared" si="332"/>
        <v>147.9221672068135</v>
      </c>
      <c r="AF396" t="str">
        <f t="shared" si="314"/>
        <v>405,634542683733</v>
      </c>
      <c r="AG396" t="str">
        <f t="shared" si="315"/>
        <v>1+2914,2187101115i</v>
      </c>
      <c r="AH396">
        <f t="shared" si="333"/>
        <v>2914.2188816840676</v>
      </c>
      <c r="AI396">
        <f t="shared" si="334"/>
        <v>1.5704531816639973</v>
      </c>
      <c r="AJ396" t="str">
        <f t="shared" si="316"/>
        <v>1+0,492179159929942i</v>
      </c>
      <c r="AK396">
        <f t="shared" si="335"/>
        <v>1.1145583544477802</v>
      </c>
      <c r="AL396">
        <f t="shared" si="336"/>
        <v>0.4573713849593517</v>
      </c>
      <c r="AM396" t="str">
        <f t="shared" si="317"/>
        <v>1-2,6526527746876i</v>
      </c>
      <c r="AN396">
        <f t="shared" si="337"/>
        <v>2.8348839029240378</v>
      </c>
      <c r="AO396">
        <f t="shared" si="338"/>
        <v>-1.2102899210864657</v>
      </c>
      <c r="AP396" s="41" t="str">
        <f t="shared" si="339"/>
        <v>-0,300609457779992-0,32102040356792i</v>
      </c>
      <c r="AQ396">
        <f t="shared" si="340"/>
        <v>-7.1349829409369248</v>
      </c>
      <c r="AR396" s="43">
        <f t="shared" si="341"/>
        <v>-133.11939366949076</v>
      </c>
      <c r="AS396" t="str">
        <f t="shared" si="318"/>
        <v>-0,0000166666666666667</v>
      </c>
      <c r="AT396" t="str">
        <f t="shared" si="319"/>
        <v>0,0838597568649862i</v>
      </c>
      <c r="AU396">
        <f t="shared" si="342"/>
        <v>8.3859756864986201E-2</v>
      </c>
      <c r="AV396">
        <f t="shared" si="343"/>
        <v>1.5707963267948966</v>
      </c>
      <c r="AW396" t="str">
        <f t="shared" si="320"/>
        <v>1+2,98948203062153i</v>
      </c>
      <c r="AX396">
        <f t="shared" si="344"/>
        <v>3.152301193003141</v>
      </c>
      <c r="AY396">
        <f t="shared" si="345"/>
        <v>1.2479906465162107</v>
      </c>
      <c r="AZ396" t="str">
        <f t="shared" si="321"/>
        <v>1+441,446846521779i</v>
      </c>
      <c r="BA396">
        <f t="shared" si="346"/>
        <v>441.44797915951892</v>
      </c>
      <c r="BB396">
        <f t="shared" si="347"/>
        <v>1.5685310522836184</v>
      </c>
      <c r="BC396" s="41" t="str">
        <f t="shared" si="348"/>
        <v>-0,00876934400657397+0,0264145408425207i</v>
      </c>
      <c r="BD396">
        <f t="shared" si="349"/>
        <v>-31.109060451611853</v>
      </c>
      <c r="BE396" s="43">
        <f t="shared" si="350"/>
        <v>108.36561241388333</v>
      </c>
      <c r="BF396" s="41" t="str">
        <f t="shared" si="351"/>
        <v>-0,00140483364862248-0,00575752214414634i</v>
      </c>
      <c r="BG396" s="20">
        <f t="shared" si="352"/>
        <v>-44.544131095953887</v>
      </c>
      <c r="BH396" s="43">
        <f t="shared" si="353"/>
        <v>-103.71222037930313</v>
      </c>
      <c r="BI396" s="41" t="str">
        <f t="shared" si="357"/>
        <v>0,0111157543082297-0,0051253224481613i</v>
      </c>
      <c r="BJ396" s="20">
        <f t="shared" si="354"/>
        <v>-38.244043392548789</v>
      </c>
      <c r="BK396" s="43">
        <f t="shared" si="358"/>
        <v>-24.753781255607475</v>
      </c>
      <c r="BL396">
        <f t="shared" si="355"/>
        <v>-44.544131095953887</v>
      </c>
      <c r="BM396" s="43">
        <f t="shared" si="356"/>
        <v>-103.71222037930313</v>
      </c>
    </row>
    <row r="397" spans="14:65" x14ac:dyDescent="0.35">
      <c r="N397" s="9">
        <v>79</v>
      </c>
      <c r="O397" s="34">
        <f t="shared" si="359"/>
        <v>61659.500186148245</v>
      </c>
      <c r="P397" s="33" t="str">
        <f t="shared" si="309"/>
        <v>59,1053597814893</v>
      </c>
      <c r="Q397" s="4" t="str">
        <f t="shared" si="310"/>
        <v>1+2976,80294004332i</v>
      </c>
      <c r="R397" s="4">
        <f t="shared" si="322"/>
        <v>2976.8031080087499</v>
      </c>
      <c r="S397" s="4">
        <f t="shared" si="323"/>
        <v>1.5704603959380261</v>
      </c>
      <c r="T397" s="4" t="str">
        <f t="shared" si="311"/>
        <v>1+0,503643485302937i</v>
      </c>
      <c r="U397" s="4">
        <f t="shared" si="324"/>
        <v>1.119668147393722</v>
      </c>
      <c r="V397" s="4">
        <f t="shared" si="325"/>
        <v>0.46655814721125727</v>
      </c>
      <c r="W397" t="str">
        <f t="shared" si="312"/>
        <v>1-18,5960671496469i</v>
      </c>
      <c r="X397" s="4">
        <f t="shared" si="326"/>
        <v>18.622935145518188</v>
      </c>
      <c r="Y397" s="4">
        <f t="shared" si="327"/>
        <v>-1.5170732599319829</v>
      </c>
      <c r="Z397" t="str">
        <f t="shared" si="313"/>
        <v>0,921448471834595+1,73985931286469i</v>
      </c>
      <c r="AA397" s="4">
        <f t="shared" si="328"/>
        <v>1.9688010856377294</v>
      </c>
      <c r="AB397" s="4">
        <f t="shared" si="329"/>
        <v>1.0837415601247407</v>
      </c>
      <c r="AC397" s="47" t="str">
        <f t="shared" si="330"/>
        <v>-0,177816841368629+0,112257658171864i</v>
      </c>
      <c r="AD397" s="20">
        <f t="shared" si="331"/>
        <v>-13.543752620867998</v>
      </c>
      <c r="AE397" s="43">
        <f t="shared" si="332"/>
        <v>147.73534766862835</v>
      </c>
      <c r="AF397" t="str">
        <f t="shared" si="314"/>
        <v>405,634542683733</v>
      </c>
      <c r="AG397" t="str">
        <f t="shared" si="315"/>
        <v>1+2982,09958403055i</v>
      </c>
      <c r="AH397">
        <f t="shared" si="333"/>
        <v>2982.099751697649</v>
      </c>
      <c r="AI397">
        <f t="shared" si="334"/>
        <v>1.5704609926001998</v>
      </c>
      <c r="AJ397" t="str">
        <f t="shared" si="316"/>
        <v>1+0,503643485302937i</v>
      </c>
      <c r="AK397">
        <f t="shared" si="335"/>
        <v>1.119668147393722</v>
      </c>
      <c r="AL397">
        <f t="shared" si="336"/>
        <v>0.46655814721125727</v>
      </c>
      <c r="AM397" t="str">
        <f t="shared" si="317"/>
        <v>1-2,71444099529191i</v>
      </c>
      <c r="AN397">
        <f t="shared" si="337"/>
        <v>2.8927823832637904</v>
      </c>
      <c r="AO397">
        <f t="shared" si="338"/>
        <v>-1.2178244960071467</v>
      </c>
      <c r="AP397" s="41" t="str">
        <f t="shared" si="339"/>
        <v>-0,300611609057258-0,322082606309196i</v>
      </c>
      <c r="AQ397">
        <f t="shared" si="340"/>
        <v>-7.1196429586989218</v>
      </c>
      <c r="AR397" s="43">
        <f t="shared" si="341"/>
        <v>-133.02517784212515</v>
      </c>
      <c r="AS397" t="str">
        <f t="shared" si="318"/>
        <v>-0,0000166666666666667</v>
      </c>
      <c r="AT397" t="str">
        <f t="shared" si="319"/>
        <v>0,0858131015343081i</v>
      </c>
      <c r="AU397">
        <f t="shared" si="342"/>
        <v>8.5813101534308101E-2</v>
      </c>
      <c r="AV397">
        <f t="shared" si="343"/>
        <v>1.5707963267948966</v>
      </c>
      <c r="AW397" t="str">
        <f t="shared" si="320"/>
        <v>1+3,05911601248425i</v>
      </c>
      <c r="AX397">
        <f t="shared" si="344"/>
        <v>3.2184143266269394</v>
      </c>
      <c r="AY397">
        <f t="shared" si="345"/>
        <v>1.2548542941691816</v>
      </c>
      <c r="AZ397" t="str">
        <f t="shared" si="321"/>
        <v>1+451,729464510173i</v>
      </c>
      <c r="BA397">
        <f t="shared" si="346"/>
        <v>451.73057136599431</v>
      </c>
      <c r="BB397">
        <f t="shared" si="347"/>
        <v>1.5685826160563714</v>
      </c>
      <c r="BC397" s="41" t="str">
        <f t="shared" si="348"/>
        <v>-0,00841276222040492+0,0259298361547221i</v>
      </c>
      <c r="BD397">
        <f t="shared" si="349"/>
        <v>-31.289346383908132</v>
      </c>
      <c r="BE397" s="43">
        <f t="shared" si="350"/>
        <v>107.97530875785765</v>
      </c>
      <c r="BF397" s="41" t="str">
        <f t="shared" si="351"/>
        <v>-0,0014148918782915-0,00555515854785815i</v>
      </c>
      <c r="BG397" s="20">
        <f t="shared" si="352"/>
        <v>-44.83309900477613</v>
      </c>
      <c r="BH397" s="43">
        <f t="shared" si="353"/>
        <v>-104.28934357351403</v>
      </c>
      <c r="BI397" s="41" t="str">
        <f t="shared" si="357"/>
        <v>0,0108805231975753-0,00508520538685452i</v>
      </c>
      <c r="BJ397" s="20">
        <f t="shared" si="354"/>
        <v>-38.408989342607086</v>
      </c>
      <c r="BK397" s="43">
        <f t="shared" si="358"/>
        <v>-25.049869084267591</v>
      </c>
      <c r="BL397">
        <f t="shared" si="355"/>
        <v>-44.83309900477613</v>
      </c>
      <c r="BM397" s="43">
        <f t="shared" si="356"/>
        <v>-104.28934357351403</v>
      </c>
    </row>
    <row r="398" spans="14:65" x14ac:dyDescent="0.35">
      <c r="N398" s="9">
        <v>80</v>
      </c>
      <c r="O398" s="34">
        <f t="shared" si="359"/>
        <v>63095.734448019342</v>
      </c>
      <c r="P398" s="33" t="str">
        <f t="shared" si="309"/>
        <v>59,1053597814893</v>
      </c>
      <c r="Q398" s="4" t="str">
        <f t="shared" si="310"/>
        <v>1+3046,14158794707i</v>
      </c>
      <c r="R398" s="4">
        <f t="shared" si="322"/>
        <v>3046.14175208914</v>
      </c>
      <c r="S398" s="4">
        <f t="shared" si="323"/>
        <v>1.5704680426573394</v>
      </c>
      <c r="T398" s="4" t="str">
        <f t="shared" si="311"/>
        <v>1+0,51537484911835i</v>
      </c>
      <c r="U398" s="4">
        <f t="shared" si="324"/>
        <v>1.1249938822517045</v>
      </c>
      <c r="V398" s="4">
        <f t="shared" si="325"/>
        <v>0.47587169822813785</v>
      </c>
      <c r="W398" t="str">
        <f t="shared" si="312"/>
        <v>1-19,029225198216i</v>
      </c>
      <c r="X398" s="4">
        <f t="shared" si="326"/>
        <v>19.055482456354095</v>
      </c>
      <c r="Y398" s="4">
        <f t="shared" si="327"/>
        <v>-1.5182938741279266</v>
      </c>
      <c r="Z398" t="str">
        <f t="shared" si="313"/>
        <v>0,91774645236498+1,78038584240885i</v>
      </c>
      <c r="AA398" s="4">
        <f t="shared" si="328"/>
        <v>2.0030058159372324</v>
      </c>
      <c r="AB398" s="4">
        <f t="shared" si="329"/>
        <v>1.0948445851126556</v>
      </c>
      <c r="AC398" s="47" t="str">
        <f t="shared" si="330"/>
        <v>-0,175264929309173+0,111387722233675i</v>
      </c>
      <c r="AD398" s="20">
        <f t="shared" si="331"/>
        <v>-13.652706893974489</v>
      </c>
      <c r="AE398" s="43">
        <f t="shared" si="332"/>
        <v>147.56244419595438</v>
      </c>
      <c r="AF398" t="str">
        <f t="shared" si="314"/>
        <v>405,634542683733</v>
      </c>
      <c r="AG398" t="str">
        <f t="shared" si="315"/>
        <v>1+3051,56160662181i</v>
      </c>
      <c r="AH398">
        <f t="shared" si="333"/>
        <v>3051.5617704723404</v>
      </c>
      <c r="AI398">
        <f t="shared" si="334"/>
        <v>1.5704686257378266</v>
      </c>
      <c r="AJ398" t="str">
        <f t="shared" si="316"/>
        <v>1+0,51537484911835i</v>
      </c>
      <c r="AK398">
        <f t="shared" si="335"/>
        <v>1.1249938822517045</v>
      </c>
      <c r="AL398">
        <f t="shared" si="336"/>
        <v>0.47587169822813785</v>
      </c>
      <c r="AM398" t="str">
        <f t="shared" si="317"/>
        <v>1-2,7776684484418i</v>
      </c>
      <c r="AN398">
        <f t="shared" si="337"/>
        <v>2.9521927459888313</v>
      </c>
      <c r="AO398">
        <f t="shared" si="338"/>
        <v>-1.2252282023253911</v>
      </c>
      <c r="AP398" s="41" t="str">
        <f t="shared" si="339"/>
        <v>-0,300613663511119-0,323315581446652i</v>
      </c>
      <c r="AQ398">
        <f t="shared" si="340"/>
        <v>-7.101847295555924</v>
      </c>
      <c r="AR398" s="43">
        <f t="shared" si="341"/>
        <v>-132.91618914793833</v>
      </c>
      <c r="AS398" t="str">
        <f t="shared" si="318"/>
        <v>-0,0000166666666666667</v>
      </c>
      <c r="AT398" t="str">
        <f t="shared" si="319"/>
        <v>0,0878119454459343i</v>
      </c>
      <c r="AU398">
        <f t="shared" si="342"/>
        <v>8.7811945445934306E-2</v>
      </c>
      <c r="AV398">
        <f t="shared" si="343"/>
        <v>1.5707963267948966</v>
      </c>
      <c r="AW398" t="str">
        <f t="shared" si="320"/>
        <v>1+3,13037197814897i</v>
      </c>
      <c r="AX398">
        <f t="shared" si="344"/>
        <v>3.2862179966612528</v>
      </c>
      <c r="AY398">
        <f t="shared" si="345"/>
        <v>1.2615915989306201</v>
      </c>
      <c r="AZ398" t="str">
        <f t="shared" si="321"/>
        <v>1+462,251595439997i</v>
      </c>
      <c r="BA398">
        <f t="shared" si="346"/>
        <v>462.25267710076349</v>
      </c>
      <c r="BB398">
        <f t="shared" si="347"/>
        <v>1.5686330061057334</v>
      </c>
      <c r="BC398" s="41" t="str">
        <f t="shared" si="348"/>
        <v>-0,00806918700345728+0,0254493564199544i</v>
      </c>
      <c r="BD398">
        <f t="shared" si="349"/>
        <v>-31.470435679416244</v>
      </c>
      <c r="BE398" s="43">
        <f t="shared" si="350"/>
        <v>107.59217676689177</v>
      </c>
      <c r="BF398" s="41" t="str">
        <f t="shared" si="351"/>
        <v>-0,00142050035418824-0,00535918801449994i</v>
      </c>
      <c r="BG398" s="20">
        <f t="shared" si="352"/>
        <v>-45.123142573390723</v>
      </c>
      <c r="BH398" s="43">
        <f t="shared" si="353"/>
        <v>-104.84537903715386</v>
      </c>
      <c r="BI398" s="41" t="str">
        <f t="shared" si="357"/>
        <v>0,0106538813350262-0,00504153037957815i</v>
      </c>
      <c r="BJ398" s="20">
        <f t="shared" si="354"/>
        <v>-38.572282974972204</v>
      </c>
      <c r="BK398" s="43">
        <f t="shared" si="358"/>
        <v>-25.324012381046639</v>
      </c>
      <c r="BL398">
        <f t="shared" si="355"/>
        <v>-45.123142573390723</v>
      </c>
      <c r="BM398" s="43">
        <f t="shared" si="356"/>
        <v>-104.84537903715386</v>
      </c>
    </row>
    <row r="399" spans="14:65" x14ac:dyDescent="0.35">
      <c r="N399" s="9">
        <v>81</v>
      </c>
      <c r="O399" s="34">
        <f t="shared" si="359"/>
        <v>64565.422903465682</v>
      </c>
      <c r="P399" s="33" t="str">
        <f t="shared" si="309"/>
        <v>59,1053597814893</v>
      </c>
      <c r="Q399" s="4" t="str">
        <f t="shared" si="310"/>
        <v>1+3117,09534044122i</v>
      </c>
      <c r="R399" s="4">
        <f t="shared" si="322"/>
        <v>3117.0955008469609</v>
      </c>
      <c r="S399" s="4">
        <f t="shared" si="323"/>
        <v>1.5704755153161076</v>
      </c>
      <c r="T399" s="4" t="str">
        <f t="shared" si="311"/>
        <v>1+0,52737947150056i</v>
      </c>
      <c r="U399" s="4">
        <f t="shared" si="324"/>
        <v>1.1305437218260115</v>
      </c>
      <c r="V399" s="4">
        <f t="shared" si="325"/>
        <v>0.48531051224365029</v>
      </c>
      <c r="W399" t="str">
        <f t="shared" si="312"/>
        <v>1-19,4724727938668i</v>
      </c>
      <c r="X399" s="4">
        <f t="shared" si="326"/>
        <v>19.498133159558705</v>
      </c>
      <c r="Y399" s="4">
        <f t="shared" si="327"/>
        <v>-1.5194868550829412</v>
      </c>
      <c r="Z399" t="str">
        <f t="shared" si="313"/>
        <v>0,913869962092905+1,82185635609284i</v>
      </c>
      <c r="AA399" s="4">
        <f t="shared" si="328"/>
        <v>2.0382146329205786</v>
      </c>
      <c r="AB399" s="4">
        <f t="shared" si="329"/>
        <v>1.1058577780031784</v>
      </c>
      <c r="AC399" s="47" t="str">
        <f t="shared" si="330"/>
        <v>-0,172770411795518+0,110476596500007i</v>
      </c>
      <c r="AD399" s="20">
        <f t="shared" si="331"/>
        <v>-13.76185527186966</v>
      </c>
      <c r="AE399" s="43">
        <f t="shared" si="332"/>
        <v>147.40345800549068</v>
      </c>
      <c r="AF399" t="str">
        <f t="shared" si="314"/>
        <v>405,634542683733</v>
      </c>
      <c r="AG399" t="str">
        <f t="shared" si="315"/>
        <v>1+3122,6416075691i</v>
      </c>
      <c r="AH399">
        <f t="shared" si="333"/>
        <v>3122.6417676899368</v>
      </c>
      <c r="AI399">
        <f t="shared" si="334"/>
        <v>1.5704760851240653</v>
      </c>
      <c r="AJ399" t="str">
        <f t="shared" si="316"/>
        <v>1+0,52737947150056i</v>
      </c>
      <c r="AK399">
        <f t="shared" si="335"/>
        <v>1.1305437218260115</v>
      </c>
      <c r="AL399">
        <f t="shared" si="336"/>
        <v>0.48531051224365029</v>
      </c>
      <c r="AM399" t="str">
        <f t="shared" si="317"/>
        <v>1-2,84236865816986i</v>
      </c>
      <c r="AN399">
        <f t="shared" si="337"/>
        <v>3.013147787438633</v>
      </c>
      <c r="AO399">
        <f t="shared" si="338"/>
        <v>-1.2325017179440279</v>
      </c>
      <c r="AP399" s="41" t="str">
        <f t="shared" si="339"/>
        <v>-0,300615625499345-0,324719982724361i</v>
      </c>
      <c r="AQ399">
        <f t="shared" si="340"/>
        <v>-7.0815887477250508</v>
      </c>
      <c r="AR399" s="43">
        <f t="shared" si="341"/>
        <v>-132.79255407976015</v>
      </c>
      <c r="AS399" t="str">
        <f t="shared" si="318"/>
        <v>-0,0000166666666666667</v>
      </c>
      <c r="AT399" t="str">
        <f t="shared" si="319"/>
        <v>0,0898573484133646i</v>
      </c>
      <c r="AU399">
        <f t="shared" si="342"/>
        <v>8.9857348413364596E-2</v>
      </c>
      <c r="AV399">
        <f t="shared" si="343"/>
        <v>1.5707963267948966</v>
      </c>
      <c r="AW399" t="str">
        <f t="shared" si="320"/>
        <v>1+3,20328770847189i</v>
      </c>
      <c r="AX399">
        <f t="shared" si="344"/>
        <v>3.3557491180431076</v>
      </c>
      <c r="AY399">
        <f t="shared" si="345"/>
        <v>1.268203685639943</v>
      </c>
      <c r="AZ399" t="str">
        <f t="shared" si="321"/>
        <v>1+473,018818284348i</v>
      </c>
      <c r="BA399">
        <f t="shared" si="346"/>
        <v>473.01987532356515</v>
      </c>
      <c r="BB399">
        <f t="shared" si="347"/>
        <v>1.5686822491481514</v>
      </c>
      <c r="BC399" s="41" t="str">
        <f t="shared" si="348"/>
        <v>-0,0077382641461077+0,0249733655970797i</v>
      </c>
      <c r="BD399">
        <f t="shared" si="349"/>
        <v>-31.652298894722595</v>
      </c>
      <c r="BE399" s="43">
        <f t="shared" si="350"/>
        <v>107.216153523174</v>
      </c>
      <c r="BF399" s="41" t="str">
        <f t="shared" si="351"/>
        <v>-0,00142202935121021-0,00516955574380749i</v>
      </c>
      <c r="BG399" s="20">
        <f t="shared" si="352"/>
        <v>-45.414154166592269</v>
      </c>
      <c r="BH399" s="43">
        <f t="shared" si="353"/>
        <v>-105.38038847133531</v>
      </c>
      <c r="BI399" s="41" t="str">
        <f t="shared" si="357"/>
        <v>0,0104355939618142-0,0049946149199493i</v>
      </c>
      <c r="BJ399" s="20">
        <f t="shared" si="354"/>
        <v>-38.733887642447641</v>
      </c>
      <c r="BK399" s="43">
        <f t="shared" si="358"/>
        <v>-25.576400556586115</v>
      </c>
      <c r="BL399">
        <f t="shared" si="355"/>
        <v>-45.414154166592269</v>
      </c>
      <c r="BM399" s="43">
        <f t="shared" si="356"/>
        <v>-105.38038847133531</v>
      </c>
    </row>
    <row r="400" spans="14:65" x14ac:dyDescent="0.35">
      <c r="N400" s="9">
        <v>82</v>
      </c>
      <c r="O400" s="34">
        <f t="shared" si="359"/>
        <v>66069.344800759733</v>
      </c>
      <c r="P400" s="33" t="str">
        <f t="shared" si="309"/>
        <v>59,1053597814893</v>
      </c>
      <c r="Q400" s="4" t="str">
        <f t="shared" si="310"/>
        <v>1+3189,70181814449i</v>
      </c>
      <c r="R400" s="4">
        <f t="shared" si="322"/>
        <v>3189.7019748989505</v>
      </c>
      <c r="S400" s="4">
        <f t="shared" si="323"/>
        <v>1.5704828178764301</v>
      </c>
      <c r="T400" s="4" t="str">
        <f t="shared" si="311"/>
        <v>1+0,539663717459251i</v>
      </c>
      <c r="U400" s="4">
        <f t="shared" si="324"/>
        <v>1.1363260658551921</v>
      </c>
      <c r="V400" s="4">
        <f t="shared" si="325"/>
        <v>0.49487286565216271</v>
      </c>
      <c r="W400" t="str">
        <f t="shared" si="312"/>
        <v>1-19,9260449523416i</v>
      </c>
      <c r="X400" s="4">
        <f t="shared" si="326"/>
        <v>19.951121959497371</v>
      </c>
      <c r="Y400" s="4">
        <f t="shared" si="327"/>
        <v>-1.520652821740776</v>
      </c>
      <c r="Z400" t="str">
        <f t="shared" si="313"/>
        <v>0,909810778462775+1,86429284213196i</v>
      </c>
      <c r="AA400" s="4">
        <f t="shared" si="328"/>
        <v>2.0744501569889557</v>
      </c>
      <c r="AB400" s="4">
        <f t="shared" si="329"/>
        <v>1.1167791805050633</v>
      </c>
      <c r="AC400" s="47" t="str">
        <f t="shared" si="330"/>
        <v>-0,170333854410177+0,109527255250177i</v>
      </c>
      <c r="AD400" s="20">
        <f t="shared" si="331"/>
        <v>-13.871119081571193</v>
      </c>
      <c r="AE400" s="43">
        <f t="shared" si="332"/>
        <v>147.25836685385653</v>
      </c>
      <c r="AF400" t="str">
        <f t="shared" si="314"/>
        <v>405,634542683733</v>
      </c>
      <c r="AG400" t="str">
        <f t="shared" si="315"/>
        <v>1+3195,37727442977i</v>
      </c>
      <c r="AH400">
        <f t="shared" si="333"/>
        <v>3195.3774309058117</v>
      </c>
      <c r="AI400">
        <f t="shared" si="334"/>
        <v>1.5704833747139777</v>
      </c>
      <c r="AJ400" t="str">
        <f t="shared" si="316"/>
        <v>1+0,539663717459251i</v>
      </c>
      <c r="AK400">
        <f t="shared" si="335"/>
        <v>1.1363260658551921</v>
      </c>
      <c r="AL400">
        <f t="shared" si="336"/>
        <v>0.49487286565216271</v>
      </c>
      <c r="AM400" t="str">
        <f t="shared" si="317"/>
        <v>1-2,90857592938367i</v>
      </c>
      <c r="AN400">
        <f t="shared" si="337"/>
        <v>3.0756810525459368</v>
      </c>
      <c r="AO400">
        <f t="shared" si="338"/>
        <v>-1.2396458200373097</v>
      </c>
      <c r="AP400" s="41" t="str">
        <f t="shared" si="339"/>
        <v>-0,300617499183571-0,326296554778514i</v>
      </c>
      <c r="AQ400">
        <f t="shared" si="340"/>
        <v>-7.0588593214990771</v>
      </c>
      <c r="AR400" s="43">
        <f t="shared" si="341"/>
        <v>-132.65441614833182</v>
      </c>
      <c r="AS400" t="str">
        <f t="shared" si="318"/>
        <v>-0,0000166666666666667</v>
      </c>
      <c r="AT400" t="str">
        <f t="shared" si="319"/>
        <v>0,0919503949363261i</v>
      </c>
      <c r="AU400">
        <f t="shared" si="342"/>
        <v>9.1950394936326105E-2</v>
      </c>
      <c r="AV400">
        <f t="shared" si="343"/>
        <v>1.5707963267948966</v>
      </c>
      <c r="AW400" t="str">
        <f t="shared" si="320"/>
        <v>1+3,27790186433836i</v>
      </c>
      <c r="AX400">
        <f t="shared" si="344"/>
        <v>3.4270454669048229</v>
      </c>
      <c r="AY400">
        <f t="shared" si="345"/>
        <v>1.2746917466632366</v>
      </c>
      <c r="AZ400" t="str">
        <f t="shared" si="321"/>
        <v>1+484,036841967297i</v>
      </c>
      <c r="BA400">
        <f t="shared" si="346"/>
        <v>484.03787494541587</v>
      </c>
      <c r="BB400">
        <f t="shared" si="347"/>
        <v>1.5687303712919825</v>
      </c>
      <c r="BC400" s="41" t="str">
        <f t="shared" si="348"/>
        <v>-0,00741963920193368+0,0245021063242496i</v>
      </c>
      <c r="BD400">
        <f t="shared" si="349"/>
        <v>-31.834907399746662</v>
      </c>
      <c r="BE400" s="43">
        <f t="shared" si="350"/>
        <v>106.84717220505856</v>
      </c>
      <c r="BF400" s="41" t="str">
        <f t="shared" si="351"/>
        <v>-0,00141983270994485-0,00498619092811182i</v>
      </c>
      <c r="BG400" s="20">
        <f t="shared" si="352"/>
        <v>-45.706026481317856</v>
      </c>
      <c r="BH400" s="43">
        <f t="shared" si="353"/>
        <v>-105.89446094108494</v>
      </c>
      <c r="BI400" s="41" t="str">
        <f t="shared" si="357"/>
        <v>0,0102254262601492-0,00494475921863531i</v>
      </c>
      <c r="BJ400" s="20">
        <f t="shared" si="354"/>
        <v>-38.893766721245726</v>
      </c>
      <c r="BK400" s="43">
        <f t="shared" si="358"/>
        <v>-25.807243943273221</v>
      </c>
      <c r="BL400">
        <f t="shared" si="355"/>
        <v>-45.706026481317856</v>
      </c>
      <c r="BM400" s="43">
        <f t="shared" si="356"/>
        <v>-105.89446094108494</v>
      </c>
    </row>
    <row r="401" spans="14:65" x14ac:dyDescent="0.35">
      <c r="N401" s="9">
        <v>83</v>
      </c>
      <c r="O401" s="34">
        <f t="shared" si="359"/>
        <v>67608.297539198305</v>
      </c>
      <c r="P401" s="33" t="str">
        <f t="shared" si="309"/>
        <v>59,1053597814893</v>
      </c>
      <c r="Q401" s="4" t="str">
        <f t="shared" si="310"/>
        <v>1+3263,99951797244i</v>
      </c>
      <c r="R401" s="4">
        <f t="shared" si="322"/>
        <v>3263.9996711587337</v>
      </c>
      <c r="S401" s="4">
        <f t="shared" si="323"/>
        <v>1.5704899542102178</v>
      </c>
      <c r="T401" s="4" t="str">
        <f t="shared" si="311"/>
        <v>1+0,552234100264232i</v>
      </c>
      <c r="U401" s="4">
        <f t="shared" si="324"/>
        <v>1.1423495531117636</v>
      </c>
      <c r="V401" s="4">
        <f t="shared" si="325"/>
        <v>0.50455683277489205</v>
      </c>
      <c r="W401" t="str">
        <f t="shared" si="312"/>
        <v>1-20,3901821636025i</v>
      </c>
      <c r="X401" s="4">
        <f t="shared" si="326"/>
        <v>20.414689041591927</v>
      </c>
      <c r="Y401" s="4">
        <f t="shared" si="327"/>
        <v>-1.5217923796243362</v>
      </c>
      <c r="Z401" t="str">
        <f t="shared" si="313"/>
        <v>0,905560291401885+1,9077178009128i</v>
      </c>
      <c r="AA401" s="4">
        <f t="shared" si="328"/>
        <v>2.1117354591149518</v>
      </c>
      <c r="AB401" s="4">
        <f t="shared" si="329"/>
        <v>1.1276070581948443</v>
      </c>
      <c r="AC401" s="47" t="str">
        <f t="shared" si="330"/>
        <v>-0,167955673285121+0,108542641459397i</v>
      </c>
      <c r="AD401" s="20">
        <f t="shared" si="331"/>
        <v>-13.980419364787309</v>
      </c>
      <c r="AE401" s="43">
        <f t="shared" si="332"/>
        <v>147.1271248671778</v>
      </c>
      <c r="AF401" t="str">
        <f t="shared" si="314"/>
        <v>405,634542683733</v>
      </c>
      <c r="AG401" t="str">
        <f t="shared" si="315"/>
        <v>1+3269,80717261716i</v>
      </c>
      <c r="AH401">
        <f t="shared" si="333"/>
        <v>3269.807325531373</v>
      </c>
      <c r="AI401">
        <f t="shared" si="334"/>
        <v>1.5704904983725978</v>
      </c>
      <c r="AJ401" t="str">
        <f t="shared" si="316"/>
        <v>1+0,552234100264232i</v>
      </c>
      <c r="AK401">
        <f t="shared" si="335"/>
        <v>1.1423495531117636</v>
      </c>
      <c r="AL401">
        <f t="shared" si="336"/>
        <v>0.50455683277489205</v>
      </c>
      <c r="AM401" t="str">
        <f t="shared" si="317"/>
        <v>1-2,97632536605479i</v>
      </c>
      <c r="AN401">
        <f t="shared" si="337"/>
        <v>3.139826855834758</v>
      </c>
      <c r="AO401">
        <f t="shared" si="338"/>
        <v>-1.2466613785952012</v>
      </c>
      <c r="AP401" s="41" t="str">
        <f t="shared" si="339"/>
        <v>-0,300619288538132-0,328046133532259i</v>
      </c>
      <c r="AQ401">
        <f t="shared" si="340"/>
        <v>-7.0336503074014791</v>
      </c>
      <c r="AR401" s="43">
        <f t="shared" si="341"/>
        <v>-132.50193575512378</v>
      </c>
      <c r="AS401" t="str">
        <f t="shared" si="318"/>
        <v>-0,0000166666666666667</v>
      </c>
      <c r="AT401" t="str">
        <f t="shared" si="319"/>
        <v>0,0940921947757902i</v>
      </c>
      <c r="AU401">
        <f t="shared" si="342"/>
        <v>9.40921947757902E-2</v>
      </c>
      <c r="AV401">
        <f t="shared" si="343"/>
        <v>1.5707963267948966</v>
      </c>
      <c r="AW401" t="str">
        <f t="shared" si="320"/>
        <v>1+3,35425400716146i</v>
      </c>
      <c r="AX401">
        <f t="shared" si="344"/>
        <v>3.5001457033327497</v>
      </c>
      <c r="AY401">
        <f t="shared" si="345"/>
        <v>1.2810570363451881</v>
      </c>
      <c r="AZ401" t="str">
        <f t="shared" si="321"/>
        <v>1+495,311508390842i</v>
      </c>
      <c r="BA401">
        <f t="shared" si="346"/>
        <v>495.31251785555668</v>
      </c>
      <c r="BB401">
        <f t="shared" si="347"/>
        <v>1.5687773980513322</v>
      </c>
      <c r="BC401" s="41" t="str">
        <f t="shared" si="348"/>
        <v>-0,007112958467286+0,0240358006766902i</v>
      </c>
      <c r="BD401">
        <f t="shared" si="349"/>
        <v>-32.018233377148746</v>
      </c>
      <c r="BE401" s="43">
        <f t="shared" si="350"/>
        <v>106.4851624057395</v>
      </c>
      <c r="BF401" s="41" t="str">
        <f t="shared" si="351"/>
        <v>-0,00141424756661739-0,00480900838623068i</v>
      </c>
      <c r="BG401" s="20">
        <f t="shared" si="352"/>
        <v>-45.998652741936041</v>
      </c>
      <c r="BH401" s="43">
        <f t="shared" si="353"/>
        <v>-106.38771272708266</v>
      </c>
      <c r="BI401" s="41" t="str">
        <f t="shared" si="357"/>
        <v>0,0100231439921771-0,00489224677570224i</v>
      </c>
      <c r="BJ401" s="20">
        <f t="shared" si="354"/>
        <v>-39.051883684550205</v>
      </c>
      <c r="BK401" s="43">
        <f t="shared" si="358"/>
        <v>-26.016773349384192</v>
      </c>
      <c r="BL401">
        <f t="shared" si="355"/>
        <v>-45.998652741936041</v>
      </c>
      <c r="BM401" s="43">
        <f t="shared" si="356"/>
        <v>-106.38771272708266</v>
      </c>
    </row>
    <row r="402" spans="14:65" x14ac:dyDescent="0.35">
      <c r="N402" s="9">
        <v>84</v>
      </c>
      <c r="O402" s="34">
        <f t="shared" si="359"/>
        <v>69183.097091893651</v>
      </c>
      <c r="P402" s="33" t="str">
        <f t="shared" si="309"/>
        <v>59,1053597814893</v>
      </c>
      <c r="Q402" s="4" t="str">
        <f t="shared" si="310"/>
        <v>1+3340,02783354894i</v>
      </c>
      <c r="R402" s="4">
        <f t="shared" si="322"/>
        <v>3340.0279832482879</v>
      </c>
      <c r="S402" s="4">
        <f t="shared" si="323"/>
        <v>1.5704969281012464</v>
      </c>
      <c r="T402" s="4" t="str">
        <f t="shared" si="311"/>
        <v>1+0,565097284898855i</v>
      </c>
      <c r="U402" s="4">
        <f t="shared" si="324"/>
        <v>1.1486230632370471</v>
      </c>
      <c r="V402" s="4">
        <f t="shared" si="325"/>
        <v>0.51436028217447982</v>
      </c>
      <c r="W402" t="str">
        <f t="shared" si="312"/>
        <v>1-20,8651305193424i</v>
      </c>
      <c r="X402" s="4">
        <f t="shared" si="326"/>
        <v>20.889080199692703</v>
      </c>
      <c r="Y402" s="4">
        <f t="shared" si="327"/>
        <v>-1.5229061210970036</v>
      </c>
      <c r="Z402" t="str">
        <f t="shared" si="313"/>
        <v>0,901109485057306+1,95215425692332i</v>
      </c>
      <c r="AA402" s="4">
        <f t="shared" si="328"/>
        <v>2.1500940786123945</v>
      </c>
      <c r="AB402" s="4">
        <f t="shared" si="329"/>
        <v>1.138339898288306</v>
      </c>
      <c r="AC402" s="47" t="str">
        <f t="shared" si="330"/>
        <v>-0,165636140497174+0,107525658339218i</v>
      </c>
      <c r="AD402" s="20">
        <f t="shared" si="331"/>
        <v>-14.089677074659445</v>
      </c>
      <c r="AE402" s="43">
        <f t="shared" si="332"/>
        <v>147.00966244252493</v>
      </c>
      <c r="AF402" t="str">
        <f t="shared" si="314"/>
        <v>405,634542683733</v>
      </c>
      <c r="AG402" t="str">
        <f t="shared" si="315"/>
        <v>1+3345,97076584848i</v>
      </c>
      <c r="AH402">
        <f t="shared" si="333"/>
        <v>3345.9709152819405</v>
      </c>
      <c r="AI402">
        <f t="shared" si="334"/>
        <v>1.5704974598769805</v>
      </c>
      <c r="AJ402" t="str">
        <f t="shared" si="316"/>
        <v>1+0,565097284898855i</v>
      </c>
      <c r="AK402">
        <f t="shared" si="335"/>
        <v>1.1486230632370471</v>
      </c>
      <c r="AL402">
        <f t="shared" si="336"/>
        <v>0.51436028217447982</v>
      </c>
      <c r="AM402" t="str">
        <f t="shared" si="317"/>
        <v>1-3,04565288983131i</v>
      </c>
      <c r="AN402">
        <f t="shared" si="337"/>
        <v>3.2056203027398316</v>
      </c>
      <c r="AO402">
        <f t="shared" si="338"/>
        <v>-1.2535493501154131</v>
      </c>
      <c r="AP402" s="41" t="str">
        <f t="shared" si="339"/>
        <v>-0,300620997358487-0,329969646638938i</v>
      </c>
      <c r="AQ402">
        <f t="shared" si="340"/>
        <v>-7.005952361964594</v>
      </c>
      <c r="AR402" s="43">
        <f t="shared" si="341"/>
        <v>-132.33529004219184</v>
      </c>
      <c r="AS402" t="str">
        <f t="shared" si="318"/>
        <v>-0,0000166666666666667</v>
      </c>
      <c r="AT402" t="str">
        <f t="shared" si="319"/>
        <v>0,0962838835423817i</v>
      </c>
      <c r="AU402">
        <f t="shared" si="342"/>
        <v>9.6283883542381696E-2</v>
      </c>
      <c r="AV402">
        <f t="shared" si="343"/>
        <v>1.5707963267948966</v>
      </c>
      <c r="AW402" t="str">
        <f t="shared" si="320"/>
        <v>1+3,43238461985796i</v>
      </c>
      <c r="AX402">
        <f t="shared" si="344"/>
        <v>3.5750893944959574</v>
      </c>
      <c r="AY402">
        <f t="shared" si="345"/>
        <v>1.2873008656645004</v>
      </c>
      <c r="AZ402" t="str">
        <f t="shared" si="321"/>
        <v>1+506,848795532357i</v>
      </c>
      <c r="BA402">
        <f t="shared" si="346"/>
        <v>506.84978201889464</v>
      </c>
      <c r="BB402">
        <f t="shared" si="347"/>
        <v>1.5688233543595784</v>
      </c>
      <c r="BC402" s="41" t="str">
        <f t="shared" si="348"/>
        <v>-0,00681786987809745+0,0235746509456331i</v>
      </c>
      <c r="BD402">
        <f t="shared" si="349"/>
        <v>-32.202249819584068</v>
      </c>
      <c r="BE402" s="43">
        <f t="shared" si="350"/>
        <v>106.1300504402473</v>
      </c>
      <c r="BF402" s="41" t="str">
        <f t="shared" si="351"/>
        <v>-0,00140559421002647-0,00463791014331627i</v>
      </c>
      <c r="BG402" s="20">
        <f t="shared" si="352"/>
        <v>-46.29192689424351</v>
      </c>
      <c r="BH402" s="43">
        <f t="shared" si="353"/>
        <v>-106.8602871172278</v>
      </c>
      <c r="BI402" s="41" t="str">
        <f t="shared" si="357"/>
        <v>0,0098285140847809-0,00483734496514835i</v>
      </c>
      <c r="BJ402" s="20">
        <f t="shared" si="354"/>
        <v>-39.208202181548657</v>
      </c>
      <c r="BK402" s="43">
        <f t="shared" si="358"/>
        <v>-26.205239601944573</v>
      </c>
      <c r="BL402">
        <f t="shared" si="355"/>
        <v>-46.29192689424351</v>
      </c>
      <c r="BM402" s="43">
        <f t="shared" si="356"/>
        <v>-106.8602871172278</v>
      </c>
    </row>
    <row r="403" spans="14:65" x14ac:dyDescent="0.35">
      <c r="N403" s="9">
        <v>85</v>
      </c>
      <c r="O403" s="34">
        <f t="shared" si="359"/>
        <v>70794.578438413781</v>
      </c>
      <c r="P403" s="33" t="str">
        <f t="shared" ref="P403:P466" si="360">COMPLEX(Adc,0)</f>
        <v>59,1053597814893</v>
      </c>
      <c r="Q403" s="4" t="str">
        <f t="shared" ref="Q403:Q466" si="361">IMSUM(COMPLEX(1,0),IMDIV(COMPLEX(0,2*PI()*O403),COMPLEX(wp_lf,0)))</f>
        <v>1+3417,8270760933i</v>
      </c>
      <c r="R403" s="4">
        <f t="shared" si="322"/>
        <v>3417.8272223850749</v>
      </c>
      <c r="S403" s="4">
        <f t="shared" si="323"/>
        <v>1.5705037432471625</v>
      </c>
      <c r="T403" s="4" t="str">
        <f t="shared" ref="T403:T466" si="362">IMSUM(COMPLEX(1,0),IMDIV(COMPLEX(0,2*PI()*O403),COMPLEX(wz_esr,0)))</f>
        <v>1+0,578260091593878i</v>
      </c>
      <c r="U403" s="4">
        <f t="shared" si="324"/>
        <v>1.1551557183038832</v>
      </c>
      <c r="V403" s="4">
        <f t="shared" si="325"/>
        <v>0.52428087357316755</v>
      </c>
      <c r="W403" t="str">
        <f t="shared" ref="W403:W466" si="363">IMSUB(COMPLEX(1,0),IMDIV(COMPLEX(0,2*PI()*O403),COMPLEX(wz_rhp,0)))</f>
        <v>1-21,3511418434663i</v>
      </c>
      <c r="X403" s="4">
        <f t="shared" si="326"/>
        <v>21.37454696642288</v>
      </c>
      <c r="Y403" s="4">
        <f t="shared" si="327"/>
        <v>-1.5239946256209107</v>
      </c>
      <c r="Z403" t="str">
        <f t="shared" ref="Z403:Z466" si="364">IMSUM(COMPLEX(1,0),IMDIV(COMPLEX(0,2*PI()*O403),COMPLEX(Q*(wsl/2),0)),IMDIV(IMPOWER(COMPLEX(0,2*PI()*O403),2),IMPOWER(COMPLEX(wsl/2,0),2)))</f>
        <v>0,896448918672051+1,99762577096067i</v>
      </c>
      <c r="AA403" s="4">
        <f t="shared" si="328"/>
        <v>2.1895500415826312</v>
      </c>
      <c r="AB403" s="4">
        <f t="shared" si="329"/>
        <v>1.1489764067620178</v>
      </c>
      <c r="AC403" s="47" t="str">
        <f t="shared" si="330"/>
        <v>-0,163375389931552+0,106479161553863i</v>
      </c>
      <c r="AD403" s="20">
        <f t="shared" si="331"/>
        <v>-14.1988132727748</v>
      </c>
      <c r="AE403" s="43">
        <f t="shared" si="332"/>
        <v>146.90588622134638</v>
      </c>
      <c r="AF403" t="str">
        <f t="shared" ref="AF403:AF466" si="365">COMPLEX($B$72,0)</f>
        <v>405,634542683733</v>
      </c>
      <c r="AG403" t="str">
        <f t="shared" ref="AG403:AG466" si="366">IMSUM(COMPLEX(1,0),IMDIV(COMPLEX(0,2*PI()*O403),COMPLEX(wp_lf_DCM,0)))</f>
        <v>1+3423,90843706901i</v>
      </c>
      <c r="AH403">
        <f t="shared" si="333"/>
        <v>3423.9085831009488</v>
      </c>
      <c r="AI403">
        <f t="shared" si="334"/>
        <v>1.5705042629182053</v>
      </c>
      <c r="AJ403" t="str">
        <f t="shared" ref="AJ403:AJ466" si="367">IMSUM(COMPLEX(1,0),IMDIV(COMPLEX(0,2*PI()*O403),COMPLEX(wz1_dcm,0)))</f>
        <v>1+0,578260091593878i</v>
      </c>
      <c r="AK403">
        <f t="shared" si="335"/>
        <v>1.1551557183038832</v>
      </c>
      <c r="AL403">
        <f t="shared" si="336"/>
        <v>0.52428087357316755</v>
      </c>
      <c r="AM403" t="str">
        <f t="shared" ref="AM403:AM466" si="368">IMSUB(COMPLEX(1,0),IMDIV(COMPLEX(0,2*PI()*O403),COMPLEX(wz2_dcm,0)))</f>
        <v>1-3,116595259084i</v>
      </c>
      <c r="AN403">
        <f t="shared" si="337"/>
        <v>3.2730973112550235</v>
      </c>
      <c r="AO403">
        <f t="shared" si="338"/>
        <v>-1.2603107714585393</v>
      </c>
      <c r="AP403" s="41" t="str">
        <f t="shared" si="339"/>
        <v>-0,300622629269268-0,332068113973944i</v>
      </c>
      <c r="AQ403">
        <f t="shared" si="340"/>
        <v>-6.9757555966744142</v>
      </c>
      <c r="AR403" s="43">
        <f t="shared" si="341"/>
        <v>-132.1546727167939</v>
      </c>
      <c r="AS403" t="str">
        <f t="shared" ref="AS403:AS466" si="369">COMPLEX(Adc_ea,0)</f>
        <v>-0,0000166666666666667</v>
      </c>
      <c r="AT403" t="str">
        <f t="shared" ref="AT403:AT466" si="370">COMPLEX(0,2*PI()*O403*wp0_ea)</f>
        <v>0,0985266232984954i</v>
      </c>
      <c r="AU403">
        <f t="shared" si="342"/>
        <v>9.8526623298495403E-2</v>
      </c>
      <c r="AV403">
        <f t="shared" si="343"/>
        <v>1.5707963267948966</v>
      </c>
      <c r="AW403" t="str">
        <f t="shared" ref="AW403:AW466" si="371">IMSUM(COMPLEX(1,0),IMDIV(COMPLEX(0,2*PI()*O403),COMPLEX(wp1_ea,0)))</f>
        <v>1+3,51233512831288i</v>
      </c>
      <c r="AX403">
        <f t="shared" si="344"/>
        <v>3.6519170381568986</v>
      </c>
      <c r="AY403">
        <f t="shared" si="345"/>
        <v>1.2934245970975373</v>
      </c>
      <c r="AZ403" t="str">
        <f t="shared" ref="AZ403:AZ466" si="372">IMSUM(COMPLEX(1,0),IMDIV(COMPLEX(0,2*PI()*O403),COMPLEX(wz_ea,0)))</f>
        <v>1+518,654820614202i</v>
      </c>
      <c r="BA403">
        <f t="shared" si="346"/>
        <v>518.65578464560679</v>
      </c>
      <c r="BB403">
        <f t="shared" si="347"/>
        <v>1.5688682645825871</v>
      </c>
      <c r="BC403" s="41" t="str">
        <f t="shared" si="348"/>
        <v>-0,0065340238267528+0,023118840432137i</v>
      </c>
      <c r="BD403">
        <f t="shared" si="349"/>
        <v>-32.3869305249913</v>
      </c>
      <c r="BE403" s="43">
        <f t="shared" si="350"/>
        <v>105.78175964049821</v>
      </c>
      <c r="BF403" s="41" t="str">
        <f t="shared" si="351"/>
        <v>-0,00139417605479371-0,00447278694901132i</v>
      </c>
      <c r="BG403" s="20">
        <f t="shared" si="352"/>
        <v>-46.585743797766085</v>
      </c>
      <c r="BH403" s="43">
        <f t="shared" si="353"/>
        <v>-107.31235413815544</v>
      </c>
      <c r="BI403" s="41" t="str">
        <f t="shared" si="357"/>
        <v>0,00964130516207076-0,00478030562755507i</v>
      </c>
      <c r="BJ403" s="20">
        <f t="shared" si="354"/>
        <v>-39.362686121665718</v>
      </c>
      <c r="BK403" s="43">
        <f t="shared" si="358"/>
        <v>-26.372913076295692</v>
      </c>
      <c r="BL403">
        <f t="shared" si="355"/>
        <v>-46.585743797766085</v>
      </c>
      <c r="BM403" s="43">
        <f t="shared" si="356"/>
        <v>-107.31235413815544</v>
      </c>
    </row>
    <row r="404" spans="14:65" x14ac:dyDescent="0.35">
      <c r="N404" s="9">
        <v>86</v>
      </c>
      <c r="O404" s="34">
        <f t="shared" si="359"/>
        <v>72443.596007499116</v>
      </c>
      <c r="P404" s="33" t="str">
        <f t="shared" si="360"/>
        <v>59,1053597814893</v>
      </c>
      <c r="Q404" s="4" t="str">
        <f t="shared" si="361"/>
        <v>1+3497,4384957937i</v>
      </c>
      <c r="R404" s="4">
        <f t="shared" ref="R404:R467" si="373">IMABS(Q404)</f>
        <v>3497.4386387554678</v>
      </c>
      <c r="S404" s="4">
        <f t="shared" ref="S404:S467" si="374">IMARGUMENT(Q404)</f>
        <v>1.5705104032614443</v>
      </c>
      <c r="T404" s="4" t="str">
        <f t="shared" si="362"/>
        <v>1+0,591729499443644i</v>
      </c>
      <c r="U404" s="4">
        <f t="shared" ref="U404:U467" si="375">IMABS(T404)</f>
        <v>1.1619568841019126</v>
      </c>
      <c r="V404" s="4">
        <f t="shared" ref="V404:V467" si="376">IMARGUMENT(T404)</f>
        <v>0.53431605542881422</v>
      </c>
      <c r="W404" t="str">
        <f t="shared" si="363"/>
        <v>1-21,8484738256115i</v>
      </c>
      <c r="X404" s="4">
        <f t="shared" ref="X404:X467" si="377">IMABS(W404)</f>
        <v>21.871346746563887</v>
      </c>
      <c r="Y404" s="4">
        <f t="shared" ref="Y404:Y467" si="378">IMARGUMENT(W404)</f>
        <v>-1.5250584600120496</v>
      </c>
      <c r="Z404" t="str">
        <f t="shared" si="364"/>
        <v>0,891568706559964+2,0441564526235i</v>
      </c>
      <c r="AA404" s="4">
        <f t="shared" ref="AA404:AA467" si="379">IMABS(Z404)</f>
        <v>2.2301278800372186</v>
      </c>
      <c r="AB404" s="4">
        <f t="shared" ref="AB404:AB467" si="380">IMARGUMENT(Z404)</f>
        <v>1.1595155048792152</v>
      </c>
      <c r="AC404" s="47" t="str">
        <f t="shared" ref="AC404:AC467" si="381">(IMDIV(IMPRODUCT(P404,T404,W404),IMPRODUCT(Q404,Z404)))</f>
        <v>-0,161173423537311+0,105405952127257i</v>
      </c>
      <c r="AD404" s="20">
        <f t="shared" ref="AD404:AD467" si="382">20*LOG(IMABS(AC404))</f>
        <v>-14.307749325859289</v>
      </c>
      <c r="AE404" s="43">
        <f t="shared" ref="AE404:AE467" si="383">(180/PI())*IMARGUMENT(AC404)</f>
        <v>146.81567913490846</v>
      </c>
      <c r="AF404" t="str">
        <f t="shared" si="365"/>
        <v>405,634542683733</v>
      </c>
      <c r="AG404" t="str">
        <f t="shared" si="366"/>
        <v>1+3503,66150986368i</v>
      </c>
      <c r="AH404">
        <f t="shared" ref="AH404:AH467" si="384">IMABS(AG404)</f>
        <v>3503.6616525715267</v>
      </c>
      <c r="AI404">
        <f t="shared" ref="AI404:AI467" si="385">IMARGUMENT(AG404)</f>
        <v>1.570510911103332</v>
      </c>
      <c r="AJ404" t="str">
        <f t="shared" si="367"/>
        <v>1+0,591729499443644i</v>
      </c>
      <c r="AK404">
        <f t="shared" ref="AK404:AK467" si="386">IMABS(AJ404)</f>
        <v>1.1619568841019126</v>
      </c>
      <c r="AL404">
        <f t="shared" ref="AL404:AL467" si="387">IMARGUMENT(AJ404)</f>
        <v>0.53431605542881422</v>
      </c>
      <c r="AM404" t="str">
        <f t="shared" si="368"/>
        <v>1-3,18919008839609i</v>
      </c>
      <c r="AN404">
        <f t="shared" ref="AN404:AN467" si="388">IMABS(AM404)</f>
        <v>3.342294633919018</v>
      </c>
      <c r="AO404">
        <f t="shared" ref="AO404:AO467" si="389">IMARGUMENT(AM404)</f>
        <v>-1.2669467538792611</v>
      </c>
      <c r="AP404" s="41" t="str">
        <f t="shared" ref="AP404:AP467" si="390">(IMDIV(IMPRODUCT(AF404,AJ404,AM404),IMPRODUCT(AG404)))</f>
        <v>-0,300624187731981-0,334342648175502i</v>
      </c>
      <c r="AQ404">
        <f t="shared" ref="AQ404:AQ467" si="391">20*LOG(IMABS(AP404))</f>
        <v>-6.9430496735740954</v>
      </c>
      <c r="AR404" s="43">
        <f t="shared" ref="AR404:AR467" si="392">(180/PI())*IMARGUMENT(AP404)</f>
        <v>-131.96029384839912</v>
      </c>
      <c r="AS404" t="str">
        <f t="shared" si="369"/>
        <v>-0,0000166666666666667</v>
      </c>
      <c r="AT404" t="str">
        <f t="shared" si="370"/>
        <v>0,100821603174436i</v>
      </c>
      <c r="AU404">
        <f t="shared" ref="AU404:AU467" si="393">IMABS(AT404)</f>
        <v>0.100821603174436</v>
      </c>
      <c r="AV404">
        <f t="shared" ref="AV404:AV467" si="394">IMARGUMENT(AT404)</f>
        <v>1.5707963267948966</v>
      </c>
      <c r="AW404" t="str">
        <f t="shared" si="371"/>
        <v>1+3,5941479233441i</v>
      </c>
      <c r="AX404">
        <f t="shared" ref="AX404:AX467" si="395">IMABS(AW404)</f>
        <v>3.730670086576767</v>
      </c>
      <c r="AY404">
        <f t="shared" ref="AY404:AY467" si="396">IMARGUMENT(AW404)</f>
        <v>1.2994296396933687</v>
      </c>
      <c r="AZ404" t="str">
        <f t="shared" si="372"/>
        <v>1+530,735843347145i</v>
      </c>
      <c r="BA404">
        <f t="shared" ref="BA404:BA467" si="397">IMABS(AZ404)</f>
        <v>530.73678543455537</v>
      </c>
      <c r="BB404">
        <f t="shared" ref="BB404:BB467" si="398">IMARGUMENT(AZ404)</f>
        <v>1.5689121525316281</v>
      </c>
      <c r="BC404" s="41" t="str">
        <f t="shared" ref="BC404:BC467" si="399">IMPRODUCT(AS404,IMDIV(AZ404,IMPRODUCT(AT404,AW404)))</f>
        <v>-0,00626107390212281+0,0226685342501094i</v>
      </c>
      <c r="BD404">
        <f t="shared" ref="BD404:BD467" si="400">20*LOG(IMABS(BC404))</f>
        <v>-32.572250090094329</v>
      </c>
      <c r="BE404" s="43">
        <f t="shared" ref="BE404:BE467" si="401">(180/PI())*IMARGUMENT(BC404)</f>
        <v>105.44021063821229</v>
      </c>
      <c r="BF404" s="41" t="str">
        <f t="shared" ref="BF404:BF467" si="402">IMPRODUCT(AC404,BC404)</f>
        <v>-0,00138027972013687-0,0043135197276553i</v>
      </c>
      <c r="BG404" s="20">
        <f t="shared" ref="BG404:BG467" si="403">20*LOG(IMABS(BF404))</f>
        <v>-46.87999941595362</v>
      </c>
      <c r="BH404" s="43">
        <f t="shared" ref="BH404:BH467" si="404">(180/PI())*IMARGUMENT(BF404)</f>
        <v>-107.74411022687922</v>
      </c>
      <c r="BI404" s="41" t="str">
        <f t="shared" si="357"/>
        <v>0,00946128802759422-0,00472136566715547i</v>
      </c>
      <c r="BJ404" s="20">
        <f t="shared" ref="BJ404:BJ467" si="405">20*LOG(IMABS(BI404))</f>
        <v>-39.515299763668423</v>
      </c>
      <c r="BK404" s="43">
        <f t="shared" si="358"/>
        <v>-26.520083210186868</v>
      </c>
      <c r="BL404">
        <f t="shared" ref="BL404:BL467" si="406">IF($B$31=0,BJ404,BG404)</f>
        <v>-46.87999941595362</v>
      </c>
      <c r="BM404" s="43">
        <f t="shared" ref="BM404:BM467" si="407">IF($B$31=0,BK404,BH404)</f>
        <v>-107.74411022687922</v>
      </c>
    </row>
    <row r="405" spans="14:65" x14ac:dyDescent="0.35">
      <c r="N405" s="9">
        <v>87</v>
      </c>
      <c r="O405" s="34">
        <f t="shared" si="359"/>
        <v>74131.024130091857</v>
      </c>
      <c r="P405" s="33" t="str">
        <f t="shared" si="360"/>
        <v>59,1053597814893</v>
      </c>
      <c r="Q405" s="4" t="str">
        <f t="shared" si="361"/>
        <v>1+3578,90430367864i</v>
      </c>
      <c r="R405" s="4">
        <f t="shared" si="373"/>
        <v>3578.9044433862014</v>
      </c>
      <c r="S405" s="4">
        <f t="shared" si="374"/>
        <v>1.5705169116753173</v>
      </c>
      <c r="T405" s="4" t="str">
        <f t="shared" si="362"/>
        <v>1+0,60551265010648i</v>
      </c>
      <c r="U405" s="4">
        <f t="shared" si="375"/>
        <v>1.1690361711422672</v>
      </c>
      <c r="V405" s="4">
        <f t="shared" si="376"/>
        <v>0.54446306322141347</v>
      </c>
      <c r="W405" t="str">
        <f t="shared" si="363"/>
        <v>1-22,3573901577777i</v>
      </c>
      <c r="X405" s="4">
        <f t="shared" si="377"/>
        <v>22.379742953552778</v>
      </c>
      <c r="Y405" s="4">
        <f t="shared" si="378"/>
        <v>-1.5260981786921148</v>
      </c>
      <c r="Z405" t="str">
        <f t="shared" si="364"/>
        <v>0,886458497136854+2,09177097309511i</v>
      </c>
      <c r="AA405" s="4">
        <f t="shared" si="379"/>
        <v>2.2718526516984752</v>
      </c>
      <c r="AB405" s="4">
        <f t="shared" si="380"/>
        <v>1.16995632517502</v>
      </c>
      <c r="AC405" s="47" t="str">
        <f t="shared" si="381"/>
        <v>-0,159030117900378+0,104308770047498i</v>
      </c>
      <c r="AD405" s="20">
        <f t="shared" si="382"/>
        <v>-14.416407101560102</v>
      </c>
      <c r="AE405" s="43">
        <f t="shared" si="383"/>
        <v>146.73890052161164</v>
      </c>
      <c r="AF405" t="str">
        <f t="shared" si="365"/>
        <v>405,634542683733</v>
      </c>
      <c r="AG405" t="str">
        <f t="shared" si="366"/>
        <v>1+3585,27227036731i</v>
      </c>
      <c r="AH405">
        <f t="shared" si="384"/>
        <v>3585.2724098267295</v>
      </c>
      <c r="AI405">
        <f t="shared" si="385"/>
        <v>1.5705174079573141</v>
      </c>
      <c r="AJ405" t="str">
        <f t="shared" si="367"/>
        <v>1+0,60551265010648i</v>
      </c>
      <c r="AK405">
        <f t="shared" si="386"/>
        <v>1.1690361711422672</v>
      </c>
      <c r="AL405">
        <f t="shared" si="387"/>
        <v>0.54446306322141347</v>
      </c>
      <c r="AM405" t="str">
        <f t="shared" si="368"/>
        <v>1-3,26347586850696i</v>
      </c>
      <c r="AN405">
        <f t="shared" si="388"/>
        <v>3.413249880147549</v>
      </c>
      <c r="AO405">
        <f t="shared" si="389"/>
        <v>-1.2734584772443995</v>
      </c>
      <c r="AP405" s="41" t="str">
        <f t="shared" si="390"/>
        <v>-0,300625676052325-0,336794455234627i</v>
      </c>
      <c r="AQ405">
        <f t="shared" si="391"/>
        <v>-6.9078239069701883</v>
      </c>
      <c r="AR405" s="43">
        <f t="shared" si="392"/>
        <v>-131.7523796356889</v>
      </c>
      <c r="AS405" t="str">
        <f t="shared" si="369"/>
        <v>-0,0000166666666666667</v>
      </c>
      <c r="AT405" t="str">
        <f t="shared" si="370"/>
        <v>0,103170039998912i</v>
      </c>
      <c r="AU405">
        <f t="shared" si="393"/>
        <v>0.103170039998912</v>
      </c>
      <c r="AV405">
        <f t="shared" si="394"/>
        <v>1.5707963267948966</v>
      </c>
      <c r="AW405" t="str">
        <f t="shared" si="371"/>
        <v>1+3,67786638317845i</v>
      </c>
      <c r="AX405">
        <f t="shared" si="395"/>
        <v>3.8113909708286466</v>
      </c>
      <c r="AY405">
        <f t="shared" si="396"/>
        <v>1.3053174443619331</v>
      </c>
      <c r="AZ405" t="str">
        <f t="shared" si="372"/>
        <v>1+543,09826924935i</v>
      </c>
      <c r="BA405">
        <f t="shared" si="397"/>
        <v>543.09918989226946</v>
      </c>
      <c r="BB405">
        <f t="shared" si="398"/>
        <v>1.5689550414759958</v>
      </c>
      <c r="BC405" s="41" t="str">
        <f t="shared" si="399"/>
        <v>-0,00599867755608303+0,0222238801333744i</v>
      </c>
      <c r="BD405">
        <f t="shared" si="400"/>
        <v>-32.758183902291179</v>
      </c>
      <c r="BE405" s="43">
        <f t="shared" si="401"/>
        <v>105.10532163560616</v>
      </c>
      <c r="BF405" s="41" t="str">
        <f t="shared" si="402"/>
        <v>-0,00136417520340507-0,00415998095560095i</v>
      </c>
      <c r="BG405" s="20">
        <f t="shared" si="403"/>
        <v>-47.174591003851283</v>
      </c>
      <c r="BH405" s="43">
        <f t="shared" si="404"/>
        <v>-108.15577784278214</v>
      </c>
      <c r="BI405" s="41" t="str">
        <f t="shared" si="357"/>
        <v>0,00928823609843685-0,00466074764997235i</v>
      </c>
      <c r="BJ405" s="20">
        <f t="shared" si="405"/>
        <v>-39.666007809261366</v>
      </c>
      <c r="BK405" s="43">
        <f t="shared" si="358"/>
        <v>-26.647058000082762</v>
      </c>
      <c r="BL405">
        <f t="shared" si="406"/>
        <v>-47.174591003851283</v>
      </c>
      <c r="BM405" s="43">
        <f t="shared" si="407"/>
        <v>-108.15577784278214</v>
      </c>
    </row>
    <row r="406" spans="14:65" x14ac:dyDescent="0.35">
      <c r="N406" s="9">
        <v>88</v>
      </c>
      <c r="O406" s="34">
        <f t="shared" si="359"/>
        <v>75857.757502918481</v>
      </c>
      <c r="P406" s="33" t="str">
        <f t="shared" si="360"/>
        <v>59,1053597814893</v>
      </c>
      <c r="Q406" s="4" t="str">
        <f t="shared" si="361"/>
        <v>1+3662,26769399778i</v>
      </c>
      <c r="R406" s="4">
        <f t="shared" si="373"/>
        <v>3662.2678305252084</v>
      </c>
      <c r="S406" s="4">
        <f t="shared" si="374"/>
        <v>1.570523271939626</v>
      </c>
      <c r="T406" s="4" t="str">
        <f t="shared" si="362"/>
        <v>1+0,619616851591308i</v>
      </c>
      <c r="U406" s="4">
        <f t="shared" si="375"/>
        <v>1.1764034353808752</v>
      </c>
      <c r="V406" s="4">
        <f t="shared" si="376"/>
        <v>0.55471891850053212</v>
      </c>
      <c r="W406" t="str">
        <f t="shared" si="363"/>
        <v>1-22,8781606741406i</v>
      </c>
      <c r="X406" s="4">
        <f t="shared" si="377"/>
        <v>22.900005149165217</v>
      </c>
      <c r="Y406" s="4">
        <f t="shared" si="378"/>
        <v>-1.5271143239369847</v>
      </c>
      <c r="Z406" t="str">
        <f t="shared" si="364"/>
        <v>0,881107450963397+2,14049457822452i</v>
      </c>
      <c r="AA406" s="4">
        <f t="shared" si="379"/>
        <v>2.3147499604820778</v>
      </c>
      <c r="AB406" s="4">
        <f t="shared" si="380"/>
        <v>1.1802982069563415</v>
      </c>
      <c r="AC406" s="47" t="str">
        <f t="shared" si="381"/>
        <v>-0,156945231062545+0,103190288568088i</v>
      </c>
      <c r="AD406" s="20">
        <f t="shared" si="382"/>
        <v>-14.524709162722383</v>
      </c>
      <c r="AE406" s="43">
        <f t="shared" si="383"/>
        <v>146.67538631590455</v>
      </c>
      <c r="AF406" t="str">
        <f t="shared" si="365"/>
        <v>405,634542683733</v>
      </c>
      <c r="AG406" t="str">
        <f t="shared" si="366"/>
        <v>1+3668,78398968537i</v>
      </c>
      <c r="AH406">
        <f t="shared" si="384"/>
        <v>3668.7841259703064</v>
      </c>
      <c r="AI406">
        <f t="shared" si="385"/>
        <v>1.5705237569248671</v>
      </c>
      <c r="AJ406" t="str">
        <f t="shared" si="367"/>
        <v>1+0,619616851591308i</v>
      </c>
      <c r="AK406">
        <f t="shared" si="386"/>
        <v>1.1764034353808752</v>
      </c>
      <c r="AL406">
        <f t="shared" si="387"/>
        <v>0.55471891850053212</v>
      </c>
      <c r="AM406" t="str">
        <f t="shared" si="368"/>
        <v>1-3,33949198672051i</v>
      </c>
      <c r="AN406">
        <f t="shared" si="388"/>
        <v>3.486001538922566</v>
      </c>
      <c r="AO406">
        <f t="shared" si="389"/>
        <v>-1.2798471844465518</v>
      </c>
      <c r="AP406" s="41" t="str">
        <f t="shared" si="390"/>
        <v>-0,30062709738723-0,339424835134537i</v>
      </c>
      <c r="AQ406">
        <f t="shared" si="391"/>
        <v>-6.8700673706346329</v>
      </c>
      <c r="AR406" s="43">
        <f t="shared" si="392"/>
        <v>-131.53117214117177</v>
      </c>
      <c r="AS406" t="str">
        <f t="shared" si="369"/>
        <v>-0,0000166666666666667</v>
      </c>
      <c r="AT406" t="str">
        <f t="shared" si="370"/>
        <v>0,105573178944211i</v>
      </c>
      <c r="AU406">
        <f t="shared" si="393"/>
        <v>0.105573178944211</v>
      </c>
      <c r="AV406">
        <f t="shared" si="394"/>
        <v>1.5707963267948966</v>
      </c>
      <c r="AW406" t="str">
        <f t="shared" si="371"/>
        <v>1+3,76353489645146i</v>
      </c>
      <c r="AX406">
        <f t="shared" si="395"/>
        <v>3.8941231255326154</v>
      </c>
      <c r="AY406">
        <f t="shared" si="396"/>
        <v>1.311089499375774</v>
      </c>
      <c r="AZ406" t="str">
        <f t="shared" si="372"/>
        <v>1+555,748653042665i</v>
      </c>
      <c r="BA406">
        <f t="shared" si="397"/>
        <v>555.7495527292275</v>
      </c>
      <c r="BB406">
        <f t="shared" si="398"/>
        <v>1.5689969541553452</v>
      </c>
      <c r="BC406" s="41" t="str">
        <f t="shared" si="399"/>
        <v>-0,00574649669999638+0,0217850092421667i</v>
      </c>
      <c r="BD406">
        <f t="shared" si="400"/>
        <v>-32.944708130093147</v>
      </c>
      <c r="BE406" s="43">
        <f t="shared" si="401"/>
        <v>104.77700866383051</v>
      </c>
      <c r="BF406" s="41" t="str">
        <f t="shared" si="402"/>
        <v>-0,00134611613777656-0,00401203596193972i</v>
      </c>
      <c r="BG406" s="20">
        <f t="shared" si="403"/>
        <v>-47.469417292815535</v>
      </c>
      <c r="BH406" s="43">
        <f t="shared" si="404"/>
        <v>-108.54760502026494</v>
      </c>
      <c r="BI406" s="41" t="str">
        <f t="shared" si="357"/>
        <v>0,009121925793492-0,00459866040002912i</v>
      </c>
      <c r="BJ406" s="20">
        <f t="shared" si="405"/>
        <v>-39.814775500727791</v>
      </c>
      <c r="BK406" s="43">
        <f t="shared" si="358"/>
        <v>-26.754163477341233</v>
      </c>
      <c r="BL406">
        <f t="shared" si="406"/>
        <v>-47.469417292815535</v>
      </c>
      <c r="BM406" s="43">
        <f t="shared" si="407"/>
        <v>-108.54760502026494</v>
      </c>
    </row>
    <row r="407" spans="14:65" x14ac:dyDescent="0.35">
      <c r="N407" s="9">
        <v>89</v>
      </c>
      <c r="O407" s="34">
        <f t="shared" si="359"/>
        <v>77624.711662869129</v>
      </c>
      <c r="P407" s="33" t="str">
        <f t="shared" si="360"/>
        <v>59,1053597814893</v>
      </c>
      <c r="Q407" s="4" t="str">
        <f t="shared" si="361"/>
        <v>1+3747,57286712412i</v>
      </c>
      <c r="R407" s="4">
        <f t="shared" si="373"/>
        <v>3747.5730005438045</v>
      </c>
      <c r="S407" s="4">
        <f t="shared" si="374"/>
        <v>1.5705294874266649</v>
      </c>
      <c r="T407" s="4" t="str">
        <f t="shared" si="362"/>
        <v>1+0,634049582132449i</v>
      </c>
      <c r="U407" s="4">
        <f t="shared" si="375"/>
        <v>1.1840687786620898</v>
      </c>
      <c r="V407" s="4">
        <f t="shared" si="376"/>
        <v>0.56508042874104325</v>
      </c>
      <c r="W407" t="str">
        <f t="shared" si="363"/>
        <v>1-23,4110614941212i</v>
      </c>
      <c r="X407" s="4">
        <f t="shared" si="377"/>
        <v>23.432409186456358</v>
      </c>
      <c r="Y407" s="4">
        <f t="shared" si="378"/>
        <v>-1.5281074261217633</v>
      </c>
      <c r="Z407" t="str">
        <f t="shared" si="364"/>
        <v>0,875504217753232+2,19035310191209i</v>
      </c>
      <c r="AA407" s="4">
        <f t="shared" si="379"/>
        <v>2.3588459776678117</v>
      </c>
      <c r="AB407" s="4">
        <f t="shared" si="380"/>
        <v>1.190540691371319</v>
      </c>
      <c r="AC407" s="47" t="str">
        <f t="shared" si="381"/>
        <v>-0,154918409518123+0,102053109198403i</v>
      </c>
      <c r="AD407" s="20">
        <f t="shared" si="382"/>
        <v>-14.632578959562256</v>
      </c>
      <c r="AE407" s="43">
        <f t="shared" si="383"/>
        <v>146.62494930837252</v>
      </c>
      <c r="AF407" t="str">
        <f t="shared" si="365"/>
        <v>405,634542683733</v>
      </c>
      <c r="AG407" t="str">
        <f t="shared" si="366"/>
        <v>1+3754,24094683686i</v>
      </c>
      <c r="AH407">
        <f t="shared" si="384"/>
        <v>3754.2410800195726</v>
      </c>
      <c r="AI407">
        <f t="shared" si="385"/>
        <v>1.5705299613722956</v>
      </c>
      <c r="AJ407" t="str">
        <f t="shared" si="367"/>
        <v>1+0,634049582132449i</v>
      </c>
      <c r="AK407">
        <f t="shared" si="386"/>
        <v>1.1840687786620898</v>
      </c>
      <c r="AL407">
        <f t="shared" si="387"/>
        <v>0.56508042874104325</v>
      </c>
      <c r="AM407" t="str">
        <f t="shared" si="368"/>
        <v>1-3,41727874778883i</v>
      </c>
      <c r="AN407">
        <f t="shared" si="388"/>
        <v>3.5605890018491597</v>
      </c>
      <c r="AO407">
        <f t="shared" si="389"/>
        <v>-1.2861141760201087</v>
      </c>
      <c r="AP407" s="41" t="str">
        <f t="shared" si="390"/>
        <v>-0,300628454751536-0,342235182539975i</v>
      </c>
      <c r="AQ407">
        <f t="shared" si="391"/>
        <v>-6.8297690098482278</v>
      </c>
      <c r="AR407" s="43">
        <f t="shared" si="392"/>
        <v>-131.29692899106948</v>
      </c>
      <c r="AS407" t="str">
        <f t="shared" si="369"/>
        <v>-0,0000166666666666667</v>
      </c>
      <c r="AT407" t="str">
        <f t="shared" si="370"/>
        <v>0,108032294186413i</v>
      </c>
      <c r="AU407">
        <f t="shared" si="393"/>
        <v>0.108032294186413</v>
      </c>
      <c r="AV407">
        <f t="shared" si="394"/>
        <v>1.5707963267948966</v>
      </c>
      <c r="AW407" t="str">
        <f t="shared" si="371"/>
        <v>1+3,85119888574285i</v>
      </c>
      <c r="AX407">
        <f t="shared" si="395"/>
        <v>3.9789110140272004</v>
      </c>
      <c r="AY407">
        <f t="shared" si="396"/>
        <v>1.3167473260846312</v>
      </c>
      <c r="AZ407" t="str">
        <f t="shared" si="372"/>
        <v>1+568,693702128027i</v>
      </c>
      <c r="BA407">
        <f t="shared" si="397"/>
        <v>568.69458133525507</v>
      </c>
      <c r="BB407">
        <f t="shared" si="398"/>
        <v>1.5690379127917442</v>
      </c>
      <c r="BC407" s="41" t="str">
        <f t="shared" si="399"/>
        <v>-0,00550419823474968+0,0213520369649249i</v>
      </c>
      <c r="BD407">
        <f t="shared" si="400"/>
        <v>-33.13179971227261</v>
      </c>
      <c r="BE407" s="43">
        <f t="shared" si="401"/>
        <v>104.45518582919684</v>
      </c>
      <c r="BF407" s="41" t="str">
        <f t="shared" si="402"/>
        <v>-0,00132634012378994-0,0038695441500789i</v>
      </c>
      <c r="BG407" s="20">
        <f t="shared" si="403"/>
        <v>-47.764378671834862</v>
      </c>
      <c r="BH407" s="43">
        <f t="shared" si="404"/>
        <v>-108.91986486243066</v>
      </c>
      <c r="BI407" s="41" t="str">
        <f t="shared" si="357"/>
        <v>0,00896213687825029-0,00453529959095728i</v>
      </c>
      <c r="BJ407" s="20">
        <f t="shared" si="405"/>
        <v>-39.961568722120845</v>
      </c>
      <c r="BK407" s="43">
        <f t="shared" si="358"/>
        <v>-26.841743161872621</v>
      </c>
      <c r="BL407">
        <f t="shared" si="406"/>
        <v>-47.764378671834862</v>
      </c>
      <c r="BM407" s="43">
        <f t="shared" si="407"/>
        <v>-108.91986486243066</v>
      </c>
    </row>
    <row r="408" spans="14:65" x14ac:dyDescent="0.35">
      <c r="N408" s="9">
        <v>90</v>
      </c>
      <c r="O408" s="34">
        <f t="shared" si="359"/>
        <v>79432.823472428237</v>
      </c>
      <c r="P408" s="33" t="str">
        <f t="shared" si="360"/>
        <v>59,1053597814893</v>
      </c>
      <c r="Q408" s="4" t="str">
        <f t="shared" si="361"/>
        <v>1+3834,86505298961i</v>
      </c>
      <c r="R408" s="4">
        <f t="shared" si="373"/>
        <v>3834.8651833722924</v>
      </c>
      <c r="S408" s="4">
        <f t="shared" si="374"/>
        <v>1.5705355614319658</v>
      </c>
      <c r="T408" s="4" t="str">
        <f t="shared" si="362"/>
        <v>1+0,648818494154677i</v>
      </c>
      <c r="U408" s="4">
        <f t="shared" si="375"/>
        <v>1.1920425488870532</v>
      </c>
      <c r="V408" s="4">
        <f t="shared" si="376"/>
        <v>0.57554418805079199</v>
      </c>
      <c r="W408" t="str">
        <f t="shared" si="363"/>
        <v>1-23,9563751687881i</v>
      </c>
      <c r="X408" s="4">
        <f t="shared" si="377"/>
        <v>23.97723735603681</v>
      </c>
      <c r="Y408" s="4">
        <f t="shared" si="378"/>
        <v>-1.5290780039623202</v>
      </c>
      <c r="Z408" t="str">
        <f t="shared" si="364"/>
        <v>0,869636912297481+2,24137297980706i</v>
      </c>
      <c r="AA408" s="4">
        <f t="shared" si="379"/>
        <v>2.4041674637677541</v>
      </c>
      <c r="AB408" s="4">
        <f t="shared" si="380"/>
        <v>1.2006835161024316</v>
      </c>
      <c r="AC408" s="47" t="str">
        <f t="shared" si="381"/>
        <v>-0,152949195323851+0,100899757369833i</v>
      </c>
      <c r="AD408" s="20">
        <f t="shared" si="382"/>
        <v>-14.739941019131408</v>
      </c>
      <c r="AE408" s="43">
        <f t="shared" si="383"/>
        <v>146.58737947640677</v>
      </c>
      <c r="AF408" t="str">
        <f t="shared" si="365"/>
        <v>405,634542683733</v>
      </c>
      <c r="AG408" t="str">
        <f t="shared" si="366"/>
        <v>1+3841,68845223163i</v>
      </c>
      <c r="AH408">
        <f t="shared" si="384"/>
        <v>3841.6885823827338</v>
      </c>
      <c r="AI408">
        <f t="shared" si="385"/>
        <v>1.5705360245892783</v>
      </c>
      <c r="AJ408" t="str">
        <f t="shared" si="367"/>
        <v>1+0,648818494154677i</v>
      </c>
      <c r="AK408">
        <f t="shared" si="386"/>
        <v>1.1920425488870532</v>
      </c>
      <c r="AL408">
        <f t="shared" si="387"/>
        <v>0.57554418805079199</v>
      </c>
      <c r="AM408" t="str">
        <f t="shared" si="368"/>
        <v>1-3,49687739528227i</v>
      </c>
      <c r="AN408">
        <f t="shared" si="388"/>
        <v>3.6370525865920764</v>
      </c>
      <c r="AO408">
        <f t="shared" si="389"/>
        <v>-1.2922608049647195</v>
      </c>
      <c r="AP408" s="41" t="str">
        <f t="shared" si="390"/>
        <v>-0,300629751024396-0,345226987536659i</v>
      </c>
      <c r="AQ408">
        <f t="shared" si="391"/>
        <v>-6.7869177575873749</v>
      </c>
      <c r="AR408" s="43">
        <f t="shared" si="392"/>
        <v>-131.04992303828291</v>
      </c>
      <c r="AS408" t="str">
        <f t="shared" si="369"/>
        <v>-0,0000166666666666667</v>
      </c>
      <c r="AT408" t="str">
        <f t="shared" si="370"/>
        <v>0,11054868958097i</v>
      </c>
      <c r="AU408">
        <f t="shared" si="393"/>
        <v>0.11054868958097</v>
      </c>
      <c r="AV408">
        <f t="shared" si="394"/>
        <v>1.5707963267948966</v>
      </c>
      <c r="AW408" t="str">
        <f t="shared" si="371"/>
        <v>1+3,94090483166012i</v>
      </c>
      <c r="AX408">
        <f t="shared" si="395"/>
        <v>4.0658001539920869</v>
      </c>
      <c r="AY408">
        <f t="shared" si="396"/>
        <v>1.322292474841134</v>
      </c>
      <c r="AZ408" t="str">
        <f t="shared" si="372"/>
        <v>1+581,94028014181i</v>
      </c>
      <c r="BA408">
        <f t="shared" si="397"/>
        <v>581.94113933586812</v>
      </c>
      <c r="BB408">
        <f t="shared" si="398"/>
        <v>1.5690779391014538</v>
      </c>
      <c r="BC408" s="41" t="str">
        <f t="shared" si="399"/>
        <v>-0,00527145451799986+0,020925063711744i</v>
      </c>
      <c r="BD408">
        <f t="shared" si="400"/>
        <v>-33.319436345866421</v>
      </c>
      <c r="BE408" s="43">
        <f t="shared" si="401"/>
        <v>104.13976554729301</v>
      </c>
      <c r="BF408" s="41" t="str">
        <f t="shared" si="402"/>
        <v>-0,00130506912474891-0,00373236013866386i</v>
      </c>
      <c r="BG408" s="20">
        <f t="shared" si="403"/>
        <v>-48.059377364997822</v>
      </c>
      <c r="BH408" s="43">
        <f t="shared" si="404"/>
        <v>-109.27285497630021</v>
      </c>
      <c r="BI408" s="41" t="str">
        <f t="shared" si="357"/>
        <v>0,00880865276850077-0,00447084833064562i</v>
      </c>
      <c r="BJ408" s="20">
        <f t="shared" si="405"/>
        <v>-40.106354103453789</v>
      </c>
      <c r="BK408" s="43">
        <f t="shared" si="358"/>
        <v>-26.910157490989878</v>
      </c>
      <c r="BL408">
        <f t="shared" si="406"/>
        <v>-48.059377364997822</v>
      </c>
      <c r="BM408" s="43">
        <f t="shared" si="407"/>
        <v>-109.27285497630021</v>
      </c>
    </row>
    <row r="409" spans="14:65" x14ac:dyDescent="0.35">
      <c r="N409" s="9">
        <v>91</v>
      </c>
      <c r="O409" s="34">
        <f t="shared" si="359"/>
        <v>81283.051616410012</v>
      </c>
      <c r="P409" s="33" t="str">
        <f t="shared" si="360"/>
        <v>59,1053597814893</v>
      </c>
      <c r="Q409" s="4" t="str">
        <f t="shared" si="361"/>
        <v>1+3924,19053506663i</v>
      </c>
      <c r="R409" s="4">
        <f t="shared" si="373"/>
        <v>3924.190662481441</v>
      </c>
      <c r="S409" s="4">
        <f t="shared" si="374"/>
        <v>1.5705414971760445</v>
      </c>
      <c r="T409" s="4" t="str">
        <f t="shared" si="362"/>
        <v>1+0,663931418330631i</v>
      </c>
      <c r="U409" s="4">
        <f t="shared" si="375"/>
        <v>1.2003353399140271</v>
      </c>
      <c r="V409" s="4">
        <f t="shared" si="376"/>
        <v>0.5861065787693277</v>
      </c>
      <c r="W409" t="str">
        <f t="shared" si="363"/>
        <v>1-24,5143908306695i</v>
      </c>
      <c r="X409" s="4">
        <f t="shared" si="377"/>
        <v>24.534778535760474</v>
      </c>
      <c r="Y409" s="4">
        <f t="shared" si="378"/>
        <v>-1.5300265647532649</v>
      </c>
      <c r="Z409" t="str">
        <f t="shared" si="364"/>
        <v>0,863493089254629+2,293581263324i</v>
      </c>
      <c r="AA409" s="4">
        <f t="shared" si="379"/>
        <v>2.4507417911035465</v>
      </c>
      <c r="AB409" s="4">
        <f t="shared" si="380"/>
        <v>1.2107266097359886</v>
      </c>
      <c r="AC409" s="47" t="str">
        <f t="shared" si="381"/>
        <v>-0,151037033261969+0,0997326787586811i</v>
      </c>
      <c r="AD409" s="20">
        <f t="shared" si="382"/>
        <v>-14.846721131461532</v>
      </c>
      <c r="AE409" s="43">
        <f t="shared" si="383"/>
        <v>146.56244438467277</v>
      </c>
      <c r="AF409" t="str">
        <f t="shared" si="365"/>
        <v>405,634542683733</v>
      </c>
      <c r="AG409" t="str">
        <f t="shared" si="366"/>
        <v>1+3931,17287169452i</v>
      </c>
      <c r="AH409">
        <f t="shared" si="384"/>
        <v>3931.1729988830225</v>
      </c>
      <c r="AI409">
        <f t="shared" si="385"/>
        <v>1.570541949790611</v>
      </c>
      <c r="AJ409" t="str">
        <f t="shared" si="367"/>
        <v>1+0,663931418330631i</v>
      </c>
      <c r="AK409">
        <f t="shared" si="386"/>
        <v>1.2003353399140271</v>
      </c>
      <c r="AL409">
        <f t="shared" si="387"/>
        <v>0.5861065787693277</v>
      </c>
      <c r="AM409" t="str">
        <f t="shared" si="368"/>
        <v>1-3,57833013345732i</v>
      </c>
      <c r="AN409">
        <f t="shared" si="388"/>
        <v>3.715433560704414</v>
      </c>
      <c r="AO409">
        <f t="shared" si="389"/>
        <v>-1.2982884717796637</v>
      </c>
      <c r="AP409" s="41" t="str">
        <f t="shared" si="390"/>
        <v>-0,300630988955371-0,348401836421374i</v>
      </c>
      <c r="AQ409">
        <f t="shared" si="391"/>
        <v>-6.7415026541109331</v>
      </c>
      <c r="AR409" s="43">
        <f t="shared" si="392"/>
        <v>-130.79044198637891</v>
      </c>
      <c r="AS409" t="str">
        <f t="shared" si="369"/>
        <v>-0,0000166666666666667</v>
      </c>
      <c r="AT409" t="str">
        <f t="shared" si="370"/>
        <v>0,113123699354027i</v>
      </c>
      <c r="AU409">
        <f t="shared" si="393"/>
        <v>0.113123699354027</v>
      </c>
      <c r="AV409">
        <f t="shared" si="394"/>
        <v>1.5707963267948966</v>
      </c>
      <c r="AW409" t="str">
        <f t="shared" si="371"/>
        <v>1+4,03270029748316i</v>
      </c>
      <c r="AX409">
        <f t="shared" si="395"/>
        <v>4.1548371435377307</v>
      </c>
      <c r="AY409">
        <f t="shared" si="396"/>
        <v>1.3277265211349718</v>
      </c>
      <c r="AZ409" t="str">
        <f t="shared" si="372"/>
        <v>1+595,495410595012i</v>
      </c>
      <c r="BA409">
        <f t="shared" si="397"/>
        <v>595.49625023145347</v>
      </c>
      <c r="BB409">
        <f t="shared" si="398"/>
        <v>1.5691170543064399</v>
      </c>
      <c r="BC409" s="41" t="str">
        <f t="shared" si="399"/>
        <v>-0,00504794377230996+0,0205041756962955i</v>
      </c>
      <c r="BD409">
        <f t="shared" si="400"/>
        <v>-33.507596473174928</v>
      </c>
      <c r="BE409" s="43">
        <f t="shared" si="401"/>
        <v>103.83065876513781</v>
      </c>
      <c r="BF409" s="41" t="str">
        <f t="shared" si="402"/>
        <v>-0,00128250991648727-0,00360033482128631i</v>
      </c>
      <c r="BG409" s="20">
        <f t="shared" si="403"/>
        <v>-48.354317604636464</v>
      </c>
      <c r="BH409" s="43">
        <f t="shared" si="404"/>
        <v>-109.60689685018946</v>
      </c>
      <c r="BI409" s="41" t="str">
        <f t="shared" si="357"/>
        <v>0,00866126079535651-0,00440547773686737i</v>
      </c>
      <c r="BJ409" s="20">
        <f t="shared" si="405"/>
        <v>-40.249099127285859</v>
      </c>
      <c r="BK409" s="43">
        <f t="shared" si="358"/>
        <v>-26.959783221241089</v>
      </c>
      <c r="BL409">
        <f t="shared" si="406"/>
        <v>-48.354317604636464</v>
      </c>
      <c r="BM409" s="43">
        <f t="shared" si="407"/>
        <v>-109.60689685018946</v>
      </c>
    </row>
    <row r="410" spans="14:65" x14ac:dyDescent="0.35">
      <c r="N410" s="9">
        <v>92</v>
      </c>
      <c r="O410" s="34">
        <f t="shared" si="359"/>
        <v>83176.377110267174</v>
      </c>
      <c r="P410" s="33" t="str">
        <f t="shared" si="360"/>
        <v>59,1053597814893</v>
      </c>
      <c r="Q410" s="4" t="str">
        <f t="shared" si="361"/>
        <v>1+4015,59667490815i</v>
      </c>
      <c r="R410" s="4">
        <f t="shared" si="373"/>
        <v>4015.5967994226453</v>
      </c>
      <c r="S410" s="4">
        <f t="shared" si="374"/>
        <v>1.5705472978061097</v>
      </c>
      <c r="T410" s="4" t="str">
        <f t="shared" si="362"/>
        <v>1+0,679396367732757i</v>
      </c>
      <c r="U410" s="4">
        <f t="shared" si="375"/>
        <v>1.2089579912008785</v>
      </c>
      <c r="V410" s="4">
        <f t="shared" si="376"/>
        <v>0.59676377399157332</v>
      </c>
      <c r="W410" t="str">
        <f t="shared" si="363"/>
        <v>1-25,0854043470557i</v>
      </c>
      <c r="X410" s="4">
        <f t="shared" si="377"/>
        <v>25.105328343905025</v>
      </c>
      <c r="Y410" s="4">
        <f t="shared" si="378"/>
        <v>-1.5309536046023193</v>
      </c>
      <c r="Z410" t="str">
        <f t="shared" si="364"/>
        <v>0,857059716752286+2,34700563398589i</v>
      </c>
      <c r="AA410" s="4">
        <f t="shared" si="379"/>
        <v>2.498596967107944</v>
      </c>
      <c r="AB410" s="4">
        <f t="shared" si="380"/>
        <v>1.2206700858591082</v>
      </c>
      <c r="AC410" s="47" t="str">
        <f t="shared" si="381"/>
        <v>-0,149181278000981+0,0985542362422778i</v>
      </c>
      <c r="AD410" s="20">
        <f t="shared" si="382"/>
        <v>-14.952846531771307</v>
      </c>
      <c r="AE410" s="43">
        <f t="shared" si="383"/>
        <v>146.54988965439836</v>
      </c>
      <c r="AF410" t="str">
        <f t="shared" si="365"/>
        <v>405,634542683733</v>
      </c>
      <c r="AG410" t="str">
        <f t="shared" si="366"/>
        <v>1+4022,74165104921i</v>
      </c>
      <c r="AH410">
        <f t="shared" si="384"/>
        <v>4022.7417753425493</v>
      </c>
      <c r="AI410">
        <f t="shared" si="385"/>
        <v>1.5705477401179122</v>
      </c>
      <c r="AJ410" t="str">
        <f t="shared" si="367"/>
        <v>1+0,679396367732757i</v>
      </c>
      <c r="AK410">
        <f t="shared" si="386"/>
        <v>1.2089579912008785</v>
      </c>
      <c r="AL410">
        <f t="shared" si="387"/>
        <v>0.59676377399157332</v>
      </c>
      <c r="AM410" t="str">
        <f t="shared" si="368"/>
        <v>1-3,66168014963393i</v>
      </c>
      <c r="AN410">
        <f t="shared" si="388"/>
        <v>3.7957741658617103</v>
      </c>
      <c r="AO410">
        <f t="shared" si="389"/>
        <v>-1.3041986197111262</v>
      </c>
      <c r="AP410" s="41" t="str">
        <f t="shared" si="390"/>
        <v>-0,300632171170284-0,351761412543047i</v>
      </c>
      <c r="AQ410">
        <f t="shared" si="391"/>
        <v>-6.6935129691664415</v>
      </c>
      <c r="AR410" s="43">
        <f t="shared" si="392"/>
        <v>-130.51878797278471</v>
      </c>
      <c r="AS410" t="str">
        <f t="shared" si="369"/>
        <v>-0,0000166666666666667</v>
      </c>
      <c r="AT410" t="str">
        <f t="shared" si="370"/>
        <v>0,115758688809851i</v>
      </c>
      <c r="AU410">
        <f t="shared" si="393"/>
        <v>0.115758688809851</v>
      </c>
      <c r="AV410">
        <f t="shared" si="394"/>
        <v>1.5707963267948966</v>
      </c>
      <c r="AW410" t="str">
        <f t="shared" si="371"/>
        <v>1+4,12663395438303i</v>
      </c>
      <c r="AX410">
        <f t="shared" si="395"/>
        <v>4.2460696877779718</v>
      </c>
      <c r="AY410">
        <f t="shared" si="396"/>
        <v>1.3330510619321136</v>
      </c>
      <c r="AZ410" t="str">
        <f t="shared" si="372"/>
        <v>1+609,366280597226i</v>
      </c>
      <c r="BA410">
        <f t="shared" si="397"/>
        <v>609.36710112123478</v>
      </c>
      <c r="BB410">
        <f t="shared" si="398"/>
        <v>1.5691552791456229</v>
      </c>
      <c r="BC410" s="41" t="str">
        <f t="shared" si="399"/>
        <v>-0,00483335043784666+0,0200894457034427i</v>
      </c>
      <c r="BD410">
        <f t="shared" si="400"/>
        <v>-33.696259267889943</v>
      </c>
      <c r="BE410" s="43">
        <f t="shared" si="401"/>
        <v>103.52777517157412</v>
      </c>
      <c r="BF410" s="41" t="str">
        <f t="shared" si="402"/>
        <v>-0,00125885458248894-0,00347331634526416i</v>
      </c>
      <c r="BG410" s="20">
        <f t="shared" si="403"/>
        <v>-48.649105799661243</v>
      </c>
      <c r="BH410" s="43">
        <f t="shared" si="404"/>
        <v>-109.92233517402749</v>
      </c>
      <c r="BI410" s="41" t="str">
        <f t="shared" si="357"/>
        <v>0,00851975243400653-0,00433934750210102i</v>
      </c>
      <c r="BJ410" s="20">
        <f t="shared" si="405"/>
        <v>-40.389772237056391</v>
      </c>
      <c r="BK410" s="43">
        <f t="shared" si="358"/>
        <v>-26.991012801210616</v>
      </c>
      <c r="BL410">
        <f t="shared" si="406"/>
        <v>-48.649105799661243</v>
      </c>
      <c r="BM410" s="43">
        <f t="shared" si="407"/>
        <v>-109.92233517402749</v>
      </c>
    </row>
    <row r="411" spans="14:65" x14ac:dyDescent="0.35">
      <c r="N411" s="9">
        <v>93</v>
      </c>
      <c r="O411" s="34">
        <f t="shared" si="359"/>
        <v>85113.803820237721</v>
      </c>
      <c r="P411" s="33" t="str">
        <f t="shared" si="360"/>
        <v>59,1053597814893</v>
      </c>
      <c r="Q411" s="4" t="str">
        <f t="shared" si="361"/>
        <v>1+4109,1319372594i</v>
      </c>
      <c r="R411" s="4">
        <f t="shared" si="373"/>
        <v>4109.1320589395991</v>
      </c>
      <c r="S411" s="4">
        <f t="shared" si="374"/>
        <v>1.5705529663977307</v>
      </c>
      <c r="T411" s="4" t="str">
        <f t="shared" si="362"/>
        <v>1+0,695221542081928i</v>
      </c>
      <c r="U411" s="4">
        <f t="shared" si="375"/>
        <v>1.2179215872028766</v>
      </c>
      <c r="V411" s="4">
        <f t="shared" si="376"/>
        <v>0.60751174104426198</v>
      </c>
      <c r="W411" t="str">
        <f t="shared" si="363"/>
        <v>1-25,6697184768712i</v>
      </c>
      <c r="X411" s="4">
        <f t="shared" si="377"/>
        <v>25.689189295924123</v>
      </c>
      <c r="Y411" s="4">
        <f t="shared" si="378"/>
        <v>-1.5318596086610416</v>
      </c>
      <c r="Z411" t="str">
        <f t="shared" si="364"/>
        <v>0,850323148744837+2,40167441810121i</v>
      </c>
      <c r="AA411" s="4">
        <f t="shared" si="379"/>
        <v>2.5477616583686005</v>
      </c>
      <c r="AB411" s="4">
        <f t="shared" si="380"/>
        <v>1.2305142369331683</v>
      </c>
      <c r="AC411" s="47" t="str">
        <f t="shared" si="381"/>
        <v>-0,147381201203487+0,0973667074609012i</v>
      </c>
      <c r="AD411" s="20">
        <f t="shared" si="382"/>
        <v>-15.058246078111658</v>
      </c>
      <c r="AE411" s="43">
        <f t="shared" si="383"/>
        <v>146.54943950026811</v>
      </c>
      <c r="AF411" t="str">
        <f t="shared" si="365"/>
        <v>405,634542683733</v>
      </c>
      <c r="AG411" t="str">
        <f t="shared" si="366"/>
        <v>1+4116,44334127457i</v>
      </c>
      <c r="AH411">
        <f t="shared" si="384"/>
        <v>4116.4434627386472</v>
      </c>
      <c r="AI411">
        <f t="shared" si="385"/>
        <v>1.5705533986412885</v>
      </c>
      <c r="AJ411" t="str">
        <f t="shared" si="367"/>
        <v>1+0,695221542081928i</v>
      </c>
      <c r="AK411">
        <f t="shared" si="386"/>
        <v>1.2179215872028766</v>
      </c>
      <c r="AL411">
        <f t="shared" si="387"/>
        <v>0.60751174104426198</v>
      </c>
      <c r="AM411" t="str">
        <f t="shared" si="368"/>
        <v>1-3,74697163709394i</v>
      </c>
      <c r="AN411">
        <f t="shared" si="388"/>
        <v>3.8781176425150439</v>
      </c>
      <c r="AO411">
        <f t="shared" si="389"/>
        <v>-1.309992730213039</v>
      </c>
      <c r="AP411" s="41" t="str">
        <f t="shared" si="390"/>
        <v>-0,300633300176765-0,355307497195305i</v>
      </c>
      <c r="AQ411">
        <f t="shared" si="391"/>
        <v>-6.6429383259999355</v>
      </c>
      <c r="AR411" s="43">
        <f t="shared" si="392"/>
        <v>-130.2352771096196</v>
      </c>
      <c r="AS411" t="str">
        <f t="shared" si="369"/>
        <v>-0,0000166666666666667</v>
      </c>
      <c r="AT411" t="str">
        <f t="shared" si="370"/>
        <v>0,118455055054729i</v>
      </c>
      <c r="AU411">
        <f t="shared" si="393"/>
        <v>0.118455055054729</v>
      </c>
      <c r="AV411">
        <f t="shared" si="394"/>
        <v>1.5707963267948966</v>
      </c>
      <c r="AW411" t="str">
        <f t="shared" si="371"/>
        <v>1+4,22275560722797i</v>
      </c>
      <c r="AX411">
        <f t="shared" si="395"/>
        <v>4.3395466259017503</v>
      </c>
      <c r="AY411">
        <f t="shared" si="396"/>
        <v>1.33826771221495</v>
      </c>
      <c r="AZ411" t="str">
        <f t="shared" si="372"/>
        <v>1+623,560244667329i</v>
      </c>
      <c r="BA411">
        <f t="shared" si="397"/>
        <v>623.56104651395538</v>
      </c>
      <c r="BB411">
        <f t="shared" si="398"/>
        <v>1.5691926338858717</v>
      </c>
      <c r="BC411" s="41" t="str">
        <f t="shared" si="399"/>
        <v>-0,00462736547327309+0,0196809338401875i</v>
      </c>
      <c r="BD411">
        <f t="shared" si="400"/>
        <v>-33.885404620471448</v>
      </c>
      <c r="BE411" s="43">
        <f t="shared" si="401"/>
        <v>103.2310233961329</v>
      </c>
      <c r="BF411" s="41" t="str">
        <f t="shared" si="402"/>
        <v>-0,00123428104591636-0,00335115101052405i</v>
      </c>
      <c r="BG411" s="20">
        <f t="shared" si="403"/>
        <v>-48.943650698583092</v>
      </c>
      <c r="BH411" s="43">
        <f t="shared" si="404"/>
        <v>-110.219537103599</v>
      </c>
      <c r="BI411" s="41" t="str">
        <f t="shared" si="357"/>
        <v>0,00838392349857751-0,00427260644601951i</v>
      </c>
      <c r="BJ411" s="20">
        <f t="shared" si="405"/>
        <v>-40.528342946471383</v>
      </c>
      <c r="BK411" s="43">
        <f t="shared" si="358"/>
        <v>-27.004253713486701</v>
      </c>
      <c r="BL411">
        <f t="shared" si="406"/>
        <v>-48.943650698583092</v>
      </c>
      <c r="BM411" s="43">
        <f t="shared" si="407"/>
        <v>-110.219537103599</v>
      </c>
    </row>
    <row r="412" spans="14:65" x14ac:dyDescent="0.35">
      <c r="N412" s="9">
        <v>94</v>
      </c>
      <c r="O412" s="34">
        <f t="shared" si="359"/>
        <v>87096.358995608127</v>
      </c>
      <c r="P412" s="33" t="str">
        <f t="shared" si="360"/>
        <v>59,1053597814893</v>
      </c>
      <c r="Q412" s="4" t="str">
        <f t="shared" si="361"/>
        <v>1+4204,84591575459i</v>
      </c>
      <c r="R412" s="4">
        <f t="shared" si="373"/>
        <v>4204.8460346650099</v>
      </c>
      <c r="S412" s="4">
        <f t="shared" si="374"/>
        <v>1.5705585059564682</v>
      </c>
      <c r="T412" s="4" t="str">
        <f t="shared" si="362"/>
        <v>1+0,711415332095057i</v>
      </c>
      <c r="U412" s="4">
        <f t="shared" si="375"/>
        <v>1.2272374565420989</v>
      </c>
      <c r="V412" s="4">
        <f t="shared" si="376"/>
        <v>0.61834624593635079</v>
      </c>
      <c r="W412" t="str">
        <f t="shared" si="363"/>
        <v>1-26,2676430312022i</v>
      </c>
      <c r="X412" s="4">
        <f t="shared" si="377"/>
        <v>26.28667096485718</v>
      </c>
      <c r="Y412" s="4">
        <f t="shared" si="378"/>
        <v>-1.5327450513518841</v>
      </c>
      <c r="Z412" t="str">
        <f t="shared" si="364"/>
        <v>0,84326909606835+2,45761660178292i</v>
      </c>
      <c r="AA412" s="4">
        <f t="shared" si="379"/>
        <v>2.5982652154356685</v>
      </c>
      <c r="AB412" s="4">
        <f t="shared" si="380"/>
        <v>1.24025952799044</v>
      </c>
      <c r="AC412" s="47" t="str">
        <f t="shared" si="381"/>
        <v>-0,145635998535437+0,0961722829549004i</v>
      </c>
      <c r="AD412" s="20">
        <f t="shared" si="382"/>
        <v>-15.16285042382</v>
      </c>
      <c r="AE412" s="43">
        <f t="shared" si="383"/>
        <v>146.56079733346812</v>
      </c>
      <c r="AF412" t="str">
        <f t="shared" si="365"/>
        <v>405,634542683733</v>
      </c>
      <c r="AG412" t="str">
        <f t="shared" si="366"/>
        <v>1+4212,32762424705i</v>
      </c>
      <c r="AH412">
        <f t="shared" si="384"/>
        <v>4212.3277429462678</v>
      </c>
      <c r="AI412">
        <f t="shared" si="385"/>
        <v>1.5705589283609624</v>
      </c>
      <c r="AJ412" t="str">
        <f t="shared" si="367"/>
        <v>1+0,711415332095057i</v>
      </c>
      <c r="AK412">
        <f t="shared" si="386"/>
        <v>1.2272374565420989</v>
      </c>
      <c r="AL412">
        <f t="shared" si="387"/>
        <v>0.61834624593635079</v>
      </c>
      <c r="AM412" t="str">
        <f t="shared" si="368"/>
        <v>1-3,83424981851298i</v>
      </c>
      <c r="AN412">
        <f t="shared" si="388"/>
        <v>3.9625082549777506</v>
      </c>
      <c r="AO412">
        <f t="shared" si="389"/>
        <v>-1.3156723186210029</v>
      </c>
      <c r="AP412" s="41" t="str">
        <f t="shared" si="390"/>
        <v>-0,300634378369589-0,359041970560932i</v>
      </c>
      <c r="AQ412">
        <f t="shared" si="391"/>
        <v>-6.5897688263233398</v>
      </c>
      <c r="AR412" s="43">
        <f t="shared" si="392"/>
        <v>-129.94023898093585</v>
      </c>
      <c r="AS412" t="str">
        <f t="shared" si="369"/>
        <v>-0,0000166666666666667</v>
      </c>
      <c r="AT412" t="str">
        <f t="shared" si="370"/>
        <v>0,121214227737735i</v>
      </c>
      <c r="AU412">
        <f t="shared" si="393"/>
        <v>0.12121422773773501</v>
      </c>
      <c r="AV412">
        <f t="shared" si="394"/>
        <v>1.5707963267948966</v>
      </c>
      <c r="AW412" t="str">
        <f t="shared" si="371"/>
        <v>1+4,32111622099065i</v>
      </c>
      <c r="AX412">
        <f t="shared" si="395"/>
        <v>4.4353179587610754</v>
      </c>
      <c r="AY412">
        <f t="shared" si="396"/>
        <v>1.3433781017186985</v>
      </c>
      <c r="AZ412" t="str">
        <f t="shared" si="372"/>
        <v>1+638,084828632951i</v>
      </c>
      <c r="BA412">
        <f t="shared" si="397"/>
        <v>638.08561222734261</v>
      </c>
      <c r="BB412">
        <f t="shared" si="398"/>
        <v>1.5692291383327464</v>
      </c>
      <c r="BC412" s="41" t="str">
        <f t="shared" si="399"/>
        <v>-0,00442968660840524+0,0192786882679365i</v>
      </c>
      <c r="BD412">
        <f t="shared" si="400"/>
        <v>-34.075013122890823</v>
      </c>
      <c r="BE412" s="43">
        <f t="shared" si="401"/>
        <v>102.94031119663956</v>
      </c>
      <c r="BF412" s="41" t="str">
        <f t="shared" si="402"/>
        <v>-0,00120895363068916-0,00323368409025943i</v>
      </c>
      <c r="BG412" s="20">
        <f t="shared" si="403"/>
        <v>-49.237863546710813</v>
      </c>
      <c r="BH412" s="43">
        <f t="shared" si="404"/>
        <v>-110.49889146989236</v>
      </c>
      <c r="BI412" s="41" t="str">
        <f t="shared" si="357"/>
        <v>0,00825357430543984-0,00420539305436299i</v>
      </c>
      <c r="BJ412" s="20">
        <f t="shared" si="405"/>
        <v>-40.664781949214166</v>
      </c>
      <c r="BK412" s="43">
        <f t="shared" si="358"/>
        <v>-26.999927784296307</v>
      </c>
      <c r="BL412">
        <f t="shared" si="406"/>
        <v>-49.237863546710813</v>
      </c>
      <c r="BM412" s="43">
        <f t="shared" si="407"/>
        <v>-110.49889146989236</v>
      </c>
    </row>
    <row r="413" spans="14:65" x14ac:dyDescent="0.35">
      <c r="N413" s="9">
        <v>95</v>
      </c>
      <c r="O413" s="34">
        <f t="shared" si="359"/>
        <v>89125.093813374609</v>
      </c>
      <c r="P413" s="33" t="str">
        <f t="shared" si="360"/>
        <v>59,1053597814893</v>
      </c>
      <c r="Q413" s="4" t="str">
        <f t="shared" si="361"/>
        <v>1+4302,78935921202i</v>
      </c>
      <c r="R413" s="4">
        <f t="shared" si="373"/>
        <v>4302.7894754157087</v>
      </c>
      <c r="S413" s="4">
        <f t="shared" si="374"/>
        <v>1.5705639194194683</v>
      </c>
      <c r="T413" s="4" t="str">
        <f t="shared" si="362"/>
        <v>1+0,727986323933958i</v>
      </c>
      <c r="U413" s="4">
        <f t="shared" si="375"/>
        <v>1.2369171709677562</v>
      </c>
      <c r="V413" s="4">
        <f t="shared" si="376"/>
        <v>0.62926285879720578</v>
      </c>
      <c r="W413" t="str">
        <f t="shared" si="363"/>
        <v>1-26,8794950375615i</v>
      </c>
      <c r="X413" s="4">
        <f t="shared" si="377"/>
        <v>26.898090145478609</v>
      </c>
      <c r="Y413" s="4">
        <f t="shared" si="378"/>
        <v>-1.5336103965915535</v>
      </c>
      <c r="Z413" t="str">
        <f t="shared" si="364"/>
        <v>0,835882596131346+2,51486184631731i</v>
      </c>
      <c r="AA413" s="4">
        <f t="shared" si="379"/>
        <v>2.6501376984182894</v>
      </c>
      <c r="AB413" s="4">
        <f t="shared" si="380"/>
        <v>1.2499065901980599</v>
      </c>
      <c r="AC413" s="47" t="str">
        <f t="shared" si="381"/>
        <v>-0,143944796536124+0,0949730648439229i</v>
      </c>
      <c r="AD413" s="20">
        <f t="shared" si="382"/>
        <v>-15.266592184153042</v>
      </c>
      <c r="AE413" s="43">
        <f t="shared" si="383"/>
        <v>146.58364642913924</v>
      </c>
      <c r="AF413" t="str">
        <f t="shared" si="365"/>
        <v>405,634542683733</v>
      </c>
      <c r="AG413" t="str">
        <f t="shared" si="366"/>
        <v>1+4310,44533908264i</v>
      </c>
      <c r="AH413">
        <f t="shared" si="384"/>
        <v>4310.4454550799337</v>
      </c>
      <c r="AI413">
        <f t="shared" si="385"/>
        <v>1.5705643322088634</v>
      </c>
      <c r="AJ413" t="str">
        <f t="shared" si="367"/>
        <v>1+0,727986323933958i</v>
      </c>
      <c r="AK413">
        <f t="shared" si="386"/>
        <v>1.2369171709677562</v>
      </c>
      <c r="AL413">
        <f t="shared" si="387"/>
        <v>0.62926285879720578</v>
      </c>
      <c r="AM413" t="str">
        <f t="shared" si="368"/>
        <v>1-3,92356096993809i</v>
      </c>
      <c r="AN413">
        <f t="shared" si="388"/>
        <v>4.0489913169604996</v>
      </c>
      <c r="AO413">
        <f t="shared" si="389"/>
        <v>-1.3212389300377239</v>
      </c>
      <c r="AP413" s="41" t="str">
        <f t="shared" si="390"/>
        <v>-0,300635408035751-0,362966812708785i</v>
      </c>
      <c r="AQ413">
        <f t="shared" si="391"/>
        <v>-6.5339951753697987</v>
      </c>
      <c r="AR413" s="43">
        <f t="shared" si="392"/>
        <v>-129.63401609547617</v>
      </c>
      <c r="AS413" t="str">
        <f t="shared" si="369"/>
        <v>-0,0000166666666666667</v>
      </c>
      <c r="AT413" t="str">
        <f t="shared" si="370"/>
        <v>0,124037669808747i</v>
      </c>
      <c r="AU413">
        <f t="shared" si="393"/>
        <v>0.124037669808747</v>
      </c>
      <c r="AV413">
        <f t="shared" si="394"/>
        <v>1.5707963267948966</v>
      </c>
      <c r="AW413" t="str">
        <f t="shared" si="371"/>
        <v>1+4,42176794777042i</v>
      </c>
      <c r="AX413">
        <f t="shared" si="395"/>
        <v>4.5334348769922608</v>
      </c>
      <c r="AY413">
        <f t="shared" si="396"/>
        <v>1.3483838718588845</v>
      </c>
      <c r="AZ413" t="str">
        <f t="shared" si="372"/>
        <v>1+652,947733620765i</v>
      </c>
      <c r="BA413">
        <f t="shared" si="397"/>
        <v>652.9484993783916</v>
      </c>
      <c r="BB413">
        <f t="shared" si="398"/>
        <v>1.5692648118409989</v>
      </c>
      <c r="BC413" s="41" t="str">
        <f t="shared" si="399"/>
        <v>-0,00424001855211593+0,0188827459144239i</v>
      </c>
      <c r="BD413">
        <f t="shared" si="400"/>
        <v>-34.265066052845555</v>
      </c>
      <c r="BE413" s="43">
        <f t="shared" si="401"/>
        <v>102.65554563585758</v>
      </c>
      <c r="BF413" s="41" t="str">
        <f t="shared" si="402"/>
        <v>-0,00118302364436818-0,00312076057558462i</v>
      </c>
      <c r="BG413" s="20">
        <f t="shared" si="403"/>
        <v>-49.531658236998595</v>
      </c>
      <c r="BH413" s="43">
        <f t="shared" si="404"/>
        <v>-110.76080793500311</v>
      </c>
      <c r="BI413" s="41" t="str">
        <f t="shared" si="357"/>
        <v>0,0081285098072428-0,0041378360031306i</v>
      </c>
      <c r="BJ413" s="20">
        <f t="shared" si="405"/>
        <v>-40.799061228215351</v>
      </c>
      <c r="BK413" s="43">
        <f t="shared" si="358"/>
        <v>-26.978470459618556</v>
      </c>
      <c r="BL413">
        <f t="shared" si="406"/>
        <v>-49.531658236998595</v>
      </c>
      <c r="BM413" s="43">
        <f t="shared" si="407"/>
        <v>-110.76080793500311</v>
      </c>
    </row>
    <row r="414" spans="14:65" x14ac:dyDescent="0.35">
      <c r="N414" s="9">
        <v>96</v>
      </c>
      <c r="O414" s="34">
        <f t="shared" si="359"/>
        <v>91201.083935591028</v>
      </c>
      <c r="P414" s="33" t="str">
        <f t="shared" si="360"/>
        <v>59,1053597814893</v>
      </c>
      <c r="Q414" s="4" t="str">
        <f t="shared" si="361"/>
        <v>1+4403,01419854186i</v>
      </c>
      <c r="R414" s="4">
        <f t="shared" si="373"/>
        <v>4403.0143121004294</v>
      </c>
      <c r="S414" s="4">
        <f t="shared" si="374"/>
        <v>1.5705692096570194</v>
      </c>
      <c r="T414" s="4" t="str">
        <f t="shared" si="362"/>
        <v>1+0,744943303757846i</v>
      </c>
      <c r="U414" s="4">
        <f t="shared" si="375"/>
        <v>1.2469725441298434</v>
      </c>
      <c r="V414" s="4">
        <f t="shared" si="376"/>
        <v>0.64025696030848545</v>
      </c>
      <c r="W414" t="str">
        <f t="shared" si="363"/>
        <v>1-27,505598907982i</v>
      </c>
      <c r="X414" s="4">
        <f t="shared" si="377"/>
        <v>27.523771022277831</v>
      </c>
      <c r="Y414" s="4">
        <f t="shared" si="378"/>
        <v>-1.5344560980106725</v>
      </c>
      <c r="Z414" t="str">
        <f t="shared" si="364"/>
        <v>0,828147981177134+2,57344050389074i</v>
      </c>
      <c r="AA414" s="4">
        <f t="shared" si="379"/>
        <v>2.7034099033985188</v>
      </c>
      <c r="AB414" s="4">
        <f t="shared" si="380"/>
        <v>1.2594562143307593</v>
      </c>
      <c r="AC414" s="47" t="str">
        <f t="shared" si="381"/>
        <v>-0,142306659313234+0,0937710660132827i</v>
      </c>
      <c r="AD414" s="20">
        <f t="shared" si="382"/>
        <v>-15.369406096466001</v>
      </c>
      <c r="AE414" s="43">
        <f t="shared" si="383"/>
        <v>146.61765065620611</v>
      </c>
      <c r="AF414" t="str">
        <f t="shared" si="365"/>
        <v>405,634542683733</v>
      </c>
      <c r="AG414" t="str">
        <f t="shared" si="366"/>
        <v>1+4410,8485090925i</v>
      </c>
      <c r="AH414">
        <f t="shared" si="384"/>
        <v>4410.8486224493727</v>
      </c>
      <c r="AI414">
        <f t="shared" si="385"/>
        <v>1.5705696130501816</v>
      </c>
      <c r="AJ414" t="str">
        <f t="shared" si="367"/>
        <v>1+0,744943303757846i</v>
      </c>
      <c r="AK414">
        <f t="shared" si="386"/>
        <v>1.2469725441298434</v>
      </c>
      <c r="AL414">
        <f t="shared" si="387"/>
        <v>0.64025696030848545</v>
      </c>
      <c r="AM414" t="str">
        <f t="shared" si="368"/>
        <v>1-4,01495244532392i</v>
      </c>
      <c r="AN414">
        <f t="shared" si="388"/>
        <v>4.1376132175703084</v>
      </c>
      <c r="AO414">
        <f t="shared" si="389"/>
        <v>-1.3266941354274935</v>
      </c>
      <c r="AP414" s="41" t="str">
        <f t="shared" si="390"/>
        <v>-0,300636391359304-0,367084104643664i</v>
      </c>
      <c r="AQ414">
        <f t="shared" si="391"/>
        <v>-6.475608806150305</v>
      </c>
      <c r="AR414" s="43">
        <f t="shared" si="392"/>
        <v>-129.31696329447186</v>
      </c>
      <c r="AS414" t="str">
        <f t="shared" si="369"/>
        <v>-0,0000166666666666667</v>
      </c>
      <c r="AT414" t="str">
        <f t="shared" si="370"/>
        <v>0,126926878294125i</v>
      </c>
      <c r="AU414">
        <f t="shared" si="393"/>
        <v>0.126926878294125</v>
      </c>
      <c r="AV414">
        <f t="shared" si="394"/>
        <v>1.5707963267948966</v>
      </c>
      <c r="AW414" t="str">
        <f t="shared" si="371"/>
        <v>1+4,52476415444513i</v>
      </c>
      <c r="AX414">
        <f t="shared" si="395"/>
        <v>4.6339497896882262</v>
      </c>
      <c r="AY414">
        <f t="shared" si="396"/>
        <v>1.353286672844346</v>
      </c>
      <c r="AZ414" t="str">
        <f t="shared" si="372"/>
        <v>1+668,156840139729i</v>
      </c>
      <c r="BA414">
        <f t="shared" si="397"/>
        <v>668.15758846660356</v>
      </c>
      <c r="BB414">
        <f t="shared" si="398"/>
        <v>1.5692996733248317</v>
      </c>
      <c r="BC414" s="41" t="str">
        <f t="shared" si="399"/>
        <v>-0,00405807315886659+0,0184931331639324i</v>
      </c>
      <c r="BD414">
        <f t="shared" si="400"/>
        <v>-34.455545357545233</v>
      </c>
      <c r="BE414" s="43">
        <f t="shared" si="401"/>
        <v>102.37663324748921</v>
      </c>
      <c r="BF414" s="41" t="str">
        <f t="shared" si="402"/>
        <v>-0,00115662997622053-0,00301222584686081i</v>
      </c>
      <c r="BG414" s="20">
        <f t="shared" si="403"/>
        <v>-49.824951454011213</v>
      </c>
      <c r="BH414" s="43">
        <f t="shared" si="404"/>
        <v>-111.00571609630472</v>
      </c>
      <c r="BI414" s="41" t="str">
        <f t="shared" si="357"/>
        <v>0,00800853969989188-0,00407005466723068i</v>
      </c>
      <c r="BJ414" s="20">
        <f t="shared" si="405"/>
        <v>-40.931154163695531</v>
      </c>
      <c r="BK414" s="43">
        <f t="shared" si="358"/>
        <v>-26.940330046982641</v>
      </c>
      <c r="BL414">
        <f t="shared" si="406"/>
        <v>-49.824951454011213</v>
      </c>
      <c r="BM414" s="43">
        <f t="shared" si="407"/>
        <v>-111.00571609630472</v>
      </c>
    </row>
    <row r="415" spans="14:65" x14ac:dyDescent="0.35">
      <c r="N415" s="9">
        <v>97</v>
      </c>
      <c r="O415" s="34">
        <f t="shared" si="359"/>
        <v>93325.430079699145</v>
      </c>
      <c r="P415" s="33" t="str">
        <f t="shared" si="360"/>
        <v>59,1053597814893</v>
      </c>
      <c r="Q415" s="4" t="str">
        <f t="shared" si="361"/>
        <v>1+4505,57357428055i</v>
      </c>
      <c r="R415" s="4">
        <f t="shared" si="373"/>
        <v>4505.5736852542113</v>
      </c>
      <c r="S415" s="4">
        <f t="shared" si="374"/>
        <v>1.5705743794740743</v>
      </c>
      <c r="T415" s="4" t="str">
        <f t="shared" si="362"/>
        <v>1+0,762295262381877i</v>
      </c>
      <c r="U415" s="4">
        <f t="shared" si="375"/>
        <v>1.2574156301914872</v>
      </c>
      <c r="V415" s="4">
        <f t="shared" si="376"/>
        <v>0.65132374912720148</v>
      </c>
      <c r="W415" t="str">
        <f t="shared" si="363"/>
        <v>1-28,1462866110232i</v>
      </c>
      <c r="X415" s="4">
        <f t="shared" si="377"/>
        <v>28.164045341354353</v>
      </c>
      <c r="Y415" s="4">
        <f t="shared" si="378"/>
        <v>-1.5352825991697265</v>
      </c>
      <c r="Z415" t="str">
        <f t="shared" si="364"/>
        <v>0,820048845050396+2,63338363368285i</v>
      </c>
      <c r="AA415" s="4">
        <f t="shared" si="379"/>
        <v>2.7581133896954237</v>
      </c>
      <c r="AB415" s="4">
        <f t="shared" si="380"/>
        <v>1.2689093441909642</v>
      </c>
      <c r="AC415" s="47" t="str">
        <f t="shared" si="381"/>
        <v>-0,140720595032066+0,0925682097711933i</v>
      </c>
      <c r="AD415" s="20">
        <f t="shared" si="382"/>
        <v>-15.471229173313661</v>
      </c>
      <c r="AE415" s="43">
        <f t="shared" si="383"/>
        <v>146.66245526722759</v>
      </c>
      <c r="AF415" t="str">
        <f t="shared" si="365"/>
        <v>405,634542683733</v>
      </c>
      <c r="AG415" t="str">
        <f t="shared" si="366"/>
        <v>1+4513,59036936637i</v>
      </c>
      <c r="AH415">
        <f t="shared" si="384"/>
        <v>4513.590480142926</v>
      </c>
      <c r="AI415">
        <f t="shared" si="385"/>
        <v>1.5705747736848881</v>
      </c>
      <c r="AJ415" t="str">
        <f t="shared" si="367"/>
        <v>1+0,762295262381877i</v>
      </c>
      <c r="AK415">
        <f t="shared" si="386"/>
        <v>1.2574156301914872</v>
      </c>
      <c r="AL415">
        <f t="shared" si="387"/>
        <v>0.65132374912720148</v>
      </c>
      <c r="AM415" t="str">
        <f t="shared" si="368"/>
        <v>1-4,10847270164045i</v>
      </c>
      <c r="AN415">
        <f t="shared" si="388"/>
        <v>4.2284214477893256</v>
      </c>
      <c r="AO415">
        <f t="shared" si="389"/>
        <v>-1.3320395279164263</v>
      </c>
      <c r="AP415" s="41" t="str">
        <f t="shared" si="390"/>
        <v>-0,300637330426014-0,371396029409681i</v>
      </c>
      <c r="AQ415">
        <f t="shared" si="391"/>
        <v>-6.4146020020145142</v>
      </c>
      <c r="AR415" s="43">
        <f t="shared" si="392"/>
        <v>-128.98944711444224</v>
      </c>
      <c r="AS415" t="str">
        <f t="shared" si="369"/>
        <v>-0,0000166666666666667</v>
      </c>
      <c r="AT415" t="str">
        <f t="shared" si="370"/>
        <v>0,12988338509045i</v>
      </c>
      <c r="AU415">
        <f t="shared" si="393"/>
        <v>0.12988338509045</v>
      </c>
      <c r="AV415">
        <f t="shared" si="394"/>
        <v>1.5707963267948966</v>
      </c>
      <c r="AW415" t="str">
        <f t="shared" si="371"/>
        <v>1+4,63015945096685i</v>
      </c>
      <c r="AX415">
        <f t="shared" si="395"/>
        <v>4.7369163536395327</v>
      </c>
      <c r="AY415">
        <f t="shared" si="396"/>
        <v>1.3580881609698578</v>
      </c>
      <c r="AZ415" t="str">
        <f t="shared" si="372"/>
        <v>1+683,720212259437i</v>
      </c>
      <c r="BA415">
        <f t="shared" si="397"/>
        <v>683.72094355233082</v>
      </c>
      <c r="BB415">
        <f t="shared" si="398"/>
        <v>1.5693337412679262</v>
      </c>
      <c r="BC415" s="41" t="str">
        <f t="shared" si="399"/>
        <v>-0,00388356955713109+0,0181098665247409i</v>
      </c>
      <c r="BD415">
        <f t="shared" si="400"/>
        <v>-34.646433637158808</v>
      </c>
      <c r="BE415" s="43">
        <f t="shared" si="401"/>
        <v>102.10348019187123</v>
      </c>
      <c r="BF415" s="41" t="str">
        <f t="shared" si="402"/>
        <v>-0,00112989970446262-0,00290792627473836i</v>
      </c>
      <c r="BG415" s="20">
        <f t="shared" si="403"/>
        <v>-50.117662810472481</v>
      </c>
      <c r="BH415" s="43">
        <f t="shared" si="404"/>
        <v>-111.23406454090113</v>
      </c>
      <c r="BI415" s="41" t="str">
        <f t="shared" si="357"/>
        <v>0,0078934785046077-0,00400215961291474i</v>
      </c>
      <c r="BJ415" s="20">
        <f t="shared" si="405"/>
        <v>-41.061035639173312</v>
      </c>
      <c r="BK415" s="43">
        <f t="shared" si="358"/>
        <v>-26.885966922571015</v>
      </c>
      <c r="BL415">
        <f t="shared" si="406"/>
        <v>-50.117662810472481</v>
      </c>
      <c r="BM415" s="43">
        <f t="shared" si="407"/>
        <v>-111.23406454090113</v>
      </c>
    </row>
    <row r="416" spans="14:65" x14ac:dyDescent="0.35">
      <c r="N416" s="9">
        <v>98</v>
      </c>
      <c r="O416" s="34">
        <f t="shared" si="359"/>
        <v>95499.258602143804</v>
      </c>
      <c r="P416" s="33" t="str">
        <f t="shared" si="360"/>
        <v>59,1053597814893</v>
      </c>
      <c r="Q416" s="4" t="str">
        <f t="shared" si="361"/>
        <v>1+4610,52186476664i</v>
      </c>
      <c r="R416" s="4">
        <f t="shared" si="373"/>
        <v>4610.5219732142323</v>
      </c>
      <c r="S416" s="4">
        <f t="shared" si="374"/>
        <v>1.5705794316117372</v>
      </c>
      <c r="T416" s="4" t="str">
        <f t="shared" si="362"/>
        <v>1+0,780051400044194i</v>
      </c>
      <c r="U416" s="4">
        <f t="shared" si="375"/>
        <v>1.2682587223082313</v>
      </c>
      <c r="V416" s="4">
        <f t="shared" si="376"/>
        <v>0.66245825028862071</v>
      </c>
      <c r="W416" t="str">
        <f t="shared" si="363"/>
        <v>1-28,8018978477857i</v>
      </c>
      <c r="X416" s="4">
        <f t="shared" si="377"/>
        <v>28.81925258632296</v>
      </c>
      <c r="Y416" s="4">
        <f t="shared" si="378"/>
        <v>-1.5360903337712992</v>
      </c>
      <c r="Z416" t="str">
        <f t="shared" si="364"/>
        <v>0,811568008397539+2,69472301833449i</v>
      </c>
      <c r="AA416" s="4">
        <f t="shared" si="379"/>
        <v>2.8142805080155195</v>
      </c>
      <c r="AB416" s="4">
        <f t="shared" si="380"/>
        <v>1.2782670700118866</v>
      </c>
      <c r="AC416" s="47" t="str">
        <f t="shared" si="381"/>
        <v>-0,139185562172785+0,0913663299398815i</v>
      </c>
      <c r="AD416" s="20">
        <f t="shared" si="382"/>
        <v>-15.572000847854323</v>
      </c>
      <c r="AE416" s="43">
        <f t="shared" si="383"/>
        <v>146.71768774557862</v>
      </c>
      <c r="AF416" t="str">
        <f t="shared" si="365"/>
        <v>405,634542683733</v>
      </c>
      <c r="AG416" t="str">
        <f t="shared" si="366"/>
        <v>1+4618,72539499852i</v>
      </c>
      <c r="AH416">
        <f t="shared" si="384"/>
        <v>4618.7255032534922</v>
      </c>
      <c r="AI416">
        <f t="shared" si="385"/>
        <v>1.5705798168492182</v>
      </c>
      <c r="AJ416" t="str">
        <f t="shared" si="367"/>
        <v>1+0,780051400044194i</v>
      </c>
      <c r="AK416">
        <f t="shared" si="386"/>
        <v>1.2682587223082313</v>
      </c>
      <c r="AL416">
        <f t="shared" si="387"/>
        <v>0.66245825028862071</v>
      </c>
      <c r="AM416" t="str">
        <f t="shared" si="368"/>
        <v>1-4,20417132456545i</v>
      </c>
      <c r="AN416">
        <f t="shared" si="388"/>
        <v>4.3214646274496342</v>
      </c>
      <c r="AO416">
        <f t="shared" si="389"/>
        <v>-1.3372767192944606</v>
      </c>
      <c r="AP416" s="41" t="str">
        <f t="shared" si="390"/>
        <v>-0,30063822722776-0,375904873247768i</v>
      </c>
      <c r="AQ416">
        <f t="shared" si="391"/>
        <v>-6.3509680166170632</v>
      </c>
      <c r="AR416" s="43">
        <f t="shared" si="392"/>
        <v>-128.65184510540445</v>
      </c>
      <c r="AS416" t="str">
        <f t="shared" si="369"/>
        <v>-0,0000166666666666667</v>
      </c>
      <c r="AT416" t="str">
        <f t="shared" si="370"/>
        <v>0,132908757776761i</v>
      </c>
      <c r="AU416">
        <f t="shared" si="393"/>
        <v>0.13290875777676101</v>
      </c>
      <c r="AV416">
        <f t="shared" si="394"/>
        <v>1.5707963267948966</v>
      </c>
      <c r="AW416" t="str">
        <f t="shared" si="371"/>
        <v>1+4,73800971931689i</v>
      </c>
      <c r="AX416">
        <f t="shared" si="395"/>
        <v>4.8423895031628046</v>
      </c>
      <c r="AY416">
        <f t="shared" si="396"/>
        <v>1.362789996082258</v>
      </c>
      <c r="AZ416" t="str">
        <f t="shared" si="372"/>
        <v>1+699,646101885793i</v>
      </c>
      <c r="BA416">
        <f t="shared" si="397"/>
        <v>699.64681653244554</v>
      </c>
      <c r="BB416">
        <f t="shared" si="398"/>
        <v>1.5693670337332402</v>
      </c>
      <c r="BC416" s="41" t="str">
        <f t="shared" si="399"/>
        <v>-0,00371623424284561+0,017732953272978i</v>
      </c>
      <c r="BD416">
        <f t="shared" si="400"/>
        <v>-34.837714128008699</v>
      </c>
      <c r="BE416" s="43">
        <f t="shared" si="401"/>
        <v>101.83599240171641</v>
      </c>
      <c r="BF416" s="41" t="str">
        <f t="shared" si="402"/>
        <v>-0,00110294870729119-0,00280770975424889i</v>
      </c>
      <c r="BG416" s="20">
        <f t="shared" si="403"/>
        <v>-50.409714975863018</v>
      </c>
      <c r="BH416" s="43">
        <f t="shared" si="404"/>
        <v>-111.44631985270497</v>
      </c>
      <c r="BI416" s="41" t="str">
        <f t="shared" si="357"/>
        <v>0,00778314562711959-0,00393425307348492i</v>
      </c>
      <c r="BJ416" s="20">
        <f t="shared" si="405"/>
        <v>-41.188682144625758</v>
      </c>
      <c r="BK416" s="43">
        <f t="shared" si="358"/>
        <v>-26.815852703688041</v>
      </c>
      <c r="BL416">
        <f t="shared" si="406"/>
        <v>-50.409714975863018</v>
      </c>
      <c r="BM416" s="43">
        <f t="shared" si="407"/>
        <v>-111.44631985270497</v>
      </c>
    </row>
    <row r="417" spans="14:65" x14ac:dyDescent="0.35">
      <c r="N417" s="9">
        <v>99</v>
      </c>
      <c r="O417" s="34">
        <f t="shared" si="359"/>
        <v>97723.722095581266</v>
      </c>
      <c r="P417" s="33" t="str">
        <f t="shared" si="360"/>
        <v>59,1053597814893</v>
      </c>
      <c r="Q417" s="4" t="str">
        <f t="shared" si="361"/>
        <v>1+4717,91471497289i</v>
      </c>
      <c r="R417" s="4">
        <f t="shared" si="373"/>
        <v>4717.9148209519135</v>
      </c>
      <c r="S417" s="4">
        <f t="shared" si="374"/>
        <v>1.5705843687487178</v>
      </c>
      <c r="T417" s="4" t="str">
        <f t="shared" si="362"/>
        <v>1+0,798221131284014i</v>
      </c>
      <c r="U417" s="4">
        <f t="shared" si="375"/>
        <v>1.2795143510052285</v>
      </c>
      <c r="V417" s="4">
        <f t="shared" si="376"/>
        <v>0.67365532456856769</v>
      </c>
      <c r="W417" t="str">
        <f t="shared" si="363"/>
        <v>1-29,4727802320252i</v>
      </c>
      <c r="X417" s="4">
        <f t="shared" si="377"/>
        <v>29.489740158320409</v>
      </c>
      <c r="Y417" s="4">
        <f t="shared" si="378"/>
        <v>-1.536879725868604</v>
      </c>
      <c r="Z417" t="str">
        <f t="shared" si="364"/>
        <v>0,802687482226975+2,75749118079932i</v>
      </c>
      <c r="AA417" s="4">
        <f t="shared" si="379"/>
        <v>2.871944429530263</v>
      </c>
      <c r="AB417" s="4">
        <f t="shared" si="380"/>
        <v>1.2875306218763347</v>
      </c>
      <c r="AC417" s="47" t="str">
        <f t="shared" si="381"/>
        <v>-0,137700475533976+0,0901671713433258i</v>
      </c>
      <c r="AD417" s="20">
        <f t="shared" si="382"/>
        <v>-15.671663110955595</v>
      </c>
      <c r="AE417" s="43">
        <f t="shared" si="383"/>
        <v>146.7829587069121</v>
      </c>
      <c r="AF417" t="str">
        <f t="shared" si="365"/>
        <v>405,634542683733</v>
      </c>
      <c r="AG417" t="str">
        <f t="shared" si="366"/>
        <v>1+4726,30932997113i</v>
      </c>
      <c r="AH417">
        <f t="shared" si="384"/>
        <v>4726.3094357619193</v>
      </c>
      <c r="AI417">
        <f t="shared" si="385"/>
        <v>1.5705847452171238</v>
      </c>
      <c r="AJ417" t="str">
        <f t="shared" si="367"/>
        <v>1+0,798221131284014i</v>
      </c>
      <c r="AK417">
        <f t="shared" si="386"/>
        <v>1.2795143510052285</v>
      </c>
      <c r="AL417">
        <f t="shared" si="387"/>
        <v>0.67365532456856769</v>
      </c>
      <c r="AM417" t="str">
        <f t="shared" si="368"/>
        <v>1-4,30209905477552i</v>
      </c>
      <c r="AN417">
        <f t="shared" si="388"/>
        <v>4.4167925327210495</v>
      </c>
      <c r="AO417">
        <f t="shared" si="389"/>
        <v>-1.3424073367145566</v>
      </c>
      <c r="AP417" s="41" t="str">
        <f t="shared" si="390"/>
        <v>-0,300639083666786-0,380613026807859i</v>
      </c>
      <c r="AQ417">
        <f t="shared" si="391"/>
        <v>-6.2847011903971008</v>
      </c>
      <c r="AR417" s="43">
        <f t="shared" si="392"/>
        <v>-128.30454510541773</v>
      </c>
      <c r="AS417" t="str">
        <f t="shared" si="369"/>
        <v>-0,0000166666666666667</v>
      </c>
      <c r="AT417" t="str">
        <f t="shared" si="370"/>
        <v>0,136004600445699i</v>
      </c>
      <c r="AU417">
        <f t="shared" si="393"/>
        <v>0.13600460044569901</v>
      </c>
      <c r="AV417">
        <f t="shared" si="394"/>
        <v>1.5707963267948966</v>
      </c>
      <c r="AW417" t="str">
        <f t="shared" si="371"/>
        <v>1+4,84837214313507i</v>
      </c>
      <c r="AX417">
        <f t="shared" si="395"/>
        <v>4.9504254805347951</v>
      </c>
      <c r="AY417">
        <f t="shared" si="396"/>
        <v>1.3673938392137364</v>
      </c>
      <c r="AZ417" t="str">
        <f t="shared" si="372"/>
        <v>1+715,942953136277i</v>
      </c>
      <c r="BA417">
        <f t="shared" si="397"/>
        <v>715.94365151560169</v>
      </c>
      <c r="BB417">
        <f t="shared" si="398"/>
        <v>1.5693995683725839</v>
      </c>
      <c r="BC417" s="41" t="str">
        <f t="shared" si="399"/>
        <v>-0,00355580114088462+0,017362392072299i</v>
      </c>
      <c r="BD417">
        <f t="shared" si="400"/>
        <v>-35.029370685586493</v>
      </c>
      <c r="BE417" s="43">
        <f t="shared" si="401"/>
        <v>101.57407571826472</v>
      </c>
      <c r="BF417" s="41" t="str">
        <f t="shared" si="402"/>
        <v>-0,00107588227290892-0,00271142617549584i</v>
      </c>
      <c r="BG417" s="20">
        <f t="shared" si="403"/>
        <v>-50.701033796542099</v>
      </c>
      <c r="BH417" s="43">
        <f t="shared" si="404"/>
        <v>-111.64296557482322</v>
      </c>
      <c r="BI417" s="41" t="str">
        <f t="shared" si="357"/>
        <v>0,00767736539595936-0,00386642940792051i</v>
      </c>
      <c r="BJ417" s="20">
        <f t="shared" si="405"/>
        <v>-41.314071875983593</v>
      </c>
      <c r="BK417" s="43">
        <f t="shared" si="358"/>
        <v>-26.730469387152997</v>
      </c>
      <c r="BL417">
        <f t="shared" si="406"/>
        <v>-50.701033796542099</v>
      </c>
      <c r="BM417" s="43">
        <f t="shared" si="407"/>
        <v>-111.64296557482322</v>
      </c>
    </row>
    <row r="418" spans="14:65" x14ac:dyDescent="0.35">
      <c r="N418" s="9">
        <v>100</v>
      </c>
      <c r="O418" s="34">
        <f t="shared" si="359"/>
        <v>100000</v>
      </c>
      <c r="P418" s="33" t="str">
        <f t="shared" si="360"/>
        <v>59,1053597814893</v>
      </c>
      <c r="Q418" s="4" t="str">
        <f t="shared" si="361"/>
        <v>1+4827,80906601001i</v>
      </c>
      <c r="R418" s="4">
        <f t="shared" si="373"/>
        <v>4827.8091695766561</v>
      </c>
      <c r="S418" s="4">
        <f t="shared" si="374"/>
        <v>1.5705891935027498</v>
      </c>
      <c r="T418" s="4" t="str">
        <f t="shared" si="362"/>
        <v>1+0,816814089933347i</v>
      </c>
      <c r="U418" s="4">
        <f t="shared" si="375"/>
        <v>1.2911952824858222</v>
      </c>
      <c r="V418" s="4">
        <f t="shared" si="376"/>
        <v>0.68490967877541453</v>
      </c>
      <c r="W418" t="str">
        <f t="shared" si="363"/>
        <v>1-30,1592894744621i</v>
      </c>
      <c r="X418" s="4">
        <f t="shared" si="377"/>
        <v>30.175863560209844</v>
      </c>
      <c r="Y418" s="4">
        <f t="shared" si="378"/>
        <v>-1.5376511900703176</v>
      </c>
      <c r="Z418" t="str">
        <f t="shared" si="364"/>
        <v>0,793388429752066+2,82172140158792i</v>
      </c>
      <c r="AA418" s="4">
        <f t="shared" si="379"/>
        <v>2.9311391759252485</v>
      </c>
      <c r="AB418" s="4">
        <f t="shared" si="380"/>
        <v>1.2967013631809385</v>
      </c>
      <c r="AC418" s="47" t="str">
        <f t="shared" si="381"/>
        <v>-0,136264211965063+0,0889723906545291i</v>
      </c>
      <c r="AD418" s="20">
        <f t="shared" si="382"/>
        <v>-15.770160639419311</v>
      </c>
      <c r="AE418" s="43">
        <f t="shared" si="383"/>
        <v>146.85786285150297</v>
      </c>
      <c r="AF418" t="str">
        <f t="shared" si="365"/>
        <v>405,634542683733</v>
      </c>
      <c r="AG418" t="str">
        <f t="shared" si="366"/>
        <v>1+4836,3992167106i</v>
      </c>
      <c r="AH418">
        <f t="shared" si="384"/>
        <v>4836.3993200932973</v>
      </c>
      <c r="AI418">
        <f t="shared" si="385"/>
        <v>1.5705895614016896</v>
      </c>
      <c r="AJ418" t="str">
        <f t="shared" si="367"/>
        <v>1+0,816814089933347i</v>
      </c>
      <c r="AK418">
        <f t="shared" si="386"/>
        <v>1.2911952824858222</v>
      </c>
      <c r="AL418">
        <f t="shared" si="387"/>
        <v>0.68490967877541453</v>
      </c>
      <c r="AM418" t="str">
        <f t="shared" si="368"/>
        <v>1-4,40230781484944i</v>
      </c>
      <c r="AN418">
        <f t="shared" si="388"/>
        <v>4.5144561241288468</v>
      </c>
      <c r="AO418">
        <f t="shared" si="389"/>
        <v>-1.3474330195839959</v>
      </c>
      <c r="AP418" s="41" t="str">
        <f t="shared" si="390"/>
        <v>-0,300639901559706-0,385522986416456i</v>
      </c>
      <c r="AQ418">
        <f t="shared" si="391"/>
        <v>-6.2157970626944659</v>
      </c>
      <c r="AR418" s="43">
        <f t="shared" si="392"/>
        <v>-127.94794447285894</v>
      </c>
      <c r="AS418" t="str">
        <f t="shared" si="369"/>
        <v>-0,0000166666666666667</v>
      </c>
      <c r="AT418" t="str">
        <f t="shared" si="370"/>
        <v>0,139172554554028i</v>
      </c>
      <c r="AU418">
        <f t="shared" si="393"/>
        <v>0.13917255455402799</v>
      </c>
      <c r="AV418">
        <f t="shared" si="394"/>
        <v>1.5707963267948966</v>
      </c>
      <c r="AW418" t="str">
        <f t="shared" si="371"/>
        <v>1+4,96130523803933i</v>
      </c>
      <c r="AX418">
        <f t="shared" si="395"/>
        <v>5.0610818670514011</v>
      </c>
      <c r="AY418">
        <f t="shared" si="396"/>
        <v>1.371901350375851</v>
      </c>
      <c r="AZ418" t="str">
        <f t="shared" si="372"/>
        <v>1+732,61940681714i</v>
      </c>
      <c r="BA418">
        <f t="shared" si="397"/>
        <v>732.62008929942533</v>
      </c>
      <c r="BB418">
        <f t="shared" si="398"/>
        <v>1.5694313624359781</v>
      </c>
      <c r="BC418" s="41" t="str">
        <f t="shared" si="399"/>
        <v>-0,00340201163741796+0,0169981735690017i</v>
      </c>
      <c r="BD418">
        <f t="shared" si="400"/>
        <v>-35.221387767462886</v>
      </c>
      <c r="BE418" s="43">
        <f t="shared" si="401"/>
        <v>101.31763601821356</v>
      </c>
      <c r="BF418" s="41" t="str">
        <f t="shared" si="402"/>
        <v>-0,00104879570432598-0,00261892783464098i</v>
      </c>
      <c r="BG418" s="20">
        <f t="shared" si="403"/>
        <v>-50.99154840688221</v>
      </c>
      <c r="BH418" s="43">
        <f t="shared" si="404"/>
        <v>-111.82450113028351</v>
      </c>
      <c r="BI418" s="41" t="str">
        <f t="shared" si="357"/>
        <v>0,00757596708172511-0,00379877554219856i</v>
      </c>
      <c r="BJ418" s="20">
        <f t="shared" si="405"/>
        <v>-41.437184830157356</v>
      </c>
      <c r="BK418" s="43">
        <f t="shared" si="358"/>
        <v>-26.630308454645409</v>
      </c>
      <c r="BL418">
        <f t="shared" si="406"/>
        <v>-50.99154840688221</v>
      </c>
      <c r="BM418" s="43">
        <f t="shared" si="407"/>
        <v>-111.82450113028351</v>
      </c>
    </row>
    <row r="419" spans="14:65" x14ac:dyDescent="0.35">
      <c r="N419" s="9">
        <v>1</v>
      </c>
      <c r="O419" s="34">
        <f>10^(5+(N419/100))</f>
        <v>102329.29922807543</v>
      </c>
      <c r="P419" s="33" t="str">
        <f t="shared" si="360"/>
        <v>59,1053597814893</v>
      </c>
      <c r="Q419" s="4" t="str">
        <f t="shared" si="361"/>
        <v>1+4940,26318531753i</v>
      </c>
      <c r="R419" s="4">
        <f t="shared" si="373"/>
        <v>4940.2632865267124</v>
      </c>
      <c r="S419" s="4">
        <f t="shared" si="374"/>
        <v>1.5705939084319813</v>
      </c>
      <c r="T419" s="4" t="str">
        <f t="shared" si="362"/>
        <v>1+0,835840134224975i</v>
      </c>
      <c r="U419" s="4">
        <f t="shared" si="375"/>
        <v>1.3033145169072675</v>
      </c>
      <c r="V419" s="4">
        <f t="shared" si="376"/>
        <v>0.6962158769327117</v>
      </c>
      <c r="W419" t="str">
        <f t="shared" si="363"/>
        <v>1-30,8617895713837i</v>
      </c>
      <c r="X419" s="4">
        <f t="shared" si="377"/>
        <v>30.877986585079793</v>
      </c>
      <c r="Y419" s="4">
        <f t="shared" si="378"/>
        <v>-1.5384051317417333</v>
      </c>
      <c r="Z419" t="str">
        <f t="shared" si="364"/>
        <v>0,783651126435764+2,88744773641355i</v>
      </c>
      <c r="AA419" s="4">
        <f t="shared" si="379"/>
        <v>2.9918996504702116</v>
      </c>
      <c r="AB419" s="4">
        <f t="shared" si="380"/>
        <v>1.305780784172575</v>
      </c>
      <c r="AC419" s="47" t="str">
        <f t="shared" si="381"/>
        <v>-0,134875615814052+0,0877835575658039i</v>
      </c>
      <c r="AD419" s="20">
        <f t="shared" si="382"/>
        <v>-15.867440914772441</v>
      </c>
      <c r="AE419" s="43">
        <f t="shared" si="383"/>
        <v>146.94197996369456</v>
      </c>
      <c r="AF419" t="str">
        <f t="shared" si="365"/>
        <v>405,634542683733</v>
      </c>
      <c r="AG419" t="str">
        <f t="shared" si="366"/>
        <v>1+4949,05342633209i</v>
      </c>
      <c r="AH419">
        <f t="shared" si="384"/>
        <v>4949.0535273615096</v>
      </c>
      <c r="AI419">
        <f t="shared" si="385"/>
        <v>1.5705942679565195</v>
      </c>
      <c r="AJ419" t="str">
        <f t="shared" si="367"/>
        <v>1+0,835840134224975i</v>
      </c>
      <c r="AK419">
        <f t="shared" si="386"/>
        <v>1.3033145169072675</v>
      </c>
      <c r="AL419">
        <f t="shared" si="387"/>
        <v>0.6962158769327117</v>
      </c>
      <c r="AM419" t="str">
        <f t="shared" si="368"/>
        <v>1-4,50485073679823i</v>
      </c>
      <c r="AN419">
        <f t="shared" si="388"/>
        <v>4.6145075751190996</v>
      </c>
      <c r="AO419">
        <f t="shared" si="389"/>
        <v>-1.352355416642294</v>
      </c>
      <c r="AP419" s="41" t="str">
        <f t="shared" si="390"/>
        <v>-0,300640682641386-0,390637355400223i</v>
      </c>
      <c r="AQ419">
        <f t="shared" si="391"/>
        <v>-6.1442524786493413</v>
      </c>
      <c r="AR419" s="43">
        <f t="shared" si="392"/>
        <v>-127.5824492783632</v>
      </c>
      <c r="AS419" t="str">
        <f t="shared" si="369"/>
        <v>-0,0000166666666666667</v>
      </c>
      <c r="AT419" t="str">
        <f t="shared" si="370"/>
        <v>0,142414299792948i</v>
      </c>
      <c r="AU419">
        <f t="shared" si="393"/>
        <v>0.14241429979294801</v>
      </c>
      <c r="AV419">
        <f t="shared" si="394"/>
        <v>1.5707963267948966</v>
      </c>
      <c r="AW419" t="str">
        <f t="shared" si="371"/>
        <v>1+5,07686888265145i</v>
      </c>
      <c r="AX419">
        <f t="shared" si="395"/>
        <v>5.1744176147306256</v>
      </c>
      <c r="AY419">
        <f t="shared" si="396"/>
        <v>1.376314186507742</v>
      </c>
      <c r="AZ419" t="str">
        <f t="shared" si="372"/>
        <v>1+749,684305004862i</v>
      </c>
      <c r="BA419">
        <f t="shared" si="397"/>
        <v>749.68497195196801</v>
      </c>
      <c r="BB419">
        <f t="shared" si="398"/>
        <v>1.5694624327807991</v>
      </c>
      <c r="BC419" s="41" t="str">
        <f t="shared" si="399"/>
        <v>-0,00325461458585982+0,0166402809623925i</v>
      </c>
      <c r="BD419">
        <f t="shared" si="400"/>
        <v>-35.413750416152311</v>
      </c>
      <c r="BE419" s="43">
        <f t="shared" si="401"/>
        <v>101.06657933179959</v>
      </c>
      <c r="BF419" s="41" t="str">
        <f t="shared" si="402"/>
        <v>-0,00102177491526809-0,00253006978897386i</v>
      </c>
      <c r="BG419" s="20">
        <f t="shared" si="403"/>
        <v>-51.28119133092477</v>
      </c>
      <c r="BH419" s="43">
        <f t="shared" si="404"/>
        <v>-111.99144070450582</v>
      </c>
      <c r="BI419" s="41" t="str">
        <f t="shared" si="357"/>
        <v>0,00747878489909319-0,00373137139321087i</v>
      </c>
      <c r="BJ419" s="20">
        <f t="shared" si="405"/>
        <v>-41.558002894801653</v>
      </c>
      <c r="BK419" s="43">
        <f t="shared" si="358"/>
        <v>-26.515869946563637</v>
      </c>
      <c r="BL419">
        <f t="shared" si="406"/>
        <v>-51.28119133092477</v>
      </c>
      <c r="BM419" s="43">
        <f t="shared" si="407"/>
        <v>-111.99144070450582</v>
      </c>
    </row>
    <row r="420" spans="14:65" x14ac:dyDescent="0.35">
      <c r="N420" s="9">
        <v>2</v>
      </c>
      <c r="O420" s="34">
        <f t="shared" ref="O420:O483" si="408">10^(5+(N420/100))</f>
        <v>104712.85480508996</v>
      </c>
      <c r="P420" s="33" t="str">
        <f t="shared" si="360"/>
        <v>59,1053597814893</v>
      </c>
      <c r="Q420" s="4" t="str">
        <f t="shared" si="361"/>
        <v>1+5055,33669755803i</v>
      </c>
      <c r="R420" s="4">
        <f t="shared" si="373"/>
        <v>5055.3367964634099</v>
      </c>
      <c r="S420" s="4">
        <f t="shared" si="374"/>
        <v>1.5705985160363294</v>
      </c>
      <c r="T420" s="4" t="str">
        <f t="shared" si="362"/>
        <v>1+0,855309352019422i</v>
      </c>
      <c r="U420" s="4">
        <f t="shared" si="375"/>
        <v>1.3158852866613728</v>
      </c>
      <c r="V420" s="4">
        <f t="shared" si="376"/>
        <v>0.70756835230424653</v>
      </c>
      <c r="W420" t="str">
        <f t="shared" si="363"/>
        <v>1-31,5806529976403i</v>
      </c>
      <c r="X420" s="4">
        <f t="shared" si="377"/>
        <v>31.596481509139071</v>
      </c>
      <c r="Y420" s="4">
        <f t="shared" si="378"/>
        <v>-1.5391419472022525</v>
      </c>
      <c r="Z420" t="str">
        <f t="shared" si="364"/>
        <v>0,773454918152234+2,95470503424891i</v>
      </c>
      <c r="AA420" s="4">
        <f t="shared" si="379"/>
        <v>3.0542616701634673</v>
      </c>
      <c r="AB420" s="4">
        <f t="shared" si="380"/>
        <v>1.3147704955808641</v>
      </c>
      <c r="AC420" s="47" t="str">
        <f t="shared" si="381"/>
        <v>-0,133533504080803+0,0866021562464153i</v>
      </c>
      <c r="AD420" s="20">
        <f t="shared" si="382"/>
        <v>-15.963454332101888</v>
      </c>
      <c r="AE420" s="43">
        <f t="shared" si="383"/>
        <v>147.03487595432367</v>
      </c>
      <c r="AF420" t="str">
        <f t="shared" si="365"/>
        <v>405,634542683733</v>
      </c>
      <c r="AG420" t="str">
        <f t="shared" si="366"/>
        <v>1+5064,33168958868i</v>
      </c>
      <c r="AH420">
        <f t="shared" si="384"/>
        <v>5064.331788318389</v>
      </c>
      <c r="AI420">
        <f t="shared" si="385"/>
        <v>1.5705988673770905</v>
      </c>
      <c r="AJ420" t="str">
        <f t="shared" si="367"/>
        <v>1+0,855309352019422i</v>
      </c>
      <c r="AK420">
        <f t="shared" si="386"/>
        <v>1.3158852866613728</v>
      </c>
      <c r="AL420">
        <f t="shared" si="387"/>
        <v>0.70756835230424653</v>
      </c>
      <c r="AM420" t="str">
        <f t="shared" si="368"/>
        <v>1-4,60978219023642i</v>
      </c>
      <c r="AN420">
        <f t="shared" si="388"/>
        <v>4.7170003011894002</v>
      </c>
      <c r="AO420">
        <f t="shared" si="389"/>
        <v>-1.3571761832198881</v>
      </c>
      <c r="AP420" s="41" t="str">
        <f t="shared" si="390"/>
        <v>-0,300641428568602-0,395958845466311i</v>
      </c>
      <c r="AQ420">
        <f t="shared" si="391"/>
        <v>-6.0700656900683958</v>
      </c>
      <c r="AR420" s="43">
        <f t="shared" si="392"/>
        <v>-127.20847345884884</v>
      </c>
      <c r="AS420" t="str">
        <f t="shared" si="369"/>
        <v>-0,0000166666666666667</v>
      </c>
      <c r="AT420" t="str">
        <f t="shared" si="370"/>
        <v>0,145731554978694i</v>
      </c>
      <c r="AU420">
        <f t="shared" si="393"/>
        <v>0.145731554978694</v>
      </c>
      <c r="AV420">
        <f t="shared" si="394"/>
        <v>1.5707963267948966</v>
      </c>
      <c r="AW420" t="str">
        <f t="shared" si="371"/>
        <v>1+5,19512435034545i</v>
      </c>
      <c r="AX420">
        <f t="shared" si="395"/>
        <v>5.2904930786791731</v>
      </c>
      <c r="AY420">
        <f t="shared" si="396"/>
        <v>1.3806339995719861</v>
      </c>
      <c r="AZ420" t="str">
        <f t="shared" si="372"/>
        <v>1+767,146695734344i</v>
      </c>
      <c r="BA420">
        <f t="shared" si="397"/>
        <v>767.14734749989339</v>
      </c>
      <c r="BB420">
        <f t="shared" si="398"/>
        <v>1.5694927958807146</v>
      </c>
      <c r="BC420" s="41" t="str">
        <f t="shared" si="399"/>
        <v>-0,00311336628897084+0,0162886905503639i</v>
      </c>
      <c r="BD420">
        <f t="shared" si="400"/>
        <v>-35.606444241992982</v>
      </c>
      <c r="BE420" s="43">
        <f t="shared" si="401"/>
        <v>100.82081195241099</v>
      </c>
      <c r="BF420" s="41" t="str">
        <f t="shared" si="402"/>
        <v>-0,000994897014038801-0,00244471015988773i</v>
      </c>
      <c r="BG420" s="20">
        <f t="shared" si="403"/>
        <v>-51.569898574094864</v>
      </c>
      <c r="BH420" s="43">
        <f t="shared" si="404"/>
        <v>-112.14431209326536</v>
      </c>
      <c r="BI420" s="41" t="str">
        <f t="shared" si="357"/>
        <v>0,00738565799325362-0,00366429027527866i</v>
      </c>
      <c r="BJ420" s="20">
        <f t="shared" si="405"/>
        <v>-41.676509932061379</v>
      </c>
      <c r="BK420" s="43">
        <f t="shared" si="358"/>
        <v>-26.387661506437826</v>
      </c>
      <c r="BL420">
        <f t="shared" si="406"/>
        <v>-51.569898574094864</v>
      </c>
      <c r="BM420" s="43">
        <f t="shared" si="407"/>
        <v>-112.14431209326536</v>
      </c>
    </row>
    <row r="421" spans="14:65" x14ac:dyDescent="0.35">
      <c r="N421" s="9">
        <v>3</v>
      </c>
      <c r="O421" s="34">
        <f t="shared" si="408"/>
        <v>107151.93052376082</v>
      </c>
      <c r="P421" s="33" t="str">
        <f t="shared" si="360"/>
        <v>59,1053597814893</v>
      </c>
      <c r="Q421" s="4" t="str">
        <f t="shared" si="361"/>
        <v>1+5173,09061623087i</v>
      </c>
      <c r="R421" s="4">
        <f t="shared" si="373"/>
        <v>5173.0907128848894</v>
      </c>
      <c r="S421" s="4">
        <f t="shared" si="374"/>
        <v>1.5706030187588056</v>
      </c>
      <c r="T421" s="4" t="str">
        <f t="shared" si="362"/>
        <v>1+0,875232066153669i</v>
      </c>
      <c r="U421" s="4">
        <f t="shared" si="375"/>
        <v>1.3289210546994958</v>
      </c>
      <c r="V421" s="4">
        <f t="shared" si="376"/>
        <v>0.71896142020433462</v>
      </c>
      <c r="W421" t="str">
        <f t="shared" si="363"/>
        <v>1-32,3162609041355i</v>
      </c>
      <c r="X421" s="4">
        <f t="shared" si="377"/>
        <v>32.331729289107884</v>
      </c>
      <c r="Y421" s="4">
        <f t="shared" si="378"/>
        <v>-1.5398620239192358</v>
      </c>
      <c r="Z421" t="str">
        <f t="shared" si="364"/>
        <v>0,762778177376676+3,02352895580358i</v>
      </c>
      <c r="AA421" s="4">
        <f t="shared" si="379"/>
        <v>3.1182619990091869</v>
      </c>
      <c r="AB421" s="4">
        <f t="shared" si="380"/>
        <v>1.3236722223678303</v>
      </c>
      <c r="AC421" s="47" t="str">
        <f t="shared" si="381"/>
        <v>-0,13223667126928+0,0854295870530681i</v>
      </c>
      <c r="AD421" s="20">
        <f t="shared" si="382"/>
        <v>-16.058154298457911</v>
      </c>
      <c r="AE421" s="43">
        <f t="shared" si="383"/>
        <v>147.13610394162993</v>
      </c>
      <c r="AF421" t="str">
        <f t="shared" si="365"/>
        <v>405,634542683733</v>
      </c>
      <c r="AG421" t="str">
        <f t="shared" si="366"/>
        <v>1+5182,29512854146i</v>
      </c>
      <c r="AH421">
        <f t="shared" si="384"/>
        <v>5182.2952250238077</v>
      </c>
      <c r="AI421">
        <f t="shared" si="385"/>
        <v>1.5706033621020754</v>
      </c>
      <c r="AJ421" t="str">
        <f t="shared" si="367"/>
        <v>1+0,875232066153669i</v>
      </c>
      <c r="AK421">
        <f t="shared" si="386"/>
        <v>1.3289210546994958</v>
      </c>
      <c r="AL421">
        <f t="shared" si="387"/>
        <v>0.71896142020433462</v>
      </c>
      <c r="AM421" t="str">
        <f t="shared" si="368"/>
        <v>1-4,71715781120956i</v>
      </c>
      <c r="AN421">
        <f t="shared" si="388"/>
        <v>4.821988989603291</v>
      </c>
      <c r="AO421">
        <f t="shared" si="389"/>
        <v>-1.3618969786715116</v>
      </c>
      <c r="AP421" s="41" t="str">
        <f t="shared" si="390"/>
        <v>-0,300642140923566-0,401490278140138i</v>
      </c>
      <c r="AQ421">
        <f t="shared" si="391"/>
        <v>-5.9932364494815635</v>
      </c>
      <c r="AR421" s="43">
        <f t="shared" si="392"/>
        <v>-126.8264379365622</v>
      </c>
      <c r="AS421" t="str">
        <f t="shared" si="369"/>
        <v>-0,0000166666666666667</v>
      </c>
      <c r="AT421" t="str">
        <f t="shared" si="370"/>
        <v>0,149126078963875i</v>
      </c>
      <c r="AU421">
        <f t="shared" si="393"/>
        <v>0.149126078963875</v>
      </c>
      <c r="AV421">
        <f t="shared" si="394"/>
        <v>1.5707963267948966</v>
      </c>
      <c r="AW421" t="str">
        <f t="shared" si="371"/>
        <v>1+5,31613434173561i</v>
      </c>
      <c r="AX421">
        <f t="shared" si="395"/>
        <v>5.4093700501426891</v>
      </c>
      <c r="AY421">
        <f t="shared" si="396"/>
        <v>1.384862434791561</v>
      </c>
      <c r="AZ421" t="str">
        <f t="shared" si="372"/>
        <v>1+785,015837796291i</v>
      </c>
      <c r="BA421">
        <f t="shared" si="397"/>
        <v>785.01647472585739</v>
      </c>
      <c r="BB421">
        <f t="shared" si="398"/>
        <v>1.569522467834418</v>
      </c>
      <c r="BC421" s="41" t="str">
        <f t="shared" si="399"/>
        <v>-0,00297803045952641+0,0159433722502976i</v>
      </c>
      <c r="BD421">
        <f t="shared" si="400"/>
        <v>-35.79945540609274</v>
      </c>
      <c r="BE421" s="43">
        <f t="shared" si="401"/>
        <v>100.58024053810207</v>
      </c>
      <c r="BF421" s="41" t="str">
        <f t="shared" si="402"/>
        <v>-0,000968230872669973-0,00236271038757516i</v>
      </c>
      <c r="BG421" s="20">
        <f t="shared" si="403"/>
        <v>-51.857609704550669</v>
      </c>
      <c r="BH421" s="43">
        <f t="shared" si="404"/>
        <v>-112.28365552026804</v>
      </c>
      <c r="BI421" s="41" t="str">
        <f t="shared" si="357"/>
        <v>0,00729643041235135-0,00359759928936578i</v>
      </c>
      <c r="BJ421" s="20">
        <f t="shared" si="405"/>
        <v>-41.792691855574311</v>
      </c>
      <c r="BK421" s="43">
        <f t="shared" si="358"/>
        <v>-26.246197398460122</v>
      </c>
      <c r="BL421">
        <f t="shared" si="406"/>
        <v>-51.857609704550669</v>
      </c>
      <c r="BM421" s="43">
        <f t="shared" si="407"/>
        <v>-112.28365552026804</v>
      </c>
    </row>
    <row r="422" spans="14:65" x14ac:dyDescent="0.35">
      <c r="N422" s="9">
        <v>4</v>
      </c>
      <c r="O422" s="34">
        <f t="shared" si="408"/>
        <v>109647.81961431868</v>
      </c>
      <c r="P422" s="33" t="str">
        <f t="shared" si="360"/>
        <v>59,1053597814893</v>
      </c>
      <c r="Q422" s="4" t="str">
        <f t="shared" si="361"/>
        <v>1+5293,58737602237i</v>
      </c>
      <c r="R422" s="4">
        <f t="shared" si="373"/>
        <v>5293.5874704762737</v>
      </c>
      <c r="S422" s="4">
        <f t="shared" si="374"/>
        <v>1.5706074189868129</v>
      </c>
      <c r="T422" s="4" t="str">
        <f t="shared" si="362"/>
        <v>1+0,895618839914455i</v>
      </c>
      <c r="U422" s="4">
        <f t="shared" si="375"/>
        <v>1.3424355129426941</v>
      </c>
      <c r="V422" s="4">
        <f t="shared" si="376"/>
        <v>0.730389291527618</v>
      </c>
      <c r="W422" t="str">
        <f t="shared" si="363"/>
        <v>1-33,0690033199184i</v>
      </c>
      <c r="X422" s="4">
        <f t="shared" si="377"/>
        <v>33.084119764212772</v>
      </c>
      <c r="Y422" s="4">
        <f t="shared" si="378"/>
        <v>-1.5405657406982431</v>
      </c>
      <c r="Z422" t="str">
        <f t="shared" si="364"/>
        <v>0,751598257310451+3,09395599243175i</v>
      </c>
      <c r="AA422" s="4">
        <f t="shared" si="379"/>
        <v>3.1839383824905347</v>
      </c>
      <c r="AB422" s="4">
        <f t="shared" si="380"/>
        <v>1.3324877976130625</v>
      </c>
      <c r="AC422" s="47" t="str">
        <f t="shared" si="381"/>
        <v>-0,130983893935419+0,0842671684601277i</v>
      </c>
      <c r="AD422" s="20">
        <f t="shared" si="382"/>
        <v>-16.151497320392441</v>
      </c>
      <c r="AE422" s="43">
        <f t="shared" si="383"/>
        <v>147.24520536583742</v>
      </c>
      <c r="AF422" t="str">
        <f t="shared" si="365"/>
        <v>405,634542683733</v>
      </c>
      <c r="AG422" t="str">
        <f t="shared" si="366"/>
        <v>1+5303,00628896716i</v>
      </c>
      <c r="AH422">
        <f t="shared" si="384"/>
        <v>5303.0063832533006</v>
      </c>
      <c r="AI422">
        <f t="shared" si="385"/>
        <v>1.570607754514636</v>
      </c>
      <c r="AJ422" t="str">
        <f t="shared" si="367"/>
        <v>1+0,895618839914455i</v>
      </c>
      <c r="AK422">
        <f t="shared" si="386"/>
        <v>1.3424355129426941</v>
      </c>
      <c r="AL422">
        <f t="shared" si="387"/>
        <v>0.730389291527618</v>
      </c>
      <c r="AM422" t="str">
        <f t="shared" si="368"/>
        <v>1-4,82703453169317i</v>
      </c>
      <c r="AN422">
        <f t="shared" si="388"/>
        <v>4.9295296297069049</v>
      </c>
      <c r="AO422">
        <f t="shared" si="389"/>
        <v>-1.3665194639779583</v>
      </c>
      <c r="AP422" s="41" t="str">
        <f t="shared" si="390"/>
        <v>-0,300642821217277-0,407234586261412i</v>
      </c>
      <c r="AQ422">
        <f t="shared" si="391"/>
        <v>-5.9137660966670671</v>
      </c>
      <c r="AR422" s="43">
        <f t="shared" si="392"/>
        <v>-126.4367697065416</v>
      </c>
      <c r="AS422" t="str">
        <f t="shared" si="369"/>
        <v>-0,0000166666666666667</v>
      </c>
      <c r="AT422" t="str">
        <f t="shared" si="370"/>
        <v>0,15259967157004i</v>
      </c>
      <c r="AU422">
        <f t="shared" si="393"/>
        <v>0.15259967157004001</v>
      </c>
      <c r="AV422">
        <f t="shared" si="394"/>
        <v>1.5707963267948966</v>
      </c>
      <c r="AW422" t="str">
        <f t="shared" si="371"/>
        <v>1+5,43996301792111i</v>
      </c>
      <c r="AX422">
        <f t="shared" si="395"/>
        <v>5.5311117902596534</v>
      </c>
      <c r="AY422">
        <f t="shared" si="396"/>
        <v>1.3890011290214117</v>
      </c>
      <c r="AZ422" t="str">
        <f t="shared" si="372"/>
        <v>1+803,301205646349i</v>
      </c>
      <c r="BA422">
        <f t="shared" si="397"/>
        <v>803.30182807763981</v>
      </c>
      <c r="BB422">
        <f t="shared" si="398"/>
        <v>1.569551464374163</v>
      </c>
      <c r="BC422" s="41" t="str">
        <f t="shared" si="399"/>
        <v>-0,00284837816181731+0,015604290095529i</v>
      </c>
      <c r="BD422">
        <f t="shared" si="400"/>
        <v>-35.992770603386916</v>
      </c>
      <c r="BE422" s="43">
        <f t="shared" si="401"/>
        <v>100.34477220538434</v>
      </c>
      <c r="BF422" s="41" t="str">
        <f t="shared" si="402"/>
        <v>-0,000941837679145202-0,00228393544121029i</v>
      </c>
      <c r="BG422" s="20">
        <f t="shared" si="403"/>
        <v>-52.144267923779346</v>
      </c>
      <c r="BH422" s="43">
        <f t="shared" si="404"/>
        <v>-112.41002242877822</v>
      </c>
      <c r="BI422" s="41" t="str">
        <f t="shared" si="357"/>
        <v>0,00721095106741824-0,00353135969516894i</v>
      </c>
      <c r="BJ422" s="20">
        <f t="shared" si="405"/>
        <v>-41.906536700053977</v>
      </c>
      <c r="BK422" s="43">
        <f t="shared" si="358"/>
        <v>-26.091997501157255</v>
      </c>
      <c r="BL422">
        <f t="shared" si="406"/>
        <v>-52.144267923779346</v>
      </c>
      <c r="BM422" s="43">
        <f t="shared" si="407"/>
        <v>-112.41002242877822</v>
      </c>
    </row>
    <row r="423" spans="14:65" x14ac:dyDescent="0.35">
      <c r="N423" s="9">
        <v>5</v>
      </c>
      <c r="O423" s="34">
        <f t="shared" si="408"/>
        <v>112201.84543019651</v>
      </c>
      <c r="P423" s="33" t="str">
        <f t="shared" si="360"/>
        <v>59,1053597814893</v>
      </c>
      <c r="Q423" s="4" t="str">
        <f t="shared" si="361"/>
        <v>1+5416,89086590956i</v>
      </c>
      <c r="R423" s="4">
        <f t="shared" si="373"/>
        <v>5416.8909582134311</v>
      </c>
      <c r="S423" s="4">
        <f t="shared" si="374"/>
        <v>1.570611719053409</v>
      </c>
      <c r="T423" s="4" t="str">
        <f t="shared" si="362"/>
        <v>1+0,91648048263908i</v>
      </c>
      <c r="U423" s="4">
        <f t="shared" si="375"/>
        <v>1.3564425808187979</v>
      </c>
      <c r="V423" s="4">
        <f t="shared" si="376"/>
        <v>0.74184608692464671</v>
      </c>
      <c r="W423" t="str">
        <f t="shared" si="363"/>
        <v>1-33,8392793589815i</v>
      </c>
      <c r="X423" s="4">
        <f t="shared" si="377"/>
        <v>33.854051862889193</v>
      </c>
      <c r="Y423" s="4">
        <f t="shared" si="378"/>
        <v>-1.541253467869689</v>
      </c>
      <c r="Z423" t="str">
        <f t="shared" si="364"/>
        <v>0,739891443844179+3,16602348548046i</v>
      </c>
      <c r="AA423" s="4">
        <f t="shared" si="379"/>
        <v>3.2513295833070601</v>
      </c>
      <c r="AB423" s="4">
        <f t="shared" si="380"/>
        <v>1.3412191565501512</v>
      </c>
      <c r="AC423" s="47" t="str">
        <f t="shared" si="381"/>
        <v>-0,129773934929865+0,0831161391779733i</v>
      </c>
      <c r="AD423" s="20">
        <f t="shared" si="382"/>
        <v>-16.243443080261201</v>
      </c>
      <c r="AE423" s="43">
        <f t="shared" si="383"/>
        <v>147.36171113227522</v>
      </c>
      <c r="AF423" t="str">
        <f t="shared" si="365"/>
        <v>405,634542683733</v>
      </c>
      <c r="AG423" t="str">
        <f t="shared" si="366"/>
        <v>1+5426,52917352086i</v>
      </c>
      <c r="AH423">
        <f t="shared" si="384"/>
        <v>5426.5292656607862</v>
      </c>
      <c r="AI423">
        <f t="shared" si="385"/>
        <v>1.5706120469436871</v>
      </c>
      <c r="AJ423" t="str">
        <f t="shared" si="367"/>
        <v>1+0,91648048263908i</v>
      </c>
      <c r="AK423">
        <f t="shared" si="386"/>
        <v>1.3564425808187979</v>
      </c>
      <c r="AL423">
        <f t="shared" si="387"/>
        <v>0.74184608692464671</v>
      </c>
      <c r="AM423" t="str">
        <f t="shared" si="368"/>
        <v>1-4,93947060977883i</v>
      </c>
      <c r="AN423">
        <f t="shared" si="388"/>
        <v>5.0396795438667379</v>
      </c>
      <c r="AO423">
        <f t="shared" si="389"/>
        <v>-1.3710452995098148</v>
      </c>
      <c r="AP423" s="41" t="str">
        <f t="shared" si="390"/>
        <v>-0,30064347089273-0,413194815539156i</v>
      </c>
      <c r="AQ423">
        <f t="shared" si="391"/>
        <v>-5.8316576369832696</v>
      </c>
      <c r="AR423" s="43">
        <f t="shared" si="392"/>
        <v>-126.03990089636123</v>
      </c>
      <c r="AS423" t="str">
        <f t="shared" si="369"/>
        <v>-0,0000166666666666667</v>
      </c>
      <c r="AT423" t="str">
        <f t="shared" si="370"/>
        <v>0,156154174541966i</v>
      </c>
      <c r="AU423">
        <f t="shared" si="393"/>
        <v>0.15615417454196601</v>
      </c>
      <c r="AV423">
        <f t="shared" si="394"/>
        <v>1.5707963267948966</v>
      </c>
      <c r="AW423" t="str">
        <f t="shared" si="371"/>
        <v>1+5,56667603450513i</v>
      </c>
      <c r="AX423">
        <f t="shared" si="395"/>
        <v>5.6557830645396709</v>
      </c>
      <c r="AY423">
        <f t="shared" si="396"/>
        <v>1.3930517092482047</v>
      </c>
      <c r="AZ423" t="str">
        <f t="shared" si="372"/>
        <v>1+822,01249442859i</v>
      </c>
      <c r="BA423">
        <f t="shared" si="397"/>
        <v>822.01310269162548</v>
      </c>
      <c r="BB423">
        <f t="shared" si="398"/>
        <v>1.5695798008741035</v>
      </c>
      <c r="BC423" s="41" t="str">
        <f t="shared" si="399"/>
        <v>-0,00272418773610296+0,0152714027077135i</v>
      </c>
      <c r="BD423">
        <f t="shared" si="400"/>
        <v>-36.186377045850882</v>
      </c>
      <c r="BE423" s="43">
        <f t="shared" si="401"/>
        <v>100.11431461566266</v>
      </c>
      <c r="BF423" s="41" t="str">
        <f t="shared" si="402"/>
        <v>-0,000915771470895432-0,00220825398829944i</v>
      </c>
      <c r="BG423" s="20">
        <f t="shared" si="403"/>
        <v>-52.429820126112077</v>
      </c>
      <c r="BH423" s="43">
        <f t="shared" si="404"/>
        <v>-112.52397425206208</v>
      </c>
      <c r="BI423" s="41" t="str">
        <f t="shared" si="357"/>
        <v>0,00712907368118325-0,00346562726633453i</v>
      </c>
      <c r="BJ423" s="20">
        <f t="shared" si="405"/>
        <v>-42.018034682834148</v>
      </c>
      <c r="BK423" s="43">
        <f t="shared" si="358"/>
        <v>-25.925586280698557</v>
      </c>
      <c r="BL423">
        <f t="shared" si="406"/>
        <v>-52.429820126112077</v>
      </c>
      <c r="BM423" s="43">
        <f t="shared" si="407"/>
        <v>-112.52397425206208</v>
      </c>
    </row>
    <row r="424" spans="14:65" x14ac:dyDescent="0.35">
      <c r="N424" s="9">
        <v>6</v>
      </c>
      <c r="O424" s="34">
        <f t="shared" si="408"/>
        <v>114815.36214968823</v>
      </c>
      <c r="P424" s="33" t="str">
        <f t="shared" si="360"/>
        <v>59,1053597814893</v>
      </c>
      <c r="Q424" s="4" t="str">
        <f t="shared" si="361"/>
        <v>1+5543,06646303486i</v>
      </c>
      <c r="R424" s="4">
        <f t="shared" si="373"/>
        <v>5543.0665532376388</v>
      </c>
      <c r="S424" s="4">
        <f t="shared" si="374"/>
        <v>1.5706159212385462</v>
      </c>
      <c r="T424" s="4" t="str">
        <f t="shared" si="362"/>
        <v>1+0,937828055446651i</v>
      </c>
      <c r="U424" s="4">
        <f t="shared" si="375"/>
        <v>1.370956403968721</v>
      </c>
      <c r="V424" s="4">
        <f t="shared" si="376"/>
        <v>0.75332585154217457</v>
      </c>
      <c r="W424" t="str">
        <f t="shared" si="363"/>
        <v>1-34,6274974318764i</v>
      </c>
      <c r="X424" s="4">
        <f t="shared" si="377"/>
        <v>34.641933814303819</v>
      </c>
      <c r="Y424" s="4">
        <f t="shared" si="378"/>
        <v>-1.5419255674719465</v>
      </c>
      <c r="Z424" t="str">
        <f t="shared" si="364"/>
        <v>0,727632905256941+3,23976964608843i</v>
      </c>
      <c r="AA424" s="4">
        <f t="shared" si="379"/>
        <v>3.3204754184496852</v>
      </c>
      <c r="AB424" s="4">
        <f t="shared" si="380"/>
        <v>1.3498683307676722</v>
      </c>
      <c r="AC424" s="47" t="str">
        <f t="shared" si="381"/>
        <v>-0,128605547337336+0,0819776604296019i</v>
      </c>
      <c r="AD424" s="20">
        <f t="shared" si="382"/>
        <v>-16.333954500976581</v>
      </c>
      <c r="AE424" s="43">
        <f t="shared" si="383"/>
        <v>147.48514277763093</v>
      </c>
      <c r="AF424" t="str">
        <f t="shared" si="365"/>
        <v>405,634542683733</v>
      </c>
      <c r="AG424" t="str">
        <f t="shared" si="366"/>
        <v>1+5552,92927567096i</v>
      </c>
      <c r="AH424">
        <f t="shared" si="384"/>
        <v>5552.9293657135249</v>
      </c>
      <c r="AI424">
        <f t="shared" si="385"/>
        <v>1.5706162416651308</v>
      </c>
      <c r="AJ424" t="str">
        <f t="shared" si="367"/>
        <v>1+0,937828055446651i</v>
      </c>
      <c r="AK424">
        <f t="shared" si="386"/>
        <v>1.370956403968721</v>
      </c>
      <c r="AL424">
        <f t="shared" si="387"/>
        <v>0.75332585154217457</v>
      </c>
      <c r="AM424" t="str">
        <f t="shared" si="368"/>
        <v>1-5,05452566056341i</v>
      </c>
      <c r="AN424">
        <f t="shared" si="388"/>
        <v>5.1524974190477746</v>
      </c>
      <c r="AO424">
        <f t="shared" si="389"/>
        <v>-1.3754761429466431</v>
      </c>
      <c r="AP424" s="41" t="str">
        <f t="shared" si="390"/>
        <v>-0,300644091327973-0,419374126166598i</v>
      </c>
      <c r="AQ424">
        <f t="shared" si="391"/>
        <v>-5.7469158109146168</v>
      </c>
      <c r="AR424" s="43">
        <f t="shared" si="392"/>
        <v>-125.63626780242183</v>
      </c>
      <c r="AS424" t="str">
        <f t="shared" si="369"/>
        <v>-0,0000166666666666667</v>
      </c>
      <c r="AT424" t="str">
        <f t="shared" si="370"/>
        <v>0,159791472524179i</v>
      </c>
      <c r="AU424">
        <f t="shared" si="393"/>
        <v>0.159791472524179</v>
      </c>
      <c r="AV424">
        <f t="shared" si="394"/>
        <v>1.5707963267948966</v>
      </c>
      <c r="AW424" t="str">
        <f t="shared" si="371"/>
        <v>1+5,69634057640631i</v>
      </c>
      <c r="AX424">
        <f t="shared" si="395"/>
        <v>5.7834501780868637</v>
      </c>
      <c r="AY424">
        <f t="shared" si="396"/>
        <v>1.397015791211955</v>
      </c>
      <c r="AZ424" t="str">
        <f t="shared" si="372"/>
        <v>1+841,159625115997i</v>
      </c>
      <c r="BA424">
        <f t="shared" si="397"/>
        <v>841.16021953328516</v>
      </c>
      <c r="BB424">
        <f t="shared" si="398"/>
        <v>1.5696074923584447</v>
      </c>
      <c r="BC424" s="41" t="str">
        <f t="shared" si="399"/>
        <v>-0,00260524470799536+0,0149446637455304i</v>
      </c>
      <c r="BD424">
        <f t="shared" si="400"/>
        <v>-36.380262445903867</v>
      </c>
      <c r="BE424" s="43">
        <f t="shared" si="401"/>
        <v>99.888776054677081</v>
      </c>
      <c r="BF424" s="41" t="str">
        <f t="shared" si="402"/>
        <v>-0,000890079648146232-0,00213553852677444i</v>
      </c>
      <c r="BG424" s="20">
        <f t="shared" si="403"/>
        <v>-52.714216946880448</v>
      </c>
      <c r="BH424" s="43">
        <f t="shared" si="404"/>
        <v>-112.62608116769196</v>
      </c>
      <c r="BI424" s="41" t="str">
        <f t="shared" si="357"/>
        <v>0,00705065672705772-0,00340045262911138i</v>
      </c>
      <c r="BJ424" s="20">
        <f t="shared" si="405"/>
        <v>-42.127178256818489</v>
      </c>
      <c r="BK424" s="43">
        <f t="shared" si="358"/>
        <v>-25.747491747744757</v>
      </c>
      <c r="BL424">
        <f t="shared" si="406"/>
        <v>-52.714216946880448</v>
      </c>
      <c r="BM424" s="43">
        <f t="shared" si="407"/>
        <v>-112.62608116769196</v>
      </c>
    </row>
    <row r="425" spans="14:65" x14ac:dyDescent="0.35">
      <c r="N425" s="9">
        <v>7</v>
      </c>
      <c r="O425" s="34">
        <f t="shared" si="408"/>
        <v>117489.75549395311</v>
      </c>
      <c r="P425" s="33" t="str">
        <f t="shared" si="360"/>
        <v>59,1053597814893</v>
      </c>
      <c r="Q425" s="4" t="str">
        <f t="shared" si="361"/>
        <v>1+5672,18106737005i</v>
      </c>
      <c r="R425" s="4">
        <f t="shared" si="373"/>
        <v>5672.1811555195627</v>
      </c>
      <c r="S425" s="4">
        <f t="shared" si="374"/>
        <v>1.5706200277702775</v>
      </c>
      <c r="T425" s="4" t="str">
        <f t="shared" si="362"/>
        <v>1+0,959672877102847i</v>
      </c>
      <c r="U425" s="4">
        <f t="shared" si="375"/>
        <v>1.385991353164534</v>
      </c>
      <c r="V425" s="4">
        <f t="shared" si="376"/>
        <v>0.76482257024063838</v>
      </c>
      <c r="W425" t="str">
        <f t="shared" si="363"/>
        <v>1-35,434075462259i</v>
      </c>
      <c r="X425" s="4">
        <f t="shared" si="377"/>
        <v>35.448183364808209</v>
      </c>
      <c r="Y425" s="4">
        <f t="shared" si="378"/>
        <v>-1.5425823934309368</v>
      </c>
      <c r="Z425" t="str">
        <f t="shared" si="364"/>
        <v>0,714796639544858+3,3152335754462i</v>
      </c>
      <c r="AA425" s="4">
        <f t="shared" si="379"/>
        <v>3.3914167976924356</v>
      </c>
      <c r="AB425" s="4">
        <f t="shared" si="380"/>
        <v>1.3584374425856836</v>
      </c>
      <c r="AC425" s="47" t="str">
        <f t="shared" si="381"/>
        <v>-0,127477478116496+0,080852818357374i</v>
      </c>
      <c r="AD425" s="20">
        <f t="shared" si="382"/>
        <v>-16.422997798967632</v>
      </c>
      <c r="AE425" s="43">
        <f t="shared" si="383"/>
        <v>147.61501365369296</v>
      </c>
      <c r="AF425" t="str">
        <f t="shared" si="365"/>
        <v>405,634542683733</v>
      </c>
      <c r="AG425" t="str">
        <f t="shared" si="366"/>
        <v>1+5682,27361442474i</v>
      </c>
      <c r="AH425">
        <f t="shared" si="384"/>
        <v>5682.2737024176868</v>
      </c>
      <c r="AI425">
        <f t="shared" si="385"/>
        <v>1.5706203409030632</v>
      </c>
      <c r="AJ425" t="str">
        <f t="shared" si="367"/>
        <v>1+0,959672877102847i</v>
      </c>
      <c r="AK425">
        <f t="shared" si="386"/>
        <v>1.385991353164534</v>
      </c>
      <c r="AL425">
        <f t="shared" si="387"/>
        <v>0.76482257024063838</v>
      </c>
      <c r="AM425" t="str">
        <f t="shared" si="368"/>
        <v>1-5,17226068775779i</v>
      </c>
      <c r="AN425">
        <f t="shared" si="388"/>
        <v>5.2680433390514825</v>
      </c>
      <c r="AO425">
        <f t="shared" si="389"/>
        <v>-1.3798136473450648</v>
      </c>
      <c r="AP425" s="41" t="str">
        <f t="shared" si="390"/>
        <v>-0,300644683839031-0,425775794496749i</v>
      </c>
      <c r="AQ425">
        <f t="shared" si="391"/>
        <v>-5.6595471543160318</v>
      </c>
      <c r="AR425" s="43">
        <f t="shared" si="392"/>
        <v>-125.22630990743241</v>
      </c>
      <c r="AS425" t="str">
        <f t="shared" si="369"/>
        <v>-0,0000166666666666667</v>
      </c>
      <c r="AT425" t="str">
        <f t="shared" si="370"/>
        <v>0,163513494060216i</v>
      </c>
      <c r="AU425">
        <f t="shared" si="393"/>
        <v>0.16351349406021601</v>
      </c>
      <c r="AV425">
        <f t="shared" si="394"/>
        <v>1.5707963267948966</v>
      </c>
      <c r="AW425" t="str">
        <f t="shared" si="371"/>
        <v>1+5,82902539348109i</v>
      </c>
      <c r="AX425">
        <f t="shared" si="395"/>
        <v>5.9141810115896334</v>
      </c>
      <c r="AY425">
        <f t="shared" si="396"/>
        <v>1.4008949781433324</v>
      </c>
      <c r="AZ425" t="str">
        <f t="shared" si="372"/>
        <v>1+860,752749770707i</v>
      </c>
      <c r="BA425">
        <f t="shared" si="397"/>
        <v>860.75333065741506</v>
      </c>
      <c r="BB425">
        <f t="shared" si="398"/>
        <v>1.5696345535094083</v>
      </c>
      <c r="BC425" s="41" t="str">
        <f t="shared" si="399"/>
        <v>-0,00249134168461454+0,0146240223302383i</v>
      </c>
      <c r="BD425">
        <f t="shared" si="400"/>
        <v>-36.574415000035295</v>
      </c>
      <c r="BE425" s="43">
        <f t="shared" si="401"/>
        <v>99.668065505305762</v>
      </c>
      <c r="BF425" s="41" t="str">
        <f t="shared" si="402"/>
        <v>-0,000864803466039774-0,0020656654832704i</v>
      </c>
      <c r="BG425" s="20">
        <f t="shared" si="403"/>
        <v>-52.997412799002916</v>
      </c>
      <c r="BH425" s="43">
        <f t="shared" si="404"/>
        <v>-112.71692084100123</v>
      </c>
      <c r="BI425" s="41" t="str">
        <f t="shared" si="357"/>
        <v>0,00697556335950135-0,0033358815847998i</v>
      </c>
      <c r="BJ425" s="20">
        <f t="shared" si="405"/>
        <v>-42.233962154351318</v>
      </c>
      <c r="BK425" s="43">
        <f t="shared" si="358"/>
        <v>-25.55824440212664</v>
      </c>
      <c r="BL425">
        <f t="shared" si="406"/>
        <v>-52.997412799002916</v>
      </c>
      <c r="BM425" s="43">
        <f t="shared" si="407"/>
        <v>-112.71692084100123</v>
      </c>
    </row>
    <row r="426" spans="14:65" x14ac:dyDescent="0.35">
      <c r="N426" s="9">
        <v>8</v>
      </c>
      <c r="O426" s="34">
        <f t="shared" si="408"/>
        <v>120226.44346174144</v>
      </c>
      <c r="P426" s="33" t="str">
        <f t="shared" si="360"/>
        <v>59,1053597814893</v>
      </c>
      <c r="Q426" s="4" t="str">
        <f t="shared" si="361"/>
        <v>1+5804,30313718734i</v>
      </c>
      <c r="R426" s="4">
        <f t="shared" si="373"/>
        <v>5804.3032233303256</v>
      </c>
      <c r="S426" s="4">
        <f t="shared" si="374"/>
        <v>1.5706240408259404</v>
      </c>
      <c r="T426" s="4" t="str">
        <f t="shared" si="362"/>
        <v>1+0,982026530021253i</v>
      </c>
      <c r="U426" s="4">
        <f t="shared" si="375"/>
        <v>1.4015620234815094</v>
      </c>
      <c r="V426" s="4">
        <f t="shared" si="376"/>
        <v>0.77633018319567137</v>
      </c>
      <c r="W426" t="str">
        <f t="shared" si="363"/>
        <v>1-36,2594411084771i</v>
      </c>
      <c r="X426" s="4">
        <f t="shared" si="377"/>
        <v>36.273227999436706</v>
      </c>
      <c r="Y426" s="4">
        <f t="shared" si="378"/>
        <v>-1.5432242917362347</v>
      </c>
      <c r="Z426" t="str">
        <f t="shared" si="364"/>
        <v>0,70135541926737+3,39245528552796i</v>
      </c>
      <c r="AA426" s="4">
        <f t="shared" si="379"/>
        <v>3.4641957635852942</v>
      </c>
      <c r="AB426" s="4">
        <f t="shared" si="380"/>
        <v>1.3669286996164478</v>
      </c>
      <c r="AC426" s="47" t="str">
        <f t="shared" si="381"/>
        <v>-0,126388471446049+0,07974262653364i</v>
      </c>
      <c r="AD426" s="20">
        <f t="shared" si="382"/>
        <v>-16.510542525178259</v>
      </c>
      <c r="AE426" s="43">
        <f t="shared" si="383"/>
        <v>147.75083012274024</v>
      </c>
      <c r="AF426" t="str">
        <f t="shared" si="365"/>
        <v>405,634542683733</v>
      </c>
      <c r="AG426" t="str">
        <f t="shared" si="366"/>
        <v>1+5814,63076986267i</v>
      </c>
      <c r="AH426">
        <f t="shared" si="384"/>
        <v>5814.6308558526516</v>
      </c>
      <c r="AI426">
        <f t="shared" si="385"/>
        <v>1.570624346830954</v>
      </c>
      <c r="AJ426" t="str">
        <f t="shared" si="367"/>
        <v>1+0,982026530021253i</v>
      </c>
      <c r="AK426">
        <f t="shared" si="386"/>
        <v>1.4015620234815094</v>
      </c>
      <c r="AL426">
        <f t="shared" si="387"/>
        <v>0.77633018319567137</v>
      </c>
      <c r="AM426" t="str">
        <f t="shared" si="368"/>
        <v>1-5,29273811603178i</v>
      </c>
      <c r="AN426">
        <f t="shared" si="388"/>
        <v>5.386378817433437</v>
      </c>
      <c r="AO426">
        <f t="shared" si="389"/>
        <v>-1.3840594593491953</v>
      </c>
      <c r="AP426" s="41" t="str">
        <f t="shared" si="390"/>
        <v>-0,3006452496827-0,432403214779561i</v>
      </c>
      <c r="AQ426">
        <f t="shared" si="391"/>
        <v>-5.5695600489227832</v>
      </c>
      <c r="AR426" s="43">
        <f t="shared" si="392"/>
        <v>-124.81046888404278</v>
      </c>
      <c r="AS426" t="str">
        <f t="shared" si="369"/>
        <v>-0,0000166666666666667</v>
      </c>
      <c r="AT426" t="str">
        <f t="shared" si="370"/>
        <v>0,16732221261516i</v>
      </c>
      <c r="AU426">
        <f t="shared" si="393"/>
        <v>0.16732221261516</v>
      </c>
      <c r="AV426">
        <f t="shared" si="394"/>
        <v>1.5707963267948966</v>
      </c>
      <c r="AW426" t="str">
        <f t="shared" si="371"/>
        <v>1+5,96480083697577i</v>
      </c>
      <c r="AX426">
        <f t="shared" si="395"/>
        <v>6.048045058098265</v>
      </c>
      <c r="AY426">
        <f t="shared" si="396"/>
        <v>1.4046908596106011</v>
      </c>
      <c r="AZ426" t="str">
        <f t="shared" si="372"/>
        <v>1+880,802256926754i</v>
      </c>
      <c r="BA426">
        <f t="shared" si="397"/>
        <v>880.80282459087493</v>
      </c>
      <c r="BB426">
        <f t="shared" si="398"/>
        <v>1.5696609986750159</v>
      </c>
      <c r="BC426" s="41" t="str">
        <f t="shared" si="399"/>
        <v>-0,00238227823922204+0,0143094234486563i</v>
      </c>
      <c r="BD426">
        <f t="shared" si="400"/>
        <v>-36.768823372683556</v>
      </c>
      <c r="BE426" s="43">
        <f t="shared" si="401"/>
        <v>99.45209271407721</v>
      </c>
      <c r="BF426" s="41" t="str">
        <f t="shared" si="402"/>
        <v>-0,000839978504763452-0,00199851528087942i</v>
      </c>
      <c r="BG426" s="20">
        <f t="shared" si="403"/>
        <v>-53.279365897861823</v>
      </c>
      <c r="BH426" s="43">
        <f t="shared" si="404"/>
        <v>-112.79707716318255</v>
      </c>
      <c r="BI426" s="41" t="str">
        <f t="shared" si="357"/>
        <v>0,00690366133688559-0,00327195541639775i</v>
      </c>
      <c r="BJ426" s="20">
        <f t="shared" si="405"/>
        <v>-42.338383421606338</v>
      </c>
      <c r="BK426" s="43">
        <f t="shared" si="358"/>
        <v>-25.358376169965535</v>
      </c>
      <c r="BL426">
        <f t="shared" si="406"/>
        <v>-53.279365897861823</v>
      </c>
      <c r="BM426" s="43">
        <f t="shared" si="407"/>
        <v>-112.79707716318255</v>
      </c>
    </row>
    <row r="427" spans="14:65" x14ac:dyDescent="0.35">
      <c r="N427" s="9">
        <v>9</v>
      </c>
      <c r="O427" s="34">
        <f t="shared" si="408"/>
        <v>123026.87708123829</v>
      </c>
      <c r="P427" s="33" t="str">
        <f t="shared" si="360"/>
        <v>59,1053597814893</v>
      </c>
      <c r="Q427" s="4" t="str">
        <f t="shared" si="361"/>
        <v>1+5939,502725357i</v>
      </c>
      <c r="R427" s="4">
        <f t="shared" si="373"/>
        <v>5939.5028095391317</v>
      </c>
      <c r="S427" s="4">
        <f t="shared" si="374"/>
        <v>1.5706279625333093</v>
      </c>
      <c r="T427" s="4" t="str">
        <f t="shared" si="362"/>
        <v>1+1,00490086640453i</v>
      </c>
      <c r="U427" s="4">
        <f t="shared" si="375"/>
        <v>1.4176832337657717</v>
      </c>
      <c r="V427" s="4">
        <f t="shared" si="376"/>
        <v>0.78784260178604903</v>
      </c>
      <c r="W427" t="str">
        <f t="shared" si="363"/>
        <v>1-37,1040319903213i</v>
      </c>
      <c r="X427" s="4">
        <f t="shared" si="377"/>
        <v>37.117505168569544</v>
      </c>
      <c r="Y427" s="4">
        <f t="shared" si="378"/>
        <v>-1.5438516006137384</v>
      </c>
      <c r="Z427" t="str">
        <f t="shared" si="364"/>
        <v>0,687280733794171+3,47147572030657i</v>
      </c>
      <c r="AA427" s="4">
        <f t="shared" si="379"/>
        <v>3.5388555330392721</v>
      </c>
      <c r="AB427" s="4">
        <f t="shared" si="380"/>
        <v>1.3753443895161281</v>
      </c>
      <c r="AC427" s="47" t="str">
        <f t="shared" si="381"/>
        <v>-0,125337271784364+0,0786480285508618i</v>
      </c>
      <c r="AD427" s="20">
        <f t="shared" si="382"/>
        <v>-16.596561594012439</v>
      </c>
      <c r="AE427" s="43">
        <f t="shared" si="383"/>
        <v>147.89209275860159</v>
      </c>
      <c r="AF427" t="str">
        <f t="shared" si="365"/>
        <v>405,634542683733</v>
      </c>
      <c r="AG427" t="str">
        <f t="shared" si="366"/>
        <v>1+5950,07091950052i</v>
      </c>
      <c r="AH427">
        <f t="shared" si="384"/>
        <v>5950.0710035331322</v>
      </c>
      <c r="AI427">
        <f t="shared" si="385"/>
        <v>1.5706282615727987</v>
      </c>
      <c r="AJ427" t="str">
        <f t="shared" si="367"/>
        <v>1+1,00490086640453i</v>
      </c>
      <c r="AK427">
        <f t="shared" si="386"/>
        <v>1.4176832337657717</v>
      </c>
      <c r="AL427">
        <f t="shared" si="387"/>
        <v>0.78784260178604903</v>
      </c>
      <c r="AM427" t="str">
        <f t="shared" si="368"/>
        <v>1-5,41602182411256i</v>
      </c>
      <c r="AN427">
        <f t="shared" si="388"/>
        <v>5.5075668311209389</v>
      </c>
      <c r="AO427">
        <f t="shared" si="389"/>
        <v>-1.38821521753693</v>
      </c>
      <c r="AP427" s="41" t="str">
        <f t="shared" si="390"/>
        <v>-0,300645790059211-0,439259900961619i</v>
      </c>
      <c r="AQ427">
        <f t="shared" si="391"/>
        <v>-5.4769647627807476</v>
      </c>
      <c r="AR427" s="43">
        <f t="shared" si="392"/>
        <v>-124.38918758984592</v>
      </c>
      <c r="AS427" t="str">
        <f t="shared" si="369"/>
        <v>-0,0000166666666666667</v>
      </c>
      <c r="AT427" t="str">
        <f t="shared" si="370"/>
        <v>0,171219647622003i</v>
      </c>
      <c r="AU427">
        <f t="shared" si="393"/>
        <v>0.17121964762200301</v>
      </c>
      <c r="AV427">
        <f t="shared" si="394"/>
        <v>1.5707963267948966</v>
      </c>
      <c r="AW427" t="str">
        <f t="shared" si="371"/>
        <v>1+6,10373889682768i</v>
      </c>
      <c r="AX427">
        <f t="shared" si="395"/>
        <v>6.1851134606122766</v>
      </c>
      <c r="AY427">
        <f t="shared" si="396"/>
        <v>1.4084050104703074</v>
      </c>
      <c r="AZ427" t="str">
        <f t="shared" si="372"/>
        <v>1+901,318777098219i</v>
      </c>
      <c r="BA427">
        <f t="shared" si="397"/>
        <v>901.319331840735</v>
      </c>
      <c r="BB427">
        <f t="shared" si="398"/>
        <v>1.5696868418766965</v>
      </c>
      <c r="BC427" s="41" t="str">
        <f t="shared" si="399"/>
        <v>-0,00227786078591042+0,0140008083342019i</v>
      </c>
      <c r="BD427">
        <f t="shared" si="400"/>
        <v>-36.96347668039121</v>
      </c>
      <c r="BE427" s="43">
        <f t="shared" si="401"/>
        <v>99.240768251726607</v>
      </c>
      <c r="BF427" s="41" t="str">
        <f t="shared" si="402"/>
        <v>-0,000815635117192856-0,00193397237950982i</v>
      </c>
      <c r="BG427" s="20">
        <f t="shared" si="403"/>
        <v>-53.560038274403666</v>
      </c>
      <c r="BH427" s="43">
        <f t="shared" si="404"/>
        <v>-112.86713898967183</v>
      </c>
      <c r="BI427" s="41" t="str">
        <f t="shared" si="357"/>
        <v>0,00683482293788907-0,00320871117988035i</v>
      </c>
      <c r="BJ427" s="20">
        <f t="shared" si="405"/>
        <v>-42.440441443171963</v>
      </c>
      <c r="BK427" s="43">
        <f t="shared" si="358"/>
        <v>-25.148419338119311</v>
      </c>
      <c r="BL427">
        <f t="shared" si="406"/>
        <v>-53.560038274403666</v>
      </c>
      <c r="BM427" s="43">
        <f t="shared" si="407"/>
        <v>-112.86713898967183</v>
      </c>
    </row>
    <row r="428" spans="14:65" x14ac:dyDescent="0.35">
      <c r="N428" s="9">
        <v>10</v>
      </c>
      <c r="O428" s="34">
        <f t="shared" si="408"/>
        <v>125892.54117941685</v>
      </c>
      <c r="P428" s="33" t="str">
        <f t="shared" si="360"/>
        <v>59,1053597814893</v>
      </c>
      <c r="Q428" s="4" t="str">
        <f t="shared" si="361"/>
        <v>1+6077,85151649026i</v>
      </c>
      <c r="R428" s="4">
        <f t="shared" si="373"/>
        <v>6077.8515987561723</v>
      </c>
      <c r="S428" s="4">
        <f t="shared" si="374"/>
        <v>1.5706317949717248</v>
      </c>
      <c r="T428" s="4" t="str">
        <f t="shared" si="362"/>
        <v>1+1,02830801452862i</v>
      </c>
      <c r="U428" s="4">
        <f t="shared" si="375"/>
        <v>1.4343700264380153</v>
      </c>
      <c r="V428" s="4">
        <f t="shared" si="376"/>
        <v>0.79935372466698651</v>
      </c>
      <c r="W428" t="str">
        <f t="shared" si="363"/>
        <v>1-37,9682959210567i</v>
      </c>
      <c r="X428" s="4">
        <f t="shared" si="377"/>
        <v>37.981462519878448</v>
      </c>
      <c r="Y428" s="4">
        <f t="shared" si="378"/>
        <v>-1.5444646506949371</v>
      </c>
      <c r="Z428" t="str">
        <f t="shared" si="364"/>
        <v>0,672542728830348+3,55233677746249i</v>
      </c>
      <c r="AA428" s="4">
        <f t="shared" si="379"/>
        <v>3.6154405406001571</v>
      </c>
      <c r="AB428" s="4">
        <f t="shared" si="380"/>
        <v>1.3836868749321964</v>
      </c>
      <c r="AC428" s="47" t="str">
        <f t="shared" si="381"/>
        <v>-0,12432262665127+0,0775699006687395i</v>
      </c>
      <c r="AD428" s="20">
        <f t="shared" si="382"/>
        <v>-16.681031300216802</v>
      </c>
      <c r="AE428" s="43">
        <f t="shared" si="383"/>
        <v>148.03829754731626</v>
      </c>
      <c r="AF428" t="str">
        <f t="shared" si="365"/>
        <v>405,634542683733</v>
      </c>
      <c r="AG428" t="str">
        <f t="shared" si="366"/>
        <v>1+6088,66587549839i</v>
      </c>
      <c r="AH428">
        <f t="shared" si="384"/>
        <v>6088.6659576181855</v>
      </c>
      <c r="AI428">
        <f t="shared" si="385"/>
        <v>1.5706320872042447</v>
      </c>
      <c r="AJ428" t="str">
        <f t="shared" si="367"/>
        <v>1+1,02830801452862i</v>
      </c>
      <c r="AK428">
        <f t="shared" si="386"/>
        <v>1.4343700264380153</v>
      </c>
      <c r="AL428">
        <f t="shared" si="387"/>
        <v>0.79935372466698651</v>
      </c>
      <c r="AM428" t="str">
        <f t="shared" si="368"/>
        <v>1-5,54217717865401i</v>
      </c>
      <c r="AN428">
        <f t="shared" si="388"/>
        <v>5.6316718547508904</v>
      </c>
      <c r="AO428">
        <f t="shared" si="389"/>
        <v>-1.3922825508956347</v>
      </c>
      <c r="AP428" s="41" t="str">
        <f t="shared" si="390"/>
        <v>-0,300646306114773-0,446349488549286i</v>
      </c>
      <c r="AQ428">
        <f t="shared" si="391"/>
        <v>-5.3817734803452977</v>
      </c>
      <c r="AR428" s="43">
        <f t="shared" si="392"/>
        <v>-123.96290905917407</v>
      </c>
      <c r="AS428" t="str">
        <f t="shared" si="369"/>
        <v>-0,0000166666666666667</v>
      </c>
      <c r="AT428" t="str">
        <f t="shared" si="370"/>
        <v>0,175207865552376i</v>
      </c>
      <c r="AU428">
        <f t="shared" si="393"/>
        <v>0.175207865552376</v>
      </c>
      <c r="AV428">
        <f t="shared" si="394"/>
        <v>1.5707963267948966</v>
      </c>
      <c r="AW428" t="str">
        <f t="shared" si="371"/>
        <v>1+6,24591323983523i</v>
      </c>
      <c r="AX428">
        <f t="shared" si="395"/>
        <v>6.3254590504997354</v>
      </c>
      <c r="AY428">
        <f t="shared" si="396"/>
        <v>1.4120389899160024</v>
      </c>
      <c r="AZ428" t="str">
        <f t="shared" si="372"/>
        <v>1+922,313188415667i</v>
      </c>
      <c r="BA428">
        <f t="shared" si="397"/>
        <v>922.31373053070934</v>
      </c>
      <c r="BB428">
        <f t="shared" si="398"/>
        <v>1.5697120968167195</v>
      </c>
      <c r="BC428" s="41" t="str">
        <f t="shared" si="399"/>
        <v>-0,00217790244580447+0,0136981148266575i</v>
      </c>
      <c r="BD428">
        <f t="shared" si="400"/>
        <v>-37.15836447625761</v>
      </c>
      <c r="BE428" s="43">
        <f t="shared" si="401"/>
        <v>99.034003568126067</v>
      </c>
      <c r="BF428" s="41" t="str">
        <f t="shared" si="402"/>
        <v>-0,000791798853800173-0,00187192529180802i</v>
      </c>
      <c r="BG428" s="20">
        <f t="shared" si="403"/>
        <v>-53.839395776474426</v>
      </c>
      <c r="BH428" s="43">
        <f t="shared" si="404"/>
        <v>-112.9276988845577</v>
      </c>
      <c r="BI428" s="41" t="str">
        <f t="shared" si="357"/>
        <v>0,00676892487237741-0,00314618198057552i</v>
      </c>
      <c r="BJ428" s="20">
        <f t="shared" si="405"/>
        <v>-42.540137956602912</v>
      </c>
      <c r="BK428" s="43">
        <f t="shared" si="358"/>
        <v>-24.928905491048013</v>
      </c>
      <c r="BL428">
        <f t="shared" si="406"/>
        <v>-53.839395776474426</v>
      </c>
      <c r="BM428" s="43">
        <f t="shared" si="407"/>
        <v>-112.9276988845577</v>
      </c>
    </row>
    <row r="429" spans="14:65" x14ac:dyDescent="0.35">
      <c r="N429" s="9">
        <v>11</v>
      </c>
      <c r="O429" s="34">
        <f t="shared" si="408"/>
        <v>128824.95516931375</v>
      </c>
      <c r="P429" s="33" t="str">
        <f t="shared" si="360"/>
        <v>59,1053597814893</v>
      </c>
      <c r="Q429" s="4" t="str">
        <f t="shared" si="361"/>
        <v>1+6219,42286494745i</v>
      </c>
      <c r="R429" s="4">
        <f t="shared" si="373"/>
        <v>6219.4229453407606</v>
      </c>
      <c r="S429" s="4">
        <f t="shared" si="374"/>
        <v>1.570635540173196</v>
      </c>
      <c r="T429" s="4" t="str">
        <f t="shared" si="362"/>
        <v>1+1,05226038517327i</v>
      </c>
      <c r="U429" s="4">
        <f t="shared" si="375"/>
        <v>1.4516376676722735</v>
      </c>
      <c r="V429" s="4">
        <f t="shared" si="376"/>
        <v>0.81085745392550279</v>
      </c>
      <c r="W429" t="str">
        <f t="shared" si="363"/>
        <v>1-38,8526911448593i</v>
      </c>
      <c r="X429" s="4">
        <f t="shared" si="377"/>
        <v>38.865558135678796</v>
      </c>
      <c r="Y429" s="4">
        <f t="shared" si="378"/>
        <v>-1.5450637651828201</v>
      </c>
      <c r="Z429" t="str">
        <f t="shared" si="364"/>
        <v>0,657110143091412+3,63508133059857i</v>
      </c>
      <c r="AA429" s="4">
        <f t="shared" si="379"/>
        <v>3.693996483514824</v>
      </c>
      <c r="AB429" s="4">
        <f t="shared" si="380"/>
        <v>1.3919585886496213</v>
      </c>
      <c r="AC429" s="47" t="str">
        <f t="shared" si="381"/>
        <v>-0,123343289141729+0,0765090544977075i</v>
      </c>
      <c r="AD429" s="20">
        <f t="shared" si="382"/>
        <v>-16.76393132377634</v>
      </c>
      <c r="AE429" s="43">
        <f t="shared" si="383"/>
        <v>148.18893708130304</v>
      </c>
      <c r="AF429" t="str">
        <f t="shared" si="365"/>
        <v>405,634542683733</v>
      </c>
      <c r="AG429" t="str">
        <f t="shared" si="366"/>
        <v>1+6230,48912273647i</v>
      </c>
      <c r="AH429">
        <f t="shared" si="384"/>
        <v>6230.4892029869916</v>
      </c>
      <c r="AI429">
        <f t="shared" si="385"/>
        <v>1.5706358257536921</v>
      </c>
      <c r="AJ429" t="str">
        <f t="shared" si="367"/>
        <v>1+1,05226038517327i</v>
      </c>
      <c r="AK429">
        <f t="shared" si="386"/>
        <v>1.4516376676722735</v>
      </c>
      <c r="AL429">
        <f t="shared" si="387"/>
        <v>0.81085745392550279</v>
      </c>
      <c r="AM429" t="str">
        <f t="shared" si="368"/>
        <v>1-5,67127106889498i</v>
      </c>
      <c r="AN429">
        <f t="shared" si="388"/>
        <v>5.7587598957488417</v>
      </c>
      <c r="AO429">
        <f t="shared" si="389"/>
        <v>-1.3962630774209115</v>
      </c>
      <c r="AP429" s="41" t="str">
        <f t="shared" si="390"/>
        <v>-0,30064679894401-0,453675736536281i</v>
      </c>
      <c r="AQ429">
        <f t="shared" si="391"/>
        <v>-5.2840003220920284</v>
      </c>
      <c r="AR429" s="43">
        <f t="shared" si="392"/>
        <v>-123.53207549724289</v>
      </c>
      <c r="AS429" t="str">
        <f t="shared" si="369"/>
        <v>-0,0000166666666666667</v>
      </c>
      <c r="AT429" t="str">
        <f t="shared" si="370"/>
        <v>0,179288981012215i</v>
      </c>
      <c r="AU429">
        <f t="shared" si="393"/>
        <v>0.17928898101221499</v>
      </c>
      <c r="AV429">
        <f t="shared" si="394"/>
        <v>1.5707963267948966</v>
      </c>
      <c r="AW429" t="str">
        <f t="shared" si="371"/>
        <v>1+6,39139924871698i</v>
      </c>
      <c r="AX429">
        <f t="shared" si="395"/>
        <v>6.4691563867709974</v>
      </c>
      <c r="AY429">
        <f t="shared" si="396"/>
        <v>1.4155943406194611</v>
      </c>
      <c r="AZ429" t="str">
        <f t="shared" si="372"/>
        <v>1+943,796622393873i</v>
      </c>
      <c r="BA429">
        <f t="shared" si="397"/>
        <v>943.79715216887735</v>
      </c>
      <c r="BB429">
        <f t="shared" si="398"/>
        <v>1.5697367768854593</v>
      </c>
      <c r="BC429" s="41" t="str">
        <f t="shared" si="399"/>
        <v>-0,00208222290611214+0,0134012777113697i</v>
      </c>
      <c r="BD429">
        <f t="shared" si="400"/>
        <v>-37.353476734706945</v>
      </c>
      <c r="BE429" s="43">
        <f t="shared" si="401"/>
        <v>98.831711041906033</v>
      </c>
      <c r="BF429" s="41" t="str">
        <f t="shared" si="402"/>
        <v>-0,000768490864791976-0,00181226657742219i</v>
      </c>
      <c r="BG429" s="20">
        <f t="shared" si="403"/>
        <v>-54.117408058483285</v>
      </c>
      <c r="BH429" s="43">
        <f t="shared" si="404"/>
        <v>-112.97935187679094</v>
      </c>
      <c r="BI429" s="41" t="str">
        <f t="shared" si="357"/>
        <v>0,0067058481876434-0,00308439723511987i</v>
      </c>
      <c r="BJ429" s="20">
        <f t="shared" si="405"/>
        <v>-42.637477056798978</v>
      </c>
      <c r="BK429" s="43">
        <f t="shared" si="358"/>
        <v>-24.700364455336885</v>
      </c>
      <c r="BL429">
        <f t="shared" si="406"/>
        <v>-54.117408058483285</v>
      </c>
      <c r="BM429" s="43">
        <f t="shared" si="407"/>
        <v>-112.97935187679094</v>
      </c>
    </row>
    <row r="430" spans="14:65" x14ac:dyDescent="0.35">
      <c r="N430" s="9">
        <v>12</v>
      </c>
      <c r="O430" s="34">
        <f t="shared" si="408"/>
        <v>131825.67385564081</v>
      </c>
      <c r="P430" s="33" t="str">
        <f t="shared" si="360"/>
        <v>59,1053597814893</v>
      </c>
      <c r="Q430" s="4" t="str">
        <f t="shared" si="361"/>
        <v>1+6364,2918337314i</v>
      </c>
      <c r="R430" s="4">
        <f t="shared" si="373"/>
        <v>6364.291912294736</v>
      </c>
      <c r="S430" s="4">
        <f t="shared" si="374"/>
        <v>1.5706392001234781</v>
      </c>
      <c r="T430" s="4" t="str">
        <f t="shared" si="362"/>
        <v>1+1,07677067820245i</v>
      </c>
      <c r="U430" s="4">
        <f t="shared" si="375"/>
        <v>1.4695016479870189</v>
      </c>
      <c r="V430" s="4">
        <f t="shared" si="376"/>
        <v>0.82234771121368277</v>
      </c>
      <c r="W430" t="str">
        <f t="shared" si="363"/>
        <v>1-39,7576865797829i</v>
      </c>
      <c r="X430" s="4">
        <f t="shared" si="377"/>
        <v>39.770260775813995</v>
      </c>
      <c r="Y430" s="4">
        <f t="shared" si="378"/>
        <v>-1.5456492600144729</v>
      </c>
      <c r="Z430" t="str">
        <f t="shared" si="364"/>
        <v>0,640950241993931+3,71975325197211i</v>
      </c>
      <c r="AA430" s="4">
        <f t="shared" si="379"/>
        <v>3.7745703687001479</v>
      </c>
      <c r="AB430" s="4">
        <f t="shared" si="380"/>
        <v>1.4001620289372188</v>
      </c>
      <c r="AC430" s="47" t="str">
        <f t="shared" si="381"/>
        <v>-0,122398020181999+0,0754662397000006i</v>
      </c>
      <c r="AD430" s="20">
        <f t="shared" si="382"/>
        <v>-16.845244722982969</v>
      </c>
      <c r="AE430" s="43">
        <f t="shared" si="383"/>
        <v>148.3435017409833</v>
      </c>
      <c r="AF430" t="str">
        <f t="shared" si="365"/>
        <v>405,634542683733</v>
      </c>
      <c r="AG430" t="str">
        <f t="shared" si="366"/>
        <v>1+6375,61585777768i</v>
      </c>
      <c r="AH430">
        <f t="shared" si="384"/>
        <v>6375.615936201476</v>
      </c>
      <c r="AI430">
        <f t="shared" si="385"/>
        <v>1.5706394792033687</v>
      </c>
      <c r="AJ430" t="str">
        <f t="shared" si="367"/>
        <v>1+1,07677067820245i</v>
      </c>
      <c r="AK430">
        <f t="shared" si="386"/>
        <v>1.4695016479870189</v>
      </c>
      <c r="AL430">
        <f t="shared" si="387"/>
        <v>0.82234771121368277</v>
      </c>
      <c r="AM430" t="str">
        <f t="shared" si="368"/>
        <v>1-5,8033719421248i</v>
      </c>
      <c r="AN430">
        <f t="shared" si="388"/>
        <v>5.8888985301702537</v>
      </c>
      <c r="AO430">
        <f t="shared" si="389"/>
        <v>-1.4001584028322167</v>
      </c>
      <c r="AP430" s="41" t="str">
        <f t="shared" si="390"/>
        <v>-0,30064726959228-0,461242529396773i</v>
      </c>
      <c r="AQ430">
        <f t="shared" si="391"/>
        <v>-5.1836613535785858</v>
      </c>
      <c r="AR430" s="43">
        <f t="shared" si="392"/>
        <v>-123.0971272822558</v>
      </c>
      <c r="AS430" t="str">
        <f t="shared" si="369"/>
        <v>-0,0000166666666666667</v>
      </c>
      <c r="AT430" t="str">
        <f t="shared" si="370"/>
        <v>0,183465157862957i</v>
      </c>
      <c r="AU430">
        <f t="shared" si="393"/>
        <v>0.183465157862957</v>
      </c>
      <c r="AV430">
        <f t="shared" si="394"/>
        <v>1.5707963267948966</v>
      </c>
      <c r="AW430" t="str">
        <f t="shared" si="371"/>
        <v>1+6,54027406208055i</v>
      </c>
      <c r="AX430">
        <f t="shared" si="395"/>
        <v>6.6162817962299343</v>
      </c>
      <c r="AY430">
        <f t="shared" si="396"/>
        <v>1.4190725879590638</v>
      </c>
      <c r="AZ430" t="str">
        <f t="shared" si="372"/>
        <v>1+965,780469833893i</v>
      </c>
      <c r="BA430">
        <f t="shared" si="397"/>
        <v>965.78098754975235</v>
      </c>
      <c r="BB430">
        <f t="shared" si="398"/>
        <v>1.5697608951684949</v>
      </c>
      <c r="BC430" s="41" t="str">
        <f t="shared" si="399"/>
        <v>-0,00199064827325087+0,0131102290386101i</v>
      </c>
      <c r="BD430">
        <f t="shared" si="400"/>
        <v>-37.548803836586913</v>
      </c>
      <c r="BE430" s="43">
        <f t="shared" si="401"/>
        <v>98.6338040250712</v>
      </c>
      <c r="BF430" s="41" t="str">
        <f t="shared" si="402"/>
        <v>-0,000745728279625037-0,00175489281820597i</v>
      </c>
      <c r="BG430" s="20">
        <f t="shared" si="403"/>
        <v>-54.394048559569882</v>
      </c>
      <c r="BH430" s="43">
        <f t="shared" si="404"/>
        <v>-113.02269423394551</v>
      </c>
      <c r="BI430" s="41" t="str">
        <f t="shared" si="357"/>
        <v>0,00664547817081101-0,003023382919494i</v>
      </c>
      <c r="BJ430" s="20">
        <f t="shared" si="405"/>
        <v>-42.732465190165492</v>
      </c>
      <c r="BK430" s="43">
        <f t="shared" si="358"/>
        <v>-24.463323257184605</v>
      </c>
      <c r="BL430">
        <f t="shared" si="406"/>
        <v>-54.394048559569882</v>
      </c>
      <c r="BM430" s="43">
        <f t="shared" si="407"/>
        <v>-113.02269423394551</v>
      </c>
    </row>
    <row r="431" spans="14:65" x14ac:dyDescent="0.35">
      <c r="N431" s="9">
        <v>13</v>
      </c>
      <c r="O431" s="34">
        <f t="shared" si="408"/>
        <v>134896.28825916545</v>
      </c>
      <c r="P431" s="33" t="str">
        <f t="shared" si="360"/>
        <v>59,1053597814893</v>
      </c>
      <c r="Q431" s="4" t="str">
        <f t="shared" si="361"/>
        <v>1+6512,53523428697i</v>
      </c>
      <c r="R431" s="4">
        <f t="shared" si="373"/>
        <v>6512.5353110619853</v>
      </c>
      <c r="S431" s="4">
        <f t="shared" si="374"/>
        <v>1.5706427767631246</v>
      </c>
      <c r="T431" s="4" t="str">
        <f t="shared" si="362"/>
        <v>1+1,10185188929797i</v>
      </c>
      <c r="U431" s="4">
        <f t="shared" si="375"/>
        <v>1.4879776832834242</v>
      </c>
      <c r="V431" s="4">
        <f t="shared" si="376"/>
        <v>0.83381845375576291</v>
      </c>
      <c r="W431" t="str">
        <f t="shared" si="363"/>
        <v>1-40,6837620663865i</v>
      </c>
      <c r="X431" s="4">
        <f t="shared" si="377"/>
        <v>40.696050126202039</v>
      </c>
      <c r="Y431" s="4">
        <f t="shared" si="378"/>
        <v>-1.5462214440204056</v>
      </c>
      <c r="Z431" t="str">
        <f t="shared" si="364"/>
        <v>0,624028748221078+3,80639743575661i</v>
      </c>
      <c r="AA431" s="4">
        <f t="shared" si="379"/>
        <v>3.8572105617325154</v>
      </c>
      <c r="AB431" s="4">
        <f t="shared" si="380"/>
        <v>1.4082997550941276</v>
      </c>
      <c r="AC431" s="47" t="str">
        <f t="shared" si="381"/>
        <v>-0,121485590539543+0,0744421466912618i</v>
      </c>
      <c r="AD431" s="20">
        <f t="shared" si="382"/>
        <v>-16.924957915923315</v>
      </c>
      <c r="AE431" s="43">
        <f t="shared" si="383"/>
        <v>148.50148085790013</v>
      </c>
      <c r="AF431" t="str">
        <f t="shared" si="365"/>
        <v>405,634542683733</v>
      </c>
      <c r="AG431" t="str">
        <f t="shared" si="366"/>
        <v>1+6524,12302873795i</v>
      </c>
      <c r="AH431">
        <f t="shared" si="384"/>
        <v>6524.1231053766023</v>
      </c>
      <c r="AI431">
        <f t="shared" si="385"/>
        <v>1.5706430494903818</v>
      </c>
      <c r="AJ431" t="str">
        <f t="shared" si="367"/>
        <v>1+1,10185188929797i</v>
      </c>
      <c r="AK431">
        <f t="shared" si="386"/>
        <v>1.4879776832834242</v>
      </c>
      <c r="AL431">
        <f t="shared" si="387"/>
        <v>0.83381845375576291</v>
      </c>
      <c r="AM431" t="str">
        <f t="shared" si="368"/>
        <v>1-5,93854983997506i</v>
      </c>
      <c r="AN431">
        <f t="shared" si="388"/>
        <v>6.0221569393256278</v>
      </c>
      <c r="AO431">
        <f t="shared" si="389"/>
        <v>-1.4039701193992653</v>
      </c>
      <c r="AP431" s="41" t="str">
        <f t="shared" si="390"/>
        <v>-0,300647719057888-0,469053879144976i</v>
      </c>
      <c r="AQ431">
        <f t="shared" si="391"/>
        <v>-5.0807745839955736</v>
      </c>
      <c r="AR431" s="43">
        <f t="shared" si="392"/>
        <v>-122.65850198108288</v>
      </c>
      <c r="AS431" t="str">
        <f t="shared" si="369"/>
        <v>-0,0000166666666666667</v>
      </c>
      <c r="AT431" t="str">
        <f t="shared" si="370"/>
        <v>0,187738610368846i</v>
      </c>
      <c r="AU431">
        <f t="shared" si="393"/>
        <v>0.18773861036884601</v>
      </c>
      <c r="AV431">
        <f t="shared" si="394"/>
        <v>1.5707963267948966</v>
      </c>
      <c r="AW431" t="str">
        <f t="shared" si="371"/>
        <v>1+6,6926166153226i</v>
      </c>
      <c r="AX431">
        <f t="shared" si="395"/>
        <v>6.7669134145260159</v>
      </c>
      <c r="AY431">
        <f t="shared" si="396"/>
        <v>1.4224752393301867</v>
      </c>
      <c r="AZ431" t="str">
        <f t="shared" si="372"/>
        <v>1+988,276386862637i</v>
      </c>
      <c r="BA431">
        <f t="shared" si="397"/>
        <v>988.27689279385083</v>
      </c>
      <c r="BB431">
        <f t="shared" si="398"/>
        <v>1.5697844644535468</v>
      </c>
      <c r="BC431" s="41" t="str">
        <f t="shared" si="399"/>
        <v>-0,00190301092117152+0,0128248984238431i</v>
      </c>
      <c r="BD431">
        <f t="shared" si="400"/>
        <v>-37.744336554609824</v>
      </c>
      <c r="BE431" s="43">
        <f t="shared" si="401"/>
        <v>98.440196882911025</v>
      </c>
      <c r="BF431" s="41" t="str">
        <f t="shared" si="402"/>
        <v>-0,000723524564206538-0,00169970457677916i</v>
      </c>
      <c r="BG431" s="20">
        <f t="shared" si="403"/>
        <v>-54.669294470533131</v>
      </c>
      <c r="BH431" s="43">
        <f t="shared" si="404"/>
        <v>-113.05832225918877</v>
      </c>
      <c r="BI431" s="41" t="str">
        <f t="shared" si="357"/>
        <v>0,00658770424813636-0,00296316180364678i</v>
      </c>
      <c r="BJ431" s="20">
        <f t="shared" si="405"/>
        <v>-42.825111138605401</v>
      </c>
      <c r="BK431" s="43">
        <f t="shared" si="358"/>
        <v>-24.2183050981719</v>
      </c>
      <c r="BL431">
        <f t="shared" si="406"/>
        <v>-54.669294470533131</v>
      </c>
      <c r="BM431" s="43">
        <f t="shared" si="407"/>
        <v>-113.05832225918877</v>
      </c>
    </row>
    <row r="432" spans="14:65" x14ac:dyDescent="0.35">
      <c r="N432" s="9">
        <v>14</v>
      </c>
      <c r="O432" s="34">
        <f t="shared" si="408"/>
        <v>138038.42646028858</v>
      </c>
      <c r="P432" s="33" t="str">
        <f t="shared" si="360"/>
        <v>59,1053597814893</v>
      </c>
      <c r="Q432" s="4" t="str">
        <f t="shared" si="361"/>
        <v>1+6664,23166722736i</v>
      </c>
      <c r="R432" s="4">
        <f t="shared" si="373"/>
        <v>6664.231742254763</v>
      </c>
      <c r="S432" s="4">
        <f t="shared" si="374"/>
        <v>1.570646271988517</v>
      </c>
      <c r="T432" s="4" t="str">
        <f t="shared" si="362"/>
        <v>1+1,12751731684992i</v>
      </c>
      <c r="U432" s="4">
        <f t="shared" si="375"/>
        <v>1.5070817163632644</v>
      </c>
      <c r="V432" s="4">
        <f t="shared" si="376"/>
        <v>0.8452636901265983</v>
      </c>
      <c r="W432" t="str">
        <f t="shared" si="363"/>
        <v>1-41,6314086221509i</v>
      </c>
      <c r="X432" s="4">
        <f t="shared" si="377"/>
        <v>41.64341705317301</v>
      </c>
      <c r="Y432" s="4">
        <f t="shared" si="378"/>
        <v>-1.5467806190806535</v>
      </c>
      <c r="Z432" t="str">
        <f t="shared" si="364"/>
        <v>0,606309769015858+3,89505982184517i</v>
      </c>
      <c r="AA432" s="4">
        <f t="shared" si="379"/>
        <v>3.9419668379828599</v>
      </c>
      <c r="AB432" s="4">
        <f t="shared" si="380"/>
        <v>1.4163743831949693</v>
      </c>
      <c r="AC432" s="47" t="str">
        <f t="shared" si="381"/>
        <v>-0,12060478259845+0,0734374093273778i</v>
      </c>
      <c r="AD432" s="20">
        <f t="shared" si="382"/>
        <v>-17.00306065071522</v>
      </c>
      <c r="AE432" s="43">
        <f t="shared" si="383"/>
        <v>148.66236385353824</v>
      </c>
      <c r="AF432" t="str">
        <f t="shared" si="365"/>
        <v>405,634542683733</v>
      </c>
      <c r="AG432" t="str">
        <f t="shared" si="366"/>
        <v>1+6676,08937608503i</v>
      </c>
      <c r="AH432">
        <f t="shared" si="384"/>
        <v>6676.0894509791742</v>
      </c>
      <c r="AI432">
        <f t="shared" si="385"/>
        <v>1.5706465385077442</v>
      </c>
      <c r="AJ432" t="str">
        <f t="shared" si="367"/>
        <v>1+1,12751731684992i</v>
      </c>
      <c r="AK432">
        <f t="shared" si="386"/>
        <v>1.5070817163632644</v>
      </c>
      <c r="AL432">
        <f t="shared" si="387"/>
        <v>0.8452636901265983</v>
      </c>
      <c r="AM432" t="str">
        <f t="shared" si="368"/>
        <v>1-6,07687643555648i</v>
      </c>
      <c r="AN432">
        <f t="shared" si="388"/>
        <v>6.1586059472109129</v>
      </c>
      <c r="AO432">
        <f t="shared" si="389"/>
        <v>-1.4076998048732894</v>
      </c>
      <c r="AP432" s="41" t="str">
        <f t="shared" si="390"/>
        <v>-0,300648148294214-0,477113927462357i</v>
      </c>
      <c r="AQ432">
        <f t="shared" si="391"/>
        <v>-4.9753599543386322</v>
      </c>
      <c r="AR432" s="43">
        <f t="shared" si="392"/>
        <v>-122.21663338404679</v>
      </c>
      <c r="AS432" t="str">
        <f t="shared" si="369"/>
        <v>-0,0000166666666666667</v>
      </c>
      <c r="AT432" t="str">
        <f t="shared" si="370"/>
        <v>0,192111604370967i</v>
      </c>
      <c r="AU432">
        <f t="shared" si="393"/>
        <v>0.192111604370967</v>
      </c>
      <c r="AV432">
        <f t="shared" si="394"/>
        <v>1.5707963267948966</v>
      </c>
      <c r="AW432" t="str">
        <f t="shared" si="371"/>
        <v>1+6,84850768248136i</v>
      </c>
      <c r="AX432">
        <f t="shared" si="395"/>
        <v>6.9211312281307169</v>
      </c>
      <c r="AY432">
        <f t="shared" si="396"/>
        <v>1.4258037835326527</v>
      </c>
      <c r="AZ432" t="str">
        <f t="shared" si="372"/>
        <v>1+1011,29630111308i</v>
      </c>
      <c r="BA432">
        <f t="shared" si="397"/>
        <v>1011.2967955278989</v>
      </c>
      <c r="BB432">
        <f t="shared" si="398"/>
        <v>1.5698074972372573</v>
      </c>
      <c r="BC432" s="41" t="str">
        <f t="shared" si="399"/>
        <v>-0,00181914933589997+0,0125452133296547i</v>
      </c>
      <c r="BD432">
        <f t="shared" si="400"/>
        <v>-37.940066039147155</v>
      </c>
      <c r="BE432" s="43">
        <f t="shared" si="401"/>
        <v>98.250805029484027</v>
      </c>
      <c r="BF432" s="41" t="str">
        <f t="shared" si="402"/>
        <v>-0,000701889856218798-0,0016466063406823i</v>
      </c>
      <c r="BG432" s="20">
        <f t="shared" si="403"/>
        <v>-54.94312668986236</v>
      </c>
      <c r="BH432" s="43">
        <f t="shared" si="404"/>
        <v>-113.08683111697769</v>
      </c>
      <c r="BI432" s="41" t="str">
        <f t="shared" si="357"/>
        <v>0,00653241988187364-0,0029037536732248i</v>
      </c>
      <c r="BJ432" s="20">
        <f t="shared" si="405"/>
        <v>-42.915425993485798</v>
      </c>
      <c r="BK432" s="43">
        <f t="shared" si="358"/>
        <v>-23.965828354562735</v>
      </c>
      <c r="BL432">
        <f t="shared" si="406"/>
        <v>-54.94312668986236</v>
      </c>
      <c r="BM432" s="43">
        <f t="shared" si="407"/>
        <v>-113.08683111697769</v>
      </c>
    </row>
    <row r="433" spans="14:65" x14ac:dyDescent="0.35">
      <c r="N433" s="9">
        <v>15</v>
      </c>
      <c r="O433" s="34">
        <f t="shared" si="408"/>
        <v>141253.75446227577</v>
      </c>
      <c r="P433" s="33" t="str">
        <f t="shared" si="360"/>
        <v>59,1053597814893</v>
      </c>
      <c r="Q433" s="4" t="str">
        <f t="shared" si="361"/>
        <v>1+6819,46156400926i</v>
      </c>
      <c r="R433" s="4">
        <f t="shared" si="373"/>
        <v>6819.46163732883</v>
      </c>
      <c r="S433" s="4">
        <f t="shared" si="374"/>
        <v>1.5706496876528697</v>
      </c>
      <c r="T433" s="4" t="str">
        <f t="shared" si="362"/>
        <v>1+1,15378056900772i</v>
      </c>
      <c r="U433" s="4">
        <f t="shared" si="375"/>
        <v>1.5268299189561942</v>
      </c>
      <c r="V433" s="4">
        <f t="shared" si="376"/>
        <v>0.85667749570182516</v>
      </c>
      <c r="W433" t="str">
        <f t="shared" si="363"/>
        <v>1-42,6011287018236i</v>
      </c>
      <c r="X433" s="4">
        <f t="shared" si="377"/>
        <v>42.612863863736472</v>
      </c>
      <c r="Y433" s="4">
        <f t="shared" si="378"/>
        <v>-1.5473270802777053</v>
      </c>
      <c r="Z433" t="str">
        <f t="shared" si="364"/>
        <v>0,58775572004775+3,98578742020849i</v>
      </c>
      <c r="AA433" s="4">
        <f t="shared" si="379"/>
        <v>4.0288904360308804</v>
      </c>
      <c r="AB433" s="4">
        <f t="shared" si="380"/>
        <v>1.424388582031096</v>
      </c>
      <c r="AC433" s="47" t="str">
        <f t="shared" si="381"/>
        <v>-0,11975439191248+0,0724526075628485i</v>
      </c>
      <c r="AD433" s="20">
        <f t="shared" si="382"/>
        <v>-17.079545964903243</v>
      </c>
      <c r="AE433" s="43">
        <f t="shared" si="383"/>
        <v>148.82564134828237</v>
      </c>
      <c r="AF433" t="str">
        <f t="shared" si="365"/>
        <v>405,634542683733</v>
      </c>
      <c r="AG433" t="str">
        <f t="shared" si="366"/>
        <v>1+6831,59547438782i</v>
      </c>
      <c r="AH433">
        <f t="shared" si="384"/>
        <v>6831.5955475771643</v>
      </c>
      <c r="AI433">
        <f t="shared" si="385"/>
        <v>1.5706499481053786</v>
      </c>
      <c r="AJ433" t="str">
        <f t="shared" si="367"/>
        <v>1+1,15378056900772i</v>
      </c>
      <c r="AK433">
        <f t="shared" si="386"/>
        <v>1.5268299189561942</v>
      </c>
      <c r="AL433">
        <f t="shared" si="387"/>
        <v>0.85667749570182516</v>
      </c>
      <c r="AM433" t="str">
        <f t="shared" si="368"/>
        <v>1-6,218425071461i</v>
      </c>
      <c r="AN433">
        <f t="shared" si="388"/>
        <v>6.2983180587657479</v>
      </c>
      <c r="AO433">
        <f t="shared" si="389"/>
        <v>-1.4113490215174163</v>
      </c>
      <c r="AP433" s="41" t="str">
        <f t="shared" si="390"/>
        <v>-0,300648558211723-0,485426947893638i</v>
      </c>
      <c r="AQ433">
        <f t="shared" si="391"/>
        <v>-4.8674393154269255</v>
      </c>
      <c r="AR433" s="43">
        <f t="shared" si="392"/>
        <v>-121.77195056419512</v>
      </c>
      <c r="AS433" t="str">
        <f t="shared" si="369"/>
        <v>-0,0000166666666666667</v>
      </c>
      <c r="AT433" t="str">
        <f t="shared" si="370"/>
        <v>0,196586458488623i</v>
      </c>
      <c r="AU433">
        <f t="shared" si="393"/>
        <v>0.19658645848862299</v>
      </c>
      <c r="AV433">
        <f t="shared" si="394"/>
        <v>1.5707963267948966</v>
      </c>
      <c r="AW433" t="str">
        <f t="shared" si="371"/>
        <v>1+7,0080299190641i</v>
      </c>
      <c r="AX433">
        <f t="shared" si="395"/>
        <v>7.0790171172626488</v>
      </c>
      <c r="AY433">
        <f t="shared" si="396"/>
        <v>1.4290596902304944</v>
      </c>
      <c r="AZ433" t="str">
        <f t="shared" si="372"/>
        <v>1+1034,85241804846i</v>
      </c>
      <c r="BA433">
        <f t="shared" si="397"/>
        <v>1034.8529012090294</v>
      </c>
      <c r="BB433">
        <f t="shared" si="398"/>
        <v>1.5698300057318151</v>
      </c>
      <c r="BC433" s="41" t="str">
        <f t="shared" si="399"/>
        <v>-0,00173890795722517+0,0122710993301049i</v>
      </c>
      <c r="BD433">
        <f t="shared" si="400"/>
        <v>-38.135983804382775</v>
      </c>
      <c r="BE433" s="43">
        <f t="shared" si="401"/>
        <v>98.06554495895071</v>
      </c>
      <c r="BF433" s="41" t="str">
        <f t="shared" si="402"/>
        <v>-0,000680831279119551-0,0015955064541871i</v>
      </c>
      <c r="BG433" s="20">
        <f t="shared" si="403"/>
        <v>-55.215529769286029</v>
      </c>
      <c r="BH433" s="43">
        <f t="shared" si="404"/>
        <v>-113.10881369276696</v>
      </c>
      <c r="BI433" s="41" t="str">
        <f t="shared" si="357"/>
        <v>0,00647952246531513-0,0028451755389251i</v>
      </c>
      <c r="BJ433" s="20">
        <f t="shared" si="405"/>
        <v>-43.003423119809696</v>
      </c>
      <c r="BK433" s="43">
        <f t="shared" si="358"/>
        <v>-23.70640560524437</v>
      </c>
      <c r="BL433">
        <f t="shared" si="406"/>
        <v>-55.215529769286029</v>
      </c>
      <c r="BM433" s="43">
        <f t="shared" si="407"/>
        <v>-113.10881369276696</v>
      </c>
    </row>
    <row r="434" spans="14:65" x14ac:dyDescent="0.35">
      <c r="N434" s="9">
        <v>16</v>
      </c>
      <c r="O434" s="34">
        <f t="shared" si="408"/>
        <v>144543.97707459307</v>
      </c>
      <c r="P434" s="33" t="str">
        <f t="shared" si="360"/>
        <v>59,1053597814893</v>
      </c>
      <c r="Q434" s="4" t="str">
        <f t="shared" si="361"/>
        <v>1+6978,30722957862i</v>
      </c>
      <c r="R434" s="4">
        <f t="shared" si="373"/>
        <v>6978.3073012292334</v>
      </c>
      <c r="S434" s="4">
        <f t="shared" si="374"/>
        <v>1.5706530255672126</v>
      </c>
      <c r="T434" s="4" t="str">
        <f t="shared" si="362"/>
        <v>1+1,1806555708953i</v>
      </c>
      <c r="U434" s="4">
        <f t="shared" si="375"/>
        <v>1.5472386942828527</v>
      </c>
      <c r="V434" s="4">
        <f t="shared" si="376"/>
        <v>0.86805402768376039</v>
      </c>
      <c r="W434" t="str">
        <f t="shared" si="363"/>
        <v>1-43,5934364638266i</v>
      </c>
      <c r="X434" s="4">
        <f t="shared" si="377"/>
        <v>43.604904571913544</v>
      </c>
      <c r="Y434" s="4">
        <f t="shared" si="378"/>
        <v>-1.5478611160463001</v>
      </c>
      <c r="Z434" t="str">
        <f t="shared" si="364"/>
        <v>0,568327245691312+4,07862833582013i</v>
      </c>
      <c r="AA434" s="4">
        <f t="shared" si="379"/>
        <v>4.1180341135000278</v>
      </c>
      <c r="AB434" s="4">
        <f t="shared" si="380"/>
        <v>1.4323450692441857</v>
      </c>
      <c r="AC434" s="47" t="str">
        <f t="shared" si="381"/>
        <v>-0,118933228548022+0,0714882700685552i</v>
      </c>
      <c r="AD434" s="20">
        <f t="shared" si="382"/>
        <v>-17.154410134500967</v>
      </c>
      <c r="AE434" s="43">
        <f t="shared" si="383"/>
        <v>148.9908062352292</v>
      </c>
      <c r="AF434" t="str">
        <f t="shared" si="365"/>
        <v>405,634542683733</v>
      </c>
      <c r="AG434" t="str">
        <f t="shared" si="366"/>
        <v>1+6990,72377503797i</v>
      </c>
      <c r="AH434">
        <f t="shared" si="384"/>
        <v>6990.7238465613227</v>
      </c>
      <c r="AI434">
        <f t="shared" si="385"/>
        <v>1.5706532800910988</v>
      </c>
      <c r="AJ434" t="str">
        <f t="shared" si="367"/>
        <v>1+1,1806555708953i</v>
      </c>
      <c r="AK434">
        <f t="shared" si="386"/>
        <v>1.5472386942828527</v>
      </c>
      <c r="AL434">
        <f t="shared" si="387"/>
        <v>0.86805402768376039</v>
      </c>
      <c r="AM434" t="str">
        <f t="shared" si="368"/>
        <v>1-6,36327079864899i</v>
      </c>
      <c r="AN434">
        <f t="shared" si="388"/>
        <v>6.4413674989817924</v>
      </c>
      <c r="AO434">
        <f t="shared" si="389"/>
        <v>-1.414919315230591</v>
      </c>
      <c r="AP434" s="41" t="str">
        <f t="shared" si="390"/>
        <v>-0,300648949679905-0,493997348112677i</v>
      </c>
      <c r="AQ434">
        <f t="shared" si="391"/>
        <v>-4.7570363960830715</v>
      </c>
      <c r="AR434" s="43">
        <f t="shared" si="392"/>
        <v>-121.32487696624068</v>
      </c>
      <c r="AS434" t="str">
        <f t="shared" si="369"/>
        <v>-0,0000166666666666667</v>
      </c>
      <c r="AT434" t="str">
        <f t="shared" si="370"/>
        <v>0,2011655453487i</v>
      </c>
      <c r="AU434">
        <f t="shared" si="393"/>
        <v>0.20116554534869999</v>
      </c>
      <c r="AV434">
        <f t="shared" si="394"/>
        <v>1.5707963267948966</v>
      </c>
      <c r="AW434" t="str">
        <f t="shared" si="371"/>
        <v>1+7,17126790587215i</v>
      </c>
      <c r="AX434">
        <f t="shared" si="395"/>
        <v>7.2406548997857874</v>
      </c>
      <c r="AY434">
        <f t="shared" si="396"/>
        <v>1.4322444094794831</v>
      </c>
      <c r="AZ434" t="str">
        <f t="shared" si="372"/>
        <v>1+1058,95722743379i</v>
      </c>
      <c r="BA434">
        <f t="shared" si="397"/>
        <v>1058.9576995962868</v>
      </c>
      <c r="BB434">
        <f t="shared" si="398"/>
        <v>1.5698520018714306</v>
      </c>
      <c r="BC434" s="41" t="str">
        <f t="shared" si="399"/>
        <v>-0,00166213701837267+0,0120024803582579i</v>
      </c>
      <c r="BD434">
        <f t="shared" si="400"/>
        <v>-38.332081714833528</v>
      </c>
      <c r="BE434" s="43">
        <f t="shared" si="401"/>
        <v>97.884334273015085</v>
      </c>
      <c r="BF434" s="41" t="str">
        <f t="shared" si="402"/>
        <v>-0,000660353235459425-0,0015463170396522i</v>
      </c>
      <c r="BG434" s="20">
        <f t="shared" si="403"/>
        <v>-55.486491849334499</v>
      </c>
      <c r="BH434" s="43">
        <f t="shared" si="404"/>
        <v>-113.12485949175569</v>
      </c>
      <c r="BI434" s="41" t="str">
        <f t="shared" ref="BI434:BI497" si="409">IMPRODUCT(AP434,BC434)</f>
        <v>0,00642891321655173-0,00278744183398792i</v>
      </c>
      <c r="BJ434" s="20">
        <f t="shared" si="405"/>
        <v>-43.089118110916601</v>
      </c>
      <c r="BK434" s="43">
        <f t="shared" ref="BK434:BK497" si="410">(180/PI())*IMARGUMENT(BI434)</f>
        <v>-23.440542693225609</v>
      </c>
      <c r="BL434">
        <f t="shared" si="406"/>
        <v>-55.486491849334499</v>
      </c>
      <c r="BM434" s="43">
        <f t="shared" si="407"/>
        <v>-113.12485949175569</v>
      </c>
    </row>
    <row r="435" spans="14:65" x14ac:dyDescent="0.35">
      <c r="N435" s="9">
        <v>17</v>
      </c>
      <c r="O435" s="34">
        <f t="shared" si="408"/>
        <v>147910.83881682079</v>
      </c>
      <c r="P435" s="33" t="str">
        <f t="shared" si="360"/>
        <v>59,1053597814893</v>
      </c>
      <c r="Q435" s="4" t="str">
        <f t="shared" si="361"/>
        <v>1+7140,85288600991i</v>
      </c>
      <c r="R435" s="4">
        <f t="shared" si="373"/>
        <v>7140.8529560295574</v>
      </c>
      <c r="S435" s="4">
        <f t="shared" si="374"/>
        <v>1.5706562875013519</v>
      </c>
      <c r="T435" s="4" t="str">
        <f t="shared" si="362"/>
        <v>1+1,20815657199439i</v>
      </c>
      <c r="U435" s="4">
        <f t="shared" si="375"/>
        <v>1.5683246801773019</v>
      </c>
      <c r="V435" s="4">
        <f t="shared" si="376"/>
        <v>0.8793875396122367</v>
      </c>
      <c r="W435" t="str">
        <f t="shared" si="363"/>
        <v>1-44,60885804287i</v>
      </c>
      <c r="X435" s="4">
        <f t="shared" si="377"/>
        <v>44.62006517127611</v>
      </c>
      <c r="Y435" s="4">
        <f t="shared" si="378"/>
        <v>-1.5483830083201413</v>
      </c>
      <c r="Z435" t="str">
        <f t="shared" si="364"/>
        <v>0,547983135547613+4,17363179416245i</v>
      </c>
      <c r="AA435" s="4">
        <f t="shared" si="379"/>
        <v>4.2094522054643004</v>
      </c>
      <c r="AB435" s="4">
        <f t="shared" si="380"/>
        <v>1.4402466076475091</v>
      </c>
      <c r="AC435" s="47" t="str">
        <f t="shared" si="381"/>
        <v>-0,118140118229306+0,07054487679823i</v>
      </c>
      <c r="AD435" s="20">
        <f t="shared" si="382"/>
        <v>-17.22765261324145</v>
      </c>
      <c r="AE435" s="43">
        <f t="shared" si="383"/>
        <v>149.15735471391045</v>
      </c>
      <c r="AF435" t="str">
        <f t="shared" si="365"/>
        <v>405,634542683733</v>
      </c>
      <c r="AG435" t="str">
        <f t="shared" si="366"/>
        <v>1+7153,5586499668i</v>
      </c>
      <c r="AH435">
        <f t="shared" si="384"/>
        <v>7153.5587198620815</v>
      </c>
      <c r="AI435">
        <f t="shared" si="385"/>
        <v>1.5706565362315676</v>
      </c>
      <c r="AJ435" t="str">
        <f t="shared" si="367"/>
        <v>1+1,20815657199439i</v>
      </c>
      <c r="AK435">
        <f t="shared" si="386"/>
        <v>1.5683246801773019</v>
      </c>
      <c r="AL435">
        <f t="shared" si="387"/>
        <v>0.8793875396122367</v>
      </c>
      <c r="AM435" t="str">
        <f t="shared" si="368"/>
        <v>1-6,51149041624226i</v>
      </c>
      <c r="AN435">
        <f t="shared" si="388"/>
        <v>6.5878302528840864</v>
      </c>
      <c r="AO435">
        <f t="shared" si="389"/>
        <v>-1.4184122147596647</v>
      </c>
      <c r="AP435" s="41" t="str">
        <f t="shared" si="390"/>
        <v>-0,300649323529118-0,50282967225947i</v>
      </c>
      <c r="AQ435">
        <f t="shared" si="391"/>
        <v>-4.6441767618722531</v>
      </c>
      <c r="AR435" s="43">
        <f t="shared" si="392"/>
        <v>-120.87582953006331</v>
      </c>
      <c r="AS435" t="str">
        <f t="shared" si="369"/>
        <v>-0,0000166666666666667</v>
      </c>
      <c r="AT435" t="str">
        <f t="shared" si="370"/>
        <v>0,20585129284366i</v>
      </c>
      <c r="AU435">
        <f t="shared" si="393"/>
        <v>0.20585129284365999</v>
      </c>
      <c r="AV435">
        <f t="shared" si="394"/>
        <v>1.5707963267948966</v>
      </c>
      <c r="AW435" t="str">
        <f t="shared" si="371"/>
        <v>1+7,33830819384684i</v>
      </c>
      <c r="AX435">
        <f t="shared" si="395"/>
        <v>7.4061303761059785</v>
      </c>
      <c r="AY435">
        <f t="shared" si="396"/>
        <v>1.435359371318073</v>
      </c>
      <c r="AZ435" t="str">
        <f t="shared" si="372"/>
        <v>1+1083,62350995805i</v>
      </c>
      <c r="BA435">
        <f t="shared" si="397"/>
        <v>1083.6239713728207</v>
      </c>
      <c r="BB435">
        <f t="shared" si="398"/>
        <v>1.5698734973186634</v>
      </c>
      <c r="BC435" s="41" t="str">
        <f t="shared" si="399"/>
        <v>-0,00158869238442195+0,0117392789376466i</v>
      </c>
      <c r="BD435">
        <f t="shared" si="400"/>
        <v>-38.528351972238745</v>
      </c>
      <c r="BE435" s="43">
        <f t="shared" si="401"/>
        <v>97.707091704724803</v>
      </c>
      <c r="BF435" s="41" t="str">
        <f t="shared" si="402"/>
        <v>-0,000640457680230729-0,0014989539101497i</v>
      </c>
      <c r="BG435" s="20">
        <f t="shared" si="403"/>
        <v>-55.756004585480213</v>
      </c>
      <c r="BH435" s="43">
        <f t="shared" si="404"/>
        <v>-113.1355535813648</v>
      </c>
      <c r="BI435" s="41" t="str">
        <f t="shared" si="409"/>
        <v>0,00638049707145166-0,00273056460034307i</v>
      </c>
      <c r="BJ435" s="20">
        <f t="shared" si="405"/>
        <v>-43.172528734110998</v>
      </c>
      <c r="BK435" s="43">
        <f t="shared" si="410"/>
        <v>-23.168737825338521</v>
      </c>
      <c r="BL435">
        <f t="shared" si="406"/>
        <v>-55.756004585480213</v>
      </c>
      <c r="BM435" s="43">
        <f t="shared" si="407"/>
        <v>-113.1355535813648</v>
      </c>
    </row>
    <row r="436" spans="14:65" x14ac:dyDescent="0.35">
      <c r="N436" s="9">
        <v>18</v>
      </c>
      <c r="O436" s="34">
        <f t="shared" si="408"/>
        <v>151356.12484362084</v>
      </c>
      <c r="P436" s="33" t="str">
        <f t="shared" si="360"/>
        <v>59,1053597814893</v>
      </c>
      <c r="Q436" s="4" t="str">
        <f t="shared" si="361"/>
        <v>1+7307,18471716175i</v>
      </c>
      <c r="R436" s="4">
        <f t="shared" si="373"/>
        <v>7307.1847855875549</v>
      </c>
      <c r="S436" s="4">
        <f t="shared" si="374"/>
        <v>1.5706594751848082</v>
      </c>
      <c r="T436" s="4" t="str">
        <f t="shared" si="362"/>
        <v>1+1,2362981536998i</v>
      </c>
      <c r="U436" s="4">
        <f t="shared" si="375"/>
        <v>1.5901047527888008</v>
      </c>
      <c r="V436" s="4">
        <f t="shared" si="376"/>
        <v>0.89067239527545417</v>
      </c>
      <c r="W436" t="str">
        <f t="shared" si="363"/>
        <v>1-45,6479318289158i</v>
      </c>
      <c r="X436" s="4">
        <f t="shared" si="377"/>
        <v>45.65888391383811</v>
      </c>
      <c r="Y436" s="4">
        <f t="shared" si="378"/>
        <v>-1.5488930326755803</v>
      </c>
      <c r="Z436" t="str">
        <f t="shared" si="364"/>
        <v>0,526680237031452+4,27084816732659i</v>
      </c>
      <c r="AA436" s="4">
        <f t="shared" si="379"/>
        <v>4.3032006855869973</v>
      </c>
      <c r="AB436" s="4">
        <f t="shared" si="380"/>
        <v>1.4480960017292894</v>
      </c>
      <c r="AC436" s="47" t="str">
        <f t="shared" si="381"/>
        <v>-0,117373903298225+0,0696228614943116i</v>
      </c>
      <c r="AD436" s="20">
        <f t="shared" si="382"/>
        <v>-17.299275962659276</v>
      </c>
      <c r="AE436" s="43">
        <f t="shared" si="383"/>
        <v>149.32478727938215</v>
      </c>
      <c r="AF436" t="str">
        <f t="shared" si="365"/>
        <v>405,634542683733</v>
      </c>
      <c r="AG436" t="str">
        <f t="shared" si="366"/>
        <v>1+7320,1864363804i</v>
      </c>
      <c r="AH436">
        <f t="shared" si="384"/>
        <v>7320.1865046846706</v>
      </c>
      <c r="AI436">
        <f t="shared" si="385"/>
        <v>1.5706597182532331</v>
      </c>
      <c r="AJ436" t="str">
        <f t="shared" si="367"/>
        <v>1+1,2362981536998i</v>
      </c>
      <c r="AK436">
        <f t="shared" si="386"/>
        <v>1.5901047527888008</v>
      </c>
      <c r="AL436">
        <f t="shared" si="387"/>
        <v>0.89067239527545417</v>
      </c>
      <c r="AM436" t="str">
        <f t="shared" si="368"/>
        <v>1-6,66316251224399i</v>
      </c>
      <c r="AN436">
        <f t="shared" si="388"/>
        <v>6.7377841064086974</v>
      </c>
      <c r="AO436">
        <f t="shared" si="389"/>
        <v>-1.4218292309944653</v>
      </c>
      <c r="AP436" s="41" t="str">
        <f t="shared" si="390"/>
        <v>-0,300649680552344-0,511928603349527i</v>
      </c>
      <c r="AQ436">
        <f t="shared" si="391"/>
        <v>-4.5288877648754058</v>
      </c>
      <c r="AR436" s="43">
        <f t="shared" si="392"/>
        <v>-120.42521785334016</v>
      </c>
      <c r="AS436" t="str">
        <f t="shared" si="369"/>
        <v>-0,0000166666666666667</v>
      </c>
      <c r="AT436" t="str">
        <f t="shared" si="370"/>
        <v>0,210646185418851i</v>
      </c>
      <c r="AU436">
        <f t="shared" si="393"/>
        <v>0.210646185418851</v>
      </c>
      <c r="AV436">
        <f t="shared" si="394"/>
        <v>1.5707963267948966</v>
      </c>
      <c r="AW436" t="str">
        <f t="shared" si="371"/>
        <v>1+7,50923934995991i</v>
      </c>
      <c r="AX436">
        <f t="shared" si="395"/>
        <v>7.5755313750908817</v>
      </c>
      <c r="AY436">
        <f t="shared" si="396"/>
        <v>1.4384059854176117</v>
      </c>
      <c r="AZ436" t="str">
        <f t="shared" si="372"/>
        <v>1+1108,86434401075i</v>
      </c>
      <c r="BA436">
        <f t="shared" si="397"/>
        <v>1108.8647949224428</v>
      </c>
      <c r="BB436">
        <f t="shared" si="398"/>
        <v>1.5698945034706044</v>
      </c>
      <c r="BC436" s="41" t="str">
        <f t="shared" si="399"/>
        <v>-0,00151843539014834+0,0114814163984159i</v>
      </c>
      <c r="BD436">
        <f t="shared" si="400"/>
        <v>-38.724787102820521</v>
      </c>
      <c r="BE436" s="43">
        <f t="shared" si="401"/>
        <v>97.533737138866186</v>
      </c>
      <c r="BF436" s="41" t="str">
        <f t="shared" si="402"/>
        <v>-0,000621144375017554-0,00145333647493068i</v>
      </c>
      <c r="BG436" s="20">
        <f t="shared" si="403"/>
        <v>-56.024063065479808</v>
      </c>
      <c r="BH436" s="43">
        <f t="shared" si="404"/>
        <v>-113.14147558175165</v>
      </c>
      <c r="BI436" s="41" t="str">
        <f t="shared" si="409"/>
        <v>0,00633418257630288-0,00267455366391705i</v>
      </c>
      <c r="BJ436" s="20">
        <f t="shared" si="405"/>
        <v>-43.253674867695935</v>
      </c>
      <c r="BK436" s="43">
        <f t="shared" si="410"/>
        <v>-22.891480714473957</v>
      </c>
      <c r="BL436">
        <f t="shared" si="406"/>
        <v>-56.024063065479808</v>
      </c>
      <c r="BM436" s="43">
        <f t="shared" si="407"/>
        <v>-113.14147558175165</v>
      </c>
    </row>
    <row r="437" spans="14:65" x14ac:dyDescent="0.35">
      <c r="N437" s="9">
        <v>19</v>
      </c>
      <c r="O437" s="34">
        <f t="shared" si="408"/>
        <v>154881.66189124843</v>
      </c>
      <c r="P437" s="33" t="str">
        <f t="shared" si="360"/>
        <v>59,1053597814893</v>
      </c>
      <c r="Q437" s="4" t="str">
        <f t="shared" si="361"/>
        <v>1+7477,39091437266i</v>
      </c>
      <c r="R437" s="4">
        <f t="shared" si="373"/>
        <v>7477.3909812409038</v>
      </c>
      <c r="S437" s="4">
        <f t="shared" si="374"/>
        <v>1.5706625903077329</v>
      </c>
      <c r="T437" s="4" t="str">
        <f t="shared" si="362"/>
        <v>1+1,26509523705064i</v>
      </c>
      <c r="U437" s="4">
        <f t="shared" si="375"/>
        <v>1.6125960308794685</v>
      </c>
      <c r="V437" s="4">
        <f t="shared" si="376"/>
        <v>0.90190308194279201</v>
      </c>
      <c r="W437" t="str">
        <f t="shared" si="363"/>
        <v>1-46,7112087526392i</v>
      </c>
      <c r="X437" s="4">
        <f t="shared" si="377"/>
        <v>46.721911595445633</v>
      </c>
      <c r="Y437" s="4">
        <f t="shared" si="378"/>
        <v>-1.5493914584723125</v>
      </c>
      <c r="Z437" t="str">
        <f t="shared" si="364"/>
        <v>0,504373363838946+4,3703290007204i</v>
      </c>
      <c r="AA437" s="4">
        <f t="shared" si="379"/>
        <v>4.3993372301618319</v>
      </c>
      <c r="AB437" s="4">
        <f t="shared" si="380"/>
        <v>1.4558960943318222</v>
      </c>
      <c r="AC437" s="47" t="str">
        <f t="shared" si="381"/>
        <v>-0,116633443500937+0,0687226141251123i</v>
      </c>
      <c r="AD437" s="20">
        <f t="shared" si="382"/>
        <v>-17.369285773690038</v>
      </c>
      <c r="AE437" s="43">
        <f t="shared" si="383"/>
        <v>149.49260966256841</v>
      </c>
      <c r="AF437" t="str">
        <f t="shared" si="365"/>
        <v>405,634542683733</v>
      </c>
      <c r="AG437" t="str">
        <f t="shared" si="366"/>
        <v>1+7490,6954825367i</v>
      </c>
      <c r="AH437">
        <f t="shared" si="384"/>
        <v>7490.6955492861762</v>
      </c>
      <c r="AI437">
        <f t="shared" si="385"/>
        <v>1.5706628278432451</v>
      </c>
      <c r="AJ437" t="str">
        <f t="shared" si="367"/>
        <v>1+1,26509523705064i</v>
      </c>
      <c r="AK437">
        <f t="shared" si="386"/>
        <v>1.6125960308794685</v>
      </c>
      <c r="AL437">
        <f t="shared" si="387"/>
        <v>0.90190308194279201</v>
      </c>
      <c r="AM437" t="str">
        <f t="shared" si="368"/>
        <v>1-6,81836750520712i</v>
      </c>
      <c r="AN437">
        <f t="shared" si="388"/>
        <v>6.8913086882002581</v>
      </c>
      <c r="AO437">
        <f t="shared" si="389"/>
        <v>-1.425171856340862</v>
      </c>
      <c r="AP437" s="41" t="str">
        <f t="shared" si="390"/>
        <v>-0,300650021506881-0,521298965756867i</v>
      </c>
      <c r="AQ437">
        <f t="shared" si="391"/>
        <v>-4.4111984850416226</v>
      </c>
      <c r="AR437" s="43">
        <f t="shared" si="392"/>
        <v>-119.97344339749358</v>
      </c>
      <c r="AS437" t="str">
        <f t="shared" si="369"/>
        <v>-0,0000166666666666667</v>
      </c>
      <c r="AT437" t="str">
        <f t="shared" si="370"/>
        <v>0,215552765389783i</v>
      </c>
      <c r="AU437">
        <f t="shared" si="393"/>
        <v>0.21555276538978299</v>
      </c>
      <c r="AV437">
        <f t="shared" si="394"/>
        <v>1.5707963267948966</v>
      </c>
      <c r="AW437" t="str">
        <f t="shared" si="371"/>
        <v>1+7,68415200417288i</v>
      </c>
      <c r="AX437">
        <f t="shared" si="395"/>
        <v>7.7489478010394475</v>
      </c>
      <c r="AY437">
        <f t="shared" si="396"/>
        <v>1.4413856407878598</v>
      </c>
      <c r="AZ437" t="str">
        <f t="shared" si="372"/>
        <v>1+1134,69311261619i</v>
      </c>
      <c r="BA437">
        <f t="shared" si="397"/>
        <v>1134.6935532638836</v>
      </c>
      <c r="BB437">
        <f t="shared" si="398"/>
        <v>1.5699150314649193</v>
      </c>
      <c r="BC437" s="41" t="str">
        <f t="shared" si="399"/>
        <v>-0,00145123267789937+0,0112288130788735i</v>
      </c>
      <c r="BD437">
        <f t="shared" si="400"/>
        <v>-38.921379944917831</v>
      </c>
      <c r="BE437" s="43">
        <f t="shared" si="401"/>
        <v>97.364191629183566</v>
      </c>
      <c r="BF437" s="41" t="str">
        <f t="shared" si="402"/>
        <v>-0,000602411123757948-0,00140938763914641i</v>
      </c>
      <c r="BG437" s="20">
        <f t="shared" si="403"/>
        <v>-56.290665718607855</v>
      </c>
      <c r="BH437" s="43">
        <f t="shared" si="404"/>
        <v>-113.14319870824797</v>
      </c>
      <c r="BI437" s="41" t="str">
        <f t="shared" si="409"/>
        <v>0,00628988178051587-0,00261941679959856i</v>
      </c>
      <c r="BJ437" s="20">
        <f t="shared" si="405"/>
        <v>-43.332578429959447</v>
      </c>
      <c r="BK437" s="43">
        <f t="shared" si="410"/>
        <v>-22.609251768310038</v>
      </c>
      <c r="BL437">
        <f t="shared" si="406"/>
        <v>-56.290665718607855</v>
      </c>
      <c r="BM437" s="43">
        <f t="shared" si="407"/>
        <v>-113.14319870824797</v>
      </c>
    </row>
    <row r="438" spans="14:65" x14ac:dyDescent="0.35">
      <c r="N438" s="9">
        <v>20</v>
      </c>
      <c r="O438" s="34">
        <f t="shared" si="408"/>
        <v>158489.31924611164</v>
      </c>
      <c r="P438" s="33" t="str">
        <f t="shared" si="360"/>
        <v>59,1053597814893</v>
      </c>
      <c r="Q438" s="4" t="str">
        <f t="shared" si="361"/>
        <v>1+7651,56172322131i</v>
      </c>
      <c r="R438" s="4">
        <f t="shared" si="373"/>
        <v>7651.5617885674465</v>
      </c>
      <c r="S438" s="4">
        <f t="shared" si="374"/>
        <v>1.5706656345218053</v>
      </c>
      <c r="T438" s="4" t="str">
        <f t="shared" si="362"/>
        <v>1+1,29456309064168i</v>
      </c>
      <c r="U438" s="4">
        <f t="shared" si="375"/>
        <v>1.6358158807310006</v>
      </c>
      <c r="V438" s="4">
        <f t="shared" si="376"/>
        <v>0.91307422284920992</v>
      </c>
      <c r="W438" t="str">
        <f t="shared" si="363"/>
        <v>1-47,7992525775391i</v>
      </c>
      <c r="X438" s="4">
        <f t="shared" si="377"/>
        <v>47.809711847817894</v>
      </c>
      <c r="Y438" s="4">
        <f t="shared" si="378"/>
        <v>-1.5498785489911409</v>
      </c>
      <c r="Z438" t="str">
        <f t="shared" si="364"/>
        <v>0,481015200101325+4,47212704039854i</v>
      </c>
      <c r="AA438" s="4">
        <f t="shared" si="379"/>
        <v>4.4979212852374735</v>
      </c>
      <c r="AB438" s="4">
        <f t="shared" si="380"/>
        <v>1.4636497634993488</v>
      </c>
      <c r="AC438" s="47" t="str">
        <f t="shared" si="381"/>
        <v>-0,11591761661324+0,0678444832464061i</v>
      </c>
      <c r="AD438" s="20">
        <f t="shared" si="382"/>
        <v>-17.437690580521586</v>
      </c>
      <c r="AE438" s="43">
        <f t="shared" si="383"/>
        <v>149.66033371822431</v>
      </c>
      <c r="AF438" t="str">
        <f t="shared" si="365"/>
        <v>405,634542683733</v>
      </c>
      <c r="AG438" t="str">
        <f t="shared" si="366"/>
        <v>1+7665,1761945889i</v>
      </c>
      <c r="AH438">
        <f t="shared" si="384"/>
        <v>7665.1762598189725</v>
      </c>
      <c r="AI438">
        <f t="shared" si="385"/>
        <v>1.5706658666503492</v>
      </c>
      <c r="AJ438" t="str">
        <f t="shared" si="367"/>
        <v>1+1,29456309064168i</v>
      </c>
      <c r="AK438">
        <f t="shared" si="386"/>
        <v>1.6358158807310006</v>
      </c>
      <c r="AL438">
        <f t="shared" si="387"/>
        <v>0.91307422284920992</v>
      </c>
      <c r="AM438" t="str">
        <f t="shared" si="368"/>
        <v>1-6,97718768687324i</v>
      </c>
      <c r="AN438">
        <f t="shared" si="388"/>
        <v>7.0484855123533841</v>
      </c>
      <c r="AO438">
        <f t="shared" si="389"/>
        <v>-1.4284415641670321</v>
      </c>
      <c r="AP438" s="41" t="str">
        <f t="shared" si="390"/>
        <v>-0,300650347115934-0,530945727771957i</v>
      </c>
      <c r="AQ438">
        <f t="shared" si="391"/>
        <v>-4.2911396637263035</v>
      </c>
      <c r="AR438" s="43">
        <f t="shared" si="392"/>
        <v>-119.52089874071217</v>
      </c>
      <c r="AS438" t="str">
        <f t="shared" si="369"/>
        <v>-0,0000166666666666667</v>
      </c>
      <c r="AT438" t="str">
        <f t="shared" si="370"/>
        <v>0,220573634290102i</v>
      </c>
      <c r="AU438">
        <f t="shared" si="393"/>
        <v>0.22057363429010199</v>
      </c>
      <c r="AV438">
        <f t="shared" si="394"/>
        <v>1.5707963267948966</v>
      </c>
      <c r="AW438" t="str">
        <f t="shared" si="371"/>
        <v>1+7,86313889749021i</v>
      </c>
      <c r="AX438">
        <f t="shared" si="395"/>
        <v>7.9264716817272207</v>
      </c>
      <c r="AY438">
        <f t="shared" si="396"/>
        <v>1.4442997055340587</v>
      </c>
      <c r="AZ438" t="str">
        <f t="shared" si="372"/>
        <v>1+1161,12351052939i</v>
      </c>
      <c r="BA438">
        <f t="shared" si="397"/>
        <v>1161.1239411467211</v>
      </c>
      <c r="BB438">
        <f t="shared" si="398"/>
        <v>1.5699350921857529</v>
      </c>
      <c r="BC438" s="41" t="str">
        <f t="shared" si="399"/>
        <v>-0,00138695603604943+0,01098138851317i</v>
      </c>
      <c r="BD438">
        <f t="shared" si="400"/>
        <v>-39.118123636990418</v>
      </c>
      <c r="BE438" s="43">
        <f t="shared" si="401"/>
        <v>97.198377412636304</v>
      </c>
      <c r="BF438" s="41" t="str">
        <f t="shared" si="402"/>
        <v>-0,000584253990957841-0,00136703369910194i</v>
      </c>
      <c r="BG438" s="20">
        <f t="shared" si="403"/>
        <v>-56.555814217511973</v>
      </c>
      <c r="BH438" s="43">
        <f t="shared" si="404"/>
        <v>-113.1412888691393</v>
      </c>
      <c r="BI438" s="41" t="str">
        <f t="shared" si="409"/>
        <v>0,00624751012974446-0,00256515988635152i</v>
      </c>
      <c r="BJ438" s="20">
        <f t="shared" si="405"/>
        <v>-43.409263300716709</v>
      </c>
      <c r="BK438" s="43">
        <f t="shared" si="410"/>
        <v>-22.322521328075865</v>
      </c>
      <c r="BL438">
        <f t="shared" si="406"/>
        <v>-56.555814217511973</v>
      </c>
      <c r="BM438" s="43">
        <f t="shared" si="407"/>
        <v>-113.1412888691393</v>
      </c>
    </row>
    <row r="439" spans="14:65" x14ac:dyDescent="0.35">
      <c r="N439" s="9">
        <v>21</v>
      </c>
      <c r="O439" s="34">
        <f t="shared" si="408"/>
        <v>162181.00973589328</v>
      </c>
      <c r="P439" s="33" t="str">
        <f t="shared" si="360"/>
        <v>59,1053597814893</v>
      </c>
      <c r="Q439" s="4" t="str">
        <f t="shared" si="361"/>
        <v>1+7829,78949137599i</v>
      </c>
      <c r="R439" s="4">
        <f t="shared" si="373"/>
        <v>7829.7895552346672</v>
      </c>
      <c r="S439" s="4">
        <f t="shared" si="374"/>
        <v>1.5706686094411078</v>
      </c>
      <c r="T439" s="4" t="str">
        <f t="shared" si="362"/>
        <v>1+1,32471733871894i</v>
      </c>
      <c r="U439" s="4">
        <f t="shared" si="375"/>
        <v>1.6597819216700096</v>
      </c>
      <c r="V439" s="4">
        <f t="shared" si="376"/>
        <v>0.92418058886904109</v>
      </c>
      <c r="W439" t="str">
        <f t="shared" si="363"/>
        <v>1-48,9126401988534i</v>
      </c>
      <c r="X439" s="4">
        <f t="shared" si="377"/>
        <v>48.922861437394381</v>
      </c>
      <c r="Y439" s="4">
        <f t="shared" si="378"/>
        <v>-1.5503545615688497</v>
      </c>
      <c r="Z439" t="str">
        <f t="shared" si="364"/>
        <v>0,456556200021618+4,57629626102907i</v>
      </c>
      <c r="AA439" s="4">
        <f t="shared" si="379"/>
        <v>4.5990141370174999</v>
      </c>
      <c r="AB439" s="4">
        <f t="shared" si="380"/>
        <v>1.4713599194870726</v>
      </c>
      <c r="AC439" s="47" t="str">
        <f t="shared" si="381"/>
        <v>-0,115225318916416+0,0669887782816174i</v>
      </c>
      <c r="AD439" s="20">
        <f t="shared" si="382"/>
        <v>-17.504501767474729</v>
      </c>
      <c r="AE439" s="43">
        <f t="shared" si="383"/>
        <v>149.82747825738568</v>
      </c>
      <c r="AF439" t="str">
        <f t="shared" si="365"/>
        <v>405,634542683733</v>
      </c>
      <c r="AG439" t="str">
        <f t="shared" si="366"/>
        <v>1+7843,72108452005i</v>
      </c>
      <c r="AH439">
        <f t="shared" si="384"/>
        <v>7843.7211482653038</v>
      </c>
      <c r="AI439">
        <f t="shared" si="385"/>
        <v>1.5706688362857613</v>
      </c>
      <c r="AJ439" t="str">
        <f t="shared" si="367"/>
        <v>1+1,32471733871894i</v>
      </c>
      <c r="AK439">
        <f t="shared" si="386"/>
        <v>1.6597819216700096</v>
      </c>
      <c r="AL439">
        <f t="shared" si="387"/>
        <v>0.92418058886904109</v>
      </c>
      <c r="AM439" t="str">
        <f t="shared" si="368"/>
        <v>1-7,13970726580493i</v>
      </c>
      <c r="AN439">
        <f t="shared" si="388"/>
        <v>7.2093980221227705</v>
      </c>
      <c r="AO439">
        <f t="shared" si="389"/>
        <v>-1.4316398083183572</v>
      </c>
      <c r="AP439" s="41" t="str">
        <f t="shared" si="390"/>
        <v>-0,300650658070168-0,540874004235986i</v>
      </c>
      <c r="AQ439">
        <f t="shared" si="391"/>
        <v>-4.1687436300730685</v>
      </c>
      <c r="AR439" s="43">
        <f t="shared" si="392"/>
        <v>-119.06796688134742</v>
      </c>
      <c r="AS439" t="str">
        <f t="shared" si="369"/>
        <v>-0,0000166666666666667</v>
      </c>
      <c r="AT439" t="str">
        <f t="shared" si="370"/>
        <v>0,225711454250959i</v>
      </c>
      <c r="AU439">
        <f t="shared" si="393"/>
        <v>0.22571145425095901</v>
      </c>
      <c r="AV439">
        <f t="shared" si="394"/>
        <v>1.5707963267948966</v>
      </c>
      <c r="AW439" t="str">
        <f t="shared" si="371"/>
        <v>1+8,04629493113192i</v>
      </c>
      <c r="AX439">
        <f t="shared" si="395"/>
        <v>8.108197217554542</v>
      </c>
      <c r="AY439">
        <f t="shared" si="396"/>
        <v>1.4471495266619723</v>
      </c>
      <c r="AZ439" t="str">
        <f t="shared" si="372"/>
        <v>1+1188,16955149714i</v>
      </c>
      <c r="BA439">
        <f t="shared" si="397"/>
        <v>1188.1699723124275</v>
      </c>
      <c r="BB439">
        <f t="shared" si="398"/>
        <v>1.5699546962695006</v>
      </c>
      <c r="BC439" s="41" t="str">
        <f t="shared" si="399"/>
        <v>-0,00132548223851472+0,0107390616058038i</v>
      </c>
      <c r="BD439">
        <f t="shared" si="400"/>
        <v>-39.315011605994073</v>
      </c>
      <c r="BE439" s="43">
        <f t="shared" si="401"/>
        <v>97.036217920899603</v>
      </c>
      <c r="BF439" s="41" t="str">
        <f t="shared" si="402"/>
        <v>-0,000566667503212917-0,00132620423418387i</v>
      </c>
      <c r="BG439" s="20">
        <f t="shared" si="403"/>
        <v>-56.81951337346878</v>
      </c>
      <c r="BH439" s="43">
        <f t="shared" si="404"/>
        <v>-113.13630382171462</v>
      </c>
      <c r="BI439" s="41" t="str">
        <f t="shared" si="409"/>
        <v>0,00620698635973781-0,00251178705295185i</v>
      </c>
      <c r="BJ439" s="20">
        <f t="shared" si="405"/>
        <v>-43.48375523606714</v>
      </c>
      <c r="BK439" s="43">
        <f t="shared" si="410"/>
        <v>-22.031748960447789</v>
      </c>
      <c r="BL439">
        <f t="shared" si="406"/>
        <v>-56.81951337346878</v>
      </c>
      <c r="BM439" s="43">
        <f t="shared" si="407"/>
        <v>-113.13630382171462</v>
      </c>
    </row>
    <row r="440" spans="14:65" x14ac:dyDescent="0.35">
      <c r="N440" s="9">
        <v>22</v>
      </c>
      <c r="O440" s="34">
        <f t="shared" si="408"/>
        <v>165958.69074375604</v>
      </c>
      <c r="P440" s="33" t="str">
        <f t="shared" si="360"/>
        <v>59,1053597814893</v>
      </c>
      <c r="Q440" s="4" t="str">
        <f t="shared" si="361"/>
        <v>1+8012,16871755857i</v>
      </c>
      <c r="R440" s="4">
        <f t="shared" si="373"/>
        <v>8012.1687799636456</v>
      </c>
      <c r="S440" s="4">
        <f t="shared" si="374"/>
        <v>1.5706715166429817</v>
      </c>
      <c r="T440" s="4" t="str">
        <f t="shared" si="362"/>
        <v>1+1,35557396946391i</v>
      </c>
      <c r="U440" s="4">
        <f t="shared" si="375"/>
        <v>1.6845120322182745</v>
      </c>
      <c r="V440" s="4">
        <f t="shared" si="376"/>
        <v>0.93521710932579383</v>
      </c>
      <c r="W440" t="str">
        <f t="shared" si="363"/>
        <v>1-50,0519619494367i</v>
      </c>
      <c r="X440" s="4">
        <f t="shared" si="377"/>
        <v>50.061950571145942</v>
      </c>
      <c r="Y440" s="4">
        <f t="shared" si="378"/>
        <v>-1.5508197477302443</v>
      </c>
      <c r="Z440" t="str">
        <f t="shared" si="364"/>
        <v>0,430944482781371+4,68289189451168i</v>
      </c>
      <c r="AA440" s="4">
        <f t="shared" si="379"/>
        <v>4.7026789857402456</v>
      </c>
      <c r="AB440" s="4">
        <f t="shared" si="380"/>
        <v>1.4790295019232014</v>
      </c>
      <c r="AC440" s="47" t="str">
        <f t="shared" si="381"/>
        <v>-0,114555465534957+0,0661557717157554i</v>
      </c>
      <c r="AD440" s="20">
        <f t="shared" si="382"/>
        <v>-17.569733469722621</v>
      </c>
      <c r="AE440" s="43">
        <f t="shared" si="383"/>
        <v>149.99356982171633</v>
      </c>
      <c r="AF440" t="str">
        <f t="shared" si="365"/>
        <v>405,634542683733</v>
      </c>
      <c r="AG440" t="str">
        <f t="shared" si="366"/>
        <v>1+8026,42481919419i</v>
      </c>
      <c r="AH440">
        <f t="shared" si="384"/>
        <v>8026.4248814884249</v>
      </c>
      <c r="AI440">
        <f t="shared" si="385"/>
        <v>1.5706717383240205</v>
      </c>
      <c r="AJ440" t="str">
        <f t="shared" si="367"/>
        <v>1+1,35557396946391i</v>
      </c>
      <c r="AK440">
        <f t="shared" si="386"/>
        <v>1.6845120322182745</v>
      </c>
      <c r="AL440">
        <f t="shared" si="387"/>
        <v>0.93521710932579383</v>
      </c>
      <c r="AM440" t="str">
        <f t="shared" si="368"/>
        <v>1-7,30601241203419i</v>
      </c>
      <c r="AN440">
        <f t="shared" si="388"/>
        <v>7.3741316346263881</v>
      </c>
      <c r="AO440">
        <f t="shared" si="389"/>
        <v>-1.4347680226965434</v>
      </c>
      <c r="AP440" s="41" t="str">
        <f t="shared" si="390"/>
        <v>-0,300650955029155-0,551089059252808i</v>
      </c>
      <c r="AQ440">
        <f t="shared" si="391"/>
        <v>-4.0440442209428191</v>
      </c>
      <c r="AR440" s="43">
        <f t="shared" si="392"/>
        <v>-118.61502059449214</v>
      </c>
      <c r="AS440" t="str">
        <f t="shared" si="369"/>
        <v>-0,0000166666666666667</v>
      </c>
      <c r="AT440" t="str">
        <f t="shared" si="370"/>
        <v>0,230968949412504i</v>
      </c>
      <c r="AU440">
        <f t="shared" si="393"/>
        <v>0.23096894941250401</v>
      </c>
      <c r="AV440">
        <f t="shared" si="394"/>
        <v>1.5707963267948966</v>
      </c>
      <c r="AW440" t="str">
        <f t="shared" si="371"/>
        <v>1+8,23371721685147i</v>
      </c>
      <c r="AX440">
        <f t="shared" si="395"/>
        <v>8.2942208318247914</v>
      </c>
      <c r="AY440">
        <f t="shared" si="396"/>
        <v>1.4499364299275042</v>
      </c>
      <c r="AZ440" t="str">
        <f t="shared" si="372"/>
        <v>1+1215,8455756884i</v>
      </c>
      <c r="BA440">
        <f t="shared" si="397"/>
        <v>1215.8459869247654</v>
      </c>
      <c r="BB440">
        <f t="shared" si="398"/>
        <v>1.5699738541104469</v>
      </c>
      <c r="BC440" s="41" t="str">
        <f t="shared" si="399"/>
        <v>-0,00126669288575517+0,0105017507936371i</v>
      </c>
      <c r="BD440">
        <f t="shared" si="400"/>
        <v>-39.512037556120347</v>
      </c>
      <c r="BE440" s="43">
        <f t="shared" si="401"/>
        <v>96.877637789304202</v>
      </c>
      <c r="BF440" s="41" t="str">
        <f t="shared" si="402"/>
        <v>-0,000549644834902107-0,00128683199648119i</v>
      </c>
      <c r="BG440" s="20">
        <f t="shared" si="403"/>
        <v>-57.081771025842983</v>
      </c>
      <c r="BH440" s="43">
        <f t="shared" si="404"/>
        <v>-113.12879238897946</v>
      </c>
      <c r="BI440" s="41" t="str">
        <f t="shared" si="409"/>
        <v>0,00616823239120383-0,00245930081481214i</v>
      </c>
      <c r="BJ440" s="20">
        <f t="shared" si="405"/>
        <v>-43.556081777063163</v>
      </c>
      <c r="BK440" s="43">
        <f t="shared" si="410"/>
        <v>-21.737382805187934</v>
      </c>
      <c r="BL440">
        <f t="shared" si="406"/>
        <v>-57.081771025842983</v>
      </c>
      <c r="BM440" s="43">
        <f t="shared" si="407"/>
        <v>-113.12879238897946</v>
      </c>
    </row>
    <row r="441" spans="14:65" x14ac:dyDescent="0.35">
      <c r="N441" s="9">
        <v>23</v>
      </c>
      <c r="O441" s="34">
        <f t="shared" si="408"/>
        <v>169824.36524617471</v>
      </c>
      <c r="P441" s="33" t="str">
        <f t="shared" si="360"/>
        <v>59,1053597814893</v>
      </c>
      <c r="Q441" s="4" t="str">
        <f t="shared" si="361"/>
        <v>1+8198,79610164873i</v>
      </c>
      <c r="R441" s="4">
        <f t="shared" si="373"/>
        <v>8198.7961626332926</v>
      </c>
      <c r="S441" s="4">
        <f t="shared" si="374"/>
        <v>1.5706743576688635</v>
      </c>
      <c r="T441" s="4" t="str">
        <f t="shared" si="362"/>
        <v>1+1,38714934347062i</v>
      </c>
      <c r="U441" s="4">
        <f t="shared" si="375"/>
        <v>1.7100243568706766</v>
      </c>
      <c r="V441" s="4">
        <f t="shared" si="376"/>
        <v>0.94617888189355481</v>
      </c>
      <c r="W441" t="str">
        <f t="shared" si="363"/>
        <v>1-51,2178219127614i</v>
      </c>
      <c r="X441" s="4">
        <f t="shared" si="377"/>
        <v>51.227583209510698</v>
      </c>
      <c r="Y441" s="4">
        <f t="shared" si="378"/>
        <v>-1.5512743533173992</v>
      </c>
      <c r="Z441" t="str">
        <f t="shared" si="364"/>
        <v>0,404125722494507+4,79197045926213i</v>
      </c>
      <c r="AA441" s="4">
        <f t="shared" si="379"/>
        <v>4.8089810232545744</v>
      </c>
      <c r="AB441" s="4">
        <f t="shared" si="380"/>
        <v>1.4866614771154263</v>
      </c>
      <c r="AC441" s="47" t="str">
        <f t="shared" si="381"/>
        <v>-0,11390699064717+0,0653457011991531i</v>
      </c>
      <c r="AD441" s="20">
        <f t="shared" si="382"/>
        <v>-17.633402468683609</v>
      </c>
      <c r="AE441" s="43">
        <f t="shared" si="383"/>
        <v>150.15814339768875</v>
      </c>
      <c r="AF441" t="str">
        <f t="shared" si="365"/>
        <v>405,634542683733</v>
      </c>
      <c r="AG441" t="str">
        <f t="shared" si="366"/>
        <v>1+8213,38427054971i</v>
      </c>
      <c r="AH441">
        <f t="shared" si="384"/>
        <v>8213.3843314259539</v>
      </c>
      <c r="AI441">
        <f t="shared" si="385"/>
        <v>1.5706745743038262</v>
      </c>
      <c r="AJ441" t="str">
        <f t="shared" si="367"/>
        <v>1+1,38714934347062i</v>
      </c>
      <c r="AK441">
        <f t="shared" si="386"/>
        <v>1.7100243568706766</v>
      </c>
      <c r="AL441">
        <f t="shared" si="387"/>
        <v>0.94617888189355481</v>
      </c>
      <c r="AM441" t="str">
        <f t="shared" si="368"/>
        <v>1-7,47619130275077i</v>
      </c>
      <c r="AN441">
        <f t="shared" si="388"/>
        <v>7.5427737865672642</v>
      </c>
      <c r="AO441">
        <f t="shared" si="389"/>
        <v>-1.4378276208987899</v>
      </c>
      <c r="AP441" s="41" t="str">
        <f t="shared" si="390"/>
        <v>-0,300651238622787-0,561596308980036i</v>
      </c>
      <c r="AQ441">
        <f t="shared" si="391"/>
        <v>-3.917076695124476</v>
      </c>
      <c r="AR441" s="43">
        <f t="shared" si="392"/>
        <v>-118.16242184404538</v>
      </c>
      <c r="AS441" t="str">
        <f t="shared" si="369"/>
        <v>-0,0000166666666666667</v>
      </c>
      <c r="AT441" t="str">
        <f t="shared" si="370"/>
        <v>0,236348907368264i</v>
      </c>
      <c r="AU441">
        <f t="shared" si="393"/>
        <v>0.236348907368264</v>
      </c>
      <c r="AV441">
        <f t="shared" si="394"/>
        <v>1.5707963267948966</v>
      </c>
      <c r="AW441" t="str">
        <f t="shared" si="371"/>
        <v>1+8,42550512842547i</v>
      </c>
      <c r="AX441">
        <f t="shared" si="395"/>
        <v>8.4846412221804588</v>
      </c>
      <c r="AY441">
        <f t="shared" si="396"/>
        <v>1.4526617197276743</v>
      </c>
      <c r="AZ441" t="str">
        <f t="shared" si="372"/>
        <v>1+1244,16625729749i</v>
      </c>
      <c r="BA441">
        <f t="shared" si="397"/>
        <v>1244.1666591729759</v>
      </c>
      <c r="BB441">
        <f t="shared" si="398"/>
        <v>1.5699925758662758</v>
      </c>
      <c r="BC441" s="41" t="str">
        <f t="shared" si="399"/>
        <v>-0,00121047424763621+0,0102693741960775i</v>
      </c>
      <c r="BD441">
        <f t="shared" si="400"/>
        <v>-39.709195457901885</v>
      </c>
      <c r="BE441" s="43">
        <f t="shared" si="401"/>
        <v>96.722562863398522</v>
      </c>
      <c r="BF441" s="41" t="str">
        <f t="shared" si="402"/>
        <v>-0,000533177978915035-0,00124885279900019i</v>
      </c>
      <c r="BG441" s="20">
        <f t="shared" si="403"/>
        <v>-57.342597926585519</v>
      </c>
      <c r="BH441" s="43">
        <f t="shared" si="404"/>
        <v>-113.11929373891279</v>
      </c>
      <c r="BI441" s="41" t="str">
        <f t="shared" si="409"/>
        <v>0,00613117322592476-0,00240770220234371i</v>
      </c>
      <c r="BJ441" s="20">
        <f t="shared" si="405"/>
        <v>-43.626272153026363</v>
      </c>
      <c r="BK441" s="43">
        <f t="shared" si="410"/>
        <v>-21.439858980646907</v>
      </c>
      <c r="BL441">
        <f t="shared" si="406"/>
        <v>-57.342597926585519</v>
      </c>
      <c r="BM441" s="43">
        <f t="shared" si="407"/>
        <v>-113.11929373891279</v>
      </c>
    </row>
    <row r="442" spans="14:65" x14ac:dyDescent="0.35">
      <c r="N442" s="9">
        <v>24</v>
      </c>
      <c r="O442" s="34">
        <f t="shared" si="408"/>
        <v>173780.0828749378</v>
      </c>
      <c r="P442" s="33" t="str">
        <f t="shared" si="360"/>
        <v>59,1053597814893</v>
      </c>
      <c r="Q442" s="4" t="str">
        <f t="shared" si="361"/>
        <v>1+8389,77059595594i</v>
      </c>
      <c r="R442" s="4">
        <f t="shared" si="373"/>
        <v>8389.7706555523255</v>
      </c>
      <c r="S442" s="4">
        <f t="shared" si="374"/>
        <v>1.5706771340251031</v>
      </c>
      <c r="T442" s="4" t="str">
        <f t="shared" si="362"/>
        <v>1+1,41946020242034i</v>
      </c>
      <c r="U442" s="4">
        <f t="shared" si="375"/>
        <v>1.7363373135008047</v>
      </c>
      <c r="V442" s="4">
        <f t="shared" si="376"/>
        <v>0.95706118155501452</v>
      </c>
      <c r="W442" t="str">
        <f t="shared" si="363"/>
        <v>1-52,4108382432126i</v>
      </c>
      <c r="X442" s="4">
        <f t="shared" si="377"/>
        <v>52.420377386625113</v>
      </c>
      <c r="Y442" s="4">
        <f t="shared" si="378"/>
        <v>-1.5517186186161707</v>
      </c>
      <c r="Z442" t="str">
        <f t="shared" si="364"/>
        <v>0,376043032974787+4,90358979017935i</v>
      </c>
      <c r="AA442" s="4">
        <f t="shared" si="379"/>
        <v>4.9179875145225855</v>
      </c>
      <c r="AB442" s="4">
        <f t="shared" si="380"/>
        <v>1.4942588354929347</v>
      </c>
      <c r="AC442" s="47" t="str">
        <f t="shared" si="381"/>
        <v>-0,113278847579302+0,0645587715578346i</v>
      </c>
      <c r="AD442" s="20">
        <f t="shared" si="382"/>
        <v>-17.695528082935994</v>
      </c>
      <c r="AE442" s="43">
        <f t="shared" si="383"/>
        <v>150.32074306910866</v>
      </c>
      <c r="AF442" t="str">
        <f t="shared" si="365"/>
        <v>405,634542683733</v>
      </c>
      <c r="AG442" t="str">
        <f t="shared" si="366"/>
        <v>1+8404,69856696252i</v>
      </c>
      <c r="AH442">
        <f t="shared" si="384"/>
        <v>8404.6986264530533</v>
      </c>
      <c r="AI442">
        <f t="shared" si="385"/>
        <v>1.5706773457288519</v>
      </c>
      <c r="AJ442" t="str">
        <f t="shared" si="367"/>
        <v>1+1,41946020242034i</v>
      </c>
      <c r="AK442">
        <f t="shared" si="386"/>
        <v>1.7363373135008047</v>
      </c>
      <c r="AL442">
        <f t="shared" si="387"/>
        <v>0.95706118155501452</v>
      </c>
      <c r="AM442" t="str">
        <f t="shared" si="368"/>
        <v>1-7,65033416905522i</v>
      </c>
      <c r="AN442">
        <f t="shared" si="388"/>
        <v>7.7154139810002293</v>
      </c>
      <c r="AO442">
        <f t="shared" si="389"/>
        <v>-1.4408199959130163</v>
      </c>
      <c r="AP442" s="41" t="str">
        <f t="shared" si="390"/>
        <v>-0,300651509452604-0,572401324500788i</v>
      </c>
      <c r="AQ442">
        <f t="shared" si="391"/>
        <v>-3.7878776425867984</v>
      </c>
      <c r="AR442" s="43">
        <f t="shared" si="392"/>
        <v>-117.71052125203988</v>
      </c>
      <c r="AS442" t="str">
        <f t="shared" si="369"/>
        <v>-0,0000166666666666667</v>
      </c>
      <c r="AT442" t="str">
        <f t="shared" si="370"/>
        <v>0,241854180643158i</v>
      </c>
      <c r="AU442">
        <f t="shared" si="393"/>
        <v>0.241854180643158</v>
      </c>
      <c r="AV442">
        <f t="shared" si="394"/>
        <v>1.5707963267948966</v>
      </c>
      <c r="AW442" t="str">
        <f t="shared" si="371"/>
        <v>1+8,62176035434338i</v>
      </c>
      <c r="AX442">
        <f t="shared" si="395"/>
        <v>8.6795594132264142</v>
      </c>
      <c r="AY442">
        <f t="shared" si="396"/>
        <v>1.4553266790299222</v>
      </c>
      <c r="AZ442" t="str">
        <f t="shared" si="372"/>
        <v>1+1273,1466123247i</v>
      </c>
      <c r="BA442">
        <f t="shared" si="397"/>
        <v>1273.147005052386</v>
      </c>
      <c r="BB442">
        <f t="shared" si="398"/>
        <v>1.5700108714634582</v>
      </c>
      <c r="BC442" s="41" t="str">
        <f t="shared" si="399"/>
        <v>-0,0011567171084772+0,010041849754072i</v>
      </c>
      <c r="BD442">
        <f t="shared" si="400"/>
        <v>-39.906479537672951</v>
      </c>
      <c r="BE442" s="43">
        <f t="shared" si="401"/>
        <v>96.570920203307764</v>
      </c>
      <c r="BF442" s="41" t="str">
        <f t="shared" si="402"/>
        <v>-0,000517257903267672-0,00121220540326899i</v>
      </c>
      <c r="BG442" s="20">
        <f t="shared" si="403"/>
        <v>-57.602007620608966</v>
      </c>
      <c r="BH442" s="43">
        <f t="shared" si="404"/>
        <v>-113.10833672758359</v>
      </c>
      <c r="BI442" s="41" t="str">
        <f t="shared" si="409"/>
        <v>0,00609573684434205-0,00235699088129294i</v>
      </c>
      <c r="BJ442" s="20">
        <f t="shared" si="405"/>
        <v>-43.69435718025975</v>
      </c>
      <c r="BK442" s="43">
        <f t="shared" si="410"/>
        <v>-21.139601048732128</v>
      </c>
      <c r="BL442">
        <f t="shared" si="406"/>
        <v>-57.602007620608966</v>
      </c>
      <c r="BM442" s="43">
        <f t="shared" si="407"/>
        <v>-113.10833672758359</v>
      </c>
    </row>
    <row r="443" spans="14:65" x14ac:dyDescent="0.35">
      <c r="N443" s="9">
        <v>25</v>
      </c>
      <c r="O443" s="34">
        <f t="shared" si="408"/>
        <v>177827.94100389251</v>
      </c>
      <c r="P443" s="33" t="str">
        <f t="shared" si="360"/>
        <v>59,1053597814893</v>
      </c>
      <c r="Q443" s="4" t="str">
        <f t="shared" si="361"/>
        <v>1+8585,19345768487i</v>
      </c>
      <c r="R443" s="4">
        <f t="shared" si="373"/>
        <v>8585.1935159246768</v>
      </c>
      <c r="S443" s="4">
        <f t="shared" si="374"/>
        <v>1.5706798471837606</v>
      </c>
      <c r="T443" s="4" t="str">
        <f t="shared" si="362"/>
        <v>1+1,45252367795816i</v>
      </c>
      <c r="U443" s="4">
        <f t="shared" si="375"/>
        <v>1.7634696013907076</v>
      </c>
      <c r="V443" s="4">
        <f t="shared" si="376"/>
        <v>0.96785946859021987</v>
      </c>
      <c r="W443" t="str">
        <f t="shared" si="363"/>
        <v>1-53,6316434938398i</v>
      </c>
      <c r="X443" s="4">
        <f t="shared" si="377"/>
        <v>53.64096553801329</v>
      </c>
      <c r="Y443" s="4">
        <f t="shared" si="378"/>
        <v>-1.5521527784800149</v>
      </c>
      <c r="Z443" t="str">
        <f t="shared" si="364"/>
        <v>0,346636847072641+5,01780906931i</v>
      </c>
      <c r="AA443" s="4">
        <f t="shared" si="379"/>
        <v>5.0297678832922452</v>
      </c>
      <c r="AB443" s="4">
        <f t="shared" si="380"/>
        <v>1.5018245891746098</v>
      </c>
      <c r="AC443" s="47" t="str">
        <f t="shared" si="381"/>
        <v>-0,112670008793404+0,0637951567080964i</v>
      </c>
      <c r="AD443" s="20">
        <f t="shared" si="382"/>
        <v>-17.756132055507049</v>
      </c>
      <c r="AE443" s="43">
        <f t="shared" si="383"/>
        <v>150.48092260702876</v>
      </c>
      <c r="AF443" t="str">
        <f t="shared" si="365"/>
        <v>405,634542683733</v>
      </c>
      <c r="AG443" t="str">
        <f t="shared" si="366"/>
        <v>1+8600,46914580488i</v>
      </c>
      <c r="AH443">
        <f t="shared" si="384"/>
        <v>8600.4692039412439</v>
      </c>
      <c r="AI443">
        <f t="shared" si="385"/>
        <v>1.5706800540685442</v>
      </c>
      <c r="AJ443" t="str">
        <f t="shared" si="367"/>
        <v>1+1,45252367795816i</v>
      </c>
      <c r="AK443">
        <f t="shared" si="386"/>
        <v>1.7634696013907076</v>
      </c>
      <c r="AL443">
        <f t="shared" si="387"/>
        <v>0.96785946859021987</v>
      </c>
      <c r="AM443" t="str">
        <f t="shared" si="368"/>
        <v>1-7,82853334380024i</v>
      </c>
      <c r="AN443">
        <f t="shared" si="388"/>
        <v>7.8921438351687536</v>
      </c>
      <c r="AO443">
        <f t="shared" si="389"/>
        <v>-1.4437465198653341</v>
      </c>
      <c r="AP443" s="41" t="str">
        <f t="shared" si="390"/>
        <v>-0,30065176809307-0,583509834777514i</v>
      </c>
      <c r="AQ443">
        <f t="shared" si="391"/>
        <v>-3.6564848895456121</v>
      </c>
      <c r="AR443" s="43">
        <f t="shared" si="392"/>
        <v>-117.25965762649734</v>
      </c>
      <c r="AS443" t="str">
        <f t="shared" si="369"/>
        <v>-0,0000166666666666667</v>
      </c>
      <c r="AT443" t="str">
        <f t="shared" si="370"/>
        <v>0,247487688205947i</v>
      </c>
      <c r="AU443">
        <f t="shared" si="393"/>
        <v>0.24748768820594699</v>
      </c>
      <c r="AV443">
        <f t="shared" si="394"/>
        <v>1.5707963267948966</v>
      </c>
      <c r="AW443" t="str">
        <f t="shared" si="371"/>
        <v>1+8,82258695172364i</v>
      </c>
      <c r="AX443">
        <f t="shared" si="395"/>
        <v>8.8790788103679006</v>
      </c>
      <c r="AY443">
        <f t="shared" si="396"/>
        <v>1.4579325693368383</v>
      </c>
      <c r="AZ443" t="str">
        <f t="shared" si="372"/>
        <v>1+1302,80200653786i</v>
      </c>
      <c r="BA443">
        <f t="shared" si="397"/>
        <v>1302.8023903259752</v>
      </c>
      <c r="BB443">
        <f t="shared" si="398"/>
        <v>1.5700287506025123</v>
      </c>
      <c r="BC443" s="41" t="str">
        <f t="shared" si="399"/>
        <v>-0,00110531661456796+0,0098190953585236i</v>
      </c>
      <c r="BD443">
        <f t="shared" si="400"/>
        <v>-40.103884267385325</v>
      </c>
      <c r="BE443" s="43">
        <f t="shared" si="401"/>
        <v>96.422638086056537</v>
      </c>
      <c r="BF443" s="41" t="str">
        <f t="shared" si="402"/>
        <v>-0,000501874694445888-0,00117683140702655i</v>
      </c>
      <c r="BG443" s="20">
        <f t="shared" si="403"/>
        <v>-57.860016322892385</v>
      </c>
      <c r="BH443" s="43">
        <f t="shared" si="404"/>
        <v>-113.09643930691475</v>
      </c>
      <c r="BI443" s="41" t="str">
        <f t="shared" si="409"/>
        <v>0,00606185410478926-0,00230716526547119i</v>
      </c>
      <c r="BJ443" s="20">
        <f t="shared" si="405"/>
        <v>-43.760369156930935</v>
      </c>
      <c r="BK443" s="43">
        <f t="shared" si="410"/>
        <v>-20.837019540440835</v>
      </c>
      <c r="BL443">
        <f t="shared" si="406"/>
        <v>-57.860016322892385</v>
      </c>
      <c r="BM443" s="43">
        <f t="shared" si="407"/>
        <v>-113.09643930691475</v>
      </c>
    </row>
    <row r="444" spans="14:65" x14ac:dyDescent="0.35">
      <c r="N444" s="9">
        <v>26</v>
      </c>
      <c r="O444" s="34">
        <f t="shared" si="408"/>
        <v>181970.08586099857</v>
      </c>
      <c r="P444" s="33" t="str">
        <f t="shared" si="360"/>
        <v>59,1053597814893</v>
      </c>
      <c r="Q444" s="4" t="str">
        <f t="shared" si="361"/>
        <v>1+8785,16830262344i</v>
      </c>
      <c r="R444" s="4">
        <f t="shared" si="373"/>
        <v>8785.1683595375471</v>
      </c>
      <c r="S444" s="4">
        <f t="shared" si="374"/>
        <v>1.5706824985833889</v>
      </c>
      <c r="T444" s="4" t="str">
        <f t="shared" si="362"/>
        <v>1+1,48635730077644i</v>
      </c>
      <c r="U444" s="4">
        <f t="shared" si="375"/>
        <v>1.7914402098790303</v>
      </c>
      <c r="V444" s="4">
        <f t="shared" si="376"/>
        <v>0.9785693955796112</v>
      </c>
      <c r="W444" t="str">
        <f t="shared" si="363"/>
        <v>1-54,8808849517455i</v>
      </c>
      <c r="X444" s="4">
        <f t="shared" si="377"/>
        <v>54.88999483591455</v>
      </c>
      <c r="Y444" s="4">
        <f t="shared" si="378"/>
        <v>-1.5525770624511679</v>
      </c>
      <c r="Z444" t="str">
        <f t="shared" si="364"/>
        <v>0,315844790325227+5,1346888572277i</v>
      </c>
      <c r="AA444" s="4">
        <f t="shared" si="379"/>
        <v>5.1443938022000122</v>
      </c>
      <c r="AB444" s="4">
        <f t="shared" si="380"/>
        <v>1.5093617696539305</v>
      </c>
      <c r="AC444" s="47" t="str">
        <f t="shared" si="381"/>
        <v>-0,112079465778699+0,063055001473489i</v>
      </c>
      <c r="AD444" s="20">
        <f t="shared" si="382"/>
        <v>-17.815238438387485</v>
      </c>
      <c r="AE444" s="43">
        <f t="shared" si="383"/>
        <v>150.63824599664986</v>
      </c>
      <c r="AF444" t="str">
        <f t="shared" si="365"/>
        <v>405,634542683733</v>
      </c>
      <c r="AG444" t="str">
        <f t="shared" si="366"/>
        <v>1+8800,79980722891i</v>
      </c>
      <c r="AH444">
        <f t="shared" si="384"/>
        <v>8800.7998640419264</v>
      </c>
      <c r="AI444">
        <f t="shared" si="385"/>
        <v>1.5706827007588999</v>
      </c>
      <c r="AJ444" t="str">
        <f t="shared" si="367"/>
        <v>1+1,48635730077644i</v>
      </c>
      <c r="AK444">
        <f t="shared" si="386"/>
        <v>1.7914402098790303</v>
      </c>
      <c r="AL444">
        <f t="shared" si="387"/>
        <v>0.9785693955796112</v>
      </c>
      <c r="AM444" t="str">
        <f t="shared" si="368"/>
        <v>1-8,01088331054694i</v>
      </c>
      <c r="AN444">
        <f t="shared" si="388"/>
        <v>8.0730571294398459</v>
      </c>
      <c r="AO444">
        <f t="shared" si="389"/>
        <v>-1.446608543816168</v>
      </c>
      <c r="AP444" s="41" t="str">
        <f t="shared" si="390"/>
        <v>-0,300652015092799-0,594927729689591i</v>
      </c>
      <c r="AQ444">
        <f t="shared" si="391"/>
        <v>-3.5229374001228519</v>
      </c>
      <c r="AR444" s="43">
        <f t="shared" si="392"/>
        <v>-116.81015754854721</v>
      </c>
      <c r="AS444" t="str">
        <f t="shared" si="369"/>
        <v>-0,0000166666666666667</v>
      </c>
      <c r="AT444" t="str">
        <f t="shared" si="370"/>
        <v>0,25325241701691i</v>
      </c>
      <c r="AU444">
        <f t="shared" si="393"/>
        <v>0.25325241701690998</v>
      </c>
      <c r="AV444">
        <f t="shared" si="394"/>
        <v>1.5707963267948966</v>
      </c>
      <c r="AW444" t="str">
        <f t="shared" si="371"/>
        <v>1+9,02809140148636i</v>
      </c>
      <c r="AX444">
        <f t="shared" si="395"/>
        <v>9.0833052548943858</v>
      </c>
      <c r="AY444">
        <f t="shared" si="396"/>
        <v>1.4604806306836267</v>
      </c>
      <c r="AZ444" t="str">
        <f t="shared" si="372"/>
        <v>1+1333,14816361948i</v>
      </c>
      <c r="BA444">
        <f t="shared" si="397"/>
        <v>1333.1485386715137</v>
      </c>
      <c r="BB444">
        <f t="shared" si="398"/>
        <v>1.5700462227631489</v>
      </c>
      <c r="BC444" s="41" t="str">
        <f t="shared" si="399"/>
        <v>-0,00105617212439558+0,0096010289687299i</v>
      </c>
      <c r="BD444">
        <f t="shared" si="400"/>
        <v>-40.301404354769517</v>
      </c>
      <c r="BE444" s="43">
        <f t="shared" si="401"/>
        <v>96.277646006008609</v>
      </c>
      <c r="BF444" s="41" t="str">
        <f t="shared" si="402"/>
        <v>-0,000487017688297664-0,00114267513260108i</v>
      </c>
      <c r="BG444" s="20">
        <f t="shared" si="403"/>
        <v>-58.116642793157006</v>
      </c>
      <c r="BH444" s="43">
        <f t="shared" si="404"/>
        <v>-113.08410799734155</v>
      </c>
      <c r="BI444" s="41" t="str">
        <f t="shared" si="409"/>
        <v>0,00602945864453485-0,00225822262228489i</v>
      </c>
      <c r="BJ444" s="20">
        <f t="shared" si="405"/>
        <v>-43.824341754892366</v>
      </c>
      <c r="BK444" s="43">
        <f t="shared" si="410"/>
        <v>-20.532511542538611</v>
      </c>
      <c r="BL444">
        <f t="shared" si="406"/>
        <v>-58.116642793157006</v>
      </c>
      <c r="BM444" s="43">
        <f t="shared" si="407"/>
        <v>-113.08410799734155</v>
      </c>
    </row>
    <row r="445" spans="14:65" x14ac:dyDescent="0.35">
      <c r="N445" s="9">
        <v>27</v>
      </c>
      <c r="O445" s="34">
        <f t="shared" si="408"/>
        <v>186208.71366628664</v>
      </c>
      <c r="P445" s="33" t="str">
        <f t="shared" si="360"/>
        <v>59,1053597814893</v>
      </c>
      <c r="Q445" s="4" t="str">
        <f t="shared" si="361"/>
        <v>1+8989,80116008157i</v>
      </c>
      <c r="R445" s="4">
        <f t="shared" si="373"/>
        <v>8989.8012157001522</v>
      </c>
      <c r="S445" s="4">
        <f t="shared" si="374"/>
        <v>1.570685089629795</v>
      </c>
      <c r="T445" s="4" t="str">
        <f t="shared" si="362"/>
        <v>1+1,52097900990987i</v>
      </c>
      <c r="U445" s="4">
        <f t="shared" si="375"/>
        <v>1.820268427618962</v>
      </c>
      <c r="V445" s="4">
        <f t="shared" si="376"/>
        <v>0.9891868134137628</v>
      </c>
      <c r="W445" t="str">
        <f t="shared" si="363"/>
        <v>1-56,1592249812875i</v>
      </c>
      <c r="X445" s="4">
        <f t="shared" si="377"/>
        <v>56.168127532425949</v>
      </c>
      <c r="Y445" s="4">
        <f t="shared" si="378"/>
        <v>-1.5529916948792308</v>
      </c>
      <c r="Z445" t="str">
        <f t="shared" si="364"/>
        <v>0,283601548651798+5,25429112514317i</v>
      </c>
      <c r="AA445" s="4">
        <f t="shared" si="379"/>
        <v>5.2619392875779152</v>
      </c>
      <c r="AB445" s="4">
        <f t="shared" si="380"/>
        <v>1.5168734255907477</v>
      </c>
      <c r="AC445" s="47" t="str">
        <f t="shared" si="381"/>
        <v>-0,111506228855829+0,0623384233029728i</v>
      </c>
      <c r="AD445" s="20">
        <f t="shared" si="382"/>
        <v>-17.872873475106775</v>
      </c>
      <c r="AE445" s="43">
        <f t="shared" si="383"/>
        <v>150.79228790133905</v>
      </c>
      <c r="AF445" t="str">
        <f t="shared" si="365"/>
        <v>405,634542683733</v>
      </c>
      <c r="AG445" t="str">
        <f t="shared" si="366"/>
        <v>1+9005,79676920315i</v>
      </c>
      <c r="AH445">
        <f t="shared" si="384"/>
        <v>9005.7968247229473</v>
      </c>
      <c r="AI445">
        <f t="shared" si="385"/>
        <v>1.5706852872032295</v>
      </c>
      <c r="AJ445" t="str">
        <f t="shared" si="367"/>
        <v>1+1,52097900990987i</v>
      </c>
      <c r="AK445">
        <f t="shared" si="386"/>
        <v>1.820268427618962</v>
      </c>
      <c r="AL445">
        <f t="shared" si="387"/>
        <v>0.9891868134137628</v>
      </c>
      <c r="AM445" t="str">
        <f t="shared" si="368"/>
        <v>1-8,19748075366153i</v>
      </c>
      <c r="AN445">
        <f t="shared" si="388"/>
        <v>8.2582498573639196</v>
      </c>
      <c r="AO445">
        <f t="shared" si="389"/>
        <v>-1.4494073976015924</v>
      </c>
      <c r="AP445" s="41" t="str">
        <f t="shared" si="390"/>
        <v>-0,300652250975709-0,606661063156228i</v>
      </c>
      <c r="AQ445">
        <f t="shared" si="391"/>
        <v>-3.3872751753719976</v>
      </c>
      <c r="AR445" s="43">
        <f t="shared" si="392"/>
        <v>-116.36233501904641</v>
      </c>
      <c r="AS445" t="str">
        <f t="shared" si="369"/>
        <v>-0,0000166666666666667</v>
      </c>
      <c r="AT445" t="str">
        <f t="shared" si="370"/>
        <v>0,259151423611566i</v>
      </c>
      <c r="AU445">
        <f t="shared" si="393"/>
        <v>0.25915142361156601</v>
      </c>
      <c r="AV445">
        <f t="shared" si="394"/>
        <v>1.5707963267948966</v>
      </c>
      <c r="AW445" t="str">
        <f t="shared" si="371"/>
        <v>1+9,23838266481111i</v>
      </c>
      <c r="AX445">
        <f t="shared" si="395"/>
        <v>9.2923470803388764</v>
      </c>
      <c r="AY445">
        <f t="shared" si="396"/>
        <v>1.4629720816657241</v>
      </c>
      <c r="AZ445" t="str">
        <f t="shared" si="372"/>
        <v>1+1364,20117350377i</v>
      </c>
      <c r="BA445">
        <f t="shared" si="397"/>
        <v>1364.2015400185792</v>
      </c>
      <c r="BB445">
        <f t="shared" si="398"/>
        <v>1.570063297209296</v>
      </c>
      <c r="BC445" s="41" t="str">
        <f t="shared" si="399"/>
        <v>-0,00100918706178665+0,0093875687214126i</v>
      </c>
      <c r="BD445">
        <f t="shared" si="400"/>
        <v>-40.49903473383673</v>
      </c>
      <c r="BE445" s="43">
        <f t="shared" si="401"/>
        <v>96.135874673572502</v>
      </c>
      <c r="BF445" s="41" t="str">
        <f t="shared" si="402"/>
        <v>-0,000472675589271242-0,0011096835164992i</v>
      </c>
      <c r="BG445" s="20">
        <f t="shared" si="403"/>
        <v>-58.371908208943481</v>
      </c>
      <c r="BH445" s="43">
        <f t="shared" si="404"/>
        <v>-113.07183742508838</v>
      </c>
      <c r="BI445" s="41" t="str">
        <f t="shared" si="409"/>
        <v>0,00599848678276604-0,00221015917145486i</v>
      </c>
      <c r="BJ445" s="20">
        <f t="shared" si="405"/>
        <v>-43.886309909208734</v>
      </c>
      <c r="BK445" s="43">
        <f t="shared" si="410"/>
        <v>-20.226460345473942</v>
      </c>
      <c r="BL445">
        <f t="shared" si="406"/>
        <v>-58.371908208943481</v>
      </c>
      <c r="BM445" s="43">
        <f t="shared" si="407"/>
        <v>-113.07183742508838</v>
      </c>
    </row>
    <row r="446" spans="14:65" x14ac:dyDescent="0.35">
      <c r="N446" s="9">
        <v>28</v>
      </c>
      <c r="O446" s="34">
        <f t="shared" si="408"/>
        <v>190546.07179632492</v>
      </c>
      <c r="P446" s="33" t="str">
        <f t="shared" si="360"/>
        <v>59,1053597814893</v>
      </c>
      <c r="Q446" s="4" t="str">
        <f t="shared" si="361"/>
        <v>1+9199,20052910894i</v>
      </c>
      <c r="R446" s="4">
        <f t="shared" si="373"/>
        <v>9199.2005834614883</v>
      </c>
      <c r="S446" s="4">
        <f t="shared" si="374"/>
        <v>1.5706876216967856</v>
      </c>
      <c r="T446" s="4" t="str">
        <f t="shared" si="362"/>
        <v>1+1,5564071622469i</v>
      </c>
      <c r="U446" s="4">
        <f t="shared" si="375"/>
        <v>1.8499738524350684</v>
      </c>
      <c r="V446" s="4">
        <f t="shared" si="376"/>
        <v>0.99970777631089691</v>
      </c>
      <c r="W446" t="str">
        <f t="shared" si="363"/>
        <v>1-57,4673413752702i</v>
      </c>
      <c r="X446" s="4">
        <f t="shared" si="377"/>
        <v>57.476041310635189</v>
      </c>
      <c r="Y446" s="4">
        <f t="shared" si="378"/>
        <v>-1.5533968950372092</v>
      </c>
      <c r="Z446" t="str">
        <f t="shared" si="364"/>
        <v>0,249838729813831+5,37667928776201i</v>
      </c>
      <c r="AA446" s="4">
        <f t="shared" si="379"/>
        <v>5.3824807992564159</v>
      </c>
      <c r="AB446" s="4">
        <f t="shared" si="380"/>
        <v>1.5243626206999392</v>
      </c>
      <c r="AC446" s="47" t="str">
        <f t="shared" si="381"/>
        <v>-0,110949326902874+0,0616455138895246i</v>
      </c>
      <c r="AD446" s="20">
        <f t="shared" si="382"/>
        <v>-17.929065482186473</v>
      </c>
      <c r="AE446" s="43">
        <f t="shared" si="383"/>
        <v>150.94263406438975</v>
      </c>
      <c r="AF446" t="str">
        <f t="shared" si="365"/>
        <v>405,634542683733</v>
      </c>
      <c r="AG446" t="str">
        <f t="shared" si="366"/>
        <v>1+9215,56872383031i</v>
      </c>
      <c r="AH446">
        <f t="shared" si="384"/>
        <v>9215.5687780863209</v>
      </c>
      <c r="AI446">
        <f t="shared" si="385"/>
        <v>1.5706878147728995</v>
      </c>
      <c r="AJ446" t="str">
        <f t="shared" si="367"/>
        <v>1+1,5564071622469i</v>
      </c>
      <c r="AK446">
        <f t="shared" si="386"/>
        <v>1.8499738524350684</v>
      </c>
      <c r="AL446">
        <f t="shared" si="387"/>
        <v>0.99970777631089691</v>
      </c>
      <c r="AM446" t="str">
        <f t="shared" si="368"/>
        <v>1-8,38842460957827i</v>
      </c>
      <c r="AN446">
        <f t="shared" si="388"/>
        <v>8.4478202768867146</v>
      </c>
      <c r="AO446">
        <f t="shared" si="389"/>
        <v>-1.4521443897166235</v>
      </c>
      <c r="AP446" s="41" t="str">
        <f t="shared" si="390"/>
        <v>-0,300652476242139-0,618716056346303i</v>
      </c>
      <c r="AQ446">
        <f t="shared" si="391"/>
        <v>-3.2495391504305822</v>
      </c>
      <c r="AR446" s="43">
        <f t="shared" si="392"/>
        <v>-115.91649116445326</v>
      </c>
      <c r="AS446" t="str">
        <f t="shared" si="369"/>
        <v>-0,0000166666666666667</v>
      </c>
      <c r="AT446" t="str">
        <f t="shared" si="370"/>
        <v>0,265187835721297i</v>
      </c>
      <c r="AU446">
        <f t="shared" si="393"/>
        <v>0.265187835721297</v>
      </c>
      <c r="AV446">
        <f t="shared" si="394"/>
        <v>1.5707963267948966</v>
      </c>
      <c r="AW446" t="str">
        <f t="shared" si="371"/>
        <v>1+9,45357224090929i</v>
      </c>
      <c r="AX446">
        <f t="shared" si="395"/>
        <v>9.5063151701429867</v>
      </c>
      <c r="AY446">
        <f t="shared" si="396"/>
        <v>1.4654081194941577</v>
      </c>
      <c r="AZ446" t="str">
        <f t="shared" si="372"/>
        <v>1+1395,9775009076i</v>
      </c>
      <c r="BA446">
        <f t="shared" si="397"/>
        <v>1395.9778590795156</v>
      </c>
      <c r="BB446">
        <f t="shared" si="398"/>
        <v>1.5700799829940113</v>
      </c>
      <c r="BC446" s="41" t="str">
        <f t="shared" si="399"/>
        <v>-0,000964268772136757+0,00917863303088542i</v>
      </c>
      <c r="BD446">
        <f t="shared" si="400"/>
        <v>-40.696770555715048</v>
      </c>
      <c r="BE446" s="43">
        <f t="shared" si="401"/>
        <v>95.997256012311041</v>
      </c>
      <c r="BF446" s="41" t="str">
        <f t="shared" si="402"/>
        <v>-0,000458836578770262-0,00107780600065121i</v>
      </c>
      <c r="BG446" s="20">
        <f t="shared" si="403"/>
        <v>-58.625836037901557</v>
      </c>
      <c r="BH446" s="43">
        <f t="shared" si="404"/>
        <v>-113.06010992329929</v>
      </c>
      <c r="BI446" s="41" t="str">
        <f t="shared" si="409"/>
        <v>0,00596887742562522-0,00216297017729924i</v>
      </c>
      <c r="BJ446" s="20">
        <f t="shared" si="405"/>
        <v>-43.946309706145641</v>
      </c>
      <c r="BK446" s="43">
        <f t="shared" si="410"/>
        <v>-19.919235152142182</v>
      </c>
      <c r="BL446">
        <f t="shared" si="406"/>
        <v>-58.625836037901557</v>
      </c>
      <c r="BM446" s="43">
        <f t="shared" si="407"/>
        <v>-113.06010992329929</v>
      </c>
    </row>
    <row r="447" spans="14:65" x14ac:dyDescent="0.35">
      <c r="N447" s="9">
        <v>29</v>
      </c>
      <c r="O447" s="34">
        <f t="shared" si="408"/>
        <v>194984.45997580473</v>
      </c>
      <c r="P447" s="33" t="str">
        <f t="shared" si="360"/>
        <v>59,1053597814893</v>
      </c>
      <c r="Q447" s="4" t="str">
        <f t="shared" si="361"/>
        <v>1+9413,47743602253i</v>
      </c>
      <c r="R447" s="4">
        <f t="shared" si="373"/>
        <v>9413.477489137862</v>
      </c>
      <c r="S447" s="4">
        <f t="shared" si="374"/>
        <v>1.5706900961268959</v>
      </c>
      <c r="T447" s="4" t="str">
        <f t="shared" si="362"/>
        <v>1+1,59266054226282i</v>
      </c>
      <c r="U447" s="4">
        <f t="shared" si="375"/>
        <v>1.8805764017664637</v>
      </c>
      <c r="V447" s="4">
        <f t="shared" si="376"/>
        <v>1.0101285458515799</v>
      </c>
      <c r="W447" t="str">
        <f t="shared" si="363"/>
        <v>1-58,8059277143195i</v>
      </c>
      <c r="X447" s="4">
        <f t="shared" si="377"/>
        <v>58.814429643938318</v>
      </c>
      <c r="Y447" s="4">
        <f t="shared" si="378"/>
        <v>-1.5537928772350553</v>
      </c>
      <c r="Z447" t="str">
        <f t="shared" si="364"/>
        <v>0,214484718345952+5,50191823690791i</v>
      </c>
      <c r="AA447" s="4">
        <f t="shared" si="379"/>
        <v>5.5060973456726856</v>
      </c>
      <c r="AB447" s="4">
        <f t="shared" si="380"/>
        <v>1.5318324317268261</v>
      </c>
      <c r="AC447" s="47" t="str">
        <f t="shared" si="381"/>
        <v>-0,110407807011661+0,0609763406888876i</v>
      </c>
      <c r="AD447" s="20">
        <f t="shared" si="382"/>
        <v>-17.983844730258067</v>
      </c>
      <c r="AE447" s="43">
        <f t="shared" si="383"/>
        <v>151.08888164964742</v>
      </c>
      <c r="AF447" t="str">
        <f t="shared" si="365"/>
        <v>405,634542683733</v>
      </c>
      <c r="AG447" t="str">
        <f t="shared" si="366"/>
        <v>1+9430,2268949772i</v>
      </c>
      <c r="AH447">
        <f t="shared" si="384"/>
        <v>9430.2269479981933</v>
      </c>
      <c r="AI447">
        <f t="shared" si="385"/>
        <v>1.5706902848080613</v>
      </c>
      <c r="AJ447" t="str">
        <f t="shared" si="367"/>
        <v>1+1,59266054226282i</v>
      </c>
      <c r="AK447">
        <f t="shared" si="386"/>
        <v>1.8805764017664637</v>
      </c>
      <c r="AL447">
        <f t="shared" si="387"/>
        <v>1.0101285458515799</v>
      </c>
      <c r="AM447" t="str">
        <f t="shared" si="368"/>
        <v>1-8,58381611925681i</v>
      </c>
      <c r="AN447">
        <f t="shared" si="388"/>
        <v>8.6418689627425529</v>
      </c>
      <c r="AO447">
        <f t="shared" si="389"/>
        <v>-1.4548208072374036</v>
      </c>
      <c r="AP447" s="41" t="str">
        <f t="shared" si="390"/>
        <v>-0,300652691369911-0,63109910097692i</v>
      </c>
      <c r="AQ447">
        <f t="shared" si="391"/>
        <v>-3.1097710905387785</v>
      </c>
      <c r="AR447" s="43">
        <f t="shared" si="392"/>
        <v>-115.47291400123932</v>
      </c>
      <c r="AS447" t="str">
        <f t="shared" si="369"/>
        <v>-0,0000166666666666667</v>
      </c>
      <c r="AT447" t="str">
        <f t="shared" si="370"/>
        <v>0,271364853931703i</v>
      </c>
      <c r="AU447">
        <f t="shared" si="393"/>
        <v>0.27136485393170301</v>
      </c>
      <c r="AV447">
        <f t="shared" si="394"/>
        <v>1.5707963267948966</v>
      </c>
      <c r="AW447" t="str">
        <f t="shared" si="371"/>
        <v>1+9,67377422614228i</v>
      </c>
      <c r="AX447">
        <f t="shared" si="395"/>
        <v>9.7253230166598925</v>
      </c>
      <c r="AY447">
        <f t="shared" si="396"/>
        <v>1.4677899200763695</v>
      </c>
      <c r="AZ447" t="str">
        <f t="shared" si="372"/>
        <v>1+1428,49399406034i</v>
      </c>
      <c r="BA447">
        <f t="shared" si="397"/>
        <v>1428.4943440792695</v>
      </c>
      <c r="BB447">
        <f t="shared" si="398"/>
        <v>1.5700962889642813</v>
      </c>
      <c r="BC447" s="41" t="str">
        <f t="shared" si="399"/>
        <v>-0,000921328381869059+0,00897414068088693i</v>
      </c>
      <c r="BD447">
        <f t="shared" si="400"/>
        <v>-40.894607179810613</v>
      </c>
      <c r="BE447" s="43">
        <f t="shared" si="401"/>
        <v>95.86172315458586</v>
      </c>
      <c r="BF447" s="41" t="str">
        <f t="shared" si="402"/>
        <v>-0,000445488413368002-0,00104699442569005i</v>
      </c>
      <c r="BG447" s="20">
        <f t="shared" si="403"/>
        <v>-58.878451910068677</v>
      </c>
      <c r="BH447" s="43">
        <f t="shared" si="404"/>
        <v>-113.04939519576671</v>
      </c>
      <c r="BI447" s="41" t="str">
        <f t="shared" si="409"/>
        <v>0,00594057197339256-0,00211665003493878i</v>
      </c>
      <c r="BJ447" s="20">
        <f t="shared" si="405"/>
        <v>-44.004378270349392</v>
      </c>
      <c r="BK447" s="43">
        <f t="shared" si="410"/>
        <v>-19.611190846653489</v>
      </c>
      <c r="BL447">
        <f t="shared" si="406"/>
        <v>-58.878451910068677</v>
      </c>
      <c r="BM447" s="43">
        <f t="shared" si="407"/>
        <v>-113.04939519576671</v>
      </c>
    </row>
    <row r="448" spans="14:65" x14ac:dyDescent="0.35">
      <c r="N448" s="9">
        <v>30</v>
      </c>
      <c r="O448" s="34">
        <f t="shared" si="408"/>
        <v>199526.23149688813</v>
      </c>
      <c r="P448" s="33" t="str">
        <f t="shared" si="360"/>
        <v>59,1053597814893</v>
      </c>
      <c r="Q448" s="4" t="str">
        <f t="shared" si="361"/>
        <v>1+9632,74549327487i</v>
      </c>
      <c r="R448" s="4">
        <f t="shared" si="373"/>
        <v>9632.7455451811511</v>
      </c>
      <c r="S448" s="4">
        <f t="shared" si="374"/>
        <v>1.5706925142321018</v>
      </c>
      <c r="T448" s="4" t="str">
        <f t="shared" si="362"/>
        <v>1+1,62975837197961i</v>
      </c>
      <c r="U448" s="4">
        <f t="shared" si="375"/>
        <v>1.9120963236818456</v>
      </c>
      <c r="V448" s="4">
        <f t="shared" si="376"/>
        <v>1.0204455940476054</v>
      </c>
      <c r="W448" t="str">
        <f t="shared" si="363"/>
        <v>1-60,1756937346318i</v>
      </c>
      <c r="X448" s="4">
        <f t="shared" si="377"/>
        <v>60.184002163732885</v>
      </c>
      <c r="Y448" s="4">
        <f t="shared" si="378"/>
        <v>-1.5541798509307609</v>
      </c>
      <c r="Z448" t="str">
        <f t="shared" si="364"/>
        <v>0,1774645236498+5,63007437592955i</v>
      </c>
      <c r="AA448" s="4">
        <f t="shared" si="379"/>
        <v>5.6328705946127293</v>
      </c>
      <c r="AB448" s="4">
        <f t="shared" si="380"/>
        <v>1.5392859464991009</v>
      </c>
      <c r="AC448" s="47" t="str">
        <f t="shared" si="381"/>
        <v>-0,109880734082403+0,0603309483385489i</v>
      </c>
      <c r="AD448" s="20">
        <f t="shared" si="382"/>
        <v>-18.037243325599906</v>
      </c>
      <c r="AE448" s="43">
        <f t="shared" si="383"/>
        <v>151.23063952255387</v>
      </c>
      <c r="AF448" t="str">
        <f t="shared" si="365"/>
        <v>405,634542683733</v>
      </c>
      <c r="AG448" t="str">
        <f t="shared" si="366"/>
        <v>1+9649,88509724767i</v>
      </c>
      <c r="AH448">
        <f t="shared" si="384"/>
        <v>9649.8851490617581</v>
      </c>
      <c r="AI448">
        <f t="shared" si="385"/>
        <v>1.5706926986183596</v>
      </c>
      <c r="AJ448" t="str">
        <f t="shared" si="367"/>
        <v>1+1,62975837197961i</v>
      </c>
      <c r="AK448">
        <f t="shared" si="386"/>
        <v>1.9120963236818456</v>
      </c>
      <c r="AL448">
        <f t="shared" si="387"/>
        <v>1.0204455940476054</v>
      </c>
      <c r="AM448" t="str">
        <f t="shared" si="368"/>
        <v>1-8,78375888186208i</v>
      </c>
      <c r="AN448">
        <f t="shared" si="388"/>
        <v>8.8404988600582382</v>
      </c>
      <c r="AO448">
        <f t="shared" si="389"/>
        <v>-1.4574379157793738</v>
      </c>
      <c r="AP448" s="41" t="str">
        <f t="shared" si="390"/>
        <v>-0,300652896815338-0,643816762702409i</v>
      </c>
      <c r="AQ448">
        <f t="shared" si="391"/>
        <v>-2.968013486636369</v>
      </c>
      <c r="AR448" s="43">
        <f t="shared" si="392"/>
        <v>-115.03187825769916</v>
      </c>
      <c r="AS448" t="str">
        <f t="shared" si="369"/>
        <v>-0,0000166666666666667</v>
      </c>
      <c r="AT448" t="str">
        <f t="shared" si="370"/>
        <v>0,277685753379602i</v>
      </c>
      <c r="AU448">
        <f t="shared" si="393"/>
        <v>0.277685753379602</v>
      </c>
      <c r="AV448">
        <f t="shared" si="394"/>
        <v>1.5707963267948966</v>
      </c>
      <c r="AW448" t="str">
        <f t="shared" si="371"/>
        <v>1+9,89910537451759i</v>
      </c>
      <c r="AX448">
        <f t="shared" si="395"/>
        <v>9.9494867815281349</v>
      </c>
      <c r="AY448">
        <f t="shared" si="396"/>
        <v>1.4701186381203832</v>
      </c>
      <c r="AZ448" t="str">
        <f t="shared" si="372"/>
        <v>1+1461,76789363709i</v>
      </c>
      <c r="BA448">
        <f t="shared" si="397"/>
        <v>1461.7682356886182</v>
      </c>
      <c r="BB448">
        <f t="shared" si="398"/>
        <v>1.5701122237657126</v>
      </c>
      <c r="BC448" s="41" t="str">
        <f t="shared" si="399"/>
        <v>-0,000880280661235469+0,0087740109085772i</v>
      </c>
      <c r="BD448">
        <f t="shared" si="400"/>
        <v>-41.09254016528886</v>
      </c>
      <c r="BE448" s="43">
        <f t="shared" si="401"/>
        <v>95.729210435857311</v>
      </c>
      <c r="BF448" s="41" t="str">
        <f t="shared" si="402"/>
        <v>-0,000432618513592139-0,0010172029265779i</v>
      </c>
      <c r="BG448" s="20">
        <f t="shared" si="403"/>
        <v>-59.129783490888734</v>
      </c>
      <c r="BH448" s="43">
        <f t="shared" si="404"/>
        <v>-113.0401500415887</v>
      </c>
      <c r="BI448" s="41" t="str">
        <f t="shared" si="409"/>
        <v>0,00591351422988676-0,00207119235076696i</v>
      </c>
      <c r="BJ448" s="20">
        <f t="shared" si="405"/>
        <v>-44.060553651925225</v>
      </c>
      <c r="BK448" s="43">
        <f t="shared" si="410"/>
        <v>-19.30266782184189</v>
      </c>
      <c r="BL448">
        <f t="shared" si="406"/>
        <v>-59.129783490888734</v>
      </c>
      <c r="BM448" s="43">
        <f t="shared" si="407"/>
        <v>-113.0401500415887</v>
      </c>
    </row>
    <row r="449" spans="14:65" x14ac:dyDescent="0.35">
      <c r="N449" s="9">
        <v>31</v>
      </c>
      <c r="O449" s="34">
        <f t="shared" si="408"/>
        <v>204173.79446695308</v>
      </c>
      <c r="P449" s="33" t="str">
        <f t="shared" si="360"/>
        <v>59,1053597814893</v>
      </c>
      <c r="Q449" s="4" t="str">
        <f t="shared" si="361"/>
        <v>1+9857,12095969216i</v>
      </c>
      <c r="R449" s="4">
        <f t="shared" si="373"/>
        <v>9857.1210104169095</v>
      </c>
      <c r="S449" s="4">
        <f t="shared" si="374"/>
        <v>1.5706948772945142</v>
      </c>
      <c r="T449" s="4" t="str">
        <f t="shared" si="362"/>
        <v>1+1,66772032115762i</v>
      </c>
      <c r="U449" s="4">
        <f t="shared" si="375"/>
        <v>1.9445542084503777</v>
      </c>
      <c r="V449" s="4">
        <f t="shared" si="376"/>
        <v>1.0306556054690952</v>
      </c>
      <c r="W449" t="str">
        <f t="shared" si="363"/>
        <v>1-61,5773657042814i</v>
      </c>
      <c r="X449" s="4">
        <f t="shared" si="377"/>
        <v>61.585485035670629</v>
      </c>
      <c r="Y449" s="4">
        <f t="shared" si="378"/>
        <v>-1.5545580208390457</v>
      </c>
      <c r="Z449" t="str">
        <f t="shared" si="364"/>
        <v>0,138699620929065+5,76121565490813i</v>
      </c>
      <c r="AA449" s="4">
        <f t="shared" si="379"/>
        <v>5.7628849899338084</v>
      </c>
      <c r="AB449" s="4">
        <f t="shared" si="380"/>
        <v>1.546726262044791</v>
      </c>
      <c r="AC449" s="47" t="str">
        <f t="shared" si="381"/>
        <v>-0,10936719036436+0,0597093599773579i</v>
      </c>
      <c r="AD449" s="20">
        <f t="shared" si="382"/>
        <v>-18.089295092803425</v>
      </c>
      <c r="AE449" s="43">
        <f t="shared" si="383"/>
        <v>151.36752847358525</v>
      </c>
      <c r="AF449" t="str">
        <f t="shared" si="365"/>
        <v>405,634542683733</v>
      </c>
      <c r="AG449" t="str">
        <f t="shared" si="366"/>
        <v>1+9874,659796328i</v>
      </c>
      <c r="AH449">
        <f t="shared" si="384"/>
        <v>9874.6598469626551</v>
      </c>
      <c r="AI449">
        <f t="shared" si="385"/>
        <v>1.5706950574836285</v>
      </c>
      <c r="AJ449" t="str">
        <f t="shared" si="367"/>
        <v>1+1,66772032115762i</v>
      </c>
      <c r="AK449">
        <f t="shared" si="386"/>
        <v>1.9445542084503777</v>
      </c>
      <c r="AL449">
        <f t="shared" si="387"/>
        <v>1.0306556054690952</v>
      </c>
      <c r="AM449" t="str">
        <f t="shared" si="368"/>
        <v>1-8,98835890969328i</v>
      </c>
      <c r="AN449">
        <f t="shared" si="388"/>
        <v>9.0438153391952092</v>
      </c>
      <c r="AO449">
        <f t="shared" si="389"/>
        <v>-1.4599969594886597</v>
      </c>
      <c r="AP449" s="41" t="str">
        <f t="shared" si="390"/>
        <v>-0,300653093014197-0,656875784595486i</v>
      </c>
      <c r="AQ449">
        <f t="shared" si="391"/>
        <v>-2.8243094512168443</v>
      </c>
      <c r="AR449" s="43">
        <f t="shared" si="392"/>
        <v>-114.5936452516233</v>
      </c>
      <c r="AS449" t="str">
        <f t="shared" si="369"/>
        <v>-0,0000166666666666667</v>
      </c>
      <c r="AT449" t="str">
        <f t="shared" si="370"/>
        <v>0,284153885489549i</v>
      </c>
      <c r="AU449">
        <f t="shared" si="393"/>
        <v>0.28415388548954901</v>
      </c>
      <c r="AV449">
        <f t="shared" si="394"/>
        <v>1.5707963267948966</v>
      </c>
      <c r="AW449" t="str">
        <f t="shared" si="371"/>
        <v>1+10,1296851595926i</v>
      </c>
      <c r="AX449">
        <f t="shared" si="395"/>
        <v>10.178925357446658</v>
      </c>
      <c r="AY449">
        <f t="shared" si="396"/>
        <v>1.4723954072602725</v>
      </c>
      <c r="AZ449" t="str">
        <f t="shared" si="372"/>
        <v>1+1495,81684189983i</v>
      </c>
      <c r="BA449">
        <f t="shared" si="397"/>
        <v>1495.8171761653164</v>
      </c>
      <c r="BB449">
        <f t="shared" si="398"/>
        <v>1.5701277958471156</v>
      </c>
      <c r="BC449" s="41" t="str">
        <f t="shared" si="399"/>
        <v>-0,000841043890550567+0,00857816348117888i</v>
      </c>
      <c r="BD449">
        <f t="shared" si="400"/>
        <v>-41.290565262865684</v>
      </c>
      <c r="BE449" s="43">
        <f t="shared" si="401"/>
        <v>95.59965338775865</v>
      </c>
      <c r="BF449" s="41" t="str">
        <f t="shared" si="402"/>
        <v>-0,000420214043959709-0,000988387830840333i</v>
      </c>
      <c r="BG449" s="20">
        <f t="shared" si="403"/>
        <v>-59.379860355669109</v>
      </c>
      <c r="BH449" s="43">
        <f t="shared" si="404"/>
        <v>-113.03281813865607</v>
      </c>
      <c r="BI449" s="41" t="str">
        <f t="shared" si="409"/>
        <v>0,00588765031414244-0,00202659001751322i</v>
      </c>
      <c r="BJ449" s="20">
        <f t="shared" si="405"/>
        <v>-44.114874714082532</v>
      </c>
      <c r="BK449" s="43">
        <f t="shared" si="410"/>
        <v>-18.993991863864697</v>
      </c>
      <c r="BL449">
        <f t="shared" si="406"/>
        <v>-59.379860355669109</v>
      </c>
      <c r="BM449" s="43">
        <f t="shared" si="407"/>
        <v>-113.03281813865607</v>
      </c>
    </row>
    <row r="450" spans="14:65" x14ac:dyDescent="0.35">
      <c r="N450" s="9">
        <v>32</v>
      </c>
      <c r="O450" s="34">
        <f t="shared" si="408"/>
        <v>208929.61308540447</v>
      </c>
      <c r="P450" s="33" t="str">
        <f t="shared" si="360"/>
        <v>59,1053597814893</v>
      </c>
      <c r="Q450" s="4" t="str">
        <f t="shared" si="361"/>
        <v>1+10086,7228021168i</v>
      </c>
      <c r="R450" s="4">
        <f t="shared" si="373"/>
        <v>10086.722851686915</v>
      </c>
      <c r="S450" s="4">
        <f t="shared" si="374"/>
        <v>1.5706971865670603</v>
      </c>
      <c r="T450" s="4" t="str">
        <f t="shared" si="362"/>
        <v>1+1,70656651772481i</v>
      </c>
      <c r="U450" s="4">
        <f t="shared" si="375"/>
        <v>1.9779710006517752</v>
      </c>
      <c r="V450" s="4">
        <f t="shared" si="376"/>
        <v>1.0407554784604098</v>
      </c>
      <c r="W450" t="str">
        <f t="shared" si="363"/>
        <v>1-63,0116868083007i</v>
      </c>
      <c r="X450" s="4">
        <f t="shared" si="377"/>
        <v>63.019621344684211</v>
      </c>
      <c r="Y450" s="4">
        <f t="shared" si="378"/>
        <v>-1.554927587037688</v>
      </c>
      <c r="Z450" t="str">
        <f t="shared" si="364"/>
        <v>0,098107784627751+5,8954116066857i</v>
      </c>
      <c r="AA450" s="4">
        <f t="shared" si="379"/>
        <v>5.8962278746372272</v>
      </c>
      <c r="AB450" s="4">
        <f t="shared" si="380"/>
        <v>1.554156482765908</v>
      </c>
      <c r="AC450" s="47" t="str">
        <f t="shared" si="381"/>
        <v>-0,108866274949799+0,0591115784664554i</v>
      </c>
      <c r="AD450" s="20">
        <f t="shared" si="382"/>
        <v>-18.140035459235079</v>
      </c>
      <c r="AE450" s="43">
        <f t="shared" si="383"/>
        <v>151.49918138643162</v>
      </c>
      <c r="AF450" t="str">
        <f t="shared" si="365"/>
        <v>405,634542683733</v>
      </c>
      <c r="AG450" t="str">
        <f t="shared" si="366"/>
        <v>1+10104,670170739i</v>
      </c>
      <c r="AH450">
        <f t="shared" si="384"/>
        <v>10104.670220221071</v>
      </c>
      <c r="AI450">
        <f t="shared" si="385"/>
        <v>1.5706973626545695</v>
      </c>
      <c r="AJ450" t="str">
        <f t="shared" si="367"/>
        <v>1+1,70656651772481i</v>
      </c>
      <c r="AK450">
        <f t="shared" si="386"/>
        <v>1.9779710006517752</v>
      </c>
      <c r="AL450">
        <f t="shared" si="387"/>
        <v>1.0407554784604098</v>
      </c>
      <c r="AM450" t="str">
        <f t="shared" si="368"/>
        <v>1-9,19772468439346i</v>
      </c>
      <c r="AN450">
        <f t="shared" si="388"/>
        <v>9.2519262518624075</v>
      </c>
      <c r="AO450">
        <f t="shared" si="389"/>
        <v>-1.4624991610641089</v>
      </c>
      <c r="AP450" s="41" t="str">
        <f t="shared" si="390"/>
        <v>-0,300653280382653-0,67028309072255i</v>
      </c>
      <c r="AQ450">
        <f t="shared" si="391"/>
        <v>-2.6787026150758031</v>
      </c>
      <c r="AR450" s="43">
        <f t="shared" si="392"/>
        <v>-114.15846282193299</v>
      </c>
      <c r="AS450" t="str">
        <f t="shared" si="369"/>
        <v>-0,0000166666666666667</v>
      </c>
      <c r="AT450" t="str">
        <f t="shared" si="370"/>
        <v>0,290772679750804i</v>
      </c>
      <c r="AU450">
        <f t="shared" si="393"/>
        <v>0.29077267975080401</v>
      </c>
      <c r="AV450">
        <f t="shared" si="394"/>
        <v>1.5707963267948966</v>
      </c>
      <c r="AW450" t="str">
        <f t="shared" si="371"/>
        <v>1+10,3656358378215i</v>
      </c>
      <c r="AX450">
        <f t="shared" si="395"/>
        <v>10.413760431387379</v>
      </c>
      <c r="AY450">
        <f t="shared" si="396"/>
        <v>1.4746213402010802</v>
      </c>
      <c r="AZ450" t="str">
        <f t="shared" si="372"/>
        <v>1+1530,65889205164i</v>
      </c>
      <c r="BA450">
        <f t="shared" si="397"/>
        <v>1530.6592187083163</v>
      </c>
      <c r="BB450">
        <f t="shared" si="398"/>
        <v>1.5701430134649836</v>
      </c>
      <c r="BC450" s="41" t="str">
        <f t="shared" si="399"/>
        <v>-0,000803539729924605+0,00838651876571747i</v>
      </c>
      <c r="BD450">
        <f t="shared" si="400"/>
        <v>-41.488678406901997</v>
      </c>
      <c r="BE450" s="43">
        <f t="shared" si="401"/>
        <v>95.472988730049309</v>
      </c>
      <c r="BF450" s="41" t="str">
        <f t="shared" si="402"/>
        <v>-0,00040826198490905-0,0009605075596166i</v>
      </c>
      <c r="BG450" s="20">
        <f t="shared" si="403"/>
        <v>-59.628713866137062</v>
      </c>
      <c r="BH450" s="43">
        <f t="shared" si="404"/>
        <v>-113.02782988351906</v>
      </c>
      <c r="BI450" s="41" t="str">
        <f t="shared" si="409"/>
        <v>0,00586292857440739-0,00198283528421141i</v>
      </c>
      <c r="BJ450" s="20">
        <f t="shared" si="405"/>
        <v>-44.167381021977796</v>
      </c>
      <c r="BK450" s="43">
        <f t="shared" si="410"/>
        <v>-18.685474091883709</v>
      </c>
      <c r="BL450">
        <f t="shared" si="406"/>
        <v>-59.628713866137062</v>
      </c>
      <c r="BM450" s="43">
        <f t="shared" si="407"/>
        <v>-113.02782988351906</v>
      </c>
    </row>
    <row r="451" spans="14:65" x14ac:dyDescent="0.35">
      <c r="N451" s="9">
        <v>33</v>
      </c>
      <c r="O451" s="34">
        <f t="shared" si="408"/>
        <v>213796.20895022334</v>
      </c>
      <c r="P451" s="33" t="str">
        <f t="shared" si="360"/>
        <v>59,1053597814893</v>
      </c>
      <c r="Q451" s="4" t="str">
        <f t="shared" si="361"/>
        <v>1+10321,6727584846i</v>
      </c>
      <c r="R451" s="4">
        <f t="shared" si="373"/>
        <v>10321.672806926359</v>
      </c>
      <c r="S451" s="4">
        <f t="shared" si="374"/>
        <v>1.5706994432741466</v>
      </c>
      <c r="T451" s="4" t="str">
        <f t="shared" si="362"/>
        <v>1+1,74631755844876i</v>
      </c>
      <c r="U451" s="4">
        <f t="shared" si="375"/>
        <v>2.0123680118075913</v>
      </c>
      <c r="V451" s="4">
        <f t="shared" si="376"/>
        <v>1.0507423254809682</v>
      </c>
      <c r="W451" t="str">
        <f t="shared" si="363"/>
        <v>1-64,4794175427236i</v>
      </c>
      <c r="X451" s="4">
        <f t="shared" si="377"/>
        <v>64.487171488978262</v>
      </c>
      <c r="Y451" s="4">
        <f t="shared" si="378"/>
        <v>-1.5552887450715462</v>
      </c>
      <c r="Z451" t="str">
        <f t="shared" si="364"/>
        <v>0,055602914018851+6,03273338373209i</v>
      </c>
      <c r="AA451" s="4">
        <f t="shared" si="379"/>
        <v>6.0329896206808629</v>
      </c>
      <c r="AB451" s="4">
        <f t="shared" si="380"/>
        <v>1.5615797186571465</v>
      </c>
      <c r="AC451" s="47" t="str">
        <f t="shared" si="381"/>
        <v>-0,108377103228162+0,0585375875124442i</v>
      </c>
      <c r="AD451" s="20">
        <f t="shared" si="382"/>
        <v>-18.189501341909594</v>
      </c>
      <c r="AE451" s="43">
        <f t="shared" si="383"/>
        <v>151.62524335358543</v>
      </c>
      <c r="AF451" t="str">
        <f t="shared" si="365"/>
        <v>405,634542683733</v>
      </c>
      <c r="AG451" t="str">
        <f t="shared" si="366"/>
        <v>1+10340,0381750256i</v>
      </c>
      <c r="AH451">
        <f t="shared" si="384"/>
        <v>10340.03822338132</v>
      </c>
      <c r="AI451">
        <f t="shared" si="385"/>
        <v>1.570699615353415</v>
      </c>
      <c r="AJ451" t="str">
        <f t="shared" si="367"/>
        <v>1+1,74631755844876i</v>
      </c>
      <c r="AK451">
        <f t="shared" si="386"/>
        <v>2.0123680118075913</v>
      </c>
      <c r="AL451">
        <f t="shared" si="387"/>
        <v>1.0507423254809682</v>
      </c>
      <c r="AM451" t="str">
        <f t="shared" si="368"/>
        <v>1-9,41196721446752i</v>
      </c>
      <c r="AN451">
        <f t="shared" si="388"/>
        <v>9.4649419885285884</v>
      </c>
      <c r="AO451">
        <f t="shared" si="389"/>
        <v>-1.464945721807513</v>
      </c>
      <c r="AP451" s="41" t="str">
        <f t="shared" si="390"/>
        <v>-0,300653459318139-0,684045789814883i</v>
      </c>
      <c r="AQ451">
        <f t="shared" si="391"/>
        <v>-2.5312370255496903</v>
      </c>
      <c r="AR451" s="43">
        <f t="shared" si="392"/>
        <v>-113.72656531206799</v>
      </c>
      <c r="AS451" t="str">
        <f t="shared" si="369"/>
        <v>-0,0000166666666666667</v>
      </c>
      <c r="AT451" t="str">
        <f t="shared" si="370"/>
        <v>0,297545645535693i</v>
      </c>
      <c r="AU451">
        <f t="shared" si="393"/>
        <v>0.29754564553569302</v>
      </c>
      <c r="AV451">
        <f t="shared" si="394"/>
        <v>1.5707963267948966</v>
      </c>
      <c r="AW451" t="str">
        <f t="shared" si="371"/>
        <v>1+10,6070825133769i</v>
      </c>
      <c r="AX451">
        <f t="shared" si="395"/>
        <v>10.654116549277374</v>
      </c>
      <c r="AY451">
        <f t="shared" si="396"/>
        <v>1.4767975288813926</v>
      </c>
      <c r="AZ451" t="str">
        <f t="shared" si="372"/>
        <v>1+1566,31251780866i</v>
      </c>
      <c r="BA451">
        <f t="shared" si="397"/>
        <v>1566.3128370297243</v>
      </c>
      <c r="BB451">
        <f t="shared" si="398"/>
        <v>1.570157884687871</v>
      </c>
      <c r="BC451" s="41" t="str">
        <f t="shared" si="399"/>
        <v>-0,000767693092542858+0,00819899779229473i</v>
      </c>
      <c r="BD451">
        <f t="shared" si="400"/>
        <v>-41.68687570779344</v>
      </c>
      <c r="BE451" s="43">
        <f t="shared" si="401"/>
        <v>95.349154361550887</v>
      </c>
      <c r="BF451" s="41" t="str">
        <f t="shared" si="402"/>
        <v>-0,000396749197242725-0,000933522531690425i</v>
      </c>
      <c r="BG451" s="20">
        <f t="shared" si="403"/>
        <v>-59.876377049703031</v>
      </c>
      <c r="BH451" s="43">
        <f t="shared" si="404"/>
        <v>-113.02560228486365</v>
      </c>
      <c r="BI451" s="41" t="str">
        <f t="shared" si="409"/>
        <v>0,00583929950448838-0,00193991982137129i</v>
      </c>
      <c r="BJ451" s="20">
        <f t="shared" si="405"/>
        <v>-44.218112733343126</v>
      </c>
      <c r="BK451" s="43">
        <f t="shared" si="410"/>
        <v>-18.377410950517138</v>
      </c>
      <c r="BL451">
        <f t="shared" si="406"/>
        <v>-59.876377049703031</v>
      </c>
      <c r="BM451" s="43">
        <f t="shared" si="407"/>
        <v>-113.02560228486365</v>
      </c>
    </row>
    <row r="452" spans="14:65" x14ac:dyDescent="0.35">
      <c r="N452" s="9">
        <v>34</v>
      </c>
      <c r="O452" s="34">
        <f t="shared" si="408"/>
        <v>218776.16239495538</v>
      </c>
      <c r="P452" s="33" t="str">
        <f t="shared" si="360"/>
        <v>59,1053597814893</v>
      </c>
      <c r="Q452" s="4" t="str">
        <f t="shared" si="361"/>
        <v>1+10562,0954023724i</v>
      </c>
      <c r="R452" s="4">
        <f t="shared" si="373"/>
        <v>10562.095449711491</v>
      </c>
      <c r="S452" s="4">
        <f t="shared" si="374"/>
        <v>1.5707016486123091</v>
      </c>
      <c r="T452" s="4" t="str">
        <f t="shared" si="362"/>
        <v>1+1,78699451985746i</v>
      </c>
      <c r="U452" s="4">
        <f t="shared" si="375"/>
        <v>2.0477669335157733</v>
      </c>
      <c r="V452" s="4">
        <f t="shared" si="376"/>
        <v>1.0606134726122005</v>
      </c>
      <c r="W452" t="str">
        <f t="shared" si="363"/>
        <v>1-65,9813361178139i</v>
      </c>
      <c r="X452" s="4">
        <f t="shared" si="377"/>
        <v>65.988913583206781</v>
      </c>
      <c r="Y452" s="4">
        <f t="shared" si="378"/>
        <v>-1.5556416860543125</v>
      </c>
      <c r="Z452" t="str">
        <f t="shared" si="364"/>
        <v>0,01109485057306+6,17325379587121i</v>
      </c>
      <c r="AA452" s="4">
        <f t="shared" si="379"/>
        <v>6.1732637659464649</v>
      </c>
      <c r="AB452" s="4">
        <f t="shared" si="380"/>
        <v>1.568999083559131</v>
      </c>
      <c r="AC452" s="47" t="str">
        <f t="shared" si="381"/>
        <v>-0,107898806307035+0,0579873526939044i</v>
      </c>
      <c r="AD452" s="20">
        <f t="shared" si="382"/>
        <v>-18.237731037335521</v>
      </c>
      <c r="AE452" s="43">
        <f t="shared" si="383"/>
        <v>151.74537174230775</v>
      </c>
      <c r="AF452" t="str">
        <f t="shared" si="365"/>
        <v>405,634542683733</v>
      </c>
      <c r="AG452" t="str">
        <f t="shared" si="366"/>
        <v>1+10580,8886044191i</v>
      </c>
      <c r="AH452">
        <f t="shared" si="384"/>
        <v>10580.888651674109</v>
      </c>
      <c r="AI452">
        <f t="shared" si="385"/>
        <v>1.5707018167745752</v>
      </c>
      <c r="AJ452" t="str">
        <f t="shared" si="367"/>
        <v>1+1,78699451985746i</v>
      </c>
      <c r="AK452">
        <f t="shared" si="386"/>
        <v>2.0477669335157733</v>
      </c>
      <c r="AL452">
        <f t="shared" si="387"/>
        <v>1.0606134726122005</v>
      </c>
      <c r="AM452" t="str">
        <f t="shared" si="368"/>
        <v>1-9,63120009414083i</v>
      </c>
      <c r="AN452">
        <f t="shared" si="388"/>
        <v>9.6829755371671951</v>
      </c>
      <c r="AO452">
        <f t="shared" si="389"/>
        <v>-1.467337821699731</v>
      </c>
      <c r="AP452" s="41" t="str">
        <f t="shared" si="390"/>
        <v>-0,300653630200205-0,698171179037848i</v>
      </c>
      <c r="AQ452">
        <f t="shared" si="391"/>
        <v>-2.3819570467905176</v>
      </c>
      <c r="AR452" s="43">
        <f t="shared" si="392"/>
        <v>-113.29817360263493</v>
      </c>
      <c r="AS452" t="str">
        <f t="shared" si="369"/>
        <v>-0,0000166666666666667</v>
      </c>
      <c r="AT452" t="str">
        <f t="shared" si="370"/>
        <v>0,304476373960328i</v>
      </c>
      <c r="AU452">
        <f t="shared" si="393"/>
        <v>0.30447637396032801</v>
      </c>
      <c r="AV452">
        <f t="shared" si="394"/>
        <v>1.5707963267948966</v>
      </c>
      <c r="AW452" t="str">
        <f t="shared" si="371"/>
        <v>1+10,8541532044824i</v>
      </c>
      <c r="AX452">
        <f t="shared" si="395"/>
        <v>10.900121182187634</v>
      </c>
      <c r="AY452">
        <f t="shared" si="396"/>
        <v>1.4789250446519384</v>
      </c>
      <c r="AZ452" t="str">
        <f t="shared" si="372"/>
        <v>1+1602,79662319523i</v>
      </c>
      <c r="BA452">
        <f t="shared" si="397"/>
        <v>1602.7969351499371</v>
      </c>
      <c r="BB452">
        <f t="shared" si="398"/>
        <v>1.5701724174006704</v>
      </c>
      <c r="BC452" s="41" t="str">
        <f t="shared" si="399"/>
        <v>-0,000733432021520213+0,00801552231130837i</v>
      </c>
      <c r="BD452">
        <f t="shared" si="400"/>
        <v>-41.885153444646505</v>
      </c>
      <c r="BE452" s="43">
        <f t="shared" si="401"/>
        <v>95.228089350159351</v>
      </c>
      <c r="BF452" s="41" t="str">
        <f t="shared" si="402"/>
        <v>-0,000385662479662312-0,000907395070626475i</v>
      </c>
      <c r="BG452" s="20">
        <f t="shared" si="403"/>
        <v>-60.12288448198202</v>
      </c>
      <c r="BH452" s="43">
        <f t="shared" si="404"/>
        <v>-113.0265389075329</v>
      </c>
      <c r="BI452" s="41" t="str">
        <f t="shared" si="409"/>
        <v>0,00581671566246547-0,00189783478163672i</v>
      </c>
      <c r="BJ452" s="20">
        <f t="shared" si="405"/>
        <v>-44.267110491437016</v>
      </c>
      <c r="BK452" s="43">
        <f t="shared" si="410"/>
        <v>-18.070084252475553</v>
      </c>
      <c r="BL452">
        <f t="shared" si="406"/>
        <v>-60.12288448198202</v>
      </c>
      <c r="BM452" s="43">
        <f t="shared" si="407"/>
        <v>-113.0265389075329</v>
      </c>
    </row>
    <row r="453" spans="14:65" x14ac:dyDescent="0.35">
      <c r="N453" s="9">
        <v>35</v>
      </c>
      <c r="O453" s="34">
        <f t="shared" si="408"/>
        <v>223872.11385683404</v>
      </c>
      <c r="P453" s="33" t="str">
        <f t="shared" si="360"/>
        <v>59,1053597814893</v>
      </c>
      <c r="Q453" s="4" t="str">
        <f t="shared" si="361"/>
        <v>1+10808,1182090485i</v>
      </c>
      <c r="R453" s="4">
        <f t="shared" si="373"/>
        <v>10808.118255310021</v>
      </c>
      <c r="S453" s="4">
        <f t="shared" si="374"/>
        <v>1.5707038037508472</v>
      </c>
      <c r="T453" s="4" t="str">
        <f t="shared" si="362"/>
        <v>1+1,82861896941425i</v>
      </c>
      <c r="U453" s="4">
        <f t="shared" si="375"/>
        <v>2.0841898510696271</v>
      </c>
      <c r="V453" s="4">
        <f t="shared" si="376"/>
        <v>1.0703664582758574</v>
      </c>
      <c r="W453" t="str">
        <f t="shared" si="363"/>
        <v>1-67,5182388706801i</v>
      </c>
      <c r="X453" s="4">
        <f t="shared" si="377"/>
        <v>67.52564387103773</v>
      </c>
      <c r="Y453" s="4">
        <f t="shared" si="378"/>
        <v>-1.5559865967680464</v>
      </c>
      <c r="Z453" t="str">
        <f t="shared" si="364"/>
        <v>-0,0355108132794999+6,31704734888559i</v>
      </c>
      <c r="AA453" s="4">
        <f t="shared" si="379"/>
        <v>6.3171471587989965</v>
      </c>
      <c r="AB453" s="4">
        <f t="shared" si="380"/>
        <v>1.5764176934355232</v>
      </c>
      <c r="AC453" s="47" t="str">
        <f t="shared" si="381"/>
        <v>-0,107430530406148+0,0574608223925379i</v>
      </c>
      <c r="AD453" s="20">
        <f t="shared" si="382"/>
        <v>-18.28476411484025</v>
      </c>
      <c r="AE453" s="43">
        <f t="shared" si="383"/>
        <v>151.8592362141672</v>
      </c>
      <c r="AF453" t="str">
        <f t="shared" si="365"/>
        <v>405,634542683733</v>
      </c>
      <c r="AG453" t="str">
        <f t="shared" si="366"/>
        <v>1+10827,3491610054i</v>
      </c>
      <c r="AH453">
        <f t="shared" si="384"/>
        <v>10827.349207184756</v>
      </c>
      <c r="AI453">
        <f t="shared" si="385"/>
        <v>1.5707039680852728</v>
      </c>
      <c r="AJ453" t="str">
        <f t="shared" si="367"/>
        <v>1+1,82861896941425i</v>
      </c>
      <c r="AK453">
        <f t="shared" si="386"/>
        <v>2.0841898510696271</v>
      </c>
      <c r="AL453">
        <f t="shared" si="387"/>
        <v>1.0703664582758574</v>
      </c>
      <c r="AM453" t="str">
        <f t="shared" si="368"/>
        <v>1-9,85553956358807i</v>
      </c>
      <c r="AN453">
        <f t="shared" si="388"/>
        <v>9.9061425433641794</v>
      </c>
      <c r="AO453">
        <f t="shared" si="389"/>
        <v>-1.4696766195005351</v>
      </c>
      <c r="AP453" s="41" t="str">
        <f t="shared" si="390"/>
        <v>-0,300653793391309-0,712666747859863i</v>
      </c>
      <c r="AQ453">
        <f t="shared" si="391"/>
        <v>-2.2309072625762765</v>
      </c>
      <c r="AR453" s="43">
        <f t="shared" si="392"/>
        <v>-112.87349519059977</v>
      </c>
      <c r="AS453" t="str">
        <f t="shared" si="369"/>
        <v>-0,0000166666666666667</v>
      </c>
      <c r="AT453" t="str">
        <f t="shared" si="370"/>
        <v>0,311568539788658i</v>
      </c>
      <c r="AU453">
        <f t="shared" si="393"/>
        <v>0.31156853978865801</v>
      </c>
      <c r="AV453">
        <f t="shared" si="394"/>
        <v>1.5707963267948966</v>
      </c>
      <c r="AW453" t="str">
        <f t="shared" si="371"/>
        <v>1+11,1069789112885i</v>
      </c>
      <c r="AX453">
        <f t="shared" si="395"/>
        <v>11.151904794061304</v>
      </c>
      <c r="AY453">
        <f t="shared" si="396"/>
        <v>1.481004938468629</v>
      </c>
      <c r="AZ453" t="str">
        <f t="shared" si="372"/>
        <v>1+1640,13055256694i</v>
      </c>
      <c r="BA453">
        <f t="shared" si="397"/>
        <v>1640.1308574206923</v>
      </c>
      <c r="BB453">
        <f t="shared" si="398"/>
        <v>1.5701866193087941</v>
      </c>
      <c r="BC453" s="41" t="str">
        <f t="shared" si="399"/>
        <v>-0,0007006875703442+0,0078360148450095i</v>
      </c>
      <c r="BD453">
        <f t="shared" si="400"/>
        <v>-42.083508058232646</v>
      </c>
      <c r="BE453" s="43">
        <f t="shared" si="401"/>
        <v>95.109733922024162</v>
      </c>
      <c r="BF453" s="41" t="str">
        <f t="shared" si="402"/>
        <v>-0,000374988619943309-0,000882089315102027i</v>
      </c>
      <c r="BG453" s="20">
        <f t="shared" si="403"/>
        <v>-60.368272173072896</v>
      </c>
      <c r="BH453" s="43">
        <f t="shared" si="404"/>
        <v>-113.03102986380866</v>
      </c>
      <c r="BI453" s="41" t="str">
        <f t="shared" si="409"/>
        <v>0,00579513159178065-0,00185657085619969i</v>
      </c>
      <c r="BJ453" s="20">
        <f t="shared" si="405"/>
        <v>-44.314415320808926</v>
      </c>
      <c r="BK453" s="43">
        <f t="shared" si="410"/>
        <v>-17.763761268575646</v>
      </c>
      <c r="BL453">
        <f t="shared" si="406"/>
        <v>-60.368272173072896</v>
      </c>
      <c r="BM453" s="43">
        <f t="shared" si="407"/>
        <v>-113.03102986380866</v>
      </c>
    </row>
    <row r="454" spans="14:65" x14ac:dyDescent="0.35">
      <c r="N454" s="9">
        <v>36</v>
      </c>
      <c r="O454" s="34">
        <f t="shared" si="408"/>
        <v>229086.76527677779</v>
      </c>
      <c r="P454" s="33" t="str">
        <f t="shared" si="360"/>
        <v>59,1053597814893</v>
      </c>
      <c r="Q454" s="4" t="str">
        <f t="shared" si="361"/>
        <v>1+11059,8716230613i</v>
      </c>
      <c r="R454" s="4">
        <f t="shared" si="373"/>
        <v>11059.871668269783</v>
      </c>
      <c r="S454" s="4">
        <f t="shared" si="374"/>
        <v>1.5707059098324438</v>
      </c>
      <c r="T454" s="4" t="str">
        <f t="shared" si="362"/>
        <v>1+1,87121297695326i</v>
      </c>
      <c r="U454" s="4">
        <f t="shared" si="375"/>
        <v>2.1216592575430866</v>
      </c>
      <c r="V454" s="4">
        <f t="shared" si="376"/>
        <v>1.0799990312125352</v>
      </c>
      <c r="W454" t="str">
        <f t="shared" si="363"/>
        <v>1-69,0909406875049i</v>
      </c>
      <c r="X454" s="4">
        <f t="shared" si="377"/>
        <v>69.098177147333786</v>
      </c>
      <c r="Y454" s="4">
        <f t="shared" si="378"/>
        <v>-1.5563236597605314</v>
      </c>
      <c r="Z454" t="str">
        <f t="shared" si="364"/>
        <v>-0,0843129344003699+6,46419028402033i</v>
      </c>
      <c r="AA454" s="4">
        <f t="shared" si="379"/>
        <v>6.4647401107028308</v>
      </c>
      <c r="AB454" s="4">
        <f t="shared" si="380"/>
        <v>1.583838664663378</v>
      </c>
      <c r="AC454" s="47" t="str">
        <f t="shared" si="381"/>
        <v>-0,106971436230409+0,056957928630359i</v>
      </c>
      <c r="AD454" s="20">
        <f t="shared" si="382"/>
        <v>-18.330641313819832</v>
      </c>
      <c r="AE454" s="43">
        <f t="shared" si="383"/>
        <v>151.96651870156037</v>
      </c>
      <c r="AF454" t="str">
        <f t="shared" si="365"/>
        <v>405,634542683733</v>
      </c>
      <c r="AG454" t="str">
        <f t="shared" si="366"/>
        <v>1+11079,5505214337i</v>
      </c>
      <c r="AH454">
        <f t="shared" si="384"/>
        <v>11079.550566561886</v>
      </c>
      <c r="AI454">
        <f t="shared" si="385"/>
        <v>1.5707060704261613</v>
      </c>
      <c r="AJ454" t="str">
        <f t="shared" si="367"/>
        <v>1+1,87121297695326i</v>
      </c>
      <c r="AK454">
        <f t="shared" si="386"/>
        <v>2.1216592575430866</v>
      </c>
      <c r="AL454">
        <f t="shared" si="387"/>
        <v>1.0799990312125352</v>
      </c>
      <c r="AM454" t="str">
        <f t="shared" si="368"/>
        <v>1-10,0851045705654i</v>
      </c>
      <c r="AN454">
        <f t="shared" si="388"/>
        <v>10.134561371822615</v>
      </c>
      <c r="AO454">
        <f t="shared" si="389"/>
        <v>-1.4719632528701532</v>
      </c>
      <c r="AP454" s="41" t="str">
        <f t="shared" si="390"/>
        <v>-0,300653949237604-0,7275401820235i</v>
      </c>
      <c r="AQ454">
        <f t="shared" si="391"/>
        <v>-2.0781323820990352</v>
      </c>
      <c r="AR454" s="43">
        <f t="shared" si="392"/>
        <v>-112.45272431210908</v>
      </c>
      <c r="AS454" t="str">
        <f t="shared" si="369"/>
        <v>-0,0000166666666666667</v>
      </c>
      <c r="AT454" t="str">
        <f t="shared" si="370"/>
        <v>0,318825903380881i</v>
      </c>
      <c r="AU454">
        <f t="shared" si="393"/>
        <v>0.31882590338088102</v>
      </c>
      <c r="AV454">
        <f t="shared" si="394"/>
        <v>1.5707963267948966</v>
      </c>
      <c r="AW454" t="str">
        <f t="shared" si="371"/>
        <v>1+11,3656936853316i</v>
      </c>
      <c r="AX454">
        <f t="shared" si="395"/>
        <v>11.409600911021673</v>
      </c>
      <c r="AY454">
        <f t="shared" si="396"/>
        <v>1.483038241098632</v>
      </c>
      <c r="AZ454" t="str">
        <f t="shared" si="372"/>
        <v>1+1678,3341008673i</v>
      </c>
      <c r="BA454">
        <f t="shared" si="397"/>
        <v>1678.3343987817354</v>
      </c>
      <c r="BB454">
        <f t="shared" si="398"/>
        <v>1.5702004979422588</v>
      </c>
      <c r="BC454" s="41" t="str">
        <f t="shared" si="399"/>
        <v>-0,000669393686904771+0,00766039873376748i</v>
      </c>
      <c r="BD454">
        <f t="shared" si="400"/>
        <v>-42.281936144214058</v>
      </c>
      <c r="BE454" s="43">
        <f t="shared" si="401"/>
        <v>94.994029449975088</v>
      </c>
      <c r="BF454" s="41" t="str">
        <f t="shared" si="402"/>
        <v>-0,000364714440266249-0,000857571132493049i</v>
      </c>
      <c r="BG454" s="20">
        <f t="shared" si="403"/>
        <v>-60.612577458033883</v>
      </c>
      <c r="BH454" s="43">
        <f t="shared" si="404"/>
        <v>-113.03945184846455</v>
      </c>
      <c r="BI454" s="41" t="str">
        <f t="shared" si="409"/>
        <v>0,00577450374470042-0,00181611832722586i</v>
      </c>
      <c r="BJ454" s="20">
        <f t="shared" si="405"/>
        <v>-44.360068526313093</v>
      </c>
      <c r="BK454" s="43">
        <f t="shared" si="410"/>
        <v>-17.458694862134045</v>
      </c>
      <c r="BL454">
        <f t="shared" si="406"/>
        <v>-60.612577458033883</v>
      </c>
      <c r="BM454" s="43">
        <f t="shared" si="407"/>
        <v>-113.03945184846455</v>
      </c>
    </row>
    <row r="455" spans="14:65" x14ac:dyDescent="0.35">
      <c r="N455" s="9">
        <v>37</v>
      </c>
      <c r="O455" s="34">
        <f t="shared" si="408"/>
        <v>234422.88153199267</v>
      </c>
      <c r="P455" s="33" t="str">
        <f t="shared" si="360"/>
        <v>59,1053597814893</v>
      </c>
      <c r="Q455" s="4" t="str">
        <f t="shared" si="361"/>
        <v>1+11317,4891274035i</v>
      </c>
      <c r="R455" s="4">
        <f t="shared" si="373"/>
        <v>11317.489171582909</v>
      </c>
      <c r="S455" s="4">
        <f t="shared" si="374"/>
        <v>1.5707079679737712</v>
      </c>
      <c r="T455" s="4" t="str">
        <f t="shared" si="362"/>
        <v>1+1,91479912638108i</v>
      </c>
      <c r="U455" s="4">
        <f t="shared" si="375"/>
        <v>2.16019806832377</v>
      </c>
      <c r="V455" s="4">
        <f t="shared" si="376"/>
        <v>1.0895091477717922</v>
      </c>
      <c r="W455" t="str">
        <f t="shared" si="363"/>
        <v>1-70,7002754356091i</v>
      </c>
      <c r="X455" s="4">
        <f t="shared" si="377"/>
        <v>70.707347190168221</v>
      </c>
      <c r="Y455" s="4">
        <f t="shared" si="378"/>
        <v>-1.5566530534404981</v>
      </c>
      <c r="Z455" t="str">
        <f t="shared" si="364"/>
        <v>-0,13541502863147+6,61476061840735i</v>
      </c>
      <c r="AA455" s="4">
        <f t="shared" si="379"/>
        <v>6.6161465573861076</v>
      </c>
      <c r="AB455" s="4">
        <f t="shared" si="380"/>
        <v>1.5912651123260939</v>
      </c>
      <c r="AC455" s="47" t="str">
        <f t="shared" si="381"/>
        <v>-0,106520698327619+0,0564785878144497i</v>
      </c>
      <c r="AD455" s="20">
        <f t="shared" si="382"/>
        <v>-18.37540444530639</v>
      </c>
      <c r="AE455" s="43">
        <f t="shared" si="383"/>
        <v>152.06691334476284</v>
      </c>
      <c r="AF455" t="str">
        <f t="shared" si="365"/>
        <v>405,634542683733</v>
      </c>
      <c r="AG455" t="str">
        <f t="shared" si="366"/>
        <v>1+11337,6264062037i</v>
      </c>
      <c r="AH455">
        <f t="shared" si="384"/>
        <v>11337.626450304642</v>
      </c>
      <c r="AI455">
        <f t="shared" si="385"/>
        <v>1.5707081249119292</v>
      </c>
      <c r="AJ455" t="str">
        <f t="shared" si="367"/>
        <v>1+1,91479912638108i</v>
      </c>
      <c r="AK455">
        <f t="shared" si="386"/>
        <v>2.16019806832377</v>
      </c>
      <c r="AL455">
        <f t="shared" si="387"/>
        <v>1.0895091477717922</v>
      </c>
      <c r="AM455" t="str">
        <f t="shared" si="368"/>
        <v>1-10,3200168334782i</v>
      </c>
      <c r="AN455">
        <f t="shared" si="388"/>
        <v>10.368353169297109</v>
      </c>
      <c r="AO455">
        <f t="shared" si="389"/>
        <v>-1.4741988385106022</v>
      </c>
      <c r="AP455" s="41" t="str">
        <f t="shared" si="390"/>
        <v>-0,30065409806966-0,74279936762051i</v>
      </c>
      <c r="AQ455">
        <f t="shared" si="391"/>
        <v>-1.9236771491270221</v>
      </c>
      <c r="AR455" s="43">
        <f t="shared" si="392"/>
        <v>-112.03604210588752</v>
      </c>
      <c r="AS455" t="str">
        <f t="shared" si="369"/>
        <v>-0,0000166666666666667</v>
      </c>
      <c r="AT455" t="str">
        <f t="shared" si="370"/>
        <v>0,326252312687237i</v>
      </c>
      <c r="AU455">
        <f t="shared" si="393"/>
        <v>0.32625231268723698</v>
      </c>
      <c r="AV455">
        <f t="shared" si="394"/>
        <v>1.5707963267948966</v>
      </c>
      <c r="AW455" t="str">
        <f t="shared" si="371"/>
        <v>1+11,6304347006095i</v>
      </c>
      <c r="AX455">
        <f t="shared" si="395"/>
        <v>11.67334619229386</v>
      </c>
      <c r="AY455">
        <f t="shared" si="396"/>
        <v>1.4850259633380893</v>
      </c>
      <c r="AZ455" t="str">
        <f t="shared" si="372"/>
        <v>1+1717,42752412333i</v>
      </c>
      <c r="BA455">
        <f t="shared" si="397"/>
        <v>1717.4278152564057</v>
      </c>
      <c r="BB455">
        <f t="shared" si="398"/>
        <v>1.5702140606596784</v>
      </c>
      <c r="BC455" s="41" t="str">
        <f t="shared" si="399"/>
        <v>-0,000639487101097525+0,00748859817739625i</v>
      </c>
      <c r="BD455">
        <f t="shared" si="400"/>
        <v>-42.480434446630049</v>
      </c>
      <c r="BE455" s="43">
        <f t="shared" si="401"/>
        <v>94.880918441276748</v>
      </c>
      <c r="BF455" s="41" t="str">
        <f t="shared" si="402"/>
        <v>-0,000354826837188789-0,000833808035746728i</v>
      </c>
      <c r="BG455" s="20">
        <f t="shared" si="403"/>
        <v>-60.855838891936436</v>
      </c>
      <c r="BH455" s="43">
        <f t="shared" si="404"/>
        <v>-113.0521682139604</v>
      </c>
      <c r="BI455" s="41" t="str">
        <f t="shared" si="409"/>
        <v>0,0057547904081417-0,00177646711653445i</v>
      </c>
      <c r="BJ455" s="20">
        <f t="shared" si="405"/>
        <v>-44.404111595757065</v>
      </c>
      <c r="BK455" s="43">
        <f t="shared" si="410"/>
        <v>-17.155123664610709</v>
      </c>
      <c r="BL455">
        <f t="shared" si="406"/>
        <v>-60.855838891936436</v>
      </c>
      <c r="BM455" s="43">
        <f t="shared" si="407"/>
        <v>-113.0521682139604</v>
      </c>
    </row>
    <row r="456" spans="14:65" x14ac:dyDescent="0.35">
      <c r="N456" s="9">
        <v>38</v>
      </c>
      <c r="O456" s="34">
        <f t="shared" si="408"/>
        <v>239883.29190194907</v>
      </c>
      <c r="P456" s="33" t="str">
        <f t="shared" si="360"/>
        <v>59,1053597814893</v>
      </c>
      <c r="Q456" s="4" t="str">
        <f t="shared" si="361"/>
        <v>1+11581,1073142855i</v>
      </c>
      <c r="R456" s="4">
        <f t="shared" si="373"/>
        <v>11581.107357459263</v>
      </c>
      <c r="S456" s="4">
        <f t="shared" si="374"/>
        <v>1.570709979266083</v>
      </c>
      <c r="T456" s="4" t="str">
        <f t="shared" si="362"/>
        <v>1+1,95940052765106i</v>
      </c>
      <c r="U456" s="4">
        <f t="shared" si="375"/>
        <v>2.1998296360762239</v>
      </c>
      <c r="V456" s="4">
        <f t="shared" si="376"/>
        <v>1.0988949685673191</v>
      </c>
      <c r="W456" t="str">
        <f t="shared" si="363"/>
        <v>1-72,3470964055777i</v>
      </c>
      <c r="X456" s="4">
        <f t="shared" si="377"/>
        <v>72.354007202904498</v>
      </c>
      <c r="Y456" s="4">
        <f t="shared" si="378"/>
        <v>-1.5569749521707574</v>
      </c>
      <c r="Z456" t="str">
        <f t="shared" si="364"/>
        <v>-0,18892549036603+6,76883818643093i</v>
      </c>
      <c r="AA456" s="4">
        <f t="shared" si="379"/>
        <v>6.7714742290726919</v>
      </c>
      <c r="AB456" s="4">
        <f t="shared" si="380"/>
        <v>1.5987001484982697</v>
      </c>
      <c r="AC456" s="47" t="str">
        <f t="shared" si="381"/>
        <v>-0,106077504436371+0,056022701390913i</v>
      </c>
      <c r="AD456" s="20">
        <f t="shared" si="382"/>
        <v>-18.419096298180438</v>
      </c>
      <c r="AE456" s="43">
        <f t="shared" si="383"/>
        <v>152.1601263931847</v>
      </c>
      <c r="AF456" t="str">
        <f t="shared" si="365"/>
        <v>405,634542683733</v>
      </c>
      <c r="AG456" t="str">
        <f t="shared" si="366"/>
        <v>1+11601,7136505655i</v>
      </c>
      <c r="AH456">
        <f t="shared" si="384"/>
        <v>11601.713693662579</v>
      </c>
      <c r="AI456">
        <f t="shared" si="385"/>
        <v>1.5707101326318926</v>
      </c>
      <c r="AJ456" t="str">
        <f t="shared" si="367"/>
        <v>1+1,95940052765106i</v>
      </c>
      <c r="AK456">
        <f t="shared" si="386"/>
        <v>2.1998296360762239</v>
      </c>
      <c r="AL456">
        <f t="shared" si="387"/>
        <v>1.0988949685673191</v>
      </c>
      <c r="AM456" t="str">
        <f t="shared" si="368"/>
        <v>1-10,5604009059176i</v>
      </c>
      <c r="AN456">
        <f t="shared" si="388"/>
        <v>10.60764192899182</v>
      </c>
      <c r="AO456">
        <f t="shared" si="389"/>
        <v>-1.4763844723250117</v>
      </c>
      <c r="AP456" s="41" t="str">
        <f t="shared" si="390"/>
        <v>-0,300654240203167-0,758452395273152i</v>
      </c>
      <c r="AQ456">
        <f t="shared" si="391"/>
        <v>-1.7675862548779278</v>
      </c>
      <c r="AR456" s="43">
        <f t="shared" si="392"/>
        <v>-111.62361681404477</v>
      </c>
      <c r="AS456" t="str">
        <f t="shared" si="369"/>
        <v>-0,0000166666666666667</v>
      </c>
      <c r="AT456" t="str">
        <f t="shared" si="370"/>
        <v>0,333851705288238i</v>
      </c>
      <c r="AU456">
        <f t="shared" si="393"/>
        <v>0.33385170528823799</v>
      </c>
      <c r="AV456">
        <f t="shared" si="394"/>
        <v>1.5707963267948966</v>
      </c>
      <c r="AW456" t="str">
        <f t="shared" si="371"/>
        <v>1+11,9013423263126i</v>
      </c>
      <c r="AX456">
        <f t="shared" si="395"/>
        <v>11.943280502779787</v>
      </c>
      <c r="AY456">
        <f t="shared" si="396"/>
        <v>1.4869690962402331</v>
      </c>
      <c r="AZ456" t="str">
        <f t="shared" si="372"/>
        <v>1+1757,43155018549i</v>
      </c>
      <c r="BA456">
        <f t="shared" si="397"/>
        <v>1757.4318346915688</v>
      </c>
      <c r="BB456">
        <f t="shared" si="398"/>
        <v>1.570227314652165</v>
      </c>
      <c r="BC456" s="41" t="str">
        <f t="shared" si="399"/>
        <v>-0,000610907215975135+0,00732053827187297i</v>
      </c>
      <c r="BD456">
        <f t="shared" si="400"/>
        <v>-42.67899985163794</v>
      </c>
      <c r="BE456" s="43">
        <f t="shared" si="401"/>
        <v>94.770344524782089</v>
      </c>
      <c r="BF456" s="41" t="str">
        <f t="shared" si="402"/>
        <v>-0,000345312816713076-0,000810769103549358i</v>
      </c>
      <c r="BG456" s="20">
        <f t="shared" si="403"/>
        <v>-61.098096149818375</v>
      </c>
      <c r="BH456" s="43">
        <f t="shared" si="404"/>
        <v>-113.0695290820332</v>
      </c>
      <c r="BI456" s="41" t="str">
        <f t="shared" si="409"/>
        <v>0,00573595163184447-0,00173760683076218i</v>
      </c>
      <c r="BJ456" s="20">
        <f t="shared" si="405"/>
        <v>-44.446586106515866</v>
      </c>
      <c r="BK456" s="43">
        <f t="shared" si="410"/>
        <v>-16.853272289262691</v>
      </c>
      <c r="BL456">
        <f t="shared" si="406"/>
        <v>-61.098096149818375</v>
      </c>
      <c r="BM456" s="43">
        <f t="shared" si="407"/>
        <v>-113.0695290820332</v>
      </c>
    </row>
    <row r="457" spans="14:65" x14ac:dyDescent="0.35">
      <c r="N457" s="9">
        <v>39</v>
      </c>
      <c r="O457" s="34">
        <f t="shared" si="408"/>
        <v>245470.89156850305</v>
      </c>
      <c r="P457" s="33" t="str">
        <f t="shared" si="360"/>
        <v>59,1053597814893</v>
      </c>
      <c r="Q457" s="4" t="str">
        <f t="shared" si="361"/>
        <v>1+11850,8659575598i</v>
      </c>
      <c r="R457" s="4">
        <f t="shared" si="373"/>
        <v>11850.865999750809</v>
      </c>
      <c r="S457" s="4">
        <f t="shared" si="374"/>
        <v>1.5707119447757929</v>
      </c>
      <c r="T457" s="4" t="str">
        <f t="shared" si="362"/>
        <v>1+2,00504082901654i</v>
      </c>
      <c r="U457" s="4">
        <f t="shared" si="375"/>
        <v>2.2405777661182245</v>
      </c>
      <c r="V457" s="4">
        <f t="shared" si="376"/>
        <v>1.1081548545518607</v>
      </c>
      <c r="W457" t="str">
        <f t="shared" si="363"/>
        <v>1-74,0322767636876i</v>
      </c>
      <c r="X457" s="4">
        <f t="shared" si="377"/>
        <v>74.03903026657791</v>
      </c>
      <c r="Y457" s="4">
        <f t="shared" si="378"/>
        <v>-1.5572895263592856</v>
      </c>
      <c r="Z457" t="str">
        <f t="shared" si="364"/>
        <v>-0,24495782246768+6,92650468205713i</v>
      </c>
      <c r="AA457" s="4">
        <f t="shared" si="379"/>
        <v>6.9308348303323069</v>
      </c>
      <c r="AB457" s="4">
        <f t="shared" si="380"/>
        <v>1.6061468805118435</v>
      </c>
      <c r="AC457" s="47" t="str">
        <f t="shared" si="381"/>
        <v>-0,10564105482933+0,0555901564097046i</v>
      </c>
      <c r="AD457" s="20">
        <f t="shared" si="382"/>
        <v>-18.461760550304284</v>
      </c>
      <c r="AE457" s="43">
        <f t="shared" si="383"/>
        <v>152.2458760745711</v>
      </c>
      <c r="AF457" t="str">
        <f t="shared" si="365"/>
        <v>405,634542683733</v>
      </c>
      <c r="AG457" t="str">
        <f t="shared" si="366"/>
        <v>1+11871,9522770716i</v>
      </c>
      <c r="AH457">
        <f t="shared" si="384"/>
        <v>11871.952319187671</v>
      </c>
      <c r="AI457">
        <f t="shared" si="385"/>
        <v>1.5707120946505706</v>
      </c>
      <c r="AJ457" t="str">
        <f t="shared" si="367"/>
        <v>1+2,00504082901654i</v>
      </c>
      <c r="AK457">
        <f t="shared" si="386"/>
        <v>2.2405777661182245</v>
      </c>
      <c r="AL457">
        <f t="shared" si="387"/>
        <v>1.1081548545518607</v>
      </c>
      <c r="AM457" t="str">
        <f t="shared" si="368"/>
        <v>1-10,8063842427008i</v>
      </c>
      <c r="AN457">
        <f t="shared" si="388"/>
        <v>10.852554556457761</v>
      </c>
      <c r="AO457">
        <f t="shared" si="389"/>
        <v>-1.478521229593275</v>
      </c>
      <c r="AP457" s="41" t="str">
        <f t="shared" si="390"/>
        <v>-0,300654375939617-0,77450756442398i</v>
      </c>
      <c r="AQ457">
        <f t="shared" si="391"/>
        <v>-1.6099042548916984</v>
      </c>
      <c r="AR457" s="43">
        <f t="shared" si="392"/>
        <v>-111.21560401706321</v>
      </c>
      <c r="AS457" t="str">
        <f t="shared" si="369"/>
        <v>-0,0000166666666666667</v>
      </c>
      <c r="AT457" t="str">
        <f t="shared" si="370"/>
        <v>0,341628110482433i</v>
      </c>
      <c r="AU457">
        <f t="shared" si="393"/>
        <v>0.34162811048243302</v>
      </c>
      <c r="AV457">
        <f t="shared" si="394"/>
        <v>1.5707963267948966</v>
      </c>
      <c r="AW457" t="str">
        <f t="shared" si="371"/>
        <v>1+12,17856020125i</v>
      </c>
      <c r="AX457">
        <f t="shared" si="395"/>
        <v>12.219546987326103</v>
      </c>
      <c r="AY457">
        <f t="shared" si="396"/>
        <v>1.4888686113527245</v>
      </c>
      <c r="AZ457" t="str">
        <f t="shared" si="372"/>
        <v>1+1798,36738971791i</v>
      </c>
      <c r="BA457">
        <f t="shared" si="397"/>
        <v>1798.3676677478411</v>
      </c>
      <c r="BB457">
        <f t="shared" si="398"/>
        <v>1.5702402669471425</v>
      </c>
      <c r="BC457" s="41" t="str">
        <f t="shared" si="399"/>
        <v>-0,000583596002412366+0,00715614504176368i</v>
      </c>
      <c r="BD457">
        <f t="shared" si="400"/>
        <v>-42.877629381500064</v>
      </c>
      <c r="BE457" s="43">
        <f t="shared" si="401"/>
        <v>94.662252437552226</v>
      </c>
      <c r="BF457" s="41" t="str">
        <f t="shared" si="402"/>
        <v>-0,000336159524873152-0,000788424903777777i</v>
      </c>
      <c r="BG457" s="20">
        <f t="shared" si="403"/>
        <v>-61.339389931804348</v>
      </c>
      <c r="BH457" s="43">
        <f t="shared" si="404"/>
        <v>-113.09187148787662</v>
      </c>
      <c r="BI457" s="41" t="str">
        <f t="shared" si="409"/>
        <v>0,00571794915886727-0,00169952680322887i</v>
      </c>
      <c r="BJ457" s="20">
        <f t="shared" si="405"/>
        <v>-44.487533636391767</v>
      </c>
      <c r="BK457" s="43">
        <f t="shared" si="410"/>
        <v>-16.553351579510984</v>
      </c>
      <c r="BL457">
        <f t="shared" si="406"/>
        <v>-61.339389931804348</v>
      </c>
      <c r="BM457" s="43">
        <f t="shared" si="407"/>
        <v>-113.09187148787662</v>
      </c>
    </row>
    <row r="458" spans="14:65" x14ac:dyDescent="0.35">
      <c r="N458" s="9">
        <v>40</v>
      </c>
      <c r="O458" s="34">
        <f t="shared" si="408"/>
        <v>251188.64315095844</v>
      </c>
      <c r="P458" s="33" t="str">
        <f t="shared" si="360"/>
        <v>59,1053597814893</v>
      </c>
      <c r="Q458" s="4" t="str">
        <f t="shared" si="361"/>
        <v>1+12126,9080868295i</v>
      </c>
      <c r="R458" s="4">
        <f t="shared" si="373"/>
        <v>12126.908128060124</v>
      </c>
      <c r="S458" s="4">
        <f t="shared" si="374"/>
        <v>1.5707138655450403</v>
      </c>
      <c r="T458" s="4" t="str">
        <f t="shared" si="362"/>
        <v>1+2,05174422956942i</v>
      </c>
      <c r="U458" s="4">
        <f t="shared" si="375"/>
        <v>2.282466732193793</v>
      </c>
      <c r="V458" s="4">
        <f t="shared" si="376"/>
        <v>1.1172873625672164</v>
      </c>
      <c r="W458" t="str">
        <f t="shared" si="363"/>
        <v>1-75,7567100148712i</v>
      </c>
      <c r="X458" s="4">
        <f t="shared" si="377"/>
        <v>75.76330980281476</v>
      </c>
      <c r="Y458" s="4">
        <f t="shared" si="378"/>
        <v>-1.5575969425483043</v>
      </c>
      <c r="Z458" t="str">
        <f t="shared" si="364"/>
        <v>-0,3036308770252+7,08784370214892i</v>
      </c>
      <c r="AA458" s="4">
        <f t="shared" si="379"/>
        <v>7.0943442301297441</v>
      </c>
      <c r="AB458" s="4">
        <f t="shared" si="380"/>
        <v>1.6136084091928504</v>
      </c>
      <c r="AC458" s="47" t="str">
        <f t="shared" si="381"/>
        <v>-0,105210561657004+0,055180826002134i</v>
      </c>
      <c r="AD458" s="20">
        <f t="shared" si="382"/>
        <v>-18.503441684787919</v>
      </c>
      <c r="AE458" s="43">
        <f t="shared" si="383"/>
        <v>152.32389243592689</v>
      </c>
      <c r="AF458" t="str">
        <f t="shared" si="365"/>
        <v>405,634542683733</v>
      </c>
      <c r="AG458" t="str">
        <f t="shared" si="366"/>
        <v>1+12148,485569819i</v>
      </c>
      <c r="AH458">
        <f t="shared" si="384"/>
        <v>12148.485610976393</v>
      </c>
      <c r="AI458">
        <f t="shared" si="385"/>
        <v>1.5707140120082514</v>
      </c>
      <c r="AJ458" t="str">
        <f t="shared" si="367"/>
        <v>1+2,05174422956942i</v>
      </c>
      <c r="AK458">
        <f t="shared" si="386"/>
        <v>2.282466732193793</v>
      </c>
      <c r="AL458">
        <f t="shared" si="387"/>
        <v>1.1172873625672164</v>
      </c>
      <c r="AM458" t="str">
        <f t="shared" si="368"/>
        <v>1-11,0580972674489i</v>
      </c>
      <c r="AN458">
        <f t="shared" si="388"/>
        <v>11.103220937023671</v>
      </c>
      <c r="AO458">
        <f t="shared" si="389"/>
        <v>-1.4806101651624424</v>
      </c>
      <c r="AP458" s="41" t="str">
        <f t="shared" si="390"/>
        <v>-0,300654505566917-0,790973387736249i</v>
      </c>
      <c r="AQ458">
        <f t="shared" si="391"/>
        <v>-1.4506754901403927</v>
      </c>
      <c r="AR458" s="43">
        <f t="shared" si="392"/>
        <v>-110.81214689970493</v>
      </c>
      <c r="AS458" t="str">
        <f t="shared" si="369"/>
        <v>-0,0000166666666666667</v>
      </c>
      <c r="AT458" t="str">
        <f t="shared" si="370"/>
        <v>0,34958565142279i</v>
      </c>
      <c r="AU458">
        <f t="shared" si="393"/>
        <v>0.34958565142279002</v>
      </c>
      <c r="AV458">
        <f t="shared" si="394"/>
        <v>1.5707963267948966</v>
      </c>
      <c r="AW458" t="str">
        <f t="shared" si="371"/>
        <v>1+12,4622353100084i</v>
      </c>
      <c r="AX458">
        <f t="shared" si="395"/>
        <v>12.502292146723342</v>
      </c>
      <c r="AY458">
        <f t="shared" si="396"/>
        <v>1.4907254609631095</v>
      </c>
      <c r="AZ458" t="str">
        <f t="shared" si="372"/>
        <v>1+1840,25674744458i</v>
      </c>
      <c r="BA458">
        <f t="shared" si="397"/>
        <v>1840.2570191457778</v>
      </c>
      <c r="BB458">
        <f t="shared" si="398"/>
        <v>1.5702529244120715</v>
      </c>
      <c r="BC458" s="41" t="str">
        <f t="shared" si="399"/>
        <v>-0,000557497897241724+0,00699534546865396i</v>
      </c>
      <c r="BD458">
        <f t="shared" si="400"/>
        <v>-43.076320188807635</v>
      </c>
      <c r="BE458" s="43">
        <f t="shared" si="401"/>
        <v>94.55658801100644</v>
      </c>
      <c r="BF458" s="41" t="str">
        <f t="shared" si="402"/>
        <v>-0,00032735427423921-0,000766747420206112i</v>
      </c>
      <c r="BG458" s="20">
        <f t="shared" si="403"/>
        <v>-61.579761873595558</v>
      </c>
      <c r="BH458" s="43">
        <f t="shared" si="404"/>
        <v>-113.11951955306665</v>
      </c>
      <c r="BI458" s="41" t="str">
        <f t="shared" si="409"/>
        <v>0,00570074635837645-0,00166221613271081i</v>
      </c>
      <c r="BJ458" s="20">
        <f t="shared" si="405"/>
        <v>-44.526995678948026</v>
      </c>
      <c r="BK458" s="43">
        <f t="shared" si="410"/>
        <v>-16.25555888869852</v>
      </c>
      <c r="BL458">
        <f t="shared" si="406"/>
        <v>-61.579761873595558</v>
      </c>
      <c r="BM458" s="43">
        <f t="shared" si="407"/>
        <v>-113.11951955306665</v>
      </c>
    </row>
    <row r="459" spans="14:65" x14ac:dyDescent="0.35">
      <c r="N459" s="9">
        <v>41</v>
      </c>
      <c r="O459" s="34">
        <f t="shared" si="408"/>
        <v>257039.57827688678</v>
      </c>
      <c r="P459" s="33" t="str">
        <f t="shared" si="360"/>
        <v>59,1053597814893</v>
      </c>
      <c r="Q459" s="4" t="str">
        <f t="shared" si="361"/>
        <v>1+12409,3800632854i</v>
      </c>
      <c r="R459" s="4">
        <f t="shared" si="373"/>
        <v>12409.3801035775</v>
      </c>
      <c r="S459" s="4">
        <f t="shared" si="374"/>
        <v>1.5707157425922422</v>
      </c>
      <c r="T459" s="4" t="str">
        <f t="shared" si="362"/>
        <v>1+2,09953549207086i</v>
      </c>
      <c r="U459" s="4">
        <f t="shared" si="375"/>
        <v>2.3255212926277902</v>
      </c>
      <c r="V459" s="4">
        <f t="shared" si="376"/>
        <v>1.1262912404247349</v>
      </c>
      <c r="W459" t="str">
        <f t="shared" si="363"/>
        <v>1-77,5213104764627i</v>
      </c>
      <c r="X459" s="4">
        <f t="shared" si="377"/>
        <v>77.527760047534755</v>
      </c>
      <c r="Y459" s="4">
        <f t="shared" si="378"/>
        <v>-1.557897363501394</v>
      </c>
      <c r="Z459" t="str">
        <f t="shared" si="364"/>
        <v>-0,36506910745371+7,25294079079025i</v>
      </c>
      <c r="AA459" s="4">
        <f t="shared" si="379"/>
        <v>7.2621226626879647</v>
      </c>
      <c r="AB459" s="4">
        <f t="shared" si="380"/>
        <v>1.6210878270582139</v>
      </c>
      <c r="AC459" s="47" t="str">
        <f t="shared" si="381"/>
        <v>-0,104785248296838+0,054794569772832i</v>
      </c>
      <c r="AD459" s="20">
        <f t="shared" si="382"/>
        <v>-18.54418491155311</v>
      </c>
      <c r="AE459" s="43">
        <f t="shared" si="383"/>
        <v>152.39391715994196</v>
      </c>
      <c r="AF459" t="str">
        <f t="shared" si="365"/>
        <v>405,634542683733</v>
      </c>
      <c r="AG459" t="str">
        <f t="shared" si="366"/>
        <v>1+12431,4601504196i</v>
      </c>
      <c r="AH459">
        <f t="shared" si="384"/>
        <v>12431.460190640135</v>
      </c>
      <c r="AI459">
        <f t="shared" si="385"/>
        <v>1.5707158857215437</v>
      </c>
      <c r="AJ459" t="str">
        <f t="shared" si="367"/>
        <v>1+2,09953549207086i</v>
      </c>
      <c r="AK459">
        <f t="shared" si="386"/>
        <v>2.3255212926277902</v>
      </c>
      <c r="AL459">
        <f t="shared" si="387"/>
        <v>1.1262912404247349</v>
      </c>
      <c r="AM459" t="str">
        <f t="shared" si="368"/>
        <v>1-11,3156734417394i</v>
      </c>
      <c r="AN459">
        <f t="shared" si="388"/>
        <v>11.359774004798087</v>
      </c>
      <c r="AO459">
        <f t="shared" si="389"/>
        <v>-1.4826523136504006</v>
      </c>
      <c r="AP459" s="41" t="str">
        <f t="shared" si="390"/>
        <v>-0,30065462936003-0,807858595607515i</v>
      </c>
      <c r="AQ459">
        <f t="shared" si="391"/>
        <v>-1.2899440125591943</v>
      </c>
      <c r="AR459" s="43">
        <f t="shared" si="392"/>
        <v>-110.41337654458044</v>
      </c>
      <c r="AS459" t="str">
        <f t="shared" si="369"/>
        <v>-0,0000166666666666667</v>
      </c>
      <c r="AT459" t="str">
        <f t="shared" si="370"/>
        <v>0,357728547302843i</v>
      </c>
      <c r="AU459">
        <f t="shared" si="393"/>
        <v>0.35772854730284298</v>
      </c>
      <c r="AV459">
        <f t="shared" si="394"/>
        <v>1.5707963267948966</v>
      </c>
      <c r="AW459" t="str">
        <f t="shared" si="371"/>
        <v>1+12,7525180608854i</v>
      </c>
      <c r="AX459">
        <f t="shared" si="395"/>
        <v>12.79166591547826</v>
      </c>
      <c r="AY459">
        <f t="shared" si="396"/>
        <v>1.4925405783513765</v>
      </c>
      <c r="AZ459" t="str">
        <f t="shared" si="372"/>
        <v>1+1883,1218336574i</v>
      </c>
      <c r="BA459">
        <f t="shared" si="397"/>
        <v>1883.1220991739247</v>
      </c>
      <c r="BB459">
        <f t="shared" si="398"/>
        <v>1.5702652937580914</v>
      </c>
      <c r="BC459" s="41" t="str">
        <f t="shared" si="399"/>
        <v>-0,000532559704809156+0,00683806751586316i</v>
      </c>
      <c r="BD459">
        <f t="shared" si="400"/>
        <v>-43.275069550935463</v>
      </c>
      <c r="BE459" s="43">
        <f t="shared" si="401"/>
        <v>94.453298156660196</v>
      </c>
      <c r="BF459" s="41" t="str">
        <f t="shared" si="402"/>
        <v>-0,000318884566707982-0,000745709982423627i</v>
      </c>
      <c r="BG459" s="20">
        <f t="shared" si="403"/>
        <v>-61.81925446248858</v>
      </c>
      <c r="BH459" s="43">
        <f t="shared" si="404"/>
        <v>-113.15278468339787</v>
      </c>
      <c r="BI459" s="41" t="str">
        <f t="shared" si="409"/>
        <v>0,00568430816069606-0,00162566371931642i</v>
      </c>
      <c r="BJ459" s="20">
        <f t="shared" si="405"/>
        <v>-44.565013563494666</v>
      </c>
      <c r="BK459" s="43">
        <f t="shared" si="410"/>
        <v>-15.960078387920237</v>
      </c>
      <c r="BL459">
        <f t="shared" si="406"/>
        <v>-61.81925446248858</v>
      </c>
      <c r="BM459" s="43">
        <f t="shared" si="407"/>
        <v>-113.15278468339787</v>
      </c>
    </row>
    <row r="460" spans="14:65" x14ac:dyDescent="0.35">
      <c r="N460" s="9">
        <v>42</v>
      </c>
      <c r="O460" s="34">
        <f t="shared" si="408"/>
        <v>263026.79918953858</v>
      </c>
      <c r="P460" s="33" t="str">
        <f t="shared" si="360"/>
        <v>59,1053597814893</v>
      </c>
      <c r="Q460" s="4" t="str">
        <f t="shared" si="361"/>
        <v>1+12698,4316573084i</v>
      </c>
      <c r="R460" s="4">
        <f t="shared" si="373"/>
        <v>12698.431696683339</v>
      </c>
      <c r="S460" s="4">
        <f t="shared" si="374"/>
        <v>1.570717576912634</v>
      </c>
      <c r="T460" s="4" t="str">
        <f t="shared" si="362"/>
        <v>1+2,14843995608083i</v>
      </c>
      <c r="U460" s="4">
        <f t="shared" si="375"/>
        <v>2.3697667068478698</v>
      </c>
      <c r="V460" s="4">
        <f t="shared" si="376"/>
        <v>1.1351654215711735</v>
      </c>
      <c r="W460" t="str">
        <f t="shared" si="363"/>
        <v>1-79,3270137629848i</v>
      </c>
      <c r="X460" s="4">
        <f t="shared" si="377"/>
        <v>79.333316535695019</v>
      </c>
      <c r="Y460" s="4">
        <f t="shared" si="378"/>
        <v>-1.5581909482886855</v>
      </c>
      <c r="Z460" t="str">
        <f t="shared" si="364"/>
        <v>-0,42940283247714+7,42188348464288i</v>
      </c>
      <c r="AA460" s="4">
        <f t="shared" si="379"/>
        <v>7.434294939814678</v>
      </c>
      <c r="AB460" s="4">
        <f t="shared" si="380"/>
        <v>1.6285882164620189</v>
      </c>
      <c r="AC460" s="47" t="str">
        <f t="shared" si="381"/>
        <v>-0,104364348712446+0,0544312341080916i</v>
      </c>
      <c r="AD460" s="20">
        <f t="shared" si="382"/>
        <v>-18.584036094298774</v>
      </c>
      <c r="AE460" s="43">
        <f t="shared" si="383"/>
        <v>152.45570336066683</v>
      </c>
      <c r="AF460" t="str">
        <f t="shared" si="365"/>
        <v>405,634542683733</v>
      </c>
      <c r="AG460" t="str">
        <f t="shared" si="366"/>
        <v>1+12721,0260557418i</v>
      </c>
      <c r="AH460">
        <f t="shared" si="384"/>
        <v>12721.026095046805</v>
      </c>
      <c r="AI460">
        <f t="shared" si="385"/>
        <v>1.570717716783915</v>
      </c>
      <c r="AJ460" t="str">
        <f t="shared" si="367"/>
        <v>1+2,14843995608083i</v>
      </c>
      <c r="AK460">
        <f t="shared" si="386"/>
        <v>2.3697667068478698</v>
      </c>
      <c r="AL460">
        <f t="shared" si="387"/>
        <v>1.1351654215711735</v>
      </c>
      <c r="AM460" t="str">
        <f t="shared" si="368"/>
        <v>1-11,5792493358694i</v>
      </c>
      <c r="AN460">
        <f t="shared" si="388"/>
        <v>11.622349813279238</v>
      </c>
      <c r="AO460">
        <f t="shared" si="389"/>
        <v>-1.4846486896614639</v>
      </c>
      <c r="AP460" s="41" t="str">
        <f t="shared" si="390"/>
        <v>-0,300654747581537-0,825172140798541i</v>
      </c>
      <c r="AQ460">
        <f t="shared" si="391"/>
        <v>-1.1277535151413978</v>
      </c>
      <c r="AR460" s="43">
        <f t="shared" si="392"/>
        <v>-110.01941225015607</v>
      </c>
      <c r="AS460" t="str">
        <f t="shared" si="369"/>
        <v>-0,0000166666666666667</v>
      </c>
      <c r="AT460" t="str">
        <f t="shared" si="370"/>
        <v>0,366061115593774i</v>
      </c>
      <c r="AU460">
        <f t="shared" si="393"/>
        <v>0.36606111559377402</v>
      </c>
      <c r="AV460">
        <f t="shared" si="394"/>
        <v>1.5707963267948966</v>
      </c>
      <c r="AW460" t="str">
        <f t="shared" si="371"/>
        <v>1+13,0495623656377i</v>
      </c>
      <c r="AX460">
        <f t="shared" si="395"/>
        <v>13.0878217414002</v>
      </c>
      <c r="AY460">
        <f t="shared" si="396"/>
        <v>1.4943148780486653</v>
      </c>
      <c r="AZ460" t="str">
        <f t="shared" si="372"/>
        <v>1+1926,9853759925i</v>
      </c>
      <c r="BA460">
        <f t="shared" si="397"/>
        <v>1926.9856354651315</v>
      </c>
      <c r="BB460">
        <f t="shared" si="398"/>
        <v>1.570277381543578</v>
      </c>
      <c r="BC460" s="41" t="str">
        <f t="shared" si="399"/>
        <v>-0,000508730501893241+0,00668424014970803i</v>
      </c>
      <c r="BD460">
        <f t="shared" si="400"/>
        <v>-43.473874864717565</v>
      </c>
      <c r="BE460" s="43">
        <f t="shared" si="401"/>
        <v>94.352330851506252</v>
      </c>
      <c r="BF460" s="41" t="str">
        <f t="shared" si="402"/>
        <v>-0,000310738112923219-0,000725287198908339i</v>
      </c>
      <c r="BG460" s="20">
        <f t="shared" si="403"/>
        <v>-62.05791095901634</v>
      </c>
      <c r="BH460" s="43">
        <f t="shared" si="404"/>
        <v>-113.19196578782692</v>
      </c>
      <c r="BI460" s="41" t="str">
        <f t="shared" si="409"/>
        <v>0,00566860099457988-0,00158985829764808i</v>
      </c>
      <c r="BJ460" s="20">
        <f t="shared" si="405"/>
        <v>-44.601628379858951</v>
      </c>
      <c r="BK460" s="43">
        <f t="shared" si="410"/>
        <v>-15.667081398649797</v>
      </c>
      <c r="BL460">
        <f t="shared" si="406"/>
        <v>-62.05791095901634</v>
      </c>
      <c r="BM460" s="43">
        <f t="shared" si="407"/>
        <v>-113.19196578782692</v>
      </c>
    </row>
    <row r="461" spans="14:65" x14ac:dyDescent="0.35">
      <c r="N461" s="9">
        <v>43</v>
      </c>
      <c r="O461" s="34">
        <f t="shared" si="408"/>
        <v>269153.48039269145</v>
      </c>
      <c r="P461" s="33" t="str">
        <f t="shared" si="360"/>
        <v>59,1053597814893</v>
      </c>
      <c r="Q461" s="4" t="str">
        <f t="shared" si="361"/>
        <v>1+12994,2161278798i</v>
      </c>
      <c r="R461" s="4">
        <f t="shared" si="373"/>
        <v>12994.216166358456</v>
      </c>
      <c r="S461" s="4">
        <f t="shared" si="374"/>
        <v>1.5707193694787966</v>
      </c>
      <c r="T461" s="4" t="str">
        <f t="shared" si="362"/>
        <v>1+2,19848355139349i</v>
      </c>
      <c r="U461" s="4">
        <f t="shared" si="375"/>
        <v>2.4152287522608975</v>
      </c>
      <c r="V461" s="4">
        <f t="shared" si="376"/>
        <v>1.1439090193938124</v>
      </c>
      <c r="W461" t="str">
        <f t="shared" si="363"/>
        <v>1-81,1747772822214i</v>
      </c>
      <c r="X461" s="4">
        <f t="shared" si="377"/>
        <v>81.180936597320965</v>
      </c>
      <c r="Y461" s="4">
        <f t="shared" si="378"/>
        <v>-1.5584778523701661</v>
      </c>
      <c r="Z461" t="str">
        <f t="shared" si="364"/>
        <v>-0,49676851255163+7,59476135935934i</v>
      </c>
      <c r="AA461" s="4">
        <f t="shared" si="379"/>
        <v>7.6109906753773178</v>
      </c>
      <c r="AB461" s="4">
        <f t="shared" si="380"/>
        <v>1.6361126476807286</v>
      </c>
      <c r="AC461" s="47" t="str">
        <f t="shared" si="381"/>
        <v>-0,103947106827602+0,0540906524025046i</v>
      </c>
      <c r="AD461" s="20">
        <f t="shared" si="382"/>
        <v>-18.623041682927234</v>
      </c>
      <c r="AE461" s="43">
        <f t="shared" si="383"/>
        <v>152.50901536212595</v>
      </c>
      <c r="AF461" t="str">
        <f t="shared" si="365"/>
        <v>405,634542683733</v>
      </c>
      <c r="AG461" t="str">
        <f t="shared" si="366"/>
        <v>1+13017,3368174615i</v>
      </c>
      <c r="AH461">
        <f t="shared" si="384"/>
        <v>13017.336855871814</v>
      </c>
      <c r="AI461">
        <f t="shared" si="385"/>
        <v>1.5707195061662185</v>
      </c>
      <c r="AJ461" t="str">
        <f t="shared" si="367"/>
        <v>1+2,19848355139349i</v>
      </c>
      <c r="AK461">
        <f t="shared" si="386"/>
        <v>2.4152287522608975</v>
      </c>
      <c r="AL461">
        <f t="shared" si="387"/>
        <v>1.1439090193938124</v>
      </c>
      <c r="AM461" t="str">
        <f t="shared" si="368"/>
        <v>1-11,8489647012667i</v>
      </c>
      <c r="AN461">
        <f t="shared" si="388"/>
        <v>11.891087607610343</v>
      </c>
      <c r="AO461">
        <f t="shared" si="389"/>
        <v>-1.4866002880125913</v>
      </c>
      <c r="AP461" s="41" t="str">
        <f t="shared" si="390"/>
        <v>-0,300654860482195-0,84292320318023i</v>
      </c>
      <c r="AQ461">
        <f t="shared" si="391"/>
        <v>-0.96414726668939066</v>
      </c>
      <c r="AR461" s="43">
        <f t="shared" si="392"/>
        <v>-109.63036187003719</v>
      </c>
      <c r="AS461" t="str">
        <f t="shared" si="369"/>
        <v>-0,0000166666666666667</v>
      </c>
      <c r="AT461" t="str">
        <f t="shared" si="370"/>
        <v>0,374587774333583i</v>
      </c>
      <c r="AU461">
        <f t="shared" si="393"/>
        <v>0.37458777433358298</v>
      </c>
      <c r="AV461">
        <f t="shared" si="394"/>
        <v>1.5707963267948966</v>
      </c>
      <c r="AW461" t="str">
        <f t="shared" si="371"/>
        <v>1+13,3535257210878i</v>
      </c>
      <c r="AX461">
        <f t="shared" si="395"/>
        <v>13.390916667045371</v>
      </c>
      <c r="AY461">
        <f t="shared" si="396"/>
        <v>1.4960492561012513</v>
      </c>
      <c r="AZ461" t="str">
        <f t="shared" si="372"/>
        <v>1+1971,87063148063i</v>
      </c>
      <c r="BA461">
        <f t="shared" si="397"/>
        <v>1971.8708850469438</v>
      </c>
      <c r="BB461">
        <f t="shared" si="398"/>
        <v>1.5702891941776207</v>
      </c>
      <c r="BC461" s="41" t="str">
        <f t="shared" si="399"/>
        <v>-0,000485961545925619+0,00653379335756245i</v>
      </c>
      <c r="BD461">
        <f t="shared" si="400"/>
        <v>-43.672733641338546</v>
      </c>
      <c r="BE461" s="43">
        <f t="shared" si="401"/>
        <v>94.253635123088529</v>
      </c>
      <c r="BF461" s="41" t="str">
        <f t="shared" si="402"/>
        <v>-0,000302902848645267-0,000705454893189667i</v>
      </c>
      <c r="BG461" s="20">
        <f t="shared" si="403"/>
        <v>-62.295775324265776</v>
      </c>
      <c r="BH461" s="43">
        <f t="shared" si="404"/>
        <v>-113.23734951478549</v>
      </c>
      <c r="BI461" s="41" t="str">
        <f t="shared" si="409"/>
        <v>0,00565359272666423-0,00155478846742339i</v>
      </c>
      <c r="BJ461" s="20">
        <f t="shared" si="405"/>
        <v>-44.636880908027933</v>
      </c>
      <c r="BK461" s="43">
        <f t="shared" si="410"/>
        <v>-15.376726746948627</v>
      </c>
      <c r="BL461">
        <f t="shared" si="406"/>
        <v>-62.295775324265776</v>
      </c>
      <c r="BM461" s="43">
        <f t="shared" si="407"/>
        <v>-113.23734951478549</v>
      </c>
    </row>
    <row r="462" spans="14:65" x14ac:dyDescent="0.35">
      <c r="N462" s="9">
        <v>44</v>
      </c>
      <c r="O462" s="34">
        <f t="shared" si="408"/>
        <v>275422.87033381703</v>
      </c>
      <c r="P462" s="33" t="str">
        <f t="shared" si="360"/>
        <v>59,1053597814893</v>
      </c>
      <c r="Q462" s="4" t="str">
        <f t="shared" si="361"/>
        <v>1+13296,890303841i</v>
      </c>
      <c r="R462" s="4">
        <f t="shared" si="373"/>
        <v>13296.890341443777</v>
      </c>
      <c r="S462" s="4">
        <f t="shared" si="374"/>
        <v>1.570721121241172</v>
      </c>
      <c r="T462" s="4" t="str">
        <f t="shared" si="362"/>
        <v>1+2,24969281178547i</v>
      </c>
      <c r="U462" s="4">
        <f t="shared" si="375"/>
        <v>2.4619337414721816</v>
      </c>
      <c r="V462" s="4">
        <f t="shared" si="376"/>
        <v>1.1525213212172885</v>
      </c>
      <c r="W462" t="str">
        <f t="shared" si="363"/>
        <v>1-83,0655807428483i</v>
      </c>
      <c r="X462" s="4">
        <f t="shared" si="377"/>
        <v>83.071599865096204</v>
      </c>
      <c r="Y462" s="4">
        <f t="shared" si="378"/>
        <v>-1.5587582276771388</v>
      </c>
      <c r="Z462" t="str">
        <f t="shared" si="364"/>
        <v>-0,56730903931651+7,77166607707708i</v>
      </c>
      <c r="AA462" s="4">
        <f t="shared" si="379"/>
        <v>7.7923445226504757</v>
      </c>
      <c r="AB462" s="4">
        <f t="shared" si="380"/>
        <v>1.643664176926962</v>
      </c>
      <c r="AC462" s="47" t="str">
        <f t="shared" si="381"/>
        <v>-0,103532775919555+0,0537726452059057i</v>
      </c>
      <c r="AD462" s="20">
        <f t="shared" si="382"/>
        <v>-18.661248651439966</v>
      </c>
      <c r="AE462" s="43">
        <f t="shared" si="383"/>
        <v>152.5536284634648</v>
      </c>
      <c r="AF462" t="str">
        <f t="shared" si="365"/>
        <v>405,634542683733</v>
      </c>
      <c r="AG462" t="str">
        <f t="shared" si="366"/>
        <v>1+13320,5495434666i</v>
      </c>
      <c r="AH462">
        <f t="shared" si="384"/>
        <v>13320.549581002588</v>
      </c>
      <c r="AI462">
        <f t="shared" si="385"/>
        <v>1.5707212548172085</v>
      </c>
      <c r="AJ462" t="str">
        <f t="shared" si="367"/>
        <v>1+2,24969281178547i</v>
      </c>
      <c r="AK462">
        <f t="shared" si="386"/>
        <v>2.4619337414721816</v>
      </c>
      <c r="AL462">
        <f t="shared" si="387"/>
        <v>1.1525213212172885</v>
      </c>
      <c r="AM462" t="str">
        <f t="shared" si="368"/>
        <v>1-12,1249625445883i</v>
      </c>
      <c r="AN462">
        <f t="shared" si="388"/>
        <v>12.166129898520284</v>
      </c>
      <c r="AO462">
        <f t="shared" si="389"/>
        <v>-1.4885080839690479</v>
      </c>
      <c r="AP462" s="41" t="str">
        <f t="shared" si="390"/>
        <v>-0,300654968301491-0,861121194600875i</v>
      </c>
      <c r="AQ462">
        <f t="shared" si="391"/>
        <v>-0.79916805127703372</v>
      </c>
      <c r="AR462" s="43">
        <f t="shared" si="392"/>
        <v>-109.24632217045793</v>
      </c>
      <c r="AS462" t="str">
        <f t="shared" si="369"/>
        <v>-0,0000166666666666667</v>
      </c>
      <c r="AT462" t="str">
        <f t="shared" si="370"/>
        <v>0,383313044469601i</v>
      </c>
      <c r="AU462">
        <f t="shared" si="393"/>
        <v>0.38331304446960102</v>
      </c>
      <c r="AV462">
        <f t="shared" si="394"/>
        <v>1.5707963267948966</v>
      </c>
      <c r="AW462" t="str">
        <f t="shared" si="371"/>
        <v>1+13,66456929263i</v>
      </c>
      <c r="AX462">
        <f t="shared" si="395"/>
        <v>13.701111413060138</v>
      </c>
      <c r="AY462">
        <f t="shared" si="396"/>
        <v>1.4977445903389786</v>
      </c>
      <c r="AZ462" t="str">
        <f t="shared" si="372"/>
        <v>1+2017,80139887835i</v>
      </c>
      <c r="BA462">
        <f t="shared" si="397"/>
        <v>2017.8016466727906</v>
      </c>
      <c r="BB462">
        <f t="shared" si="398"/>
        <v>1.5703007379234217</v>
      </c>
      <c r="BC462" s="41" t="str">
        <f t="shared" si="399"/>
        <v>-0,000464206186446341+0,0063866581629493i</v>
      </c>
      <c r="BD462">
        <f t="shared" si="400"/>
        <v>-43.871643501430846</v>
      </c>
      <c r="BE462" s="43">
        <f t="shared" si="401"/>
        <v>94.1571610343169</v>
      </c>
      <c r="BF462" s="41" t="str">
        <f t="shared" si="402"/>
        <v>-0,000295366948365854-0,000686190043025592i</v>
      </c>
      <c r="BG462" s="20">
        <f t="shared" si="403"/>
        <v>-62.532892152870815</v>
      </c>
      <c r="BH462" s="43">
        <f t="shared" si="404"/>
        <v>-113.28921050221828</v>
      </c>
      <c r="BI462" s="41" t="str">
        <f t="shared" si="409"/>
        <v>0,00563925260305771-0,00152044272172019i</v>
      </c>
      <c r="BJ462" s="20">
        <f t="shared" si="405"/>
        <v>-44.670811552707875</v>
      </c>
      <c r="BK462" s="43">
        <f t="shared" si="410"/>
        <v>-15.089161136141024</v>
      </c>
      <c r="BL462">
        <f t="shared" si="406"/>
        <v>-62.532892152870815</v>
      </c>
      <c r="BM462" s="43">
        <f t="shared" si="407"/>
        <v>-113.28921050221828</v>
      </c>
    </row>
    <row r="463" spans="14:65" x14ac:dyDescent="0.35">
      <c r="N463" s="9">
        <v>45</v>
      </c>
      <c r="O463" s="34">
        <f t="shared" si="408"/>
        <v>281838.29312644573</v>
      </c>
      <c r="P463" s="33" t="str">
        <f t="shared" si="360"/>
        <v>59,1053597814893</v>
      </c>
      <c r="Q463" s="4" t="str">
        <f t="shared" si="361"/>
        <v>1+13606,6146670464i</v>
      </c>
      <c r="R463" s="4">
        <f t="shared" si="373"/>
        <v>13606.614703793233</v>
      </c>
      <c r="S463" s="4">
        <f t="shared" si="374"/>
        <v>1.5707228331285681</v>
      </c>
      <c r="T463" s="4" t="str">
        <f t="shared" si="362"/>
        <v>1+2,30209488908446i</v>
      </c>
      <c r="U463" s="4">
        <f t="shared" si="375"/>
        <v>2.5099085398374164</v>
      </c>
      <c r="V463" s="4">
        <f t="shared" si="376"/>
        <v>1.1610017820428347</v>
      </c>
      <c r="W463" t="str">
        <f t="shared" si="363"/>
        <v>1-85,0004266738878i</v>
      </c>
      <c r="X463" s="4">
        <f t="shared" si="377"/>
        <v>85.006308793777038</v>
      </c>
      <c r="Y463" s="4">
        <f t="shared" si="378"/>
        <v>-1.5590322226918782</v>
      </c>
      <c r="Z463" t="str">
        <f t="shared" si="364"/>
        <v>-0,64117403868654+7,95269143501903i</v>
      </c>
      <c r="AA463" s="4">
        <f t="shared" si="379"/>
        <v>7.9784964252991077</v>
      </c>
      <c r="AB463" s="4">
        <f t="shared" si="380"/>
        <v>1.6512458442814608</v>
      </c>
      <c r="AC463" s="47" t="str">
        <f t="shared" si="381"/>
        <v>-0,103120618036195+0,05347702029268i</v>
      </c>
      <c r="AD463" s="20">
        <f t="shared" si="382"/>
        <v>-18.698704441266049</v>
      </c>
      <c r="AE463" s="43">
        <f t="shared" si="383"/>
        <v>152.58932869413505</v>
      </c>
      <c r="AF463" t="str">
        <f t="shared" si="365"/>
        <v>405,634542683733</v>
      </c>
      <c r="AG463" t="str">
        <f t="shared" si="366"/>
        <v>1+13630,825001158i</v>
      </c>
      <c r="AH463">
        <f t="shared" si="384"/>
        <v>13630.825037839566</v>
      </c>
      <c r="AI463">
        <f t="shared" si="385"/>
        <v>1.5707229636640427</v>
      </c>
      <c r="AJ463" t="str">
        <f t="shared" si="367"/>
        <v>1+2,30209488908446i</v>
      </c>
      <c r="AK463">
        <f t="shared" si="386"/>
        <v>2.5099085398374164</v>
      </c>
      <c r="AL463">
        <f t="shared" si="387"/>
        <v>1.1610017820428347</v>
      </c>
      <c r="AM463" t="str">
        <f t="shared" si="368"/>
        <v>1-12,4073892035438i</v>
      </c>
      <c r="AN463">
        <f t="shared" si="388"/>
        <v>12.447622537987536</v>
      </c>
      <c r="AO463">
        <f t="shared" si="389"/>
        <v>-1.4903730334883822</v>
      </c>
      <c r="AP463" s="41" t="str">
        <f t="shared" si="390"/>
        <v>-0,300655071268115-0,879775763876448i</v>
      </c>
      <c r="AQ463">
        <f t="shared" si="391"/>
        <v>-0.63285811243679368</v>
      </c>
      <c r="AR463" s="43">
        <f t="shared" si="392"/>
        <v>-108.86737920300233</v>
      </c>
      <c r="AS463" t="str">
        <f t="shared" si="369"/>
        <v>-0,0000166666666666667</v>
      </c>
      <c r="AT463" t="str">
        <f t="shared" si="370"/>
        <v>0,392241552255544i</v>
      </c>
      <c r="AU463">
        <f t="shared" si="393"/>
        <v>0.39224155225554402</v>
      </c>
      <c r="AV463">
        <f t="shared" si="394"/>
        <v>1.5707963267948966</v>
      </c>
      <c r="AW463" t="str">
        <f t="shared" si="371"/>
        <v>1+13,982857999683i</v>
      </c>
      <c r="AX463">
        <f t="shared" si="395"/>
        <v>14.018570463470907</v>
      </c>
      <c r="AY463">
        <f t="shared" si="396"/>
        <v>1.4994017406473956</v>
      </c>
      <c r="AZ463" t="str">
        <f t="shared" si="372"/>
        <v>1+2064,80203128652i</v>
      </c>
      <c r="BA463">
        <f t="shared" si="397"/>
        <v>2064.8022734404713</v>
      </c>
      <c r="BB463">
        <f t="shared" si="398"/>
        <v>1.5703120189016153</v>
      </c>
      <c r="BC463" s="41" t="str">
        <f t="shared" si="399"/>
        <v>-0,000443419779723726+0,00624276663788356i</v>
      </c>
      <c r="BD463">
        <f t="shared" si="400"/>
        <v>-44.070602170371636</v>
      </c>
      <c r="BE463" s="43">
        <f t="shared" si="401"/>
        <v>94.062859668065087</v>
      </c>
      <c r="BF463" s="41" t="str">
        <f t="shared" si="402"/>
        <v>-0,000288118836441981-0,000667470722512753i</v>
      </c>
      <c r="BG463" s="20">
        <f t="shared" si="403"/>
        <v>-62.769306611637681</v>
      </c>
      <c r="BH463" s="43">
        <f t="shared" si="404"/>
        <v>-113.34781163779988</v>
      </c>
      <c r="BI463" s="41" t="str">
        <f t="shared" si="409"/>
        <v>0,00562555119302094-0,00148680947299873i</v>
      </c>
      <c r="BJ463" s="20">
        <f t="shared" si="405"/>
        <v>-44.703460282808429</v>
      </c>
      <c r="BK463" s="43">
        <f t="shared" si="410"/>
        <v>-14.804519534937299</v>
      </c>
      <c r="BL463">
        <f t="shared" si="406"/>
        <v>-62.769306611637681</v>
      </c>
      <c r="BM463" s="43">
        <f t="shared" si="407"/>
        <v>-113.34781163779988</v>
      </c>
    </row>
    <row r="464" spans="14:65" x14ac:dyDescent="0.35">
      <c r="N464" s="9">
        <v>46</v>
      </c>
      <c r="O464" s="34">
        <f t="shared" si="408"/>
        <v>288403.1503126609</v>
      </c>
      <c r="P464" s="33" t="str">
        <f t="shared" si="360"/>
        <v>59,1053597814893</v>
      </c>
      <c r="Q464" s="4" t="str">
        <f t="shared" si="361"/>
        <v>1+13923,5534374531i</v>
      </c>
      <c r="R464" s="4">
        <f t="shared" si="373"/>
        <v>13923.553473363474</v>
      </c>
      <c r="S464" s="4">
        <f t="shared" si="374"/>
        <v>1.5707245060486501</v>
      </c>
      <c r="T464" s="4" t="str">
        <f t="shared" si="362"/>
        <v>1+2,35571756756547i</v>
      </c>
      <c r="U464" s="4">
        <f t="shared" si="375"/>
        <v>2.5591805833384589</v>
      </c>
      <c r="V464" s="4">
        <f t="shared" si="376"/>
        <v>1.1693500180784677</v>
      </c>
      <c r="W464" t="str">
        <f t="shared" si="363"/>
        <v>1-86,9803409562635i</v>
      </c>
      <c r="X464" s="4">
        <f t="shared" si="377"/>
        <v>86.986089191708416</v>
      </c>
      <c r="Y464" s="4">
        <f t="shared" si="378"/>
        <v>-1.559299982525516</v>
      </c>
      <c r="Z464" t="str">
        <f t="shared" si="364"/>
        <v>-0,71852018822867+8,13793341522615i</v>
      </c>
      <c r="AA464" s="4">
        <f t="shared" si="379"/>
        <v>8.1695918828021341</v>
      </c>
      <c r="AB464" s="4">
        <f t="shared" si="380"/>
        <v>1.6588606715330831</v>
      </c>
      <c r="AC464" s="47" t="str">
        <f t="shared" si="381"/>
        <v>-0,102709903441468+0,0532035726555877i</v>
      </c>
      <c r="AD464" s="20">
        <f t="shared" si="382"/>
        <v>-18.735456909949491</v>
      </c>
      <c r="AE464" s="43">
        <f t="shared" si="383"/>
        <v>152.61591256246572</v>
      </c>
      <c r="AF464" t="str">
        <f t="shared" si="365"/>
        <v>405,634542683733</v>
      </c>
      <c r="AG464" t="str">
        <f t="shared" si="366"/>
        <v>1+13948,3277026903i</v>
      </c>
      <c r="AH464">
        <f t="shared" si="384"/>
        <v>13948.327738536889</v>
      </c>
      <c r="AI464">
        <f t="shared" si="385"/>
        <v>1.5707246336127747</v>
      </c>
      <c r="AJ464" t="str">
        <f t="shared" si="367"/>
        <v>1+2,35571756756547i</v>
      </c>
      <c r="AK464">
        <f t="shared" si="386"/>
        <v>2.5591805833384589</v>
      </c>
      <c r="AL464">
        <f t="shared" si="387"/>
        <v>1.1693500180784677</v>
      </c>
      <c r="AM464" t="str">
        <f t="shared" si="368"/>
        <v>1-12,6963944244863i</v>
      </c>
      <c r="AN464">
        <f t="shared" si="388"/>
        <v>12.735714796670299</v>
      </c>
      <c r="AO464">
        <f t="shared" si="389"/>
        <v>-1.492196073471705</v>
      </c>
      <c r="AP464" s="41" t="str">
        <f t="shared" si="390"/>
        <v>-0,300655169600481-0,898896801906568i</v>
      </c>
      <c r="AQ464">
        <f t="shared" si="391"/>
        <v>-0.46525910205046395</v>
      </c>
      <c r="AR464" s="43">
        <f t="shared" si="392"/>
        <v>-108.49360868972379</v>
      </c>
      <c r="AS464" t="str">
        <f t="shared" si="369"/>
        <v>-0,0000166666666666667</v>
      </c>
      <c r="AT464" t="str">
        <f t="shared" si="370"/>
        <v>0,401378031704423i</v>
      </c>
      <c r="AU464">
        <f t="shared" si="393"/>
        <v>0.40137803170442299</v>
      </c>
      <c r="AV464">
        <f t="shared" si="394"/>
        <v>1.5707963267948966</v>
      </c>
      <c r="AW464" t="str">
        <f t="shared" si="371"/>
        <v>1+14,3085606031325i</v>
      </c>
      <c r="AX464">
        <f t="shared" si="395"/>
        <v>14.343462152964168</v>
      </c>
      <c r="AY464">
        <f t="shared" si="396"/>
        <v>1.501021549242888</v>
      </c>
      <c r="AZ464" t="str">
        <f t="shared" si="372"/>
        <v>1+2112,89744906256i</v>
      </c>
      <c r="BA464">
        <f t="shared" si="397"/>
        <v>2112.8976857044149</v>
      </c>
      <c r="BB464">
        <f t="shared" si="398"/>
        <v>1.570323043093514</v>
      </c>
      <c r="BC464" s="41" t="str">
        <f t="shared" si="399"/>
        <v>-0,000423559606465433+0,00610205191267303i</v>
      </c>
      <c r="BD464">
        <f t="shared" si="400"/>
        <v>-44.26960747377295</v>
      </c>
      <c r="BE464" s="43">
        <f t="shared" si="401"/>
        <v>93.970683111592692</v>
      </c>
      <c r="BF464" s="41" t="str">
        <f t="shared" si="402"/>
        <v>-0,000281147196002297-0,000649276047042028i</v>
      </c>
      <c r="BG464" s="20">
        <f t="shared" si="403"/>
        <v>-63.005064383722441</v>
      </c>
      <c r="BH464" s="43">
        <f t="shared" si="404"/>
        <v>-113.41340432594161</v>
      </c>
      <c r="BI464" s="41" t="str">
        <f t="shared" si="409"/>
        <v>0,00561246033468742-0,00145387707704707i</v>
      </c>
      <c r="BJ464" s="20">
        <f t="shared" si="405"/>
        <v>-44.734866575823418</v>
      </c>
      <c r="BK464" s="43">
        <f t="shared" si="410"/>
        <v>-14.522925578131124</v>
      </c>
      <c r="BL464">
        <f t="shared" si="406"/>
        <v>-63.005064383722441</v>
      </c>
      <c r="BM464" s="43">
        <f t="shared" si="407"/>
        <v>-113.41340432594161</v>
      </c>
    </row>
    <row r="465" spans="14:65" x14ac:dyDescent="0.35">
      <c r="N465" s="9">
        <v>47</v>
      </c>
      <c r="O465" s="34">
        <f t="shared" si="408"/>
        <v>295120.92266663886</v>
      </c>
      <c r="P465" s="33" t="str">
        <f t="shared" si="360"/>
        <v>59,1053597814893</v>
      </c>
      <c r="Q465" s="4" t="str">
        <f t="shared" si="361"/>
        <v>1+14247,8746601924i</v>
      </c>
      <c r="R465" s="4">
        <f t="shared" si="373"/>
        <v>14247.874695285353</v>
      </c>
      <c r="S465" s="4">
        <f t="shared" si="374"/>
        <v>1.5707261408884223</v>
      </c>
      <c r="T465" s="4" t="str">
        <f t="shared" si="362"/>
        <v>1+2,4105892786824i</v>
      </c>
      <c r="U465" s="4">
        <f t="shared" si="375"/>
        <v>2.6097778967756113</v>
      </c>
      <c r="V465" s="4">
        <f t="shared" si="376"/>
        <v>1.1775658001063054</v>
      </c>
      <c r="W465" t="str">
        <f t="shared" si="363"/>
        <v>1-89,006373366735i</v>
      </c>
      <c r="X465" s="4">
        <f t="shared" si="377"/>
        <v>89.01199076472021</v>
      </c>
      <c r="Y465" s="4">
        <f t="shared" si="378"/>
        <v>-1.559561648994195</v>
      </c>
      <c r="Z465" t="str">
        <f t="shared" si="364"/>
        <v>-0,79951154949604+8,3274902354483i</v>
      </c>
      <c r="AA465" s="4">
        <f t="shared" si="379"/>
        <v>8.3657822311642995</v>
      </c>
      <c r="AB465" s="4">
        <f t="shared" si="380"/>
        <v>1.6665116599167014</v>
      </c>
      <c r="AC465" s="47" t="str">
        <f t="shared" si="381"/>
        <v>-0,102299910093555+0,0529520844263403i</v>
      </c>
      <c r="AD465" s="20">
        <f t="shared" si="382"/>
        <v>-18.771554285074387</v>
      </c>
      <c r="AE465" s="43">
        <f t="shared" si="383"/>
        <v>152.63318680086107</v>
      </c>
      <c r="AF465" t="str">
        <f t="shared" si="365"/>
        <v>405,634542683733</v>
      </c>
      <c r="AG465" t="str">
        <f t="shared" si="366"/>
        <v>1+14273,2259921984i</v>
      </c>
      <c r="AH465">
        <f t="shared" si="384"/>
        <v>14273.226027229022</v>
      </c>
      <c r="AI465">
        <f t="shared" si="385"/>
        <v>1.5707262655488328</v>
      </c>
      <c r="AJ465" t="str">
        <f t="shared" si="367"/>
        <v>1+2,4105892786824i</v>
      </c>
      <c r="AK465">
        <f t="shared" si="386"/>
        <v>2.6097778967756113</v>
      </c>
      <c r="AL465">
        <f t="shared" si="387"/>
        <v>1.1775658001063054</v>
      </c>
      <c r="AM465" t="str">
        <f t="shared" si="368"/>
        <v>1-12,9921314418092i</v>
      </c>
      <c r="AN465">
        <f t="shared" si="388"/>
        <v>13.03055944314162</v>
      </c>
      <c r="AO465">
        <f t="shared" si="389"/>
        <v>-1.4939781220212851</v>
      </c>
      <c r="AP465" s="41" t="str">
        <f t="shared" si="390"/>
        <v>-0,30065526350716-0,918494446918716i</v>
      </c>
      <c r="AQ465">
        <f t="shared" si="391"/>
        <v>-0.29641203389232162</v>
      </c>
      <c r="AR465" s="43">
        <f t="shared" si="392"/>
        <v>-108.12507641795622</v>
      </c>
      <c r="AS465" t="str">
        <f t="shared" si="369"/>
        <v>-0,0000166666666666667</v>
      </c>
      <c r="AT465" t="str">
        <f t="shared" si="370"/>
        <v>0,410727327098578i</v>
      </c>
      <c r="AU465">
        <f t="shared" si="393"/>
        <v>0.41072732709857801</v>
      </c>
      <c r="AV465">
        <f t="shared" si="394"/>
        <v>1.5707963267948966</v>
      </c>
      <c r="AW465" t="str">
        <f t="shared" si="371"/>
        <v>1+14,64184979481i</v>
      </c>
      <c r="AX465">
        <f t="shared" si="395"/>
        <v>14.675958756203208</v>
      </c>
      <c r="AY465">
        <f t="shared" si="396"/>
        <v>1.5026048409501573</v>
      </c>
      <c r="AZ465" t="str">
        <f t="shared" si="372"/>
        <v>1+2162,1131530336i</v>
      </c>
      <c r="BA465">
        <f t="shared" si="397"/>
        <v>2162.1133842888298</v>
      </c>
      <c r="BB465">
        <f t="shared" si="398"/>
        <v>1.5703338163442795</v>
      </c>
      <c r="BC465" s="41" t="str">
        <f t="shared" si="399"/>
        <v>-0,000404584792545206+0,0059644481833722i</v>
      </c>
      <c r="BD465">
        <f t="shared" si="400"/>
        <v>-44.468657333156131</v>
      </c>
      <c r="BE465" s="43">
        <f t="shared" si="401"/>
        <v>93.880584440828599</v>
      </c>
      <c r="BF465" s="41" t="str">
        <f t="shared" si="402"/>
        <v>-0,000274440975859863-0,000631586121009111i</v>
      </c>
      <c r="BG465" s="20">
        <f t="shared" si="403"/>
        <v>-63.240211618230518</v>
      </c>
      <c r="BH465" s="43">
        <f t="shared" si="404"/>
        <v>-113.48622875831033</v>
      </c>
      <c r="BI465" s="41" t="str">
        <f t="shared" si="409"/>
        <v>0,00559995308277546-0,00142163385498604i</v>
      </c>
      <c r="BJ465" s="20">
        <f t="shared" si="405"/>
        <v>-44.765069367048454</v>
      </c>
      <c r="BK465" s="43">
        <f t="shared" si="410"/>
        <v>-14.24449197712763</v>
      </c>
      <c r="BL465">
        <f t="shared" si="406"/>
        <v>-63.240211618230518</v>
      </c>
      <c r="BM465" s="43">
        <f t="shared" si="407"/>
        <v>-113.48622875831033</v>
      </c>
    </row>
    <row r="466" spans="14:65" x14ac:dyDescent="0.35">
      <c r="N466" s="9">
        <v>48</v>
      </c>
      <c r="O466" s="34">
        <f t="shared" si="408"/>
        <v>301995.17204020242</v>
      </c>
      <c r="P466" s="33" t="str">
        <f t="shared" si="360"/>
        <v>59,1053597814893</v>
      </c>
      <c r="Q466" s="4" t="str">
        <f t="shared" si="361"/>
        <v>1+14579,7502946694i</v>
      </c>
      <c r="R466" s="4">
        <f t="shared" si="373"/>
        <v>14579.750328963539</v>
      </c>
      <c r="S466" s="4">
        <f t="shared" si="374"/>
        <v>1.5707277385146983</v>
      </c>
      <c r="T466" s="4" t="str">
        <f t="shared" si="362"/>
        <v>1+2,46673911614282i</v>
      </c>
      <c r="U466" s="4">
        <f t="shared" si="375"/>
        <v>2.6617291122706419</v>
      </c>
      <c r="V466" s="4">
        <f t="shared" si="376"/>
        <v>1.185649046730632</v>
      </c>
      <c r="W466" t="str">
        <f t="shared" si="363"/>
        <v>1-91,0795981345043i</v>
      </c>
      <c r="X466" s="4">
        <f t="shared" si="377"/>
        <v>91.08508767269646</v>
      </c>
      <c r="Y466" s="4">
        <f t="shared" si="378"/>
        <v>-1.5598173606935291</v>
      </c>
      <c r="Z466" t="str">
        <f t="shared" si="364"/>
        <v>-0,88431991602461+8,52146240122065i</v>
      </c>
      <c r="AA466" s="4">
        <f t="shared" si="379"/>
        <v>8.567224939809563</v>
      </c>
      <c r="AB466" s="4">
        <f t="shared" si="380"/>
        <v>1.6742017877391684</v>
      </c>
      <c r="AC466" s="47" t="str">
        <f t="shared" si="381"/>
        <v>-0,101889923160146+0,0527223247252722i</v>
      </c>
      <c r="AD466" s="20">
        <f t="shared" si="382"/>
        <v>-18.807045123283039</v>
      </c>
      <c r="AE466" s="43">
        <f t="shared" si="383"/>
        <v>152.64096811066793</v>
      </c>
      <c r="AF466" t="str">
        <f t="shared" si="365"/>
        <v>405,634542683733</v>
      </c>
      <c r="AG466" t="str">
        <f t="shared" si="366"/>
        <v>1+14605,6921350562i</v>
      </c>
      <c r="AH466">
        <f t="shared" si="384"/>
        <v>14605.692169289428</v>
      </c>
      <c r="AI466">
        <f t="shared" si="385"/>
        <v>1.5707278603374915</v>
      </c>
      <c r="AJ466" t="str">
        <f t="shared" si="367"/>
        <v>1+2,46673911614282i</v>
      </c>
      <c r="AK466">
        <f t="shared" si="386"/>
        <v>2.6617291122706419</v>
      </c>
      <c r="AL466">
        <f t="shared" si="387"/>
        <v>1.185649046730632</v>
      </c>
      <c r="AM466" t="str">
        <f t="shared" si="368"/>
        <v>1-13,2947570591938i</v>
      </c>
      <c r="AN466">
        <f t="shared" si="388"/>
        <v>13.332312824974645</v>
      </c>
      <c r="AO466">
        <f t="shared" si="389"/>
        <v>-1.4957200787035922</v>
      </c>
      <c r="AP466" s="41" t="str">
        <f t="shared" si="390"/>
        <v>-0,300655353187341-0,938579089843745i</v>
      </c>
      <c r="AQ466">
        <f t="shared" si="391"/>
        <v>-0.12635724174060162</v>
      </c>
      <c r="AR466" s="43">
        <f t="shared" si="392"/>
        <v>-107.76183864226903</v>
      </c>
      <c r="AS466" t="str">
        <f t="shared" si="369"/>
        <v>-0,0000166666666666667</v>
      </c>
      <c r="AT466" t="str">
        <f t="shared" si="370"/>
        <v>0,420294395558181i</v>
      </c>
      <c r="AU466">
        <f t="shared" si="393"/>
        <v>0.42029439555818099</v>
      </c>
      <c r="AV466">
        <f t="shared" si="394"/>
        <v>1.5707963267948966</v>
      </c>
      <c r="AW466" t="str">
        <f t="shared" si="371"/>
        <v>1+14,9829022890564i</v>
      </c>
      <c r="AX466">
        <f t="shared" si="395"/>
        <v>15.016236579230211</v>
      </c>
      <c r="AY466">
        <f t="shared" si="396"/>
        <v>1.5041524234814545</v>
      </c>
      <c r="AZ466" t="str">
        <f t="shared" si="372"/>
        <v>1+2212,47523801733i</v>
      </c>
      <c r="BA466">
        <f t="shared" si="397"/>
        <v>2212.4754640085484</v>
      </c>
      <c r="BB466">
        <f t="shared" si="398"/>
        <v>1.5703443443660221</v>
      </c>
      <c r="BC466" s="41" t="str">
        <f t="shared" si="399"/>
        <v>-0,000386456232667602+0,00582989071707023i</v>
      </c>
      <c r="BD466">
        <f t="shared" si="400"/>
        <v>-44.667749761805496</v>
      </c>
      <c r="BE466" s="43">
        <f t="shared" si="401"/>
        <v>93.792517704549553</v>
      </c>
      <c r="BF466" s="41" t="str">
        <f t="shared" si="402"/>
        <v>-0,000267989395646965-0,000614381988185141i</v>
      </c>
      <c r="BG466" s="20">
        <f t="shared" si="403"/>
        <v>-63.474794885088535</v>
      </c>
      <c r="BH466" s="43">
        <f t="shared" si="404"/>
        <v>-113.56651418478249</v>
      </c>
      <c r="BI466" s="41" t="str">
        <f t="shared" si="409"/>
        <v>0,0055880036582404-0,00139006811346275i</v>
      </c>
      <c r="BJ466" s="20">
        <f t="shared" si="405"/>
        <v>-44.794107003546102</v>
      </c>
      <c r="BK466" s="43">
        <f t="shared" si="410"/>
        <v>-13.969320937719488</v>
      </c>
      <c r="BL466">
        <f t="shared" si="406"/>
        <v>-63.474794885088535</v>
      </c>
      <c r="BM466" s="43">
        <f t="shared" si="407"/>
        <v>-113.56651418478249</v>
      </c>
    </row>
    <row r="467" spans="14:65" x14ac:dyDescent="0.35">
      <c r="N467" s="9">
        <v>49</v>
      </c>
      <c r="O467" s="34">
        <f t="shared" si="408"/>
        <v>309029.54325135931</v>
      </c>
      <c r="P467" s="33" t="str">
        <f t="shared" ref="P467:P530" si="411">COMPLEX(Adc,0)</f>
        <v>59,1053597814893</v>
      </c>
      <c r="Q467" s="4" t="str">
        <f t="shared" ref="Q467:Q530" si="412">IMSUM(COMPLEX(1,0),IMDIV(COMPLEX(0,2*PI()*O467),COMPLEX(wp_lf,0)))</f>
        <v>1+14919,3563057384i</v>
      </c>
      <c r="R467" s="4">
        <f t="shared" si="373"/>
        <v>14919.35633925191</v>
      </c>
      <c r="S467" s="4">
        <f t="shared" si="374"/>
        <v>1.5707292997745608</v>
      </c>
      <c r="T467" s="4" t="str">
        <f t="shared" ref="T467:T530" si="413">IMSUM(COMPLEX(1,0),IMDIV(COMPLEX(0,2*PI()*O467),COMPLEX(wz_esr,0)))</f>
        <v>1+2,52419685133377i</v>
      </c>
      <c r="U467" s="4">
        <f t="shared" si="375"/>
        <v>2.7150634880759821</v>
      </c>
      <c r="V467" s="4">
        <f t="shared" si="376"/>
        <v>1.1935998175475513</v>
      </c>
      <c r="W467" t="str">
        <f t="shared" ref="W467:W530" si="414">IMSUB(COMPLEX(1,0),IMDIV(COMPLEX(0,2*PI()*O467),COMPLEX(wz_rhp,0)))</f>
        <v>1-93,2011145107854i</v>
      </c>
      <c r="X467" s="4">
        <f t="shared" si="377"/>
        <v>93.206479099108392</v>
      </c>
      <c r="Y467" s="4">
        <f t="shared" si="378"/>
        <v>-1.5600672530714041</v>
      </c>
      <c r="Z467" t="str">
        <f t="shared" ref="Z467:Z530" si="415">IMSUM(COMPLEX(1,0),IMDIV(COMPLEX(0,2*PI()*O467),COMPLEX(Q*(wsl/2),0)),IMDIV(IMPOWER(COMPLEX(0,2*PI()*O467),2),IMPOWER(COMPLEX(wsl/2,0),2)))</f>
        <v>-0,97312517773025+8,71995275915301i</v>
      </c>
      <c r="AA467" s="4">
        <f t="shared" si="379"/>
        <v>8.7740839255954644</v>
      </c>
      <c r="AB467" s="4">
        <f t="shared" si="380"/>
        <v>1.6819340078836473</v>
      </c>
      <c r="AC467" s="47" t="str">
        <f t="shared" si="381"/>
        <v>-0,10147923457531+0,0525140494425793i</v>
      </c>
      <c r="AD467" s="20">
        <f t="shared" si="382"/>
        <v>-18.841978274199253</v>
      </c>
      <c r="AE467" s="43">
        <f t="shared" si="383"/>
        <v>152.63908290962283</v>
      </c>
      <c r="AF467" t="str">
        <f t="shared" ref="AF467:AF530" si="416">COMPLEX($B$72,0)</f>
        <v>405,634542683733</v>
      </c>
      <c r="AG467" t="str">
        <f t="shared" ref="AG467:AG530" si="417">IMSUM(COMPLEX(1,0),IMDIV(COMPLEX(0,2*PI()*O467),COMPLEX(wp_lf_DCM,0)))</f>
        <v>1+14945,9024092131i</v>
      </c>
      <c r="AH467">
        <f t="shared" si="384"/>
        <v>14945.902442667084</v>
      </c>
      <c r="AI467">
        <f t="shared" si="385"/>
        <v>1.5707294188243286</v>
      </c>
      <c r="AJ467" t="str">
        <f t="shared" ref="AJ467:AJ530" si="418">IMSUM(COMPLEX(1,0),IMDIV(COMPLEX(0,2*PI()*O467),COMPLEX(wz1_dcm,0)))</f>
        <v>1+2,52419685133377i</v>
      </c>
      <c r="AK467">
        <f t="shared" si="386"/>
        <v>2.7150634880759821</v>
      </c>
      <c r="AL467">
        <f t="shared" si="387"/>
        <v>1.1935998175475513</v>
      </c>
      <c r="AM467" t="str">
        <f t="shared" ref="AM467:AM530" si="419">IMSUB(COMPLEX(1,0),IMDIV(COMPLEX(0,2*PI()*O467),COMPLEX(wz2_dcm,0)))</f>
        <v>1-13,6044317327481i</v>
      </c>
      <c r="AN467">
        <f t="shared" si="388"/>
        <v>13.641134951718772</v>
      </c>
      <c r="AO467">
        <f t="shared" si="389"/>
        <v>-1.4974228248169357</v>
      </c>
      <c r="AP467" s="41" t="str">
        <f t="shared" si="390"/>
        <v>-0,300655438831252-0,959161379825221i</v>
      </c>
      <c r="AQ467">
        <f t="shared" si="391"/>
        <v>4.486565804637016E-2</v>
      </c>
      <c r="AR467" s="43">
        <f t="shared" si="392"/>
        <v>-107.40394249117891</v>
      </c>
      <c r="AS467" t="str">
        <f t="shared" ref="AS467:AS530" si="420">COMPLEX(Adc_ea,0)</f>
        <v>-0,0000166666666666667</v>
      </c>
      <c r="AT467" t="str">
        <f t="shared" ref="AT467:AT530" si="421">COMPLEX(0,2*PI()*O467*wp0_ea)</f>
        <v>0,430084309669561i</v>
      </c>
      <c r="AU467">
        <f t="shared" si="393"/>
        <v>0.43008430966956102</v>
      </c>
      <c r="AV467">
        <f t="shared" si="394"/>
        <v>1.5707963267948966</v>
      </c>
      <c r="AW467" t="str">
        <f t="shared" ref="AW467:AW530" si="422">IMSUM(COMPLEX(1,0),IMDIV(COMPLEX(0,2*PI()*O467),COMPLEX(wp1_ea,0)))</f>
        <v>1+15,3318989164187i</v>
      </c>
      <c r="AX467">
        <f t="shared" si="395"/>
        <v>15.364476053002294</v>
      </c>
      <c r="AY467">
        <f t="shared" si="396"/>
        <v>1.5056650877170179</v>
      </c>
      <c r="AZ467" t="str">
        <f t="shared" ref="AZ467:AZ530" si="423">IMSUM(COMPLEX(1,0),IMDIV(COMPLEX(0,2*PI()*O467),COMPLEX(wz_ea,0)))</f>
        <v>1+2264,01040665783i</v>
      </c>
      <c r="BA467">
        <f t="shared" si="397"/>
        <v>2264.0106275048606</v>
      </c>
      <c r="BB467">
        <f t="shared" si="398"/>
        <v>1.5703546327408286</v>
      </c>
      <c r="BC467" s="41" t="str">
        <f t="shared" si="399"/>
        <v>-0,000369136516891931+0,00569831585518459i</v>
      </c>
      <c r="BD467">
        <f t="shared" si="400"/>
        <v>-44.866882860793567</v>
      </c>
      <c r="BE467" s="43">
        <f t="shared" si="401"/>
        <v>93.706437908485867</v>
      </c>
      <c r="BF467" s="41" t="str">
        <f t="shared" si="402"/>
        <v>-0,000261781949370608-0,00059764558465161i</v>
      </c>
      <c r="BG467" s="20">
        <f t="shared" si="403"/>
        <v>-63.708861134992816</v>
      </c>
      <c r="BH467" s="43">
        <f t="shared" si="404"/>
        <v>-113.6544791818913</v>
      </c>
      <c r="BI467" s="41" t="str">
        <f t="shared" si="409"/>
        <v>0,00557658739981357-0,00135916816315366i</v>
      </c>
      <c r="BJ467" s="20">
        <f t="shared" si="405"/>
        <v>-44.822017202747197</v>
      </c>
      <c r="BK467" s="43">
        <f t="shared" si="410"/>
        <v>-13.697504582693014</v>
      </c>
      <c r="BL467">
        <f t="shared" si="406"/>
        <v>-63.708861134992816</v>
      </c>
      <c r="BM467" s="43">
        <f t="shared" si="407"/>
        <v>-113.6544791818913</v>
      </c>
    </row>
    <row r="468" spans="14:65" x14ac:dyDescent="0.35">
      <c r="N468" s="9">
        <v>50</v>
      </c>
      <c r="O468" s="34">
        <f t="shared" si="408"/>
        <v>316227.7660168382</v>
      </c>
      <c r="P468" s="33" t="str">
        <f t="shared" si="411"/>
        <v>59,1053597814893</v>
      </c>
      <c r="Q468" s="4" t="str">
        <f t="shared" si="412"/>
        <v>1+15266,8727570018i</v>
      </c>
      <c r="R468" s="4">
        <f t="shared" ref="R468:R531" si="424">IMABS(Q468)</f>
        <v>15266.872789752448</v>
      </c>
      <c r="S468" s="4">
        <f t="shared" ref="S468:S531" si="425">IMARGUMENT(Q468)</f>
        <v>1.5707308254958103</v>
      </c>
      <c r="T468" s="4" t="str">
        <f t="shared" si="413"/>
        <v>1+2,58299294910699i</v>
      </c>
      <c r="U468" s="4">
        <f t="shared" ref="U468:U531" si="426">IMABS(T468)</f>
        <v>2.7698109276873799</v>
      </c>
      <c r="V468" s="4">
        <f t="shared" ref="V468:V531" si="427">IMARGUMENT(T468)</f>
        <v>1.2014183062742891</v>
      </c>
      <c r="W468" t="str">
        <f t="shared" si="414"/>
        <v>1-95,3720473516427i</v>
      </c>
      <c r="X468" s="4">
        <f t="shared" ref="X468:X531" si="428">IMABS(W468)</f>
        <v>95.377289833817244</v>
      </c>
      <c r="Y468" s="4">
        <f t="shared" ref="Y468:Y531" si="429">IMARGUMENT(W468)</f>
        <v>-1.5603114584991566</v>
      </c>
      <c r="Z468" t="str">
        <f t="shared" si="415"/>
        <v>-1,06611570247934+8,9230665514605i</v>
      </c>
      <c r="AA468" s="4">
        <f t="shared" ref="AA468:AA531" si="430">IMABS(Z468)</f>
        <v>8.9865298849370223</v>
      </c>
      <c r="AB468" s="4">
        <f t="shared" ref="AB468:AB531" si="431">IMARGUMENT(Z468)</f>
        <v>1.6897112451828935</v>
      </c>
      <c r="AC468" s="47" t="str">
        <f t="shared" ref="AC468:AC531" si="432">(IMDIV(IMPRODUCT(P468,T468,W468),IMPRODUCT(Q468,Z468)))</f>
        <v>-0,101067142642357+0,0523270009537474i</v>
      </c>
      <c r="AD468" s="20">
        <f t="shared" ref="AD468:AD531" si="433">20*LOG(IMABS(AC468))</f>
        <v>-18.876402849048006</v>
      </c>
      <c r="AE468" s="43">
        <f t="shared" ref="AE468:AE531" si="434">(180/PI())*IMARGUMENT(AC468)</f>
        <v>152.62736708458445</v>
      </c>
      <c r="AF468" t="str">
        <f t="shared" si="416"/>
        <v>405,634542683733</v>
      </c>
      <c r="AG468" t="str">
        <f t="shared" si="417"/>
        <v>1+15294,0371986598i</v>
      </c>
      <c r="AH468">
        <f t="shared" ref="AH468:AH531" si="435">IMABS(AG468)</f>
        <v>15294.037231352278</v>
      </c>
      <c r="AI468">
        <f t="shared" ref="AI468:AI531" si="436">IMARGUMENT(AG468)</f>
        <v>1.5707309418356745</v>
      </c>
      <c r="AJ468" t="str">
        <f t="shared" si="418"/>
        <v>1+2,58299294910699i</v>
      </c>
      <c r="AK468">
        <f t="shared" ref="AK468:AK531" si="437">IMABS(AJ468)</f>
        <v>2.7698109276873799</v>
      </c>
      <c r="AL468">
        <f t="shared" ref="AL468:AL531" si="438">IMARGUMENT(AJ468)</f>
        <v>1.2014183062742891</v>
      </c>
      <c r="AM468" t="str">
        <f t="shared" si="419"/>
        <v>1-13,921319656083i</v>
      </c>
      <c r="AN468">
        <f t="shared" ref="AN468:AN531" si="439">IMABS(AM468)</f>
        <v>13.957189579813083</v>
      </c>
      <c r="AO468">
        <f t="shared" ref="AO468:AO531" si="440">IMARGUMENT(AM468)</f>
        <v>-1.499087223662948</v>
      </c>
      <c r="AP468" s="41" t="str">
        <f t="shared" ref="AP468:AP531" si="441">(IMDIV(IMPRODUCT(AF468,AJ468,AM468),IMPRODUCT(AG468)))</f>
        <v>-0,300655520620549-0,980252229865758i</v>
      </c>
      <c r="AQ468">
        <f t="shared" ref="AQ468:AQ531" si="442">20*LOG(IMABS(AP468))</f>
        <v>0.21721779961992702</v>
      </c>
      <c r="AR468" s="43">
        <f t="shared" ref="AR468:AR531" si="443">(180/PI())*IMARGUMENT(AP468)</f>
        <v>-107.05142637639148</v>
      </c>
      <c r="AS468" t="str">
        <f t="shared" si="420"/>
        <v>-0,0000166666666666667</v>
      </c>
      <c r="AT468" t="str">
        <f t="shared" si="421"/>
        <v>0,440102260174768i</v>
      </c>
      <c r="AU468">
        <f t="shared" ref="AU468:AU531" si="444">IMABS(AT468)</f>
        <v>0.440102260174768</v>
      </c>
      <c r="AV468">
        <f t="shared" ref="AV468:AV531" si="445">IMARGUMENT(AT468)</f>
        <v>1.5707963267948966</v>
      </c>
      <c r="AW468" t="str">
        <f t="shared" si="422"/>
        <v>1+15,6890247195281i</v>
      </c>
      <c r="AX468">
        <f t="shared" ref="AX468:AX531" si="446">IMABS(AW468)</f>
        <v>15.720861829109872</v>
      </c>
      <c r="AY468">
        <f t="shared" ref="AY468:AY531" si="447">IMARGUMENT(AW468)</f>
        <v>1.5071436079861975</v>
      </c>
      <c r="AZ468" t="str">
        <f t="shared" si="423"/>
        <v>1+2316,74598358365i</v>
      </c>
      <c r="BA468">
        <f t="shared" ref="BA468:BA531" si="448">IMABS(AZ468)</f>
        <v>2316.7461994035884</v>
      </c>
      <c r="BB468">
        <f t="shared" ref="BB468:BB531" si="449">IMARGUMENT(AZ468)</f>
        <v>1.5703646869237231</v>
      </c>
      <c r="BC468" s="41" t="str">
        <f t="shared" ref="BC468:BC531" si="450">IMPRODUCT(AS468,IMDIV(AZ468,IMPRODUCT(AT468,AW468)))</f>
        <v>-0,000352589859935654+0,00556966101492003i</v>
      </c>
      <c r="BD468">
        <f t="shared" ref="BD468:BD531" si="451">20*LOG(IMABS(BC468))</f>
        <v>-45.066054815171995</v>
      </c>
      <c r="BE468" s="43">
        <f t="shared" ref="BE468:BE531" si="452">(180/PI())*IMARGUMENT(BC468)</f>
        <v>93.62230099938364</v>
      </c>
      <c r="BF468" s="41" t="str">
        <f t="shared" ref="BF468:BF531" si="453">IMPRODUCT(AC468,BC468)</f>
        <v>-0,000255808407571405-0,000581359694201632i</v>
      </c>
      <c r="BG468" s="20">
        <f t="shared" ref="BG468:BG531" si="454">20*LOG(IMABS(BF468))</f>
        <v>-63.942457664220001</v>
      </c>
      <c r="BH468" s="43">
        <f t="shared" ref="BH468:BH531" si="455">(180/PI())*IMARGUMENT(BF468)</f>
        <v>-113.75033191603194</v>
      </c>
      <c r="BI468" s="41" t="str">
        <f t="shared" si="409"/>
        <v>0,00556568071737622-0,00132892233569078i</v>
      </c>
      <c r="BJ468" s="20">
        <f t="shared" ref="BJ468:BJ531" si="456">20*LOG(IMABS(BI468))</f>
        <v>-44.848837015552064</v>
      </c>
      <c r="BK468" s="43">
        <f t="shared" si="410"/>
        <v>-13.429125377007869</v>
      </c>
      <c r="BL468">
        <f t="shared" ref="BL468:BL531" si="457">IF($B$31=0,BJ468,BG468)</f>
        <v>-63.942457664220001</v>
      </c>
      <c r="BM468" s="43">
        <f t="shared" ref="BM468:BM531" si="458">IF($B$31=0,BK468,BH468)</f>
        <v>-113.75033191603194</v>
      </c>
    </row>
    <row r="469" spans="14:65" x14ac:dyDescent="0.35">
      <c r="N469" s="9">
        <v>51</v>
      </c>
      <c r="O469" s="34">
        <f t="shared" si="408"/>
        <v>323593.65692962846</v>
      </c>
      <c r="P469" s="33" t="str">
        <f t="shared" si="411"/>
        <v>59,1053597814893</v>
      </c>
      <c r="Q469" s="4" t="str">
        <f t="shared" si="412"/>
        <v>1+15622,4839062819i</v>
      </c>
      <c r="R469" s="4">
        <f t="shared" si="424"/>
        <v>15622.483938287052</v>
      </c>
      <c r="S469" s="4">
        <f t="shared" si="425"/>
        <v>1.5707323164874043</v>
      </c>
      <c r="T469" s="4" t="str">
        <f t="shared" si="413"/>
        <v>1+2,64315858393178i</v>
      </c>
      <c r="U469" s="4">
        <f t="shared" si="426"/>
        <v>2.8260019992583603</v>
      </c>
      <c r="V469" s="4">
        <f t="shared" si="427"/>
        <v>1.2091048338732329</v>
      </c>
      <c r="W469" t="str">
        <f t="shared" si="414"/>
        <v>1-97,5935477144042i</v>
      </c>
      <c r="X469" s="4">
        <f t="shared" si="428"/>
        <v>97.598670869452349</v>
      </c>
      <c r="Y469" s="4">
        <f t="shared" si="429"/>
        <v>-1.5605501063411618</v>
      </c>
      <c r="Z469" t="str">
        <f t="shared" si="415"/>
        <v>-1,16348873564235+9,13091147176431i</v>
      </c>
      <c r="AA469" s="4">
        <f t="shared" si="430"/>
        <v>9.2047406450786937</v>
      </c>
      <c r="AB469" s="4">
        <f t="shared" si="431"/>
        <v>1.6975363936523915</v>
      </c>
      <c r="AC469" s="47" t="str">
        <f t="shared" si="432"/>
        <v>-0,100652951687181+0,0521609077719701i</v>
      </c>
      <c r="AD469" s="20">
        <f t="shared" si="433"/>
        <v>-18.910368193732253</v>
      </c>
      <c r="AE469" s="43">
        <f t="shared" si="434"/>
        <v>152.60566575208674</v>
      </c>
      <c r="AF469" t="str">
        <f t="shared" si="416"/>
        <v>405,634542683733</v>
      </c>
      <c r="AG469" t="str">
        <f t="shared" si="417"/>
        <v>1+15650,2810890697i</v>
      </c>
      <c r="AH469">
        <f t="shared" si="435"/>
        <v>15650.281121018006</v>
      </c>
      <c r="AI469">
        <f t="shared" si="436"/>
        <v>1.57073243017905</v>
      </c>
      <c r="AJ469" t="str">
        <f t="shared" si="418"/>
        <v>1+2,64315858393178i</v>
      </c>
      <c r="AK469">
        <f t="shared" si="437"/>
        <v>2.8260019992583603</v>
      </c>
      <c r="AL469">
        <f t="shared" si="438"/>
        <v>1.2091048338732329</v>
      </c>
      <c r="AM469" t="str">
        <f t="shared" si="419"/>
        <v>1-14,2455888473701i</v>
      </c>
      <c r="AN469">
        <f t="shared" si="439"/>
        <v>14.280644299481567</v>
      </c>
      <c r="AO469">
        <f t="shared" si="440"/>
        <v>-1.5007141208211943</v>
      </c>
      <c r="AP469" s="41" t="str">
        <f t="shared" si="441"/>
        <v>-0,300655598728725-1,00186282261328i</v>
      </c>
      <c r="AQ469">
        <f t="shared" si="442"/>
        <v>0.39066109654329934</v>
      </c>
      <c r="AR469" s="43">
        <f t="shared" si="443"/>
        <v>-106.70432040252429</v>
      </c>
      <c r="AS469" t="str">
        <f t="shared" si="420"/>
        <v>-0,0000166666666666667</v>
      </c>
      <c r="AT469" t="str">
        <f t="shared" si="421"/>
        <v>0,450353558723761i</v>
      </c>
      <c r="AU469">
        <f t="shared" si="444"/>
        <v>0.45035355872376098</v>
      </c>
      <c r="AV469">
        <f t="shared" si="445"/>
        <v>1.5707963267948966</v>
      </c>
      <c r="AW469" t="str">
        <f t="shared" si="422"/>
        <v>1+16,0544690512126i</v>
      </c>
      <c r="AX469">
        <f t="shared" si="446"/>
        <v>16.085582877730705</v>
      </c>
      <c r="AY469">
        <f t="shared" si="447"/>
        <v>1.508588742348814</v>
      </c>
      <c r="AZ469" t="str">
        <f t="shared" si="423"/>
        <v>1+2370,70992989573i</v>
      </c>
      <c r="BA469">
        <f t="shared" si="448"/>
        <v>2370.710140803008</v>
      </c>
      <c r="BB469">
        <f t="shared" si="449"/>
        <v>1.5703745122455584</v>
      </c>
      <c r="BC469" s="41" t="str">
        <f t="shared" si="450"/>
        <v>-0,000336782033176984+0,00544386468904306i</v>
      </c>
      <c r="BD469">
        <f t="shared" si="451"/>
        <v>-45.265263890321414</v>
      </c>
      <c r="BE469" s="43">
        <f t="shared" si="452"/>
        <v>93.540063849049886</v>
      </c>
      <c r="BF469" s="41" t="str">
        <f t="shared" si="453"/>
        <v>-0,000250058818253786-0,000565507906109603i</v>
      </c>
      <c r="BG469" s="20">
        <f t="shared" si="454"/>
        <v>-64.17563208405366</v>
      </c>
      <c r="BH469" s="43">
        <f t="shared" si="455"/>
        <v>-113.85427039886335</v>
      </c>
      <c r="BI469" s="41" t="str">
        <f t="shared" si="409"/>
        <v>0,00555526104711535-0,00129931899911827i</v>
      </c>
      <c r="BJ469" s="20">
        <f t="shared" si="456"/>
        <v>-44.874602793778109</v>
      </c>
      <c r="BK469" s="43">
        <f t="shared" si="410"/>
        <v>-13.16425655347436</v>
      </c>
      <c r="BL469">
        <f t="shared" si="457"/>
        <v>-64.17563208405366</v>
      </c>
      <c r="BM469" s="43">
        <f t="shared" si="458"/>
        <v>-113.85427039886335</v>
      </c>
    </row>
    <row r="470" spans="14:65" x14ac:dyDescent="0.35">
      <c r="N470" s="9">
        <v>52</v>
      </c>
      <c r="O470" s="34">
        <f t="shared" si="408"/>
        <v>331131.12148259126</v>
      </c>
      <c r="P470" s="33" t="str">
        <f t="shared" si="411"/>
        <v>59,1053597814893</v>
      </c>
      <c r="Q470" s="4" t="str">
        <f t="shared" si="412"/>
        <v>1+15986,3783033172i</v>
      </c>
      <c r="R470" s="4">
        <f t="shared" si="424"/>
        <v>15986.378334593826</v>
      </c>
      <c r="S470" s="4">
        <f t="shared" si="425"/>
        <v>1.5707337735398865</v>
      </c>
      <c r="T470" s="4" t="str">
        <f t="shared" si="413"/>
        <v>1+2,70472565642412i</v>
      </c>
      <c r="U470" s="4">
        <f t="shared" si="426"/>
        <v>2.8836679553164384</v>
      </c>
      <c r="V470" s="4">
        <f t="shared" si="427"/>
        <v>1.2166598417029066</v>
      </c>
      <c r="W470" t="str">
        <f t="shared" si="414"/>
        <v>1-99,8667934679675i</v>
      </c>
      <c r="X470" s="4">
        <f t="shared" si="428"/>
        <v>99.871800011683376</v>
      </c>
      <c r="Y470" s="4">
        <f t="shared" si="429"/>
        <v>-1.5607833230228685</v>
      </c>
      <c r="Z470" t="str">
        <f t="shared" si="415"/>
        <v>-1,26545081847767+9,3435977221924i</v>
      </c>
      <c r="AA470" s="4">
        <f t="shared" si="430"/>
        <v>9.4289015356055543</v>
      </c>
      <c r="AB470" s="4">
        <f t="shared" si="431"/>
        <v>1.7054123135745509</v>
      </c>
      <c r="AC470" s="47" t="str">
        <f t="shared" si="432"/>
        <v>-0,100235971766575+0,0520154841405404i</v>
      </c>
      <c r="AD470" s="20">
        <f t="shared" si="433"/>
        <v>-18.943923866106825</v>
      </c>
      <c r="AE470" s="43">
        <f t="shared" si="434"/>
        <v>152.57383302906101</v>
      </c>
      <c r="AF470" t="str">
        <f t="shared" si="416"/>
        <v>405,634542683733</v>
      </c>
      <c r="AG470" t="str">
        <f t="shared" si="417"/>
        <v>1+16014,8229656691i</v>
      </c>
      <c r="AH470">
        <f t="shared" si="435"/>
        <v>16014.822996890174</v>
      </c>
      <c r="AI470">
        <f t="shared" si="436"/>
        <v>1.5707338846435943</v>
      </c>
      <c r="AJ470" t="str">
        <f t="shared" si="418"/>
        <v>1+2,70472565642412i</v>
      </c>
      <c r="AK470">
        <f t="shared" si="437"/>
        <v>2.8836679553164384</v>
      </c>
      <c r="AL470">
        <f t="shared" si="438"/>
        <v>1.2166598417029066</v>
      </c>
      <c r="AM470" t="str">
        <f t="shared" si="419"/>
        <v>1-14,5774112384267i</v>
      </c>
      <c r="AN470">
        <f t="shared" si="439"/>
        <v>14.611670623655909</v>
      </c>
      <c r="AO470">
        <f t="shared" si="440"/>
        <v>-1.5023043444262498</v>
      </c>
      <c r="AP470" s="41" t="str">
        <f t="shared" si="441"/>
        <v>-0,300655673321451-1,0240046162901i</v>
      </c>
      <c r="AQ470">
        <f t="shared" si="442"/>
        <v>0.56515826666724123</v>
      </c>
      <c r="AR470" s="43">
        <f t="shared" si="443"/>
        <v>-106.36264677542746</v>
      </c>
      <c r="AS470" t="str">
        <f t="shared" si="420"/>
        <v>-0,0000166666666666667</v>
      </c>
      <c r="AT470" t="str">
        <f t="shared" si="421"/>
        <v>0,460843640690724i</v>
      </c>
      <c r="AU470">
        <f t="shared" si="444"/>
        <v>0.46084364069072398</v>
      </c>
      <c r="AV470">
        <f t="shared" si="445"/>
        <v>1.5707963267948966</v>
      </c>
      <c r="AW470" t="str">
        <f t="shared" si="422"/>
        <v>1+16,4284256748942i</v>
      </c>
      <c r="AX470">
        <f t="shared" si="446"/>
        <v>16.45883258786974</v>
      </c>
      <c r="AY470">
        <f t="shared" si="447"/>
        <v>1.5100012328763144</v>
      </c>
      <c r="AZ470" t="str">
        <f t="shared" si="423"/>
        <v>1+2425,93085799271i</v>
      </c>
      <c r="BA470">
        <f t="shared" si="448"/>
        <v>2425.9310640991525</v>
      </c>
      <c r="BB470">
        <f t="shared" si="449"/>
        <v>1.5703841139158421</v>
      </c>
      <c r="BC470" s="41" t="str">
        <f t="shared" si="450"/>
        <v>-0,000321680299276316+0,00532086644411196i</v>
      </c>
      <c r="BD470">
        <f t="shared" si="451"/>
        <v>-45.464508428454366</v>
      </c>
      <c r="BE470" s="43">
        <f t="shared" si="452"/>
        <v>93.459684238405458</v>
      </c>
      <c r="BF470" s="41" t="str">
        <f t="shared" si="453"/>
        <v>-0,000244523506741515-0,000550074575171054i</v>
      </c>
      <c r="BG470" s="20">
        <f t="shared" si="454"/>
        <v>-64.408432294561194</v>
      </c>
      <c r="BH470" s="43">
        <f t="shared" si="455"/>
        <v>-113.96648273253354</v>
      </c>
      <c r="BI470" s="41" t="str">
        <f t="shared" si="409"/>
        <v>0,0055453068084069-0,00127034657197947i</v>
      </c>
      <c r="BJ470" s="20">
        <f t="shared" si="456"/>
        <v>-44.899350161787126</v>
      </c>
      <c r="BK470" s="43">
        <f t="shared" si="410"/>
        <v>-12.902962537022034</v>
      </c>
      <c r="BL470">
        <f t="shared" si="457"/>
        <v>-64.408432294561194</v>
      </c>
      <c r="BM470" s="43">
        <f t="shared" si="458"/>
        <v>-113.96648273253354</v>
      </c>
    </row>
    <row r="471" spans="14:65" x14ac:dyDescent="0.35">
      <c r="N471" s="9">
        <v>53</v>
      </c>
      <c r="O471" s="34">
        <f t="shared" si="408"/>
        <v>338844.15613920329</v>
      </c>
      <c r="P471" s="33" t="str">
        <f t="shared" si="411"/>
        <v>59,1053597814893</v>
      </c>
      <c r="Q471" s="4" t="str">
        <f t="shared" si="412"/>
        <v>1+16358,7488897336i</v>
      </c>
      <c r="R471" s="4">
        <f t="shared" si="424"/>
        <v>16358.748920298285</v>
      </c>
      <c r="S471" s="4">
        <f t="shared" si="425"/>
        <v>1.5707351974258053</v>
      </c>
      <c r="T471" s="4" t="str">
        <f t="shared" si="413"/>
        <v>1+2,76772681026076i</v>
      </c>
      <c r="U471" s="4">
        <f t="shared" si="426"/>
        <v>2.942840752782284</v>
      </c>
      <c r="V471" s="4">
        <f t="shared" si="427"/>
        <v>1.2240838847251299</v>
      </c>
      <c r="W471" t="str">
        <f t="shared" si="414"/>
        <v>1-102,192989917321i</v>
      </c>
      <c r="X471" s="4">
        <f t="shared" si="428"/>
        <v>102.19788250370782</v>
      </c>
      <c r="Y471" s="4">
        <f t="shared" si="429"/>
        <v>-1.5610112320973131</v>
      </c>
      <c r="Z471" t="str">
        <f t="shared" si="415"/>
        <v>-1,37221822623325+9,56123807180991i</v>
      </c>
      <c r="AA471" s="4">
        <f t="shared" si="430"/>
        <v>9.6592057813380308</v>
      </c>
      <c r="AB471" s="4">
        <f t="shared" si="431"/>
        <v>1.7133418284256394</v>
      </c>
      <c r="AC471" s="47" t="str">
        <f t="shared" si="432"/>
        <v>-0,0998155184360432+0,0518904295684597i</v>
      </c>
      <c r="AD471" s="20">
        <f t="shared" si="433"/>
        <v>-18.977119617167876</v>
      </c>
      <c r="AE471" s="43">
        <f t="shared" si="434"/>
        <v>152.53173181587215</v>
      </c>
      <c r="AF471" t="str">
        <f t="shared" si="416"/>
        <v>405,634542683733</v>
      </c>
      <c r="AG471" t="str">
        <f t="shared" si="417"/>
        <v>1+16387,8561133861i</v>
      </c>
      <c r="AH471">
        <f t="shared" si="435"/>
        <v>16387.856143896493</v>
      </c>
      <c r="AI471">
        <f t="shared" si="436"/>
        <v>1.5707353060004841</v>
      </c>
      <c r="AJ471" t="str">
        <f t="shared" si="418"/>
        <v>1+2,76772681026076i</v>
      </c>
      <c r="AK471">
        <f t="shared" si="437"/>
        <v>2.942840752782284</v>
      </c>
      <c r="AL471">
        <f t="shared" si="438"/>
        <v>1.2240838847251299</v>
      </c>
      <c r="AM471" t="str">
        <f t="shared" si="419"/>
        <v>1-14,9169627658768i</v>
      </c>
      <c r="AN471">
        <f t="shared" si="439"/>
        <v>14.950444078974874</v>
      </c>
      <c r="AO471">
        <f t="shared" si="440"/>
        <v>-1.503858705446643</v>
      </c>
      <c r="AP471" s="41" t="str">
        <f t="shared" si="441"/>
        <v>-0,300655744556953-1,04668935076838i</v>
      </c>
      <c r="AQ471">
        <f t="shared" si="442"/>
        <v>0.74067285315781639</v>
      </c>
      <c r="AR471" s="43">
        <f t="shared" si="443"/>
        <v>-106.02642020738955</v>
      </c>
      <c r="AS471" t="str">
        <f t="shared" si="420"/>
        <v>-0,0000166666666666667</v>
      </c>
      <c r="AT471" t="str">
        <f t="shared" si="421"/>
        <v>0,471578068055968i</v>
      </c>
      <c r="AU471">
        <f t="shared" si="444"/>
        <v>0.47157806805596802</v>
      </c>
      <c r="AV471">
        <f t="shared" si="445"/>
        <v>1.5707963267948966</v>
      </c>
      <c r="AW471" t="str">
        <f t="shared" si="422"/>
        <v>1+16,8110928673245i</v>
      </c>
      <c r="AX471">
        <f t="shared" si="446"/>
        <v>16.840808869938783</v>
      </c>
      <c r="AY471">
        <f t="shared" si="447"/>
        <v>1.5113818059323325</v>
      </c>
      <c r="AZ471" t="str">
        <f t="shared" si="423"/>
        <v>1+2482,43804674158i</v>
      </c>
      <c r="BA471">
        <f t="shared" si="448"/>
        <v>2482.4382481564676</v>
      </c>
      <c r="BB471">
        <f t="shared" si="449"/>
        <v>1.5703934970255005</v>
      </c>
      <c r="BC471" s="41" t="str">
        <f t="shared" si="450"/>
        <v>-0,000307253349336297+0,00520060691729354i</v>
      </c>
      <c r="BD471">
        <f t="shared" si="451"/>
        <v>-45.663786845265371</v>
      </c>
      <c r="BE471" s="43">
        <f t="shared" si="452"/>
        <v>93.381120841568247</v>
      </c>
      <c r="BF471" s="41" t="str">
        <f t="shared" si="453"/>
        <v>-0,000239193074599852-0,000535044783915136i</v>
      </c>
      <c r="BG471" s="20">
        <f t="shared" si="454"/>
        <v>-64.640906462433236</v>
      </c>
      <c r="BH471" s="43">
        <f t="shared" si="455"/>
        <v>-114.08714734255962</v>
      </c>
      <c r="BI471" s="41" t="str">
        <f t="shared" si="409"/>
        <v>0,00553579736237584-0,00124199353612871i</v>
      </c>
      <c r="BJ471" s="20">
        <f t="shared" si="456"/>
        <v>-44.92311399210756</v>
      </c>
      <c r="BK471" s="43">
        <f t="shared" si="410"/>
        <v>-12.645299365821295</v>
      </c>
      <c r="BL471">
        <f t="shared" si="457"/>
        <v>-64.640906462433236</v>
      </c>
      <c r="BM471" s="43">
        <f t="shared" si="458"/>
        <v>-114.08714734255962</v>
      </c>
    </row>
    <row r="472" spans="14:65" x14ac:dyDescent="0.35">
      <c r="N472" s="9">
        <v>54</v>
      </c>
      <c r="O472" s="34">
        <f t="shared" si="408"/>
        <v>346736.85045253241</v>
      </c>
      <c r="P472" s="33" t="str">
        <f t="shared" si="411"/>
        <v>59,1053597814893</v>
      </c>
      <c r="Q472" s="4" t="str">
        <f t="shared" si="412"/>
        <v>1+16739,7931013449i</v>
      </c>
      <c r="R472" s="4">
        <f t="shared" si="424"/>
        <v>16739.79313121385</v>
      </c>
      <c r="S472" s="4">
        <f t="shared" si="425"/>
        <v>1.5707365889001237</v>
      </c>
      <c r="T472" s="4" t="str">
        <f t="shared" si="413"/>
        <v>1+2,83219544948741i</v>
      </c>
      <c r="U472" s="4">
        <f t="shared" si="426"/>
        <v>3.0035530732945595</v>
      </c>
      <c r="V472" s="4">
        <f t="shared" si="427"/>
        <v>1.2313776247947588</v>
      </c>
      <c r="W472" t="str">
        <f t="shared" si="414"/>
        <v>1-104,573370442612i</v>
      </c>
      <c r="X472" s="4">
        <f t="shared" si="428"/>
        <v>104.57815166528695</v>
      </c>
      <c r="Y472" s="4">
        <f t="shared" si="429"/>
        <v>-1.5612339543101432</v>
      </c>
      <c r="Z472" t="str">
        <f t="shared" si="415"/>
        <v>-1,4840174268955+9,78394791641103i</v>
      </c>
      <c r="AA472" s="4">
        <f t="shared" si="430"/>
        <v>9.8958549178114605</v>
      </c>
      <c r="AB472" s="4">
        <f t="shared" si="431"/>
        <v>1.7213277216375928</v>
      </c>
      <c r="AC472" s="47" t="str">
        <f t="shared" si="432"/>
        <v>-0,099390912581662+0,0517854283127379i</v>
      </c>
      <c r="AD472" s="20">
        <f t="shared" si="433"/>
        <v>-19.010005375859674</v>
      </c>
      <c r="AE472" s="43">
        <f t="shared" si="434"/>
        <v>152.47923359363548</v>
      </c>
      <c r="AF472" t="str">
        <f t="shared" si="416"/>
        <v>405,634542683733</v>
      </c>
      <c r="AG472" t="str">
        <f t="shared" si="417"/>
        <v>1+16769,5783193333i</v>
      </c>
      <c r="AH472">
        <f t="shared" si="435"/>
        <v>16769.578349149197</v>
      </c>
      <c r="AI472">
        <f t="shared" si="436"/>
        <v>1.570736695003341</v>
      </c>
      <c r="AJ472" t="str">
        <f t="shared" si="418"/>
        <v>1+2,83219544948741i</v>
      </c>
      <c r="AK472">
        <f t="shared" si="437"/>
        <v>3.0035530732945595</v>
      </c>
      <c r="AL472">
        <f t="shared" si="438"/>
        <v>1.2313776247947588</v>
      </c>
      <c r="AM472" t="str">
        <f t="shared" si="419"/>
        <v>1-15,2644234644347i</v>
      </c>
      <c r="AN472">
        <f t="shared" si="439"/>
        <v>15.297144298907055</v>
      </c>
      <c r="AO472">
        <f t="shared" si="440"/>
        <v>-1.5053779979650999</v>
      </c>
      <c r="AP472" s="41" t="str">
        <f t="shared" si="441"/>
        <v>-0,300655812586329-1,06992905379462i</v>
      </c>
      <c r="AQ472">
        <f t="shared" si="442"/>
        <v>0.91716924185645643</v>
      </c>
      <c r="AR472" s="43">
        <f t="shared" si="443"/>
        <v>-105.69564831768912</v>
      </c>
      <c r="AS472" t="str">
        <f t="shared" si="420"/>
        <v>-0,0000166666666666667</v>
      </c>
      <c r="AT472" t="str">
        <f t="shared" si="421"/>
        <v>0,482562532354969i</v>
      </c>
      <c r="AU472">
        <f t="shared" si="444"/>
        <v>0.48256253235496899</v>
      </c>
      <c r="AV472">
        <f t="shared" si="445"/>
        <v>1.5707963267948966</v>
      </c>
      <c r="AW472" t="str">
        <f t="shared" si="422"/>
        <v>1+17,2026735237141i</v>
      </c>
      <c r="AX472">
        <f t="shared" si="446"/>
        <v>17.231714260731408</v>
      </c>
      <c r="AY472">
        <f t="shared" si="447"/>
        <v>1.5127311724523056</v>
      </c>
      <c r="AZ472" t="str">
        <f t="shared" si="423"/>
        <v>1+2540,26145700178i</v>
      </c>
      <c r="BA472">
        <f t="shared" si="448"/>
        <v>2540.2616538319048</v>
      </c>
      <c r="BB472">
        <f t="shared" si="449"/>
        <v>1.5704026665495752</v>
      </c>
      <c r="BC472" s="41" t="str">
        <f t="shared" si="450"/>
        <v>-0,000293471242520757+0,00508302781188911i</v>
      </c>
      <c r="BD472">
        <f t="shared" si="451"/>
        <v>-45.863097626722364</v>
      </c>
      <c r="BE472" s="43">
        <f t="shared" si="452"/>
        <v>93.304333209987192</v>
      </c>
      <c r="BF472" s="41" t="str">
        <f t="shared" si="453"/>
        <v>-0,000234058397753624-0,000520404306893036i</v>
      </c>
      <c r="BG472" s="20">
        <f t="shared" si="454"/>
        <v>-64.873103002582042</v>
      </c>
      <c r="BH472" s="43">
        <f t="shared" si="455"/>
        <v>-114.21643319637727</v>
      </c>
      <c r="BI472" s="41" t="str">
        <f t="shared" si="409"/>
        <v>0,00552671297207705-0,00121424844835627i</v>
      </c>
      <c r="BJ472" s="20">
        <f t="shared" si="456"/>
        <v>-44.945928384865908</v>
      </c>
      <c r="BK472" s="43">
        <f t="shared" si="410"/>
        <v>-12.391315107701965</v>
      </c>
      <c r="BL472">
        <f t="shared" si="457"/>
        <v>-64.873103002582042</v>
      </c>
      <c r="BM472" s="43">
        <f t="shared" si="458"/>
        <v>-114.21643319637727</v>
      </c>
    </row>
    <row r="473" spans="14:65" x14ac:dyDescent="0.35">
      <c r="N473" s="9">
        <v>55</v>
      </c>
      <c r="O473" s="34">
        <f t="shared" si="408"/>
        <v>354813.38923357555</v>
      </c>
      <c r="P473" s="33" t="str">
        <f t="shared" si="411"/>
        <v>59,1053597814893</v>
      </c>
      <c r="Q473" s="4" t="str">
        <f t="shared" si="412"/>
        <v>1+17129,7129728359i</v>
      </c>
      <c r="R473" s="4">
        <f t="shared" si="424"/>
        <v>17129.713002024946</v>
      </c>
      <c r="S473" s="4">
        <f t="shared" si="425"/>
        <v>1.5707379487006197</v>
      </c>
      <c r="T473" s="4" t="str">
        <f t="shared" si="413"/>
        <v>1+2,89816575622989i</v>
      </c>
      <c r="U473" s="4">
        <f t="shared" si="426"/>
        <v>3.0658383438439101</v>
      </c>
      <c r="V473" s="4">
        <f t="shared" si="427"/>
        <v>1.2385418240555259</v>
      </c>
      <c r="W473" t="str">
        <f t="shared" si="414"/>
        <v>1-107,009197153104i</v>
      </c>
      <c r="X473" s="4">
        <f t="shared" si="428"/>
        <v>107.01386954667082</v>
      </c>
      <c r="Y473" s="4">
        <f t="shared" si="429"/>
        <v>-1.5614516076631886</v>
      </c>
      <c r="Z473" t="str">
        <f t="shared" si="415"/>
        <v>-1,60108556155819+10,0118453397032i</v>
      </c>
      <c r="AA473" s="4">
        <f t="shared" si="430"/>
        <v>10.139059230597619</v>
      </c>
      <c r="AB473" s="4">
        <f t="shared" si="431"/>
        <v>1.7293727331873698</v>
      </c>
      <c r="AC473" s="47" t="str">
        <f t="shared" si="432"/>
        <v>-0,0989614803205673+0,0517001488111789i</v>
      </c>
      <c r="AD473" s="20">
        <f t="shared" si="433"/>
        <v>-19.042631237183791</v>
      </c>
      <c r="AE473" s="43">
        <f t="shared" si="434"/>
        <v>152.41621823757626</v>
      </c>
      <c r="AF473" t="str">
        <f t="shared" si="416"/>
        <v>405,634542683733</v>
      </c>
      <c r="AG473" t="str">
        <f t="shared" si="417"/>
        <v>1+17160,191977677i</v>
      </c>
      <c r="AH473">
        <f t="shared" si="435"/>
        <v>17160.192006814203</v>
      </c>
      <c r="AI473">
        <f t="shared" si="436"/>
        <v>1.570738052388633</v>
      </c>
      <c r="AJ473" t="str">
        <f t="shared" si="418"/>
        <v>1+2,89816575622989i</v>
      </c>
      <c r="AK473">
        <f t="shared" si="437"/>
        <v>3.0658383438439101</v>
      </c>
      <c r="AL473">
        <f t="shared" si="438"/>
        <v>1.2385418240555259</v>
      </c>
      <c r="AM473" t="str">
        <f t="shared" si="419"/>
        <v>1-15,6199775623618i</v>
      </c>
      <c r="AN473">
        <f t="shared" si="439"/>
        <v>15.651955119047782</v>
      </c>
      <c r="AO473">
        <f t="shared" si="440"/>
        <v>-1.506862999459577</v>
      </c>
      <c r="AP473" s="41" t="str">
        <f t="shared" si="441"/>
        <v>-0,300655877553876-1,09373604736697i</v>
      </c>
      <c r="AQ473">
        <f t="shared" si="442"/>
        <v>1.0946126751687493</v>
      </c>
      <c r="AR473" s="43">
        <f t="shared" si="443"/>
        <v>-105.37033202710909</v>
      </c>
      <c r="AS473" t="str">
        <f t="shared" si="420"/>
        <v>-0,0000166666666666667</v>
      </c>
      <c r="AT473" t="str">
        <f t="shared" si="421"/>
        <v>0,493802857696093i</v>
      </c>
      <c r="AU473">
        <f t="shared" si="444"/>
        <v>0.493802857696093</v>
      </c>
      <c r="AV473">
        <f t="shared" si="445"/>
        <v>1.5707963267948966</v>
      </c>
      <c r="AW473" t="str">
        <f t="shared" si="422"/>
        <v>1+17,6033752653102i</v>
      </c>
      <c r="AX473">
        <f t="shared" si="446"/>
        <v>17.631756030847718</v>
      </c>
      <c r="AY473">
        <f t="shared" si="447"/>
        <v>1.5140500282218057</v>
      </c>
      <c r="AZ473" t="str">
        <f t="shared" si="423"/>
        <v>1+2599,43174751081i</v>
      </c>
      <c r="BA473">
        <f t="shared" si="448"/>
        <v>2599.4319398605348</v>
      </c>
      <c r="BB473">
        <f t="shared" si="449"/>
        <v>1.5704116273498636</v>
      </c>
      <c r="BC473" s="41" t="str">
        <f t="shared" si="450"/>
        <v>-0,000280305348053436+0,00496807189168409i</v>
      </c>
      <c r="BD473">
        <f t="shared" si="451"/>
        <v>-46.062439325994006</v>
      </c>
      <c r="BE473" s="43">
        <f t="shared" si="452"/>
        <v>93.229281756645946</v>
      </c>
      <c r="BF473" s="41" t="str">
        <f t="shared" si="453"/>
        <v>-0,000229110623919563-0,000506139576946991i</v>
      </c>
      <c r="BG473" s="20">
        <f t="shared" si="454"/>
        <v>-65.10507056317779</v>
      </c>
      <c r="BH473" s="43">
        <f t="shared" si="455"/>
        <v>-114.35450000577779</v>
      </c>
      <c r="BI473" s="41" t="str">
        <f t="shared" si="409"/>
        <v>0,00551803476424755-0,00118709995090924i</v>
      </c>
      <c r="BJ473" s="20">
        <f t="shared" si="456"/>
        <v>-44.967826650825266</v>
      </c>
      <c r="BK473" s="43">
        <f t="shared" si="410"/>
        <v>-12.141050270463177</v>
      </c>
      <c r="BL473">
        <f t="shared" si="457"/>
        <v>-65.10507056317779</v>
      </c>
      <c r="BM473" s="43">
        <f t="shared" si="458"/>
        <v>-114.35450000577779</v>
      </c>
    </row>
    <row r="474" spans="14:65" x14ac:dyDescent="0.35">
      <c r="N474" s="9">
        <v>56</v>
      </c>
      <c r="O474" s="34">
        <f t="shared" si="408"/>
        <v>363078.05477010203</v>
      </c>
      <c r="P474" s="33" t="str">
        <f t="shared" si="411"/>
        <v>59,1053597814893</v>
      </c>
      <c r="Q474" s="4" t="str">
        <f t="shared" si="412"/>
        <v>1+17528,7152448837i</v>
      </c>
      <c r="R474" s="4">
        <f t="shared" si="424"/>
        <v>17528.715273408325</v>
      </c>
      <c r="S474" s="4">
        <f t="shared" si="425"/>
        <v>1.5707392775482778</v>
      </c>
      <c r="T474" s="4" t="str">
        <f t="shared" si="413"/>
        <v>1+2,96567270881811i</v>
      </c>
      <c r="U474" s="4">
        <f t="shared" si="426"/>
        <v>3.1297307577215885</v>
      </c>
      <c r="V474" s="4">
        <f t="shared" si="427"/>
        <v>1.2455773384628654</v>
      </c>
      <c r="W474" t="str">
        <f t="shared" si="414"/>
        <v>1-109,501761556361i</v>
      </c>
      <c r="X474" s="4">
        <f t="shared" si="428"/>
        <v>109.50632759775182</v>
      </c>
      <c r="Y474" s="4">
        <f t="shared" si="429"/>
        <v>-1.5616643074766032</v>
      </c>
      <c r="Z474" t="str">
        <f t="shared" si="415"/>
        <v>-1,7236709474306+10,2450511759171i</v>
      </c>
      <c r="AA474" s="4">
        <f t="shared" si="430"/>
        <v>10.389038219786114</v>
      </c>
      <c r="AB474" s="4">
        <f t="shared" si="431"/>
        <v>1.7374795560071943</v>
      </c>
      <c r="AC474" s="47" t="str">
        <f t="shared" si="432"/>
        <v>-0,0985265529746415+0,0516342430697506i</v>
      </c>
      <c r="AD474" s="20">
        <f t="shared" si="433"/>
        <v>-19.075047453284199</v>
      </c>
      <c r="AE474" s="43">
        <f t="shared" si="434"/>
        <v>152.34257384800966</v>
      </c>
      <c r="AF474" t="str">
        <f t="shared" si="416"/>
        <v>405,634542683733</v>
      </c>
      <c r="AG474" t="str">
        <f t="shared" si="417"/>
        <v>1+17559,9041969493i</v>
      </c>
      <c r="AH474">
        <f t="shared" si="435"/>
        <v>17559.904225423259</v>
      </c>
      <c r="AI474">
        <f t="shared" si="436"/>
        <v>1.570739378876064</v>
      </c>
      <c r="AJ474" t="str">
        <f t="shared" si="418"/>
        <v>1+2,96567270881811i</v>
      </c>
      <c r="AK474">
        <f t="shared" si="437"/>
        <v>3.1297307577215885</v>
      </c>
      <c r="AL474">
        <f t="shared" si="438"/>
        <v>1.2455773384628654</v>
      </c>
      <c r="AM474" t="str">
        <f t="shared" si="419"/>
        <v>1-15,9838135791475i</v>
      </c>
      <c r="AN474">
        <f t="shared" si="439"/>
        <v>16.015064674641188</v>
      </c>
      <c r="AO474">
        <f t="shared" si="440"/>
        <v>-1.5083144710846106</v>
      </c>
      <c r="AP474" s="41" t="str">
        <f t="shared" si="441"/>
        <v>-0,300655939597405-1,11812295426863i</v>
      </c>
      <c r="AQ474">
        <f t="shared" si="442"/>
        <v>1.2729692626779663</v>
      </c>
      <c r="AR474" s="43">
        <f t="shared" si="443"/>
        <v>-105.05046594519384</v>
      </c>
      <c r="AS474" t="str">
        <f t="shared" si="420"/>
        <v>-0,0000166666666666667</v>
      </c>
      <c r="AT474" t="str">
        <f t="shared" si="421"/>
        <v>0,505305003848623i</v>
      </c>
      <c r="AU474">
        <f t="shared" si="444"/>
        <v>0.50530500384862298</v>
      </c>
      <c r="AV474">
        <f t="shared" si="445"/>
        <v>1.5707963267948966</v>
      </c>
      <c r="AW474" t="str">
        <f t="shared" si="422"/>
        <v>1+18,0134105494804i</v>
      </c>
      <c r="AX474">
        <f t="shared" si="446"/>
        <v>18.041146294626952</v>
      </c>
      <c r="AY474">
        <f t="shared" si="447"/>
        <v>1.5153390541532998</v>
      </c>
      <c r="AZ474" t="str">
        <f t="shared" si="423"/>
        <v>1+2659,98029113993i</v>
      </c>
      <c r="BA474">
        <f t="shared" si="448"/>
        <v>2659.9804791112415</v>
      </c>
      <c r="BB474">
        <f t="shared" si="449"/>
        <v>1.5704203841774946</v>
      </c>
      <c r="BC474" s="41" t="str">
        <f t="shared" si="450"/>
        <v>-0,000267728289518349+0,00485568297422793i</v>
      </c>
      <c r="BD474">
        <f t="shared" si="451"/>
        <v>-46.261810560507605</v>
      </c>
      <c r="BE474" s="43">
        <f t="shared" si="452"/>
        <v>93.15592774035359</v>
      </c>
      <c r="BF474" s="41" t="str">
        <f t="shared" si="453"/>
        <v>-0,000224341169460895-0,000492237653365972i</v>
      </c>
      <c r="BG474" s="20">
        <f t="shared" si="454"/>
        <v>-65.336858013791797</v>
      </c>
      <c r="BH474" s="43">
        <f t="shared" si="455"/>
        <v>-114.50149841163673</v>
      </c>
      <c r="BI474" s="41" t="str">
        <f t="shared" si="409"/>
        <v>0,00550974469257757-0,00116053678098608i</v>
      </c>
      <c r="BJ474" s="20">
        <f t="shared" si="456"/>
        <v>-44.988841297829623</v>
      </c>
      <c r="BK474" s="43">
        <f t="shared" si="410"/>
        <v>-11.894538204840272</v>
      </c>
      <c r="BL474">
        <f t="shared" si="457"/>
        <v>-65.336858013791797</v>
      </c>
      <c r="BM474" s="43">
        <f t="shared" si="458"/>
        <v>-114.50149841163673</v>
      </c>
    </row>
    <row r="475" spans="14:65" x14ac:dyDescent="0.35">
      <c r="N475" s="9">
        <v>57</v>
      </c>
      <c r="O475" s="34">
        <f t="shared" si="408"/>
        <v>371535.2290971732</v>
      </c>
      <c r="P475" s="33" t="str">
        <f t="shared" si="411"/>
        <v>59,1053597814893</v>
      </c>
      <c r="Q475" s="4" t="str">
        <f t="shared" si="412"/>
        <v>1+17937,0114737744i</v>
      </c>
      <c r="R475" s="4">
        <f t="shared" si="424"/>
        <v>17937.011501649726</v>
      </c>
      <c r="S475" s="4">
        <f t="shared" si="425"/>
        <v>1.5707405761476705</v>
      </c>
      <c r="T475" s="4" t="str">
        <f t="shared" si="413"/>
        <v>1+3,03475210033185i</v>
      </c>
      <c r="U475" s="4">
        <f t="shared" si="426"/>
        <v>3.1952652957882188</v>
      </c>
      <c r="V475" s="4">
        <f t="shared" si="427"/>
        <v>1.252485111451854</v>
      </c>
      <c r="W475" t="str">
        <f t="shared" si="414"/>
        <v>1-112,052385243022i</v>
      </c>
      <c r="X475" s="4">
        <f t="shared" si="428"/>
        <v>112.05684735280846</v>
      </c>
      <c r="Y475" s="4">
        <f t="shared" si="429"/>
        <v>-1.5618721664496171</v>
      </c>
      <c r="Z475" t="str">
        <f t="shared" si="415"/>
        <v>-1,85203360455142+10,4836890738737i</v>
      </c>
      <c r="AA475" s="4">
        <f t="shared" si="430"/>
        <v>10.646021091001394</v>
      </c>
      <c r="AB475" s="4">
        <f t="shared" si="431"/>
        <v>1.7456508322097217</v>
      </c>
      <c r="AC475" s="47" t="str">
        <f t="shared" si="432"/>
        <v>-0,0980854671219813+0,0515873460090264i</v>
      </c>
      <c r="AD475" s="20">
        <f t="shared" si="433"/>
        <v>-19.107304427168376</v>
      </c>
      <c r="AE475" s="43">
        <f t="shared" si="434"/>
        <v>152.25819660032062</v>
      </c>
      <c r="AF475" t="str">
        <f t="shared" si="416"/>
        <v>405,634542683733</v>
      </c>
      <c r="AG475" t="str">
        <f t="shared" si="417"/>
        <v>1+17968,9269098596i</v>
      </c>
      <c r="AH475">
        <f t="shared" si="435"/>
        <v>17968.926937685414</v>
      </c>
      <c r="AI475">
        <f t="shared" si="436"/>
        <v>1.5707406751689545</v>
      </c>
      <c r="AJ475" t="str">
        <f t="shared" si="418"/>
        <v>1+3,03475210033185i</v>
      </c>
      <c r="AK475">
        <f t="shared" si="437"/>
        <v>3.1952652957882188</v>
      </c>
      <c r="AL475">
        <f t="shared" si="438"/>
        <v>1.252485111451854</v>
      </c>
      <c r="AM475" t="str">
        <f t="shared" si="419"/>
        <v>1-16,3561244254636i</v>
      </c>
      <c r="AN475">
        <f t="shared" si="439"/>
        <v>16.386665500377038</v>
      </c>
      <c r="AO475">
        <f t="shared" si="440"/>
        <v>-1.5097331579525377</v>
      </c>
      <c r="AP475" s="41" t="str">
        <f t="shared" si="441"/>
        <v>-0,300655998848515-1,14310270476043i</v>
      </c>
      <c r="AQ475">
        <f t="shared" si="442"/>
        <v>1.4522059886807015</v>
      </c>
      <c r="AR475" s="43">
        <f t="shared" si="443"/>
        <v>-104.73603874918479</v>
      </c>
      <c r="AS475" t="str">
        <f t="shared" si="420"/>
        <v>-0,0000166666666666667</v>
      </c>
      <c r="AT475" t="str">
        <f t="shared" si="421"/>
        <v>0,517075069402696i</v>
      </c>
      <c r="AU475">
        <f t="shared" si="444"/>
        <v>0.51707506940269599</v>
      </c>
      <c r="AV475">
        <f t="shared" si="445"/>
        <v>1.5707963267948966</v>
      </c>
      <c r="AW475" t="str">
        <f t="shared" si="422"/>
        <v>1+18,4329967823595i</v>
      </c>
      <c r="AX475">
        <f t="shared" si="446"/>
        <v>18.460102122644816</v>
      </c>
      <c r="AY475">
        <f t="shared" si="447"/>
        <v>1.5165989165610583</v>
      </c>
      <c r="AZ475" t="str">
        <f t="shared" si="423"/>
        <v>1+2721,93919152841i</v>
      </c>
      <c r="BA475">
        <f t="shared" si="448"/>
        <v>2721.9393752209721</v>
      </c>
      <c r="BB475">
        <f t="shared" si="449"/>
        <v>1.5704289416754489</v>
      </c>
      <c r="BC475" s="41" t="str">
        <f t="shared" si="450"/>
        <v>-0,000255713891384687+0,00474580592314439i</v>
      </c>
      <c r="BD475">
        <f t="shared" si="451"/>
        <v>-46.461210009131626</v>
      </c>
      <c r="BE475" s="43">
        <f t="shared" si="452"/>
        <v>93.0842332501378</v>
      </c>
      <c r="BF475" s="41" t="str">
        <f t="shared" si="453"/>
        <v>-0,00021974171576289-0,00047868619183606i</v>
      </c>
      <c r="BG475" s="20">
        <f t="shared" si="454"/>
        <v>-65.568514436300006</v>
      </c>
      <c r="BH475" s="43">
        <f t="shared" si="455"/>
        <v>-114.6575701495416</v>
      </c>
      <c r="BI475" s="41" t="str">
        <f t="shared" si="409"/>
        <v>0,00550182550244813-0,00113454777927752i</v>
      </c>
      <c r="BJ475" s="20">
        <f t="shared" si="456"/>
        <v>-45.009004020450917</v>
      </c>
      <c r="BK475" s="43">
        <f t="shared" si="410"/>
        <v>-11.651805499046931</v>
      </c>
      <c r="BL475">
        <f t="shared" si="457"/>
        <v>-65.568514436300006</v>
      </c>
      <c r="BM475" s="43">
        <f t="shared" si="458"/>
        <v>-114.6575701495416</v>
      </c>
    </row>
    <row r="476" spans="14:65" x14ac:dyDescent="0.35">
      <c r="N476" s="9">
        <v>58</v>
      </c>
      <c r="O476" s="34">
        <f t="shared" si="408"/>
        <v>380189.39632056188</v>
      </c>
      <c r="P476" s="33" t="str">
        <f t="shared" si="411"/>
        <v>59,1053597814893</v>
      </c>
      <c r="Q476" s="4" t="str">
        <f t="shared" si="412"/>
        <v>1+18354,8181435728i</v>
      </c>
      <c r="R476" s="4">
        <f t="shared" si="424"/>
        <v>18354.818170813604</v>
      </c>
      <c r="S476" s="4">
        <f t="shared" si="425"/>
        <v>1.5707418451873325</v>
      </c>
      <c r="T476" s="4" t="str">
        <f t="shared" si="413"/>
        <v>1+3,10544055757888i</v>
      </c>
      <c r="U476" s="4">
        <f t="shared" si="426"/>
        <v>3.262477748070602</v>
      </c>
      <c r="V476" s="4">
        <f t="shared" si="427"/>
        <v>1.2592661677660537</v>
      </c>
      <c r="W476" t="str">
        <f t="shared" si="414"/>
        <v>1-114,662420587528i</v>
      </c>
      <c r="X476" s="4">
        <f t="shared" si="428"/>
        <v>114.6667811312028</v>
      </c>
      <c r="Y476" s="4">
        <f t="shared" si="429"/>
        <v>-1.5620752947199228</v>
      </c>
      <c r="Z476" t="str">
        <f t="shared" si="415"/>
        <v>-1,98644580732631+10,7278855625452i</v>
      </c>
      <c r="AA476" s="4">
        <f t="shared" si="430"/>
        <v>10.910247274398047</v>
      </c>
      <c r="AB476" s="4">
        <f t="shared" si="431"/>
        <v>1.7538891491230224</v>
      </c>
      <c r="AC476" s="47" t="str">
        <f t="shared" si="432"/>
        <v>-0,0976375647306689+0,0515590747745577i</v>
      </c>
      <c r="AD476" s="20">
        <f t="shared" si="433"/>
        <v>-19.139452708718139</v>
      </c>
      <c r="AE476" s="43">
        <f t="shared" si="434"/>
        <v>152.16299061513647</v>
      </c>
      <c r="AF476" t="str">
        <f t="shared" si="416"/>
        <v>405,634542683733</v>
      </c>
      <c r="AG476" t="str">
        <f t="shared" si="417"/>
        <v>1+18387,4769856644i</v>
      </c>
      <c r="AH476">
        <f t="shared" si="435"/>
        <v>18387.477012856823</v>
      </c>
      <c r="AI476">
        <f t="shared" si="436"/>
        <v>1.5707419419546169</v>
      </c>
      <c r="AJ476" t="str">
        <f t="shared" si="418"/>
        <v>1+3,10544055757888i</v>
      </c>
      <c r="AK476">
        <f t="shared" si="437"/>
        <v>3.262477748070602</v>
      </c>
      <c r="AL476">
        <f t="shared" si="438"/>
        <v>1.2592661677660537</v>
      </c>
      <c r="AM476" t="str">
        <f t="shared" si="419"/>
        <v>1-16,737107505449i</v>
      </c>
      <c r="AN476">
        <f t="shared" si="439"/>
        <v>16.766954632519205</v>
      </c>
      <c r="AO476">
        <f t="shared" si="440"/>
        <v>-1.5111197894142059</v>
      </c>
      <c r="AP476" s="41" t="str">
        <f t="shared" si="441"/>
        <v>-0,300656055432885-1,16868854343675i</v>
      </c>
      <c r="AQ476">
        <f t="shared" si="442"/>
        <v>1.6322907168501781</v>
      </c>
      <c r="AR476" s="43">
        <f t="shared" si="443"/>
        <v>-104.4270335537062</v>
      </c>
      <c r="AS476" t="str">
        <f t="shared" si="420"/>
        <v>-0,0000166666666666667</v>
      </c>
      <c r="AT476" t="str">
        <f t="shared" si="421"/>
        <v>0,529119295002863i</v>
      </c>
      <c r="AU476">
        <f t="shared" si="444"/>
        <v>0.52911929500286303</v>
      </c>
      <c r="AV476">
        <f t="shared" si="445"/>
        <v>1.5707963267948966</v>
      </c>
      <c r="AW476" t="str">
        <f t="shared" si="422"/>
        <v>1+18,8623564341221i</v>
      </c>
      <c r="AX476">
        <f t="shared" si="446"/>
        <v>18.888845656838516</v>
      </c>
      <c r="AY476">
        <f t="shared" si="447"/>
        <v>1.5178302674339761</v>
      </c>
      <c r="AZ476" t="str">
        <f t="shared" si="423"/>
        <v>1+2785,34130010536i</v>
      </c>
      <c r="BA476">
        <f t="shared" si="448"/>
        <v>2785.3414796165689</v>
      </c>
      <c r="BB476">
        <f t="shared" si="449"/>
        <v>1.5704373043810198</v>
      </c>
      <c r="BC476" s="41" t="str">
        <f t="shared" si="450"/>
        <v>-0,000244237127680324+0,00463838663956408i</v>
      </c>
      <c r="BD476">
        <f t="shared" si="451"/>
        <v>-46.660636409479366</v>
      </c>
      <c r="BE476" s="43">
        <f t="shared" si="452"/>
        <v>93.01416118975439</v>
      </c>
      <c r="BF476" s="41" t="str">
        <f t="shared" si="453"/>
        <v>-0,000215304205219074-0,000465473416095101i</v>
      </c>
      <c r="BG476" s="20">
        <f t="shared" si="454"/>
        <v>-65.800089118197491</v>
      </c>
      <c r="BH476" s="43">
        <f t="shared" si="455"/>
        <v>-114.82284819510916</v>
      </c>
      <c r="BI476" s="41" t="str">
        <f t="shared" si="409"/>
        <v>0,00549426069708725-0,00110912189762204i</v>
      </c>
      <c r="BJ476" s="20">
        <f t="shared" si="456"/>
        <v>-45.028345692629195</v>
      </c>
      <c r="BK476" s="43">
        <f t="shared" si="410"/>
        <v>-11.412872363951818</v>
      </c>
      <c r="BL476">
        <f t="shared" si="457"/>
        <v>-65.800089118197491</v>
      </c>
      <c r="BM476" s="43">
        <f t="shared" si="458"/>
        <v>-114.82284819510916</v>
      </c>
    </row>
    <row r="477" spans="14:65" x14ac:dyDescent="0.35">
      <c r="N477" s="9">
        <v>59</v>
      </c>
      <c r="O477" s="34">
        <f t="shared" si="408"/>
        <v>389045.14499428123</v>
      </c>
      <c r="P477" s="33" t="str">
        <f t="shared" si="411"/>
        <v>59,1053597814893</v>
      </c>
      <c r="Q477" s="4" t="str">
        <f t="shared" si="412"/>
        <v>1+18782,3567809057i</v>
      </c>
      <c r="R477" s="4">
        <f t="shared" si="424"/>
        <v>18782.356807526427</v>
      </c>
      <c r="S477" s="4">
        <f t="shared" si="425"/>
        <v>1.570743085340125</v>
      </c>
      <c r="T477" s="4" t="str">
        <f t="shared" si="413"/>
        <v>1+3,17777556051491i</v>
      </c>
      <c r="U477" s="4">
        <f t="shared" si="426"/>
        <v>3.3314047356942162</v>
      </c>
      <c r="V477" s="4">
        <f t="shared" si="427"/>
        <v>1.2659216074605288</v>
      </c>
      <c r="W477" t="str">
        <f t="shared" si="414"/>
        <v>1-117,333251465166i</v>
      </c>
      <c r="X477" s="4">
        <f t="shared" si="428"/>
        <v>117.33751275439529</v>
      </c>
      <c r="Y477" s="4">
        <f t="shared" si="429"/>
        <v>-1.5622737999217291</v>
      </c>
      <c r="Z477" t="str">
        <f t="shared" si="415"/>
        <v>-2,12719266205829+10,9777701181424i</v>
      </c>
      <c r="AA477" s="4">
        <f t="shared" si="430"/>
        <v>11.181966973135578</v>
      </c>
      <c r="AB477" s="4">
        <f t="shared" si="431"/>
        <v>1.7621970351311382</v>
      </c>
      <c r="AC477" s="47" t="str">
        <f t="shared" si="432"/>
        <v>-0,0971821933793263+0,0515490280164855i</v>
      </c>
      <c r="AD477" s="20">
        <f t="shared" si="433"/>
        <v>-19.171542992634222</v>
      </c>
      <c r="AE477" s="43">
        <f t="shared" si="434"/>
        <v>152.056867849697</v>
      </c>
      <c r="AF477" t="str">
        <f t="shared" si="416"/>
        <v>405,634542683733</v>
      </c>
      <c r="AG477" t="str">
        <f t="shared" si="417"/>
        <v>1+18815,776345154i</v>
      </c>
      <c r="AH477">
        <f t="shared" si="435"/>
        <v>18815.776371727443</v>
      </c>
      <c r="AI477">
        <f t="shared" si="436"/>
        <v>1.5707431799047171</v>
      </c>
      <c r="AJ477" t="str">
        <f t="shared" si="418"/>
        <v>1+3,17777556051491i</v>
      </c>
      <c r="AK477">
        <f t="shared" si="437"/>
        <v>3.3314047356942162</v>
      </c>
      <c r="AL477">
        <f t="shared" si="438"/>
        <v>1.2659216074605288</v>
      </c>
      <c r="AM477" t="str">
        <f t="shared" si="419"/>
        <v>1-17,1269648213756i</v>
      </c>
      <c r="AN477">
        <f t="shared" si="439"/>
        <v>17.156133713416828</v>
      </c>
      <c r="AO477">
        <f t="shared" si="440"/>
        <v>-1.5124750793387922</v>
      </c>
      <c r="AP477" s="41" t="str">
        <f t="shared" si="441"/>
        <v>-0,30065610947054-1,19489403624794i</v>
      </c>
      <c r="AQ477">
        <f t="shared" si="442"/>
        <v>1.8131921922237741</v>
      </c>
      <c r="AR477" s="43">
        <f t="shared" si="443"/>
        <v>-104.12342827042039</v>
      </c>
      <c r="AS477" t="str">
        <f t="shared" si="420"/>
        <v>-0,0000166666666666667</v>
      </c>
      <c r="AT477" t="str">
        <f t="shared" si="421"/>
        <v>0,541444066656963i</v>
      </c>
      <c r="AU477">
        <f t="shared" si="444"/>
        <v>0.54144406665696299</v>
      </c>
      <c r="AV477">
        <f t="shared" si="445"/>
        <v>1.5707963267948966</v>
      </c>
      <c r="AW477" t="str">
        <f t="shared" si="422"/>
        <v>1+19,301717156939i</v>
      </c>
      <c r="AX477">
        <f t="shared" si="446"/>
        <v>19.327604228317419</v>
      </c>
      <c r="AY477">
        <f t="shared" si="447"/>
        <v>1.5190337447060789</v>
      </c>
      <c r="AZ477" t="str">
        <f t="shared" si="423"/>
        <v>1+2850,22023350799i</v>
      </c>
      <c r="BA477">
        <f t="shared" si="448"/>
        <v>2850.2204089330248</v>
      </c>
      <c r="BB477">
        <f t="shared" si="449"/>
        <v>1.5704454767282205</v>
      </c>
      <c r="BC477" s="41" t="str">
        <f t="shared" si="450"/>
        <v>-0,000233274072739464+0,00453337205276639i</v>
      </c>
      <c r="BD477">
        <f t="shared" si="451"/>
        <v>-46.860088555327536</v>
      </c>
      <c r="BE477" s="43">
        <f t="shared" si="452"/>
        <v>92.94567526232629</v>
      </c>
      <c r="BF477" s="41" t="str">
        <f t="shared" si="453"/>
        <v>-0,000211020836909857-0,000452588091203543i</v>
      </c>
      <c r="BG477" s="20">
        <f t="shared" si="454"/>
        <v>-66.031631547961751</v>
      </c>
      <c r="BH477" s="43">
        <f t="shared" si="455"/>
        <v>-114.99745688797665</v>
      </c>
      <c r="BI477" s="41" t="str">
        <f t="shared" si="409"/>
        <v>0,00548703450509384-0,00108424820583956i</v>
      </c>
      <c r="BJ477" s="20">
        <f t="shared" si="456"/>
        <v>-45.046896363103748</v>
      </c>
      <c r="BK477" s="43">
        <f t="shared" si="410"/>
        <v>-11.17775300809404</v>
      </c>
      <c r="BL477">
        <f t="shared" si="457"/>
        <v>-66.031631547961751</v>
      </c>
      <c r="BM477" s="43">
        <f t="shared" si="458"/>
        <v>-114.99745688797665</v>
      </c>
    </row>
    <row r="478" spans="14:65" x14ac:dyDescent="0.35">
      <c r="N478" s="9">
        <v>60</v>
      </c>
      <c r="O478" s="34">
        <f t="shared" si="408"/>
        <v>398107.17055349716</v>
      </c>
      <c r="P478" s="33" t="str">
        <f t="shared" si="411"/>
        <v>59,1053597814893</v>
      </c>
      <c r="Q478" s="4" t="str">
        <f t="shared" si="412"/>
        <v>1+19219,8540724176i</v>
      </c>
      <c r="R478" s="4">
        <f t="shared" si="424"/>
        <v>19219.854098432363</v>
      </c>
      <c r="S478" s="4">
        <f t="shared" si="425"/>
        <v>1.5707442972635937</v>
      </c>
      <c r="T478" s="4" t="str">
        <f t="shared" si="413"/>
        <v>1+3,25179546211594i</v>
      </c>
      <c r="U478" s="4">
        <f t="shared" si="426"/>
        <v>3.4020837331608726</v>
      </c>
      <c r="V478" s="4">
        <f t="shared" si="427"/>
        <v>1.272452600090183</v>
      </c>
      <c r="W478" t="str">
        <f t="shared" si="414"/>
        <v>1-120,06629398582i</v>
      </c>
      <c r="X478" s="4">
        <f t="shared" si="428"/>
        <v>120.07045827966741</v>
      </c>
      <c r="Y478" s="4">
        <f t="shared" si="429"/>
        <v>-1.5624677872425099</v>
      </c>
      <c r="Z478" t="str">
        <f t="shared" si="415"/>
        <v>-2,27457271169651+11,2334752327642i</v>
      </c>
      <c r="AA478" s="4">
        <f t="shared" si="430"/>
        <v>11.46144174290133</v>
      </c>
      <c r="AB478" s="4">
        <f t="shared" si="431"/>
        <v>1.7705769553170971</v>
      </c>
      <c r="AC478" s="47" t="str">
        <f t="shared" si="432"/>
        <v>-0,0967187065688422+0,0515567851441725i</v>
      </c>
      <c r="AD478" s="20">
        <f t="shared" si="433"/>
        <v>-19.203626117952112</v>
      </c>
      <c r="AE478" s="43">
        <f t="shared" si="434"/>
        <v>151.93974801123565</v>
      </c>
      <c r="AF478" t="str">
        <f t="shared" si="416"/>
        <v>405,634542683733</v>
      </c>
      <c r="AG478" t="str">
        <f t="shared" si="417"/>
        <v>1+19254,0520783181i</v>
      </c>
      <c r="AH478">
        <f t="shared" si="435"/>
        <v>19254.052104286653</v>
      </c>
      <c r="AI478">
        <f t="shared" si="436"/>
        <v>1.570744389675633</v>
      </c>
      <c r="AJ478" t="str">
        <f t="shared" si="418"/>
        <v>1+3,25179546211594i</v>
      </c>
      <c r="AK478">
        <f t="shared" si="437"/>
        <v>3.4020837331608726</v>
      </c>
      <c r="AL478">
        <f t="shared" si="438"/>
        <v>1.272452600090183</v>
      </c>
      <c r="AM478" t="str">
        <f t="shared" si="419"/>
        <v>1-17,5259030807526i</v>
      </c>
      <c r="AN478">
        <f t="shared" si="439"/>
        <v>17.554409098455391</v>
      </c>
      <c r="AO478">
        <f t="shared" si="440"/>
        <v>-1.5137997263924063</v>
      </c>
      <c r="AP478" s="41" t="str">
        <f t="shared" si="441"/>
        <v>-0,300656161076097-1,22173307769317i</v>
      </c>
      <c r="AQ478">
        <f t="shared" si="442"/>
        <v>1.99488004071415</v>
      </c>
      <c r="AR478" s="43">
        <f t="shared" si="443"/>
        <v>-103.82519595699434</v>
      </c>
      <c r="AS478" t="str">
        <f t="shared" si="420"/>
        <v>-0,0000166666666666667</v>
      </c>
      <c r="AT478" t="str">
        <f t="shared" si="421"/>
        <v>0,554055919122063i</v>
      </c>
      <c r="AU478">
        <f t="shared" si="444"/>
        <v>0.55405591912206298</v>
      </c>
      <c r="AV478">
        <f t="shared" si="445"/>
        <v>1.5707963267948966</v>
      </c>
      <c r="AW478" t="str">
        <f t="shared" si="422"/>
        <v>1+19,7513119056808i</v>
      </c>
      <c r="AX478">
        <f t="shared" si="446"/>
        <v>19.776610477922858</v>
      </c>
      <c r="AY478">
        <f t="shared" si="447"/>
        <v>1.5202099725245122</v>
      </c>
      <c r="AZ478" t="str">
        <f t="shared" si="423"/>
        <v>1+2916,61039140553i</v>
      </c>
      <c r="BA478">
        <f t="shared" si="448"/>
        <v>2916.6105628374044</v>
      </c>
      <c r="BB478">
        <f t="shared" si="449"/>
        <v>1.5704534630501326</v>
      </c>
      <c r="BC478" s="41" t="str">
        <f t="shared" si="450"/>
        <v>-0,000222801853951397+0,00443071011011106i</v>
      </c>
      <c r="BD478">
        <f t="shared" si="451"/>
        <v>-47.059565294145443</v>
      </c>
      <c r="BE478" s="43">
        <f t="shared" si="452"/>
        <v>92.878739955123578</v>
      </c>
      <c r="BF478" s="41" t="str">
        <f t="shared" si="453"/>
        <v>-0,00020688406204779-0,00044001949834533i</v>
      </c>
      <c r="BG478" s="20">
        <f t="shared" si="454"/>
        <v>-66.263191412097541</v>
      </c>
      <c r="BH478" s="43">
        <f t="shared" si="455"/>
        <v>-115.18151203364079</v>
      </c>
      <c r="BI478" s="41" t="str">
        <f t="shared" si="409"/>
        <v>0,00548013184928189-0,00105991589780326i</v>
      </c>
      <c r="BJ478" s="20">
        <f t="shared" si="456"/>
        <v>-45.064685253431307</v>
      </c>
      <c r="BK478" s="43">
        <f t="shared" si="410"/>
        <v>-10.946456001870786</v>
      </c>
      <c r="BL478">
        <f t="shared" si="457"/>
        <v>-66.263191412097541</v>
      </c>
      <c r="BM478" s="43">
        <f t="shared" si="458"/>
        <v>-115.18151203364079</v>
      </c>
    </row>
    <row r="479" spans="14:65" x14ac:dyDescent="0.35">
      <c r="N479" s="9">
        <v>61</v>
      </c>
      <c r="O479" s="34">
        <f t="shared" si="408"/>
        <v>407380.27780411334</v>
      </c>
      <c r="P479" s="33" t="str">
        <f t="shared" si="411"/>
        <v>59,1053597814893</v>
      </c>
      <c r="Q479" s="4" t="str">
        <f t="shared" si="412"/>
        <v>1+19667,5419849637i</v>
      </c>
      <c r="R479" s="4">
        <f t="shared" si="424"/>
        <v>19667.542010386296</v>
      </c>
      <c r="S479" s="4">
        <f t="shared" si="425"/>
        <v>1.5707454816003166</v>
      </c>
      <c r="T479" s="4" t="str">
        <f t="shared" si="413"/>
        <v>1+3,3275395087136i</v>
      </c>
      <c r="U479" s="4">
        <f t="shared" si="426"/>
        <v>3.4745530909816225</v>
      </c>
      <c r="V479" s="4">
        <f t="shared" si="427"/>
        <v>1.2788603790924469</v>
      </c>
      <c r="W479" t="str">
        <f t="shared" si="414"/>
        <v>1-122,86299724481i</v>
      </c>
      <c r="X479" s="4">
        <f t="shared" si="428"/>
        <v>122.86706675093285</v>
      </c>
      <c r="Y479" s="4">
        <f t="shared" si="429"/>
        <v>-1.5626573594784774</v>
      </c>
      <c r="Z479" t="str">
        <f t="shared" si="415"/>
        <v>-2,42889856908587+11,495136484647i</v>
      </c>
      <c r="AA479" s="4">
        <f t="shared" si="430"/>
        <v>11.748945104117645</v>
      </c>
      <c r="AB479" s="4">
        <f t="shared" si="431"/>
        <v>1.7790313069063191</v>
      </c>
      <c r="AC479" s="47" t="str">
        <f t="shared" si="432"/>
        <v>-0,096246464129495+0,0515819055621161i</v>
      </c>
      <c r="AD479" s="20">
        <f t="shared" si="433"/>
        <v>-19.235753068764701</v>
      </c>
      <c r="AE479" s="43">
        <f t="shared" si="434"/>
        <v>151.81155849300626</v>
      </c>
      <c r="AF479" t="str">
        <f t="shared" si="416"/>
        <v>405,634542683733</v>
      </c>
      <c r="AG479" t="str">
        <f t="shared" si="417"/>
        <v>1+19702,5365647516i</v>
      </c>
      <c r="AH479">
        <f t="shared" si="435"/>
        <v>19702.536590129042</v>
      </c>
      <c r="AI479">
        <f t="shared" si="436"/>
        <v>1.5707455719088008</v>
      </c>
      <c r="AJ479" t="str">
        <f t="shared" si="418"/>
        <v>1+3,3275395087136i</v>
      </c>
      <c r="AK479">
        <f t="shared" si="437"/>
        <v>3.4745530909816225</v>
      </c>
      <c r="AL479">
        <f t="shared" si="438"/>
        <v>1.2788603790924469</v>
      </c>
      <c r="AM479" t="str">
        <f t="shared" si="419"/>
        <v>1-17,9341338059258i</v>
      </c>
      <c r="AN479">
        <f t="shared" si="439"/>
        <v>17.961991965504566</v>
      </c>
      <c r="AO479">
        <f t="shared" si="440"/>
        <v>-1.5150944143151732</v>
      </c>
      <c r="AP479" s="41" t="str">
        <f t="shared" si="441"/>
        <v>-0,300656210359023-1,24921989818751i</v>
      </c>
      <c r="AQ479">
        <f t="shared" si="442"/>
        <v>2.177324766338224</v>
      </c>
      <c r="AR479" s="43">
        <f t="shared" si="443"/>
        <v>-103.53230515484412</v>
      </c>
      <c r="AS479" t="str">
        <f t="shared" si="420"/>
        <v>-0,0000166666666666667</v>
      </c>
      <c r="AT479" t="str">
        <f t="shared" si="421"/>
        <v>0,56696153936928i</v>
      </c>
      <c r="AU479">
        <f t="shared" si="444"/>
        <v>0.56696153936927995</v>
      </c>
      <c r="AV479">
        <f t="shared" si="445"/>
        <v>1.5707963267948966</v>
      </c>
      <c r="AW479" t="str">
        <f t="shared" si="422"/>
        <v>1+20,2113790614346i</v>
      </c>
      <c r="AX479">
        <f t="shared" si="446"/>
        <v>20.236102479603055</v>
      </c>
      <c r="AY479">
        <f t="shared" si="447"/>
        <v>1.5213595615148445</v>
      </c>
      <c r="AZ479" t="str">
        <f t="shared" si="423"/>
        <v>1+2984,54697473851i</v>
      </c>
      <c r="BA479">
        <f t="shared" si="448"/>
        <v>2984.5471422681185</v>
      </c>
      <c r="BB479">
        <f t="shared" si="449"/>
        <v>1.570461267581206</v>
      </c>
      <c r="BC479" s="41" t="str">
        <f t="shared" si="450"/>
        <v>-0,0002127986064388+0,00433034976633389i</v>
      </c>
      <c r="BD479">
        <f t="shared" si="451"/>
        <v>-47.259065524730907</v>
      </c>
      <c r="BE479" s="43">
        <f t="shared" si="452"/>
        <v>92.813320524494415</v>
      </c>
      <c r="BF479" s="41" t="str">
        <f t="shared" si="453"/>
        <v>-0,000202886579256548-0,000427757411074698i</v>
      </c>
      <c r="BG479" s="20">
        <f t="shared" si="454"/>
        <v>-66.494818593495609</v>
      </c>
      <c r="BH479" s="43">
        <f t="shared" si="455"/>
        <v>-115.37512098249934</v>
      </c>
      <c r="BI479" s="41" t="str">
        <f t="shared" si="409"/>
        <v>0,0054735383167975-0,00103611429680511i</v>
      </c>
      <c r="BJ479" s="20">
        <f t="shared" si="456"/>
        <v>-45.081740758392677</v>
      </c>
      <c r="BK479" s="43">
        <f t="shared" si="410"/>
        <v>-10.718984630349757</v>
      </c>
      <c r="BL479">
        <f t="shared" si="457"/>
        <v>-66.494818593495609</v>
      </c>
      <c r="BM479" s="43">
        <f t="shared" si="458"/>
        <v>-115.37512098249934</v>
      </c>
    </row>
    <row r="480" spans="14:65" x14ac:dyDescent="0.35">
      <c r="N480" s="9">
        <v>62</v>
      </c>
      <c r="O480" s="34">
        <f t="shared" si="408"/>
        <v>416869.38347033598</v>
      </c>
      <c r="P480" s="33" t="str">
        <f t="shared" si="411"/>
        <v>59,1053597814893</v>
      </c>
      <c r="Q480" s="4" t="str">
        <f t="shared" si="412"/>
        <v>1+20125,6578886009i</v>
      </c>
      <c r="R480" s="4">
        <f t="shared" si="424"/>
        <v>20125.657913444807</v>
      </c>
      <c r="S480" s="4">
        <f t="shared" si="425"/>
        <v>1.5707466389782443</v>
      </c>
      <c r="T480" s="4" t="str">
        <f t="shared" si="413"/>
        <v>1+3,40504786080398i</v>
      </c>
      <c r="U480" s="4">
        <f t="shared" si="426"/>
        <v>3.5488520586755601</v>
      </c>
      <c r="V480" s="4">
        <f t="shared" si="427"/>
        <v>1.2851462363713968</v>
      </c>
      <c r="W480" t="str">
        <f t="shared" si="414"/>
        <v>1-125,724844091224i</v>
      </c>
      <c r="X480" s="4">
        <f t="shared" si="428"/>
        <v>125.72882096704231</v>
      </c>
      <c r="Y480" s="4">
        <f t="shared" si="429"/>
        <v>-1.5628426170888066</v>
      </c>
      <c r="Z480" t="str">
        <f t="shared" si="415"/>
        <v>-2,59049758006071+11,7628926100501i</v>
      </c>
      <c r="AA480" s="4">
        <f t="shared" si="430"/>
        <v>12.044763188534331</v>
      </c>
      <c r="AB480" s="4">
        <f t="shared" si="431"/>
        <v>1.7875624145097038</v>
      </c>
      <c r="AC480" s="47" t="str">
        <f t="shared" si="432"/>
        <v>-0,0957648327275395+0,0516239278939564i</v>
      </c>
      <c r="AD480" s="20">
        <f t="shared" si="433"/>
        <v>-19.267974975781229</v>
      </c>
      <c r="AE480" s="43">
        <f t="shared" si="434"/>
        <v>151.6722343334007</v>
      </c>
      <c r="AF480" t="str">
        <f t="shared" si="416"/>
        <v>405,634542683733</v>
      </c>
      <c r="AG480" t="str">
        <f t="shared" si="417"/>
        <v>1+20161,4675968657i</v>
      </c>
      <c r="AH480">
        <f t="shared" si="435"/>
        <v>20161.467621665481</v>
      </c>
      <c r="AI480">
        <f t="shared" si="436"/>
        <v>1.5707467272310565</v>
      </c>
      <c r="AJ480" t="str">
        <f t="shared" si="418"/>
        <v>1+3,40504786080398i</v>
      </c>
      <c r="AK480">
        <f t="shared" si="437"/>
        <v>3.5488520586755601</v>
      </c>
      <c r="AL480">
        <f t="shared" si="438"/>
        <v>1.2851462363713968</v>
      </c>
      <c r="AM480" t="str">
        <f t="shared" si="419"/>
        <v>1-18,3518734462293i</v>
      </c>
      <c r="AN480">
        <f t="shared" si="439"/>
        <v>18.379098426920077</v>
      </c>
      <c r="AO480">
        <f t="shared" si="440"/>
        <v>-1.5163598121965169</v>
      </c>
      <c r="AP480" s="41" t="str">
        <f t="shared" si="441"/>
        <v>-0,300656257423852-1,27736907160703i</v>
      </c>
      <c r="AQ480">
        <f t="shared" si="442"/>
        <v>2.3604977463526557</v>
      </c>
      <c r="AR480" s="43">
        <f t="shared" si="443"/>
        <v>-103.24472021523373</v>
      </c>
      <c r="AS480" t="str">
        <f t="shared" si="420"/>
        <v>-0,0000166666666666667</v>
      </c>
      <c r="AT480" t="str">
        <f t="shared" si="421"/>
        <v>0,580167770129293i</v>
      </c>
      <c r="AU480">
        <f t="shared" si="444"/>
        <v>0.58016777012929299</v>
      </c>
      <c r="AV480">
        <f t="shared" si="445"/>
        <v>1.5707963267948966</v>
      </c>
      <c r="AW480" t="str">
        <f t="shared" si="422"/>
        <v>1+20,6821625578961i</v>
      </c>
      <c r="AX480">
        <f t="shared" si="446"/>
        <v>20.706323866665453</v>
      </c>
      <c r="AY480">
        <f t="shared" si="447"/>
        <v>1.5224831090435142</v>
      </c>
      <c r="AZ480" t="str">
        <f t="shared" si="423"/>
        <v>1+3054,06600438265i</v>
      </c>
      <c r="BA480">
        <f t="shared" si="448"/>
        <v>3054.0661680988196</v>
      </c>
      <c r="BB480">
        <f t="shared" si="449"/>
        <v>1.5704688944595024</v>
      </c>
      <c r="BC480" s="41" t="str">
        <f t="shared" si="450"/>
        <v>-0,000203243429595807+0,00423224097227659i</v>
      </c>
      <c r="BD480">
        <f t="shared" si="451"/>
        <v>-47.458588194947154</v>
      </c>
      <c r="BE480" s="43">
        <f t="shared" si="452"/>
        <v>92.749382980956554</v>
      </c>
      <c r="BF480" s="41" t="str">
        <f t="shared" si="453"/>
        <v>-0,000199021329744441-0,000415792072927081i</v>
      </c>
      <c r="BG480" s="20">
        <f t="shared" si="454"/>
        <v>-66.726563170728383</v>
      </c>
      <c r="BH480" s="43">
        <f t="shared" si="455"/>
        <v>-115.57838268564281</v>
      </c>
      <c r="BI480" s="41" t="str">
        <f t="shared" si="409"/>
        <v>0,00546724013046245-0,00101283286026754i</v>
      </c>
      <c r="BJ480" s="20">
        <f t="shared" si="456"/>
        <v>-45.098090448594505</v>
      </c>
      <c r="BK480" s="43">
        <f t="shared" si="410"/>
        <v>-10.495337234277176</v>
      </c>
      <c r="BL480">
        <f t="shared" si="457"/>
        <v>-66.726563170728383</v>
      </c>
      <c r="BM480" s="43">
        <f t="shared" si="458"/>
        <v>-115.57838268564281</v>
      </c>
    </row>
    <row r="481" spans="14:65" x14ac:dyDescent="0.35">
      <c r="N481" s="9">
        <v>63</v>
      </c>
      <c r="O481" s="34">
        <f t="shared" si="408"/>
        <v>426579.51880159322</v>
      </c>
      <c r="P481" s="33" t="str">
        <f t="shared" si="411"/>
        <v>59,1053597814893</v>
      </c>
      <c r="Q481" s="4" t="str">
        <f t="shared" si="412"/>
        <v>1+20594,4446824452i</v>
      </c>
      <c r="R481" s="4">
        <f t="shared" si="424"/>
        <v>20594.444706723589</v>
      </c>
      <c r="S481" s="4">
        <f t="shared" si="425"/>
        <v>1.5707477700110342</v>
      </c>
      <c r="T481" s="4" t="str">
        <f t="shared" si="413"/>
        <v>1+3,48436161434128i</v>
      </c>
      <c r="U481" s="4">
        <f t="shared" si="426"/>
        <v>3.6250208081464814</v>
      </c>
      <c r="V481" s="4">
        <f t="shared" si="427"/>
        <v>1.2913115170886555</v>
      </c>
      <c r="W481" t="str">
        <f t="shared" si="414"/>
        <v>1-128,65335191414i</v>
      </c>
      <c r="X481" s="4">
        <f t="shared" si="428"/>
        <v>128.6572382679791</v>
      </c>
      <c r="Y481" s="4">
        <f t="shared" si="429"/>
        <v>-1.5630236582486405</v>
      </c>
      <c r="Z481" t="str">
        <f t="shared" si="415"/>
        <v>-2,75971251778924+12,0368855768153i</v>
      </c>
      <c r="AA481" s="4">
        <f t="shared" si="430"/>
        <v>12.349195421977369</v>
      </c>
      <c r="AB481" s="4">
        <f t="shared" si="431"/>
        <v>1.7961725251670855</v>
      </c>
      <c r="AC481" s="47" t="str">
        <f t="shared" si="432"/>
        <v>-0,0952731864750516+0,0516823692019345i</v>
      </c>
      <c r="AD481" s="20">
        <f t="shared" si="433"/>
        <v>-19.300343118352835</v>
      </c>
      <c r="AE481" s="43">
        <f t="shared" si="434"/>
        <v>151.52171819842241</v>
      </c>
      <c r="AF481" t="str">
        <f t="shared" si="416"/>
        <v>405,634542683733</v>
      </c>
      <c r="AG481" t="str">
        <f t="shared" si="417"/>
        <v>1+20631,0885059681i</v>
      </c>
      <c r="AH481">
        <f t="shared" si="435"/>
        <v>20631.088530203368</v>
      </c>
      <c r="AI481">
        <f t="shared" si="436"/>
        <v>1.570747856254967</v>
      </c>
      <c r="AJ481" t="str">
        <f t="shared" si="418"/>
        <v>1+3,48436161434128i</v>
      </c>
      <c r="AK481">
        <f t="shared" si="437"/>
        <v>3.6250208081464814</v>
      </c>
      <c r="AL481">
        <f t="shared" si="438"/>
        <v>1.2913115170886555</v>
      </c>
      <c r="AM481" t="str">
        <f t="shared" si="419"/>
        <v>1-18,7793434927497i</v>
      </c>
      <c r="AN481">
        <f t="shared" si="439"/>
        <v>18.80594964415997</v>
      </c>
      <c r="AO481">
        <f t="shared" si="440"/>
        <v>-1.5175965747483979</v>
      </c>
      <c r="AP481" s="41" t="str">
        <f t="shared" si="441"/>
        <v>-0,300656302370416-1,30619552301609i</v>
      </c>
      <c r="AQ481">
        <f t="shared" si="442"/>
        <v>2.5443712244810306</v>
      </c>
      <c r="AR481" s="43">
        <f t="shared" si="443"/>
        <v>-102.96240161340901</v>
      </c>
      <c r="AS481" t="str">
        <f t="shared" si="420"/>
        <v>-0,0000166666666666667</v>
      </c>
      <c r="AT481" t="str">
        <f t="shared" si="421"/>
        <v>0,593681613520457i</v>
      </c>
      <c r="AU481">
        <f t="shared" si="444"/>
        <v>0.59368161352045701</v>
      </c>
      <c r="AV481">
        <f t="shared" si="445"/>
        <v>1.5707963267948966</v>
      </c>
      <c r="AW481" t="str">
        <f t="shared" si="422"/>
        <v>1+21,1639120107064i</v>
      </c>
      <c r="AX481">
        <f t="shared" si="446"/>
        <v>21.187523960975778</v>
      </c>
      <c r="AY481">
        <f t="shared" si="447"/>
        <v>1.5235811994772819</v>
      </c>
      <c r="AZ481" t="str">
        <f t="shared" si="423"/>
        <v>1+3125,20434024764i</v>
      </c>
      <c r="BA481">
        <f t="shared" si="448"/>
        <v>3125.2045002371747</v>
      </c>
      <c r="BB481">
        <f t="shared" si="449"/>
        <v>1.5704763477288903</v>
      </c>
      <c r="BC481" s="41" t="str">
        <f t="shared" si="450"/>
        <v>-0,000194116345417622+0,00413633466311449i</v>
      </c>
      <c r="BD481">
        <f t="shared" si="451"/>
        <v>-47.658132299558702</v>
      </c>
      <c r="BE481" s="43">
        <f t="shared" si="452"/>
        <v>92.686894074457456</v>
      </c>
      <c r="BF481" s="41" t="str">
        <f t="shared" si="453"/>
        <v>-0,000195281492427014-0,00040411417631413i</v>
      </c>
      <c r="BG481" s="20">
        <f t="shared" si="454"/>
        <v>-66.958475417911544</v>
      </c>
      <c r="BH481" s="43">
        <f t="shared" si="455"/>
        <v>-115.79138772712018</v>
      </c>
      <c r="BI481" s="41" t="str">
        <f t="shared" si="409"/>
        <v>0,00546122412129933-0,00099006118384984i</v>
      </c>
      <c r="BJ481" s="20">
        <f t="shared" si="456"/>
        <v>-45.113761075077676</v>
      </c>
      <c r="BK481" s="43">
        <f t="shared" si="410"/>
        <v>-10.275507538951565</v>
      </c>
      <c r="BL481">
        <f t="shared" si="457"/>
        <v>-66.958475417911544</v>
      </c>
      <c r="BM481" s="43">
        <f t="shared" si="458"/>
        <v>-115.79138772712018</v>
      </c>
    </row>
    <row r="482" spans="14:65" x14ac:dyDescent="0.35">
      <c r="N482" s="9">
        <v>64</v>
      </c>
      <c r="O482" s="34">
        <f t="shared" si="408"/>
        <v>436515.83224016649</v>
      </c>
      <c r="P482" s="33" t="str">
        <f t="shared" si="411"/>
        <v>59,1053597814893</v>
      </c>
      <c r="Q482" s="4" t="str">
        <f t="shared" si="412"/>
        <v>1+21074,1509234598i</v>
      </c>
      <c r="R482" s="4">
        <f t="shared" si="424"/>
        <v>21074.150947185546</v>
      </c>
      <c r="S482" s="4">
        <f t="shared" si="425"/>
        <v>1.5707488752983745</v>
      </c>
      <c r="T482" s="4" t="str">
        <f t="shared" si="413"/>
        <v>1+3,56552282252749i</v>
      </c>
      <c r="U482" s="4">
        <f t="shared" si="426"/>
        <v>3.7031004574497302</v>
      </c>
      <c r="V482" s="4">
        <f t="shared" si="427"/>
        <v>1.2973576146647618</v>
      </c>
      <c r="W482" t="str">
        <f t="shared" si="414"/>
        <v>1-131,650073447169i</v>
      </c>
      <c r="X482" s="4">
        <f t="shared" si="428"/>
        <v>131.65387133937611</v>
      </c>
      <c r="Y482" s="4">
        <f t="shared" si="429"/>
        <v>-1.5632005789009011</v>
      </c>
      <c r="Z482" t="str">
        <f t="shared" si="415"/>
        <v>-2,93690230984142+12,3172606596404i</v>
      </c>
      <c r="AA482" s="4">
        <f t="shared" si="430"/>
        <v>12.662555245094765</v>
      </c>
      <c r="AB482" s="4">
        <f t="shared" si="431"/>
        <v>1.8048638031932696</v>
      </c>
      <c r="AC482" s="47" t="str">
        <f t="shared" si="432"/>
        <v>-0,0947709076465618+0,0517567242097552i</v>
      </c>
      <c r="AD482" s="20">
        <f t="shared" si="433"/>
        <v>-19.332908926591013</v>
      </c>
      <c r="AE482" s="43">
        <f t="shared" si="434"/>
        <v>151.35996038759947</v>
      </c>
      <c r="AF482" t="str">
        <f t="shared" si="416"/>
        <v>405,634542683733</v>
      </c>
      <c r="AG482" t="str">
        <f t="shared" si="417"/>
        <v>1+21111,6482912811i</v>
      </c>
      <c r="AH482">
        <f t="shared" si="435"/>
        <v>21111.648314964707</v>
      </c>
      <c r="AI482">
        <f t="shared" si="436"/>
        <v>1.5707489595791559</v>
      </c>
      <c r="AJ482" t="str">
        <f t="shared" si="418"/>
        <v>1+3,56552282252749i</v>
      </c>
      <c r="AK482">
        <f t="shared" si="437"/>
        <v>3.7031004574497302</v>
      </c>
      <c r="AL482">
        <f t="shared" si="438"/>
        <v>1.2973576146647618</v>
      </c>
      <c r="AM482" t="str">
        <f t="shared" si="419"/>
        <v>1-19,2167705957639i</v>
      </c>
      <c r="AN482">
        <f t="shared" si="439"/>
        <v>19.242771945076317</v>
      </c>
      <c r="AO482">
        <f t="shared" si="440"/>
        <v>-1.5188053425762793</v>
      </c>
      <c r="AP482" s="41" t="str">
        <f t="shared" si="441"/>
        <v>-0,300656345294051-1,33571453658079i</v>
      </c>
      <c r="AQ482">
        <f t="shared" si="442"/>
        <v>2.728918302409316</v>
      </c>
      <c r="AR482" s="43">
        <f t="shared" si="443"/>
        <v>-102.68530625054217</v>
      </c>
      <c r="AS482" t="str">
        <f t="shared" si="420"/>
        <v>-0,0000166666666666667</v>
      </c>
      <c r="AT482" t="str">
        <f t="shared" si="421"/>
        <v>0,607510234761414i</v>
      </c>
      <c r="AU482">
        <f t="shared" si="444"/>
        <v>0.60751023476141397</v>
      </c>
      <c r="AV482">
        <f t="shared" si="445"/>
        <v>1.5707963267948966</v>
      </c>
      <c r="AW482" t="str">
        <f t="shared" si="422"/>
        <v>1+21,6568828498023i</v>
      </c>
      <c r="AX482">
        <f t="shared" si="446"/>
        <v>21.679957905172717</v>
      </c>
      <c r="AY482">
        <f t="shared" si="447"/>
        <v>1.5246544044395671</v>
      </c>
      <c r="AZ482" t="str">
        <f t="shared" si="423"/>
        <v>1+3197,99970082081i</v>
      </c>
      <c r="BA482">
        <f t="shared" si="448"/>
        <v>3197.9998571685383</v>
      </c>
      <c r="BB482">
        <f t="shared" si="449"/>
        <v>1.5704836313411883</v>
      </c>
      <c r="BC482" s="41" t="str">
        <f t="shared" si="450"/>
        <v>-0,000185398258555319+0,00404258274614309i</v>
      </c>
      <c r="BD482">
        <f t="shared" si="451"/>
        <v>-47.85769687815926</v>
      </c>
      <c r="BE482" s="43">
        <f t="shared" si="452"/>
        <v>92.625821279810339</v>
      </c>
      <c r="BF482" s="41" t="str">
        <f t="shared" si="453"/>
        <v>-0,000191660479047863-0,000392714842625328i</v>
      </c>
      <c r="BG482" s="20">
        <f t="shared" si="454"/>
        <v>-67.190605804750277</v>
      </c>
      <c r="BH482" s="43">
        <f t="shared" si="455"/>
        <v>-116.01421833259015</v>
      </c>
      <c r="BI482" s="41" t="str">
        <f t="shared" si="409"/>
        <v>0,00545547770219514-0,000967789004995066i</v>
      </c>
      <c r="BJ482" s="20">
        <f t="shared" si="456"/>
        <v>-45.128778575749934</v>
      </c>
      <c r="BK482" s="43">
        <f t="shared" si="410"/>
        <v>-10.059484970731825</v>
      </c>
      <c r="BL482">
        <f t="shared" si="457"/>
        <v>-67.190605804750277</v>
      </c>
      <c r="BM482" s="43">
        <f t="shared" si="458"/>
        <v>-116.01421833259015</v>
      </c>
    </row>
    <row r="483" spans="14:65" x14ac:dyDescent="0.35">
      <c r="N483" s="9">
        <v>65</v>
      </c>
      <c r="O483" s="34">
        <f t="shared" si="408"/>
        <v>446683.59215096442</v>
      </c>
      <c r="P483" s="33" t="str">
        <f t="shared" si="411"/>
        <v>59,1053597814893</v>
      </c>
      <c r="Q483" s="4" t="str">
        <f t="shared" si="412"/>
        <v>1+21565,0309582434i</v>
      </c>
      <c r="R483" s="4">
        <f t="shared" si="424"/>
        <v>21565.030981429085</v>
      </c>
      <c r="S483" s="4">
        <f t="shared" si="425"/>
        <v>1.5707499554263036</v>
      </c>
      <c r="T483" s="4" t="str">
        <f t="shared" si="413"/>
        <v>1+3,64857451810948i</v>
      </c>
      <c r="U483" s="4">
        <f t="shared" si="426"/>
        <v>3.7831330949621411</v>
      </c>
      <c r="V483" s="4">
        <f t="shared" si="427"/>
        <v>1.303285965993205</v>
      </c>
      <c r="W483" t="str">
        <f t="shared" si="414"/>
        <v>1-134,716597591735i</v>
      </c>
      <c r="X483" s="4">
        <f t="shared" si="428"/>
        <v>134.72030903577033</v>
      </c>
      <c r="Y483" s="4">
        <f t="shared" si="429"/>
        <v>-1.5633734728069326</v>
      </c>
      <c r="Z483" t="str">
        <f t="shared" si="415"/>
        <v>-3,12244279952251+12,6041665171055i</v>
      </c>
      <c r="AA483" s="4">
        <f t="shared" si="430"/>
        <v>12.985170874009066</v>
      </c>
      <c r="AB483" s="4">
        <f t="shared" si="431"/>
        <v>1.8136383248305814</v>
      </c>
      <c r="AC483" s="47" t="str">
        <f t="shared" si="432"/>
        <v>-0,0942573875055867+0,0518464645373941i</v>
      </c>
      <c r="AD483" s="20">
        <f t="shared" si="433"/>
        <v>-19.365723983209588</v>
      </c>
      <c r="AE483" s="43">
        <f t="shared" si="434"/>
        <v>151.18691886323504</v>
      </c>
      <c r="AF483" t="str">
        <f t="shared" si="416"/>
        <v>405,634542683733</v>
      </c>
      <c r="AG483" t="str">
        <f t="shared" si="417"/>
        <v>1+21603,401751964i</v>
      </c>
      <c r="AH483">
        <f t="shared" si="435"/>
        <v>21603.401775108501</v>
      </c>
      <c r="AI483">
        <f t="shared" si="436"/>
        <v>1.5707500377886203</v>
      </c>
      <c r="AJ483" t="str">
        <f t="shared" si="418"/>
        <v>1+3,64857451810948i</v>
      </c>
      <c r="AK483">
        <f t="shared" si="437"/>
        <v>3.7831330949621411</v>
      </c>
      <c r="AL483">
        <f t="shared" si="438"/>
        <v>1.303285965993205</v>
      </c>
      <c r="AM483" t="str">
        <f t="shared" si="419"/>
        <v>1-19,6643866849121i</v>
      </c>
      <c r="AN483">
        <f t="shared" si="439"/>
        <v>19.689796943944046</v>
      </c>
      <c r="AO483">
        <f t="shared" si="440"/>
        <v>-1.5199867424476143</v>
      </c>
      <c r="AP483" s="41" t="str">
        <f t="shared" si="441"/>
        <v>-0,300656386285803-1,36594176367288i</v>
      </c>
      <c r="AQ483">
        <f t="shared" si="442"/>
        <v>2.9141129297208144</v>
      </c>
      <c r="AR483" s="43">
        <f t="shared" si="443"/>
        <v>-102.41338774334807</v>
      </c>
      <c r="AS483" t="str">
        <f t="shared" si="420"/>
        <v>-0,0000166666666666667</v>
      </c>
      <c r="AT483" t="str">
        <f t="shared" si="421"/>
        <v>0,621660965970192i</v>
      </c>
      <c r="AU483">
        <f t="shared" si="444"/>
        <v>0.62166096597019205</v>
      </c>
      <c r="AV483">
        <f t="shared" si="445"/>
        <v>1.5707963267948966</v>
      </c>
      <c r="AW483" t="str">
        <f t="shared" si="422"/>
        <v>1+22,161336454848i</v>
      </c>
      <c r="AX483">
        <f t="shared" si="446"/>
        <v>22.183886797966107</v>
      </c>
      <c r="AY483">
        <f t="shared" si="447"/>
        <v>1.5257032830635495</v>
      </c>
      <c r="AZ483" t="str">
        <f t="shared" si="423"/>
        <v>1+3272,49068316589i</v>
      </c>
      <c r="BA483">
        <f t="shared" si="448"/>
        <v>3272.4908359547098</v>
      </c>
      <c r="BB483">
        <f t="shared" si="449"/>
        <v>1.5704907491582609</v>
      </c>
      <c r="BC483" s="41" t="str">
        <f t="shared" si="450"/>
        <v>-0,000177070918031087+0,00395093808817757i</v>
      </c>
      <c r="BD483">
        <f t="shared" si="451"/>
        <v>-48.057281013191272</v>
      </c>
      <c r="BE483" s="43">
        <f t="shared" si="452"/>
        <v>92.566132782312238</v>
      </c>
      <c r="BF483" s="41" t="str">
        <f t="shared" si="453"/>
        <v>-0,000188151929341312-0,000381585603460238i</v>
      </c>
      <c r="BG483" s="20">
        <f t="shared" si="454"/>
        <v>-67.423004996400863</v>
      </c>
      <c r="BH483" s="43">
        <f t="shared" si="455"/>
        <v>-116.24694835445271</v>
      </c>
      <c r="BI483" s="41" t="str">
        <f t="shared" si="409"/>
        <v>0,00544998884265916-0,000946006205959848i</v>
      </c>
      <c r="BJ483" s="20">
        <f t="shared" si="456"/>
        <v>-45.143168083470471</v>
      </c>
      <c r="BK483" s="43">
        <f t="shared" si="410"/>
        <v>-9.8472549610358264</v>
      </c>
      <c r="BL483">
        <f t="shared" si="457"/>
        <v>-67.423004996400863</v>
      </c>
      <c r="BM483" s="43">
        <f t="shared" si="458"/>
        <v>-116.24694835445271</v>
      </c>
    </row>
    <row r="484" spans="14:65" x14ac:dyDescent="0.35">
      <c r="N484" s="9">
        <v>66</v>
      </c>
      <c r="O484" s="34">
        <f t="shared" ref="O484:O518" si="459">10^(5+(N484/100))</f>
        <v>457088.18961487547</v>
      </c>
      <c r="P484" s="33" t="str">
        <f t="shared" si="411"/>
        <v>59,1053597814893</v>
      </c>
      <c r="Q484" s="4" t="str">
        <f t="shared" si="412"/>
        <v>1+22067,3450578879i</v>
      </c>
      <c r="R484" s="4">
        <f t="shared" si="424"/>
        <v>22067.345080545809</v>
      </c>
      <c r="S484" s="4">
        <f t="shared" si="425"/>
        <v>1.5707510109675196</v>
      </c>
      <c r="T484" s="4" t="str">
        <f t="shared" si="413"/>
        <v>1+3,73356073619555i</v>
      </c>
      <c r="U484" s="4">
        <f t="shared" si="426"/>
        <v>3.8651618039690216</v>
      </c>
      <c r="V484" s="4">
        <f t="shared" si="427"/>
        <v>1.3090980468680213</v>
      </c>
      <c r="W484" t="str">
        <f t="shared" si="414"/>
        <v>1-137,854550259528i</v>
      </c>
      <c r="X484" s="4">
        <f t="shared" si="428"/>
        <v>137.85817722303139</v>
      </c>
      <c r="Y484" s="4">
        <f t="shared" si="429"/>
        <v>-1.5635424315960025</v>
      </c>
      <c r="Z484" t="str">
        <f t="shared" si="415"/>
        <v>-3,31672754308686+12,8977552704937i</v>
      </c>
      <c r="AA484" s="4">
        <f t="shared" si="430"/>
        <v>13.317386102858888</v>
      </c>
      <c r="AB484" s="4">
        <f t="shared" si="431"/>
        <v>1.8224980727136499</v>
      </c>
      <c r="AC484" s="47" t="str">
        <f t="shared" si="432"/>
        <v>-0,0937320272437565+0,0519510379570056i</v>
      </c>
      <c r="AD484" s="20">
        <f t="shared" si="433"/>
        <v>-19.39884002471992</v>
      </c>
      <c r="AE484" s="43">
        <f t="shared" si="434"/>
        <v>151.00255930271879</v>
      </c>
      <c r="AF484" t="str">
        <f t="shared" si="416"/>
        <v>405,634542683733</v>
      </c>
      <c r="AG484" t="str">
        <f t="shared" si="417"/>
        <v>1+22106,6096222105i</v>
      </c>
      <c r="AH484">
        <f t="shared" si="435"/>
        <v>22106.609644828171</v>
      </c>
      <c r="AI484">
        <f t="shared" si="436"/>
        <v>1.5707510914550409</v>
      </c>
      <c r="AJ484" t="str">
        <f t="shared" si="418"/>
        <v>1+3,73356073619555i</v>
      </c>
      <c r="AK484">
        <f t="shared" si="437"/>
        <v>3.8651618039690216</v>
      </c>
      <c r="AL484">
        <f t="shared" si="438"/>
        <v>1.3090980468680213</v>
      </c>
      <c r="AM484" t="str">
        <f t="shared" si="419"/>
        <v>1-20,1224290921695i</v>
      </c>
      <c r="AN484">
        <f t="shared" si="439"/>
        <v>20.147261664290497</v>
      </c>
      <c r="AO484">
        <f t="shared" si="440"/>
        <v>-1.521141387557674</v>
      </c>
      <c r="AP484" s="41" t="str">
        <f t="shared" si="441"/>
        <v>-0,300656425432623-1,39689323116826i</v>
      </c>
      <c r="AQ484">
        <f t="shared" si="442"/>
        <v>3.099929892432491</v>
      </c>
      <c r="AR484" s="43">
        <f t="shared" si="443"/>
        <v>-102.14659670131319</v>
      </c>
      <c r="AS484" t="str">
        <f t="shared" si="420"/>
        <v>-0,0000166666666666667</v>
      </c>
      <c r="AT484" t="str">
        <f t="shared" si="421"/>
        <v>0,636141310051781i</v>
      </c>
      <c r="AU484">
        <f t="shared" si="444"/>
        <v>0.63614131005178098</v>
      </c>
      <c r="AV484">
        <f t="shared" si="445"/>
        <v>1.5707963267948966</v>
      </c>
      <c r="AW484" t="str">
        <f t="shared" si="422"/>
        <v>1+22,6775402938219i</v>
      </c>
      <c r="AX484">
        <f t="shared" si="446"/>
        <v>22.699577832592301</v>
      </c>
      <c r="AY484">
        <f t="shared" si="447"/>
        <v>1.5267283822419464</v>
      </c>
      <c r="AZ484" t="str">
        <f t="shared" si="423"/>
        <v>1+3348,7167833877i</v>
      </c>
      <c r="BA484">
        <f t="shared" si="448"/>
        <v>3348.7169326986223</v>
      </c>
      <c r="BB484">
        <f t="shared" si="449"/>
        <v>1.5704977049540663</v>
      </c>
      <c r="BC484" s="41" t="str">
        <f t="shared" si="450"/>
        <v>-0,000169116880551202+0,00386135450261829i</v>
      </c>
      <c r="BD484">
        <f t="shared" si="451"/>
        <v>-48.256883828049467</v>
      </c>
      <c r="BE484" s="43">
        <f t="shared" si="452"/>
        <v>92.507797463550546</v>
      </c>
      <c r="BF484" s="41" t="str">
        <f t="shared" si="453"/>
        <v>-0,000184749706275773-0,000370718382917905i</v>
      </c>
      <c r="BG484" s="20">
        <f t="shared" si="454"/>
        <v>-67.655723852769384</v>
      </c>
      <c r="BH484" s="43">
        <f t="shared" si="455"/>
        <v>-116.48964323373069</v>
      </c>
      <c r="BI484" s="41" t="str">
        <f t="shared" si="409"/>
        <v>0,00544474604463541-0,000924702816367114i</v>
      </c>
      <c r="BJ484" s="20">
        <f t="shared" si="456"/>
        <v>-45.156953935616983</v>
      </c>
      <c r="BK484" s="43">
        <f t="shared" si="410"/>
        <v>-9.6387992377626528</v>
      </c>
      <c r="BL484">
        <f t="shared" si="457"/>
        <v>-67.655723852769384</v>
      </c>
      <c r="BM484" s="43">
        <f t="shared" si="458"/>
        <v>-116.48964323373069</v>
      </c>
    </row>
    <row r="485" spans="14:65" x14ac:dyDescent="0.35">
      <c r="N485" s="9">
        <v>67</v>
      </c>
      <c r="O485" s="34">
        <f t="shared" si="459"/>
        <v>467735.14128719864</v>
      </c>
      <c r="P485" s="33" t="str">
        <f t="shared" si="411"/>
        <v>59,1053597814893</v>
      </c>
      <c r="Q485" s="4" t="str">
        <f t="shared" si="412"/>
        <v>1+22581,359555978i</v>
      </c>
      <c r="R485" s="4">
        <f t="shared" si="424"/>
        <v>22581.359578120155</v>
      </c>
      <c r="S485" s="4">
        <f t="shared" si="425"/>
        <v>1.5707520424816839</v>
      </c>
      <c r="T485" s="4" t="str">
        <f t="shared" si="413"/>
        <v>1+3,82052653760348i</v>
      </c>
      <c r="U485" s="4">
        <f t="shared" si="426"/>
        <v>3.9492306876824039</v>
      </c>
      <c r="V485" s="4">
        <f t="shared" si="427"/>
        <v>1.3147953676246131</v>
      </c>
      <c r="W485" t="str">
        <f t="shared" si="414"/>
        <v>1-141,06559523459i</v>
      </c>
      <c r="X485" s="4">
        <f t="shared" si="428"/>
        <v>141.06913964042306</v>
      </c>
      <c r="Y485" s="4">
        <f t="shared" si="429"/>
        <v>-1.5637075448136895</v>
      </c>
      <c r="Z485" t="str">
        <f t="shared" si="415"/>
        <v>-3,52016864452386+13,1981825844484i</v>
      </c>
      <c r="AA485" s="4">
        <f t="shared" si="430"/>
        <v>13.659561150283198</v>
      </c>
      <c r="AB485" s="4">
        <f t="shared" si="431"/>
        <v>1.8314449301542213</v>
      </c>
      <c r="AC485" s="47" t="str">
        <f t="shared" si="432"/>
        <v>-0,093194239034678+0,0520698676797134i</v>
      </c>
      <c r="AD485" s="20">
        <f t="shared" si="433"/>
        <v>-19.4323089416134</v>
      </c>
      <c r="AE485" s="43">
        <f t="shared" si="434"/>
        <v>150.80685517343042</v>
      </c>
      <c r="AF485" t="str">
        <f t="shared" si="416"/>
        <v>405,634542683733</v>
      </c>
      <c r="AG485" t="str">
        <f t="shared" si="417"/>
        <v>1+22621,5387094943i</v>
      </c>
      <c r="AH485">
        <f t="shared" si="435"/>
        <v>22621.538731597127</v>
      </c>
      <c r="AI485">
        <f t="shared" si="436"/>
        <v>1.5707521211370856</v>
      </c>
      <c r="AJ485" t="str">
        <f t="shared" si="418"/>
        <v>1+3,82052653760348i</v>
      </c>
      <c r="AK485">
        <f t="shared" si="437"/>
        <v>3.9492306876824039</v>
      </c>
      <c r="AL485">
        <f t="shared" si="438"/>
        <v>1.3147953676246131</v>
      </c>
      <c r="AM485" t="str">
        <f t="shared" si="419"/>
        <v>1-20,5911406776834i</v>
      </c>
      <c r="AN485">
        <f t="shared" si="439"/>
        <v>20.615408664592316</v>
      </c>
      <c r="AO485">
        <f t="shared" si="440"/>
        <v>-1.5222698777925541</v>
      </c>
      <c r="AP485" s="41" t="str">
        <f t="shared" si="441"/>
        <v>-0,300656462817544-1,42858534994472i</v>
      </c>
      <c r="AQ485">
        <f t="shared" si="442"/>
        <v>3.2863448002893443</v>
      </c>
      <c r="AR485" s="43">
        <f t="shared" si="443"/>
        <v>-101.88488099154394</v>
      </c>
      <c r="AS485" t="str">
        <f t="shared" si="420"/>
        <v>-0,0000166666666666667</v>
      </c>
      <c r="AT485" t="str">
        <f t="shared" si="421"/>
        <v>0,650958944676286i</v>
      </c>
      <c r="AU485">
        <f t="shared" si="444"/>
        <v>0.65095894467628601</v>
      </c>
      <c r="AV485">
        <f t="shared" si="445"/>
        <v>1.5707963267948966</v>
      </c>
      <c r="AW485" t="str">
        <f t="shared" si="422"/>
        <v>1+23,2057680648324i</v>
      </c>
      <c r="AX485">
        <f t="shared" si="446"/>
        <v>23.227304438500724</v>
      </c>
      <c r="AY485">
        <f t="shared" si="447"/>
        <v>1.5277302368733796</v>
      </c>
      <c r="AZ485" t="str">
        <f t="shared" si="423"/>
        <v>1+3426,71841757358i</v>
      </c>
      <c r="BA485">
        <f t="shared" si="448"/>
        <v>3426.7185634857701</v>
      </c>
      <c r="BB485">
        <f t="shared" si="449"/>
        <v>1.5705045024166564</v>
      </c>
      <c r="BC485" s="41" t="str">
        <f t="shared" si="450"/>
        <v>-0,000161519475355528+0,00377378673622819i</v>
      </c>
      <c r="BD485">
        <f t="shared" si="451"/>
        <v>-48.456504485268553</v>
      </c>
      <c r="BE485" s="43">
        <f t="shared" si="452"/>
        <v>92.45078488740161</v>
      </c>
      <c r="BF485" s="41" t="str">
        <f t="shared" si="453"/>
        <v>-0,00018144789141182-0,000360105480871406i</v>
      </c>
      <c r="BG485" s="20">
        <f t="shared" si="454"/>
        <v>-67.888813426881967</v>
      </c>
      <c r="BH485" s="43">
        <f t="shared" si="455"/>
        <v>-116.74235993916793</v>
      </c>
      <c r="BI485" s="41" t="str">
        <f t="shared" si="409"/>
        <v>0,00543973831932783-0,000903869015318467i</v>
      </c>
      <c r="BJ485" s="20">
        <f t="shared" si="456"/>
        <v>-45.170159684979211</v>
      </c>
      <c r="BK485" s="43">
        <f t="shared" si="410"/>
        <v>-9.4340961041423288</v>
      </c>
      <c r="BL485">
        <f t="shared" si="457"/>
        <v>-67.888813426881967</v>
      </c>
      <c r="BM485" s="43">
        <f t="shared" si="458"/>
        <v>-116.74235993916793</v>
      </c>
    </row>
    <row r="486" spans="14:65" x14ac:dyDescent="0.35">
      <c r="N486" s="9">
        <v>68</v>
      </c>
      <c r="O486" s="34">
        <f t="shared" si="459"/>
        <v>478630.09232263872</v>
      </c>
      <c r="P486" s="33" t="str">
        <f t="shared" si="411"/>
        <v>59,1053597814893</v>
      </c>
      <c r="Q486" s="4" t="str">
        <f t="shared" si="412"/>
        <v>1+23107,3469898044i</v>
      </c>
      <c r="R486" s="4">
        <f t="shared" si="424"/>
        <v>23107.347011442536</v>
      </c>
      <c r="S486" s="4">
        <f t="shared" si="425"/>
        <v>1.5707530505157195</v>
      </c>
      <c r="T486" s="4" t="str">
        <f t="shared" si="413"/>
        <v>1+3,90951803275229i</v>
      </c>
      <c r="U486" s="4">
        <f t="shared" si="426"/>
        <v>4.0353848947052544</v>
      </c>
      <c r="V486" s="4">
        <f t="shared" si="427"/>
        <v>1.3203794689923856</v>
      </c>
      <c r="W486" t="str">
        <f t="shared" si="414"/>
        <v>1-144,35143505547i</v>
      </c>
      <c r="X486" s="4">
        <f t="shared" si="428"/>
        <v>144.35489878273467</v>
      </c>
      <c r="Y486" s="4">
        <f t="shared" si="429"/>
        <v>-1.563868899969175</v>
      </c>
      <c r="Z486" t="str">
        <f t="shared" si="415"/>
        <v>-3,73319762968548+13,5056077495079i</v>
      </c>
      <c r="AA486" s="4">
        <f t="shared" si="430"/>
        <v>14.012073551971428</v>
      </c>
      <c r="AB486" s="4">
        <f t="shared" si="431"/>
        <v>1.8404806752558076</v>
      </c>
      <c r="AC486" s="47" t="str">
        <f t="shared" si="432"/>
        <v>-0,0926434472040671+0,0522023516836684i</v>
      </c>
      <c r="AD486" s="20">
        <f t="shared" si="433"/>
        <v>-19.466182777168839</v>
      </c>
      <c r="AE486" s="43">
        <f t="shared" si="434"/>
        <v>150.5997878295922</v>
      </c>
      <c r="AF486" t="str">
        <f t="shared" si="416"/>
        <v>405,634542683733</v>
      </c>
      <c r="AG486" t="str">
        <f t="shared" si="417"/>
        <v>1+23148,4620360333i</v>
      </c>
      <c r="AH486">
        <f t="shared" si="435"/>
        <v>23148.462057633005</v>
      </c>
      <c r="AI486">
        <f t="shared" si="436"/>
        <v>1.5707531273807056</v>
      </c>
      <c r="AJ486" t="str">
        <f t="shared" si="418"/>
        <v>1+3,90951803275229i</v>
      </c>
      <c r="AK486">
        <f t="shared" si="437"/>
        <v>4.0353848947052544</v>
      </c>
      <c r="AL486">
        <f t="shared" si="438"/>
        <v>1.3203794689923856</v>
      </c>
      <c r="AM486" t="str">
        <f t="shared" si="419"/>
        <v>1-21,0707699585406i</v>
      </c>
      <c r="AN486">
        <f t="shared" si="439"/>
        <v>21.094486166904776</v>
      </c>
      <c r="AO486">
        <f t="shared" si="440"/>
        <v>-1.5233727999892128</v>
      </c>
      <c r="AP486" s="41" t="str">
        <f t="shared" si="441"/>
        <v>-0,300656498519869-1,46103492358314i</v>
      </c>
      <c r="AQ486">
        <f t="shared" si="442"/>
        <v>3.4733340729620994</v>
      </c>
      <c r="AR486" s="43">
        <f t="shared" si="443"/>
        <v>-101.62818599130979</v>
      </c>
      <c r="AS486" t="str">
        <f t="shared" si="420"/>
        <v>-0,0000166666666666667</v>
      </c>
      <c r="AT486" t="str">
        <f t="shared" si="421"/>
        <v>0,666121726349718i</v>
      </c>
      <c r="AU486">
        <f t="shared" si="444"/>
        <v>0.666121726349718</v>
      </c>
      <c r="AV486">
        <f t="shared" si="445"/>
        <v>1.5707963267948966</v>
      </c>
      <c r="AW486" t="str">
        <f t="shared" si="422"/>
        <v>1+23,7462998412355i</v>
      </c>
      <c r="AX486">
        <f t="shared" si="446"/>
        <v>23.767346426344297</v>
      </c>
      <c r="AY486">
        <f t="shared" si="447"/>
        <v>1.5287093701052603</v>
      </c>
      <c r="AZ486" t="str">
        <f t="shared" si="423"/>
        <v>1+3506,53694322244i</v>
      </c>
      <c r="BA486">
        <f t="shared" si="448"/>
        <v>3506.5370858132633</v>
      </c>
      <c r="BB486">
        <f t="shared" si="449"/>
        <v>1.5705111451501337</v>
      </c>
      <c r="BC486" s="41" t="str">
        <f t="shared" si="450"/>
        <v>-0,000154262770544439+0,00368819045566751i</v>
      </c>
      <c r="BD486">
        <f t="shared" si="451"/>
        <v>-48.656142184788642</v>
      </c>
      <c r="BE486" s="43">
        <f t="shared" si="452"/>
        <v>92.395065286226512</v>
      </c>
      <c r="BF486" s="41" t="str">
        <f t="shared" si="453"/>
        <v>-0,000178240780404618-0,000349739557157835i</v>
      </c>
      <c r="BG486" s="20">
        <f t="shared" si="454"/>
        <v>-68.122324961957489</v>
      </c>
      <c r="BH486" s="43">
        <f t="shared" si="455"/>
        <v>-117.00514688418129</v>
      </c>
      <c r="BI486" s="41" t="str">
        <f t="shared" si="409"/>
        <v>0,00543495516500011-0,000883495133101276i</v>
      </c>
      <c r="BJ486" s="20">
        <f t="shared" si="456"/>
        <v>-45.182808111826553</v>
      </c>
      <c r="BK486" s="43">
        <f t="shared" si="410"/>
        <v>-9.2331207050832695</v>
      </c>
      <c r="BL486">
        <f t="shared" si="457"/>
        <v>-68.122324961957489</v>
      </c>
      <c r="BM486" s="43">
        <f t="shared" si="458"/>
        <v>-117.00514688418129</v>
      </c>
    </row>
    <row r="487" spans="14:65" x14ac:dyDescent="0.35">
      <c r="N487" s="9">
        <v>69</v>
      </c>
      <c r="O487" s="34">
        <f t="shared" si="459"/>
        <v>489778.81936844654</v>
      </c>
      <c r="P487" s="33" t="str">
        <f t="shared" si="411"/>
        <v>59,1053597814893</v>
      </c>
      <c r="Q487" s="4" t="str">
        <f t="shared" si="412"/>
        <v>1+23645,5862448666i</v>
      </c>
      <c r="R487" s="4">
        <f t="shared" si="424"/>
        <v>23645.586266012197</v>
      </c>
      <c r="S487" s="4">
        <f t="shared" si="425"/>
        <v>1.570754035604099</v>
      </c>
      <c r="T487" s="4" t="str">
        <f t="shared" si="413"/>
        <v>1+4,00058240611067i</v>
      </c>
      <c r="U487" s="4">
        <f t="shared" si="426"/>
        <v>4.1236706449572615</v>
      </c>
      <c r="V487" s="4">
        <f t="shared" si="427"/>
        <v>1.3258519181568764</v>
      </c>
      <c r="W487" t="str">
        <f t="shared" si="414"/>
        <v>1-147,713811917933i</v>
      </c>
      <c r="X487" s="4">
        <f t="shared" si="428"/>
        <v>147.71719680296701</v>
      </c>
      <c r="Y487" s="4">
        <f t="shared" si="429"/>
        <v>-1.5640265825814714</v>
      </c>
      <c r="Z487" t="str">
        <f t="shared" si="415"/>
        <v>-3,95626636161053+13,8201937665641i</v>
      </c>
      <c r="AA487" s="4">
        <f t="shared" si="430"/>
        <v>14.375319101480434</v>
      </c>
      <c r="AB487" s="4">
        <f t="shared" si="431"/>
        <v>1.8496069748703279</v>
      </c>
      <c r="AC487" s="47" t="str">
        <f t="shared" si="432"/>
        <v>-0,0920790895169449+0,0523478620943536i</v>
      </c>
      <c r="AD487" s="20">
        <f t="shared" si="433"/>
        <v>-19.500513724529888</v>
      </c>
      <c r="AE487" s="43">
        <f t="shared" si="434"/>
        <v>150.38134663023985</v>
      </c>
      <c r="AF487" t="str">
        <f t="shared" si="416"/>
        <v>405,634542683733</v>
      </c>
      <c r="AG487" t="str">
        <f t="shared" si="417"/>
        <v>1+23687,65898355i</v>
      </c>
      <c r="AH487">
        <f t="shared" si="435"/>
        <v>23687.659004658039</v>
      </c>
      <c r="AI487">
        <f t="shared" si="436"/>
        <v>1.5707541107194245</v>
      </c>
      <c r="AJ487" t="str">
        <f t="shared" si="418"/>
        <v>1+4,00058240611067i</v>
      </c>
      <c r="AK487">
        <f t="shared" si="437"/>
        <v>4.1236706449572615</v>
      </c>
      <c r="AL487">
        <f t="shared" si="438"/>
        <v>1.3258519181568764</v>
      </c>
      <c r="AM487" t="str">
        <f t="shared" si="419"/>
        <v>1-21,5615712405345i</v>
      </c>
      <c r="AN487">
        <f t="shared" si="439"/>
        <v>21.584748188492831</v>
      </c>
      <c r="AO487">
        <f t="shared" si="440"/>
        <v>-1.5244507281924109</v>
      </c>
      <c r="AP487" s="41" t="str">
        <f t="shared" si="441"/>
        <v>-0,300656532615324-1,49425915727699i</v>
      </c>
      <c r="AQ487">
        <f t="shared" si="442"/>
        <v>3.6608749252883266</v>
      </c>
      <c r="AR487" s="43">
        <f t="shared" si="443"/>
        <v>-101.37645482840436</v>
      </c>
      <c r="AS487" t="str">
        <f t="shared" si="420"/>
        <v>-0,0000166666666666667</v>
      </c>
      <c r="AT487" t="str">
        <f t="shared" si="421"/>
        <v>0,681637694579625i</v>
      </c>
      <c r="AU487">
        <f t="shared" si="444"/>
        <v>0.68163769457962498</v>
      </c>
      <c r="AV487">
        <f t="shared" si="445"/>
        <v>1.5707963267948966</v>
      </c>
      <c r="AW487" t="str">
        <f t="shared" si="422"/>
        <v>1+24,2994222201339i</v>
      </c>
      <c r="AX487">
        <f t="shared" si="446"/>
        <v>24.319990136353614</v>
      </c>
      <c r="AY487">
        <f t="shared" si="447"/>
        <v>1.5296662935731358</v>
      </c>
      <c r="AZ487" t="str">
        <f t="shared" si="423"/>
        <v>1+3588,21468117311i</v>
      </c>
      <c r="BA487">
        <f t="shared" si="448"/>
        <v>3588.2148205181702</v>
      </c>
      <c r="BB487">
        <f t="shared" si="449"/>
        <v>1.5705176366765607</v>
      </c>
      <c r="BC487" s="41" t="str">
        <f t="shared" si="450"/>
        <v>-0,000147331540825668+0,00360452223382536i</v>
      </c>
      <c r="BD487">
        <f t="shared" si="451"/>
        <v>-48.85579616229731</v>
      </c>
      <c r="BE487" s="43">
        <f t="shared" si="452"/>
        <v>92.340609547267107</v>
      </c>
      <c r="BF487" s="41" t="str">
        <f t="shared" si="453"/>
        <v>-0,000175122878675965-0,000339613616615514i</v>
      </c>
      <c r="BG487" s="20">
        <f t="shared" si="454"/>
        <v>-68.356309886827205</v>
      </c>
      <c r="BH487" s="43">
        <f t="shared" si="455"/>
        <v>-117.27804382249302</v>
      </c>
      <c r="BI487" s="41" t="str">
        <f t="shared" si="409"/>
        <v>0,00543038654571157-0,000863571652522292i</v>
      </c>
      <c r="BJ487" s="20">
        <f t="shared" si="456"/>
        <v>-45.194921237008998</v>
      </c>
      <c r="BK487" s="43">
        <f t="shared" si="410"/>
        <v>-9.0358452811372665</v>
      </c>
      <c r="BL487">
        <f t="shared" si="457"/>
        <v>-68.356309886827205</v>
      </c>
      <c r="BM487" s="43">
        <f t="shared" si="458"/>
        <v>-117.27804382249302</v>
      </c>
    </row>
    <row r="488" spans="14:65" x14ac:dyDescent="0.35">
      <c r="N488" s="9">
        <v>70</v>
      </c>
      <c r="O488" s="34">
        <f t="shared" si="459"/>
        <v>501187.23362727347</v>
      </c>
      <c r="P488" s="33" t="str">
        <f t="shared" si="411"/>
        <v>59,1053597814893</v>
      </c>
      <c r="Q488" s="4" t="str">
        <f t="shared" si="412"/>
        <v>1+24196,3627027423i</v>
      </c>
      <c r="R488" s="4">
        <f t="shared" si="424"/>
        <v>24196.362723406561</v>
      </c>
      <c r="S488" s="4">
        <f t="shared" si="425"/>
        <v>1.5707549982691296</v>
      </c>
      <c r="T488" s="4" t="str">
        <f t="shared" si="413"/>
        <v>1+4,09376794121473i</v>
      </c>
      <c r="U488" s="4">
        <f t="shared" si="426"/>
        <v>4.2141352560777499</v>
      </c>
      <c r="V488" s="4">
        <f t="shared" si="427"/>
        <v>1.3312143050281922</v>
      </c>
      <c r="W488" t="str">
        <f t="shared" si="414"/>
        <v>1-151,154508598698i</v>
      </c>
      <c r="X488" s="4">
        <f t="shared" si="428"/>
        <v>151.1578164360476</v>
      </c>
      <c r="Y488" s="4">
        <f t="shared" si="429"/>
        <v>-1.564180676224604</v>
      </c>
      <c r="Z488" t="str">
        <f t="shared" si="415"/>
        <v>-4,18984799898677+14,1421074332872i</v>
      </c>
      <c r="AA488" s="4">
        <f t="shared" si="430"/>
        <v>14.749712841586119</v>
      </c>
      <c r="AB488" s="4">
        <f t="shared" si="431"/>
        <v>1.8588253784113045</v>
      </c>
      <c r="AC488" s="47" t="str">
        <f t="shared" si="432"/>
        <v>-0,0915006185818893+0,0525057446287038i</v>
      </c>
      <c r="AD488" s="20">
        <f t="shared" si="433"/>
        <v>-19.535354121702902</v>
      </c>
      <c r="AE488" s="43">
        <f t="shared" si="434"/>
        <v>150.15152907729146</v>
      </c>
      <c r="AF488" t="str">
        <f t="shared" si="416"/>
        <v>405,634542683733</v>
      </c>
      <c r="AG488" t="str">
        <f t="shared" si="417"/>
        <v>1+24239,415441403i</v>
      </c>
      <c r="AH488">
        <f t="shared" si="435"/>
        <v>24239.41546203056</v>
      </c>
      <c r="AI488">
        <f t="shared" si="436"/>
        <v>1.5707550716746215</v>
      </c>
      <c r="AJ488" t="str">
        <f t="shared" si="418"/>
        <v>1+4,09376794121473i</v>
      </c>
      <c r="AK488">
        <f t="shared" si="437"/>
        <v>4.2141352560777499</v>
      </c>
      <c r="AL488">
        <f t="shared" si="438"/>
        <v>1.3312143050281922</v>
      </c>
      <c r="AM488" t="str">
        <f t="shared" si="419"/>
        <v>1-22,0638047530012i</v>
      </c>
      <c r="AN488">
        <f t="shared" si="439"/>
        <v>22.086454676533272</v>
      </c>
      <c r="AO488">
        <f t="shared" si="440"/>
        <v>-1.5255042239084411</v>
      </c>
      <c r="AP488" s="41" t="str">
        <f t="shared" si="441"/>
        <v>-0,30065656517623-1,52827566695476i</v>
      </c>
      <c r="AQ488">
        <f t="shared" si="442"/>
        <v>3.8489453516868908</v>
      </c>
      <c r="AR488" s="43">
        <f t="shared" si="443"/>
        <v>-101.12962860950229</v>
      </c>
      <c r="AS488" t="str">
        <f t="shared" si="420"/>
        <v>-0,0000166666666666667</v>
      </c>
      <c r="AT488" t="str">
        <f t="shared" si="421"/>
        <v>0,69751507613774i</v>
      </c>
      <c r="AU488">
        <f t="shared" si="444"/>
        <v>0.69751507613774</v>
      </c>
      <c r="AV488">
        <f t="shared" si="445"/>
        <v>1.5707963267948966</v>
      </c>
      <c r="AW488" t="str">
        <f t="shared" si="422"/>
        <v>1+24,8654284743344i</v>
      </c>
      <c r="AX488">
        <f t="shared" si="446"/>
        <v>24.88552859017144</v>
      </c>
      <c r="AY488">
        <f t="shared" si="447"/>
        <v>1.5306015076364419</v>
      </c>
      <c r="AZ488" t="str">
        <f t="shared" si="423"/>
        <v>1+3671,79493804337i</v>
      </c>
      <c r="BA488">
        <f t="shared" si="448"/>
        <v>3671.7950742165494</v>
      </c>
      <c r="BB488">
        <f t="shared" si="449"/>
        <v>1.5705239804378288</v>
      </c>
      <c r="BC488" s="41" t="str">
        <f t="shared" si="450"/>
        <v>-0,000140711236625525+0,00352273953598651i</v>
      </c>
      <c r="BD488">
        <f t="shared" si="451"/>
        <v>-49.05546568764332</v>
      </c>
      <c r="BE488" s="43">
        <f t="shared" si="452"/>
        <v>92.287389199245297</v>
      </c>
      <c r="BF488" s="41" t="str">
        <f t="shared" si="453"/>
        <v>-0,000172088897277288-0,000329720994902292i</v>
      </c>
      <c r="BG488" s="20">
        <f t="shared" si="454"/>
        <v>-68.590819809346229</v>
      </c>
      <c r="BH488" s="43">
        <f t="shared" si="455"/>
        <v>-117.56108172346326</v>
      </c>
      <c r="BI488" s="41" t="str">
        <f t="shared" si="409"/>
        <v>0,00542602287095321-0,000844089209898307i</v>
      </c>
      <c r="BJ488" s="20">
        <f t="shared" si="456"/>
        <v>-45.206520335956441</v>
      </c>
      <c r="BK488" s="43">
        <f t="shared" si="410"/>
        <v>-8.842239410257001</v>
      </c>
      <c r="BL488">
        <f t="shared" si="457"/>
        <v>-68.590819809346229</v>
      </c>
      <c r="BM488" s="43">
        <f t="shared" si="458"/>
        <v>-117.56108172346326</v>
      </c>
    </row>
    <row r="489" spans="14:65" x14ac:dyDescent="0.35">
      <c r="N489" s="9">
        <v>71</v>
      </c>
      <c r="O489" s="34">
        <f t="shared" si="459"/>
        <v>512861.38399136515</v>
      </c>
      <c r="P489" s="33" t="str">
        <f t="shared" si="411"/>
        <v>59,1053597814893</v>
      </c>
      <c r="Q489" s="4" t="str">
        <f t="shared" si="412"/>
        <v>1+24759,9683923995i</v>
      </c>
      <c r="R489" s="4">
        <f t="shared" si="424"/>
        <v>24759.968412593385</v>
      </c>
      <c r="S489" s="4">
        <f t="shared" si="425"/>
        <v>1.5707559390212287</v>
      </c>
      <c r="T489" s="4" t="str">
        <f t="shared" si="413"/>
        <v>1+4,18912404626863i</v>
      </c>
      <c r="U489" s="4">
        <f t="shared" si="426"/>
        <v>4.3068271703222623</v>
      </c>
      <c r="V489" s="4">
        <f t="shared" si="427"/>
        <v>1.3364682387118836</v>
      </c>
      <c r="W489" t="str">
        <f t="shared" si="414"/>
        <v>1-154,675349400688i</v>
      </c>
      <c r="X489" s="4">
        <f t="shared" si="428"/>
        <v>154.67858194405881</v>
      </c>
      <c r="Y489" s="4">
        <f t="shared" si="429"/>
        <v>-1.564331262571774</v>
      </c>
      <c r="Z489" t="str">
        <f t="shared" si="415"/>
        <v>-4,43443799978382+14,4715194325644i</v>
      </c>
      <c r="AA489" s="4">
        <f t="shared" si="430"/>
        <v>15.135690108515558</v>
      </c>
      <c r="AB489" s="4">
        <f t="shared" si="431"/>
        <v>1.8681373115406543</v>
      </c>
      <c r="AC489" s="47" t="str">
        <f t="shared" si="432"/>
        <v>-0,0909075033714103+0,05267531811512i</v>
      </c>
      <c r="AD489" s="20">
        <f t="shared" si="433"/>
        <v>-19.570756444135707</v>
      </c>
      <c r="AE489" s="43">
        <f t="shared" si="434"/>
        <v>149.91034097251884</v>
      </c>
      <c r="AF489" t="str">
        <f t="shared" si="416"/>
        <v>405,634542683733</v>
      </c>
      <c r="AG489" t="str">
        <f t="shared" si="417"/>
        <v>1+24804,0239581695i</v>
      </c>
      <c r="AH489">
        <f t="shared" si="435"/>
        <v>24804.023978327517</v>
      </c>
      <c r="AI489">
        <f t="shared" si="436"/>
        <v>1.5707560107558078</v>
      </c>
      <c r="AJ489" t="str">
        <f t="shared" si="418"/>
        <v>1+4,18912404626863i</v>
      </c>
      <c r="AK489">
        <f t="shared" si="437"/>
        <v>4.3068271703222623</v>
      </c>
      <c r="AL489">
        <f t="shared" si="438"/>
        <v>1.3364682387118836</v>
      </c>
      <c r="AM489" t="str">
        <f t="shared" si="419"/>
        <v>1-22,5777367867968i</v>
      </c>
      <c r="AN489">
        <f t="shared" si="439"/>
        <v>22.599871645960238</v>
      </c>
      <c r="AO489">
        <f t="shared" si="440"/>
        <v>-1.5265338363555496</v>
      </c>
      <c r="AP489" s="41" t="str">
        <f t="shared" si="441"/>
        <v>-0,300656596271654-1,56310248862013i</v>
      </c>
      <c r="AQ489">
        <f t="shared" si="442"/>
        <v>4.037524109867797</v>
      </c>
      <c r="AR489" s="43">
        <f t="shared" si="443"/>
        <v>-100.88764663672724</v>
      </c>
      <c r="AS489" t="str">
        <f t="shared" si="420"/>
        <v>-0,0000166666666666667</v>
      </c>
      <c r="AT489" t="str">
        <f t="shared" si="421"/>
        <v>0,713762289421925i</v>
      </c>
      <c r="AU489">
        <f t="shared" si="444"/>
        <v>0.71376228942192499</v>
      </c>
      <c r="AV489">
        <f t="shared" si="445"/>
        <v>1.5707963267948966</v>
      </c>
      <c r="AW489" t="str">
        <f t="shared" si="422"/>
        <v>1+25,4446187078446i</v>
      </c>
      <c r="AX489">
        <f t="shared" si="446"/>
        <v>25.464261646228728</v>
      </c>
      <c r="AY489">
        <f t="shared" si="447"/>
        <v>1.5315155016106272</v>
      </c>
      <c r="AZ489" t="str">
        <f t="shared" si="423"/>
        <v>1+3757,32202919171i</v>
      </c>
      <c r="BA489">
        <f t="shared" si="448"/>
        <v>3757.32216226521</v>
      </c>
      <c r="BB489">
        <f t="shared" si="449"/>
        <v>1.5705301797974822</v>
      </c>
      <c r="BC489" s="41" t="str">
        <f t="shared" si="450"/>
        <v>-0,000134387954510613+0,00344280070586752i</v>
      </c>
      <c r="BD489">
        <f t="shared" si="451"/>
        <v>-49.255150063319817</v>
      </c>
      <c r="BE489" s="43">
        <f t="shared" si="452"/>
        <v>92.23537639916789</v>
      </c>
      <c r="BF489" s="41" t="str">
        <f t="shared" si="453"/>
        <v>-0,000169133748960781-0,000320055345030432i</v>
      </c>
      <c r="BG489" s="20">
        <f t="shared" si="454"/>
        <v>-68.825906507455528</v>
      </c>
      <c r="BH489" s="43">
        <f t="shared" si="455"/>
        <v>-117.8542826283133</v>
      </c>
      <c r="BI489" s="41" t="str">
        <f t="shared" si="409"/>
        <v>0,00542185497614773-0,000825038595731668i</v>
      </c>
      <c r="BJ489" s="20">
        <f t="shared" si="456"/>
        <v>-45.217625953452021</v>
      </c>
      <c r="BK489" s="43">
        <f t="shared" si="410"/>
        <v>-8.6522702375593443</v>
      </c>
      <c r="BL489">
        <f t="shared" si="457"/>
        <v>-68.825906507455528</v>
      </c>
      <c r="BM489" s="43">
        <f t="shared" si="458"/>
        <v>-117.8542826283133</v>
      </c>
    </row>
    <row r="490" spans="14:65" x14ac:dyDescent="0.35">
      <c r="N490" s="9">
        <v>72</v>
      </c>
      <c r="O490" s="34">
        <f t="shared" si="459"/>
        <v>524807.46024977288</v>
      </c>
      <c r="P490" s="33" t="str">
        <f t="shared" si="411"/>
        <v>59,1053597814893</v>
      </c>
      <c r="Q490" s="4" t="str">
        <f t="shared" si="412"/>
        <v>1+25336,7021450354i</v>
      </c>
      <c r="R490" s="4">
        <f t="shared" si="424"/>
        <v>25336.70216476962</v>
      </c>
      <c r="S490" s="4">
        <f t="shared" si="425"/>
        <v>1.5707568583591958</v>
      </c>
      <c r="T490" s="4" t="str">
        <f t="shared" si="413"/>
        <v>1+4,28670128034149i</v>
      </c>
      <c r="U490" s="4">
        <f t="shared" si="426"/>
        <v>4.4017959819693342</v>
      </c>
      <c r="V490" s="4">
        <f t="shared" si="427"/>
        <v>1.3416153441777594</v>
      </c>
      <c r="W490" t="str">
        <f t="shared" si="414"/>
        <v>1-158,278201120302i</v>
      </c>
      <c r="X490" s="4">
        <f t="shared" si="428"/>
        <v>158.28136008348793</v>
      </c>
      <c r="Y490" s="4">
        <f t="shared" si="429"/>
        <v>-1.5644784214385223</v>
      </c>
      <c r="Z490" t="str">
        <f t="shared" si="415"/>
        <v>-4,69055517218629+14,8086044229979i</v>
      </c>
      <c r="AA490" s="4">
        <f t="shared" si="430"/>
        <v>15.533707631475382</v>
      </c>
      <c r="AB490" s="4">
        <f t="shared" si="431"/>
        <v>1.8775440697488877</v>
      </c>
      <c r="AC490" s="47" t="str">
        <f t="shared" si="432"/>
        <v>-0,0902992308564596+0,052855874101953i</v>
      </c>
      <c r="AD490" s="20">
        <f t="shared" si="433"/>
        <v>-19.606773294549541</v>
      </c>
      <c r="AE490" s="43">
        <f t="shared" si="434"/>
        <v>149.65779659202244</v>
      </c>
      <c r="AF490" t="str">
        <f t="shared" si="416"/>
        <v>405,634542683733</v>
      </c>
      <c r="AG490" t="str">
        <f t="shared" si="417"/>
        <v>1+25381,7838967588i</v>
      </c>
      <c r="AH490">
        <f t="shared" si="435"/>
        <v>25381.783916457964</v>
      </c>
      <c r="AI490">
        <f t="shared" si="436"/>
        <v>1.5707569284608964</v>
      </c>
      <c r="AJ490" t="str">
        <f t="shared" si="418"/>
        <v>1+4,28670128034149i</v>
      </c>
      <c r="AK490">
        <f t="shared" si="437"/>
        <v>4.4017959819693342</v>
      </c>
      <c r="AL490">
        <f t="shared" si="438"/>
        <v>1.3416153441777594</v>
      </c>
      <c r="AM490" t="str">
        <f t="shared" si="419"/>
        <v>1-23,1036398354886i</v>
      </c>
      <c r="AN490">
        <f t="shared" si="439"/>
        <v>23.125271320526721</v>
      </c>
      <c r="AO490">
        <f t="shared" si="440"/>
        <v>-1.5275401027109632</v>
      </c>
      <c r="AP490" s="41" t="str">
        <f t="shared" si="441"/>
        <v>-0,300656625967554-1,59875808791497i</v>
      </c>
      <c r="AQ490">
        <f t="shared" si="442"/>
        <v>4.22659070395218</v>
      </c>
      <c r="AR490" s="43">
        <f t="shared" si="443"/>
        <v>-100.65044661268348</v>
      </c>
      <c r="AS490" t="str">
        <f t="shared" si="420"/>
        <v>-0,0000166666666666667</v>
      </c>
      <c r="AT490" t="str">
        <f t="shared" si="421"/>
        <v>0,730387948919723i</v>
      </c>
      <c r="AU490">
        <f t="shared" si="444"/>
        <v>0.73038794891972303</v>
      </c>
      <c r="AV490">
        <f t="shared" si="445"/>
        <v>1.5707963267948966</v>
      </c>
      <c r="AW490" t="str">
        <f t="shared" si="422"/>
        <v>1+26,0373000149932i</v>
      </c>
      <c r="AX490">
        <f t="shared" si="446"/>
        <v>26.056496158746384</v>
      </c>
      <c r="AY490">
        <f t="shared" si="447"/>
        <v>1.5324087539956175</v>
      </c>
      <c r="AZ490" t="str">
        <f t="shared" si="423"/>
        <v>1+3844,84130221399i</v>
      </c>
      <c r="BA490">
        <f t="shared" si="448"/>
        <v>3844.8414322583667</v>
      </c>
      <c r="BB490">
        <f t="shared" si="449"/>
        <v>1.5705362380425012</v>
      </c>
      <c r="BC490" s="41" t="str">
        <f t="shared" si="450"/>
        <v>-0,000128348408867991+0,00336466495155384i</v>
      </c>
      <c r="BD490">
        <f t="shared" si="451"/>
        <v>-49.454848623014755</v>
      </c>
      <c r="BE490" s="43">
        <f t="shared" si="452"/>
        <v>92.184543919338793</v>
      </c>
      <c r="BF490" s="41" t="str">
        <f t="shared" si="453"/>
        <v>-0,000166252544472154-0,000310610624555311i</v>
      </c>
      <c r="BG490" s="20">
        <f t="shared" si="454"/>
        <v>-69.061621917564295</v>
      </c>
      <c r="BH490" s="43">
        <f t="shared" si="455"/>
        <v>-118.1576594886388</v>
      </c>
      <c r="BI490" s="41" t="str">
        <f t="shared" si="409"/>
        <v>0,00541787410397929-0,000806410755096743i</v>
      </c>
      <c r="BJ490" s="20">
        <f t="shared" si="456"/>
        <v>-45.228257919062571</v>
      </c>
      <c r="BK490" s="43">
        <f t="shared" si="410"/>
        <v>-8.4659026933446899</v>
      </c>
      <c r="BL490">
        <f t="shared" si="457"/>
        <v>-69.061621917564295</v>
      </c>
      <c r="BM490" s="43">
        <f t="shared" si="458"/>
        <v>-118.1576594886388</v>
      </c>
    </row>
    <row r="491" spans="14:65" x14ac:dyDescent="0.35">
      <c r="N491" s="9">
        <v>73</v>
      </c>
      <c r="O491" s="34">
        <f t="shared" si="459"/>
        <v>537031.7963702539</v>
      </c>
      <c r="P491" s="33" t="str">
        <f t="shared" si="411"/>
        <v>59,1053597814893</v>
      </c>
      <c r="Q491" s="4" t="str">
        <f t="shared" si="412"/>
        <v>1+25926,8697525195i</v>
      </c>
      <c r="R491" s="4">
        <f t="shared" si="424"/>
        <v>25926.869771804511</v>
      </c>
      <c r="S491" s="4">
        <f t="shared" si="425"/>
        <v>1.570757756770476</v>
      </c>
      <c r="T491" s="4" t="str">
        <f t="shared" si="413"/>
        <v>1+4,38655138017439i</v>
      </c>
      <c r="U491" s="4">
        <f t="shared" si="426"/>
        <v>4.4990924652545035</v>
      </c>
      <c r="V491" s="4">
        <f t="shared" si="427"/>
        <v>1.346657259121619</v>
      </c>
      <c r="W491" t="str">
        <f t="shared" si="414"/>
        <v>1-161,964974037209i</v>
      </c>
      <c r="X491" s="4">
        <f t="shared" si="428"/>
        <v>161.96806109500042</v>
      </c>
      <c r="Y491" s="4">
        <f t="shared" si="429"/>
        <v>-1.5646222308249189</v>
      </c>
      <c r="Z491" t="str">
        <f t="shared" si="415"/>
        <v>-4,95874277505498+15,1535411315115i</v>
      </c>
      <c r="AA491" s="4">
        <f t="shared" si="430"/>
        <v>15.944244689967936</v>
      </c>
      <c r="AB491" s="4">
        <f t="shared" si="431"/>
        <v>1.8870468118511152</v>
      </c>
      <c r="AC491" s="47" t="str">
        <f t="shared" si="432"/>
        <v>-0,0896753077519847+0,0530466765674257i</v>
      </c>
      <c r="AD491" s="20">
        <f t="shared" si="433"/>
        <v>-19.643457389707219</v>
      </c>
      <c r="AE491" s="43">
        <f t="shared" si="434"/>
        <v>149.39391887664112</v>
      </c>
      <c r="AF491" t="str">
        <f t="shared" si="416"/>
        <v>405,634542683733</v>
      </c>
      <c r="AG491" t="str">
        <f t="shared" si="417"/>
        <v>1+25973,0015931378i</v>
      </c>
      <c r="AH491">
        <f t="shared" si="435"/>
        <v>25973.001612388558</v>
      </c>
      <c r="AI491">
        <f t="shared" si="436"/>
        <v>1.5707578252764671</v>
      </c>
      <c r="AJ491" t="str">
        <f t="shared" si="418"/>
        <v>1+4,38655138017439i</v>
      </c>
      <c r="AK491">
        <f t="shared" si="437"/>
        <v>4.4990924652545035</v>
      </c>
      <c r="AL491">
        <f t="shared" si="438"/>
        <v>1.346657259121619</v>
      </c>
      <c r="AM491" t="str">
        <f t="shared" si="419"/>
        <v>1-23,641792739834i</v>
      </c>
      <c r="AN491">
        <f t="shared" si="439"/>
        <v>23.662932277155925</v>
      </c>
      <c r="AO491">
        <f t="shared" si="440"/>
        <v>-1.5285235483544437</v>
      </c>
      <c r="AP491" s="41" t="str">
        <f t="shared" si="441"/>
        <v>-0,300656654326918-1,63526136990999i</v>
      </c>
      <c r="AQ491">
        <f t="shared" si="442"/>
        <v>4.4161253671070728</v>
      </c>
      <c r="AR491" s="43">
        <f t="shared" si="443"/>
        <v>-100.41796483423553</v>
      </c>
      <c r="AS491" t="str">
        <f t="shared" si="420"/>
        <v>-0,0000166666666666667</v>
      </c>
      <c r="AT491" t="str">
        <f t="shared" si="421"/>
        <v>0,747400869775867i</v>
      </c>
      <c r="AU491">
        <f t="shared" si="444"/>
        <v>0.74740086977586695</v>
      </c>
      <c r="AV491">
        <f t="shared" si="445"/>
        <v>1.5707963267948966</v>
      </c>
      <c r="AW491" t="str">
        <f t="shared" si="422"/>
        <v>1+26,6437866432541i</v>
      </c>
      <c r="AX491">
        <f t="shared" si="446"/>
        <v>26.662546140442885</v>
      </c>
      <c r="AY491">
        <f t="shared" si="447"/>
        <v>1.5332817327005901</v>
      </c>
      <c r="AZ491" t="str">
        <f t="shared" si="423"/>
        <v>1+3934,39916098719i</v>
      </c>
      <c r="BA491">
        <f t="shared" si="448"/>
        <v>3934.3992880713959</v>
      </c>
      <c r="BB491">
        <f t="shared" si="449"/>
        <v>1.5705421583850459</v>
      </c>
      <c r="BC491" s="41" t="str">
        <f t="shared" si="450"/>
        <v>-0,000122579904793507+0,00328829233136789i</v>
      </c>
      <c r="BD491">
        <f t="shared" si="451"/>
        <v>-49.654560730223729</v>
      </c>
      <c r="BE491" s="43">
        <f t="shared" si="452"/>
        <v>92.134865134580181</v>
      </c>
      <c r="BF491" s="41" t="str">
        <f t="shared" si="453"/>
        <v>-0,000163440589074652-0,000301381083357154i</v>
      </c>
      <c r="BG491" s="20">
        <f t="shared" si="454"/>
        <v>-69.298018119930944</v>
      </c>
      <c r="BH491" s="43">
        <f t="shared" si="455"/>
        <v>-118.47121598877868</v>
      </c>
      <c r="BI491" s="41" t="str">
        <f t="shared" si="409"/>
        <v>0,0054140718865201-0,000788196787761865i</v>
      </c>
      <c r="BJ491" s="20">
        <f t="shared" si="456"/>
        <v>-45.238435363116658</v>
      </c>
      <c r="BK491" s="43">
        <f t="shared" si="410"/>
        <v>-8.2830996996553719</v>
      </c>
      <c r="BL491">
        <f t="shared" si="457"/>
        <v>-69.298018119930944</v>
      </c>
      <c r="BM491" s="43">
        <f t="shared" si="458"/>
        <v>-118.47121598877868</v>
      </c>
    </row>
    <row r="492" spans="14:65" x14ac:dyDescent="0.35">
      <c r="N492" s="9">
        <v>74</v>
      </c>
      <c r="O492" s="34">
        <f t="shared" si="459"/>
        <v>549540.87385762564</v>
      </c>
      <c r="P492" s="33" t="str">
        <f t="shared" si="411"/>
        <v>59,1053597814893</v>
      </c>
      <c r="Q492" s="4" t="str">
        <f t="shared" si="412"/>
        <v>1+26530,784129529i</v>
      </c>
      <c r="R492" s="4">
        <f t="shared" si="424"/>
        <v>26530.784148375031</v>
      </c>
      <c r="S492" s="4">
        <f t="shared" si="425"/>
        <v>1.5707586347314189</v>
      </c>
      <c r="T492" s="4" t="str">
        <f t="shared" si="413"/>
        <v>1+4,48872728761192i</v>
      </c>
      <c r="U492" s="4">
        <f t="shared" si="426"/>
        <v>4.5987686028492307</v>
      </c>
      <c r="V492" s="4">
        <f t="shared" si="427"/>
        <v>1.3515956310144837</v>
      </c>
      <c r="W492" t="str">
        <f t="shared" si="414"/>
        <v>1-165,73762292721i</v>
      </c>
      <c r="X492" s="4">
        <f t="shared" si="428"/>
        <v>165.74063971628095</v>
      </c>
      <c r="Y492" s="4">
        <f t="shared" si="429"/>
        <v>-1.5647627669567967</v>
      </c>
      <c r="Z492" t="str">
        <f t="shared" si="415"/>
        <v>-5,23956967025213+15,5065124481139i</v>
      </c>
      <c r="AA492" s="4">
        <f t="shared" si="430"/>
        <v>16.367804331459286</v>
      </c>
      <c r="AB492" s="4">
        <f t="shared" si="431"/>
        <v>1.8966465534243566</v>
      </c>
      <c r="AC492" s="47" t="str">
        <f t="shared" si="432"/>
        <v>-0,0890352623691641+0,0532469617443081i</v>
      </c>
      <c r="AD492" s="20">
        <f t="shared" si="433"/>
        <v>-19.680861543816444</v>
      </c>
      <c r="AE492" s="43">
        <f t="shared" si="434"/>
        <v>149.11873963652289</v>
      </c>
      <c r="AF492" t="str">
        <f t="shared" si="416"/>
        <v>405,634542683733</v>
      </c>
      <c r="AG492" t="str">
        <f t="shared" si="417"/>
        <v>1+26577,9905187548i</v>
      </c>
      <c r="AH492">
        <f t="shared" si="435"/>
        <v>26577.990537567359</v>
      </c>
      <c r="AI492">
        <f t="shared" si="436"/>
        <v>1.5707587016780231</v>
      </c>
      <c r="AJ492" t="str">
        <f t="shared" si="418"/>
        <v>1+4,48872728761192i</v>
      </c>
      <c r="AK492">
        <f t="shared" si="437"/>
        <v>4.5987686028492307</v>
      </c>
      <c r="AL492">
        <f t="shared" si="438"/>
        <v>1.3515956310144837</v>
      </c>
      <c r="AM492" t="str">
        <f t="shared" si="419"/>
        <v>1-24,1924808356261i</v>
      </c>
      <c r="AN492">
        <f t="shared" si="439"/>
        <v>24.21313959366146</v>
      </c>
      <c r="AO492">
        <f t="shared" si="440"/>
        <v>-1.5294846871083179</v>
      </c>
      <c r="AP492" s="41" t="str">
        <f t="shared" si="441"/>
        <v>-0,300656681409899-1,67263168912847i</v>
      </c>
      <c r="AQ492">
        <f t="shared" si="442"/>
        <v>4.6061090437944925</v>
      </c>
      <c r="AR492" s="43">
        <f t="shared" si="443"/>
        <v>-100.19013637534212</v>
      </c>
      <c r="AS492" t="str">
        <f t="shared" si="420"/>
        <v>-0,0000166666666666667</v>
      </c>
      <c r="AT492" t="str">
        <f t="shared" si="421"/>
        <v>0,764810072466185i</v>
      </c>
      <c r="AU492">
        <f t="shared" si="444"/>
        <v>0.76481007246618504</v>
      </c>
      <c r="AV492">
        <f t="shared" si="445"/>
        <v>1.5707963267948966</v>
      </c>
      <c r="AW492" t="str">
        <f t="shared" si="422"/>
        <v>1+27,2644001598655i</v>
      </c>
      <c r="AX492">
        <f t="shared" si="446"/>
        <v>27.282732929039085</v>
      </c>
      <c r="AY492">
        <f t="shared" si="447"/>
        <v>1.5341348952650529</v>
      </c>
      <c r="AZ492" t="str">
        <f t="shared" si="423"/>
        <v>1+4026,04309027346i</v>
      </c>
      <c r="BA492">
        <f t="shared" si="448"/>
        <v>4026.0432144648762</v>
      </c>
      <c r="BB492">
        <f t="shared" si="449"/>
        <v>1.5705479439641585</v>
      </c>
      <c r="BC492" s="41" t="str">
        <f t="shared" si="450"/>
        <v>-0,000117070312139648+0,00321364373969416i</v>
      </c>
      <c r="BD492">
        <f t="shared" si="451"/>
        <v>-49.854285776924748</v>
      </c>
      <c r="BE492" s="43">
        <f t="shared" si="452"/>
        <v>92.086314009663084</v>
      </c>
      <c r="BF492" s="41" t="str">
        <f t="shared" si="453"/>
        <v>-0,000160693379310337-0,000292361251956585i</v>
      </c>
      <c r="BG492" s="20">
        <f t="shared" si="454"/>
        <v>-69.535147320741203</v>
      </c>
      <c r="BH492" s="43">
        <f t="shared" si="455"/>
        <v>-118.79494635381407</v>
      </c>
      <c r="BI492" s="41" t="str">
        <f t="shared" si="409"/>
        <v>0,0054104403281213-0,000770387948069207i</v>
      </c>
      <c r="BJ492" s="20">
        <f t="shared" si="456"/>
        <v>-45.248176733130265</v>
      </c>
      <c r="BK492" s="43">
        <f t="shared" si="410"/>
        <v>-8.1038223656790453</v>
      </c>
      <c r="BL492">
        <f t="shared" si="457"/>
        <v>-69.535147320741203</v>
      </c>
      <c r="BM492" s="43">
        <f t="shared" si="458"/>
        <v>-118.79494635381407</v>
      </c>
    </row>
    <row r="493" spans="14:65" x14ac:dyDescent="0.35">
      <c r="N493" s="9">
        <v>75</v>
      </c>
      <c r="O493" s="34">
        <f t="shared" si="459"/>
        <v>562341.32519035018</v>
      </c>
      <c r="P493" s="33" t="str">
        <f t="shared" si="411"/>
        <v>59,1053597814893</v>
      </c>
      <c r="Q493" s="4" t="str">
        <f t="shared" si="412"/>
        <v>1+27148,7654794605i</v>
      </c>
      <c r="R493" s="4">
        <f t="shared" si="424"/>
        <v>27148.765497877543</v>
      </c>
      <c r="S493" s="4">
        <f t="shared" si="425"/>
        <v>1.5707594927075308</v>
      </c>
      <c r="T493" s="4" t="str">
        <f t="shared" si="413"/>
        <v>1+4,59328317767268i</v>
      </c>
      <c r="U493" s="4">
        <f t="shared" si="426"/>
        <v>4.7008776149024376</v>
      </c>
      <c r="V493" s="4">
        <f t="shared" si="427"/>
        <v>1.3564321143335318</v>
      </c>
      <c r="W493" t="str">
        <f t="shared" si="414"/>
        <v>1-169,598148098684i</v>
      </c>
      <c r="X493" s="4">
        <f t="shared" si="428"/>
        <v>169.60109621845947</v>
      </c>
      <c r="Y493" s="4">
        <f t="shared" si="429"/>
        <v>-1.5649001043260553</v>
      </c>
      <c r="Z493" t="str">
        <f t="shared" si="415"/>
        <v>-5,53363152927353+15,8677055228693i</v>
      </c>
      <c r="AA493" s="4">
        <f t="shared" si="430"/>
        <v>16.804914652037571</v>
      </c>
      <c r="AB493" s="4">
        <f t="shared" si="431"/>
        <v>1.9063441602143461</v>
      </c>
      <c r="AC493" s="47" t="str">
        <f t="shared" si="432"/>
        <v>-0,0883786465686146+0,0534559380728558i</v>
      </c>
      <c r="AD493" s="20">
        <f t="shared" si="433"/>
        <v>-19.719038648284901</v>
      </c>
      <c r="AE493" s="43">
        <f t="shared" si="434"/>
        <v>148.8322997679079</v>
      </c>
      <c r="AF493" t="str">
        <f t="shared" si="416"/>
        <v>405,634542683733</v>
      </c>
      <c r="AG493" t="str">
        <f t="shared" si="417"/>
        <v>1+27197,0714467461i</v>
      </c>
      <c r="AH493">
        <f t="shared" si="435"/>
        <v>27197.07146513043</v>
      </c>
      <c r="AI493">
        <f t="shared" si="436"/>
        <v>1.5707595581302443</v>
      </c>
      <c r="AJ493" t="str">
        <f t="shared" si="418"/>
        <v>1+4,59328317767268i</v>
      </c>
      <c r="AK493">
        <f t="shared" si="437"/>
        <v>4.7008776149024376</v>
      </c>
      <c r="AL493">
        <f t="shared" si="438"/>
        <v>1.3564321143335318</v>
      </c>
      <c r="AM493" t="str">
        <f t="shared" si="419"/>
        <v>1-24,7559961049827i</v>
      </c>
      <c r="AN493">
        <f t="shared" si="439"/>
        <v>24.776184999913095</v>
      </c>
      <c r="AO493">
        <f t="shared" si="440"/>
        <v>-1.5304240214739224</v>
      </c>
      <c r="AP493" s="41" t="str">
        <f t="shared" si="441"/>
        <v>-0,300656707273948-1,71088885980835i</v>
      </c>
      <c r="AQ493">
        <f t="shared" si="442"/>
        <v>4.7965233717251099</v>
      </c>
      <c r="AR493" s="43">
        <f t="shared" si="443"/>
        <v>-99.966895259273585</v>
      </c>
      <c r="AS493" t="str">
        <f t="shared" si="420"/>
        <v>-0,0000166666666666667</v>
      </c>
      <c r="AT493" t="str">
        <f t="shared" si="421"/>
        <v>0,782624787580383i</v>
      </c>
      <c r="AU493">
        <f t="shared" si="444"/>
        <v>0.78262478758038301</v>
      </c>
      <c r="AV493">
        <f t="shared" si="445"/>
        <v>1.5707963267948966</v>
      </c>
      <c r="AW493" t="str">
        <f t="shared" si="422"/>
        <v>1+27,8994696223287i</v>
      </c>
      <c r="AX493">
        <f t="shared" si="446"/>
        <v>27.917385357644825</v>
      </c>
      <c r="AY493">
        <f t="shared" si="447"/>
        <v>1.5349686890762113</v>
      </c>
      <c r="AZ493" t="str">
        <f t="shared" si="423"/>
        <v>1+4119,82168089719i</v>
      </c>
      <c r="BA493">
        <f t="shared" si="448"/>
        <v>4119.8218022616647</v>
      </c>
      <c r="BB493">
        <f t="shared" si="449"/>
        <v>1.5705535978474283</v>
      </c>
      <c r="BC493" s="41" t="str">
        <f t="shared" si="450"/>
        <v>-0,000111808040676064+0,00314068089278676i</v>
      </c>
      <c r="BD493">
        <f t="shared" si="451"/>
        <v>-50.054023182310331</v>
      </c>
      <c r="BE493" s="43">
        <f t="shared" si="452"/>
        <v>92.038865086948803</v>
      </c>
      <c r="BF493" s="41" t="str">
        <f t="shared" si="453"/>
        <v>-0,000158006600000971-0,000283545930306829i</v>
      </c>
      <c r="BG493" s="20">
        <f t="shared" si="454"/>
        <v>-69.773061830595239</v>
      </c>
      <c r="BH493" s="43">
        <f t="shared" si="455"/>
        <v>-119.12883514514326</v>
      </c>
      <c r="BI493" s="41" t="str">
        <f t="shared" si="409"/>
        <v>0,00540697178903823-0,000752975644593794i</v>
      </c>
      <c r="BJ493" s="20">
        <f t="shared" si="456"/>
        <v>-45.257499810585216</v>
      </c>
      <c r="BK493" s="43">
        <f t="shared" si="410"/>
        <v>-7.9280301723247817</v>
      </c>
      <c r="BL493">
        <f t="shared" si="457"/>
        <v>-69.773061830595239</v>
      </c>
      <c r="BM493" s="43">
        <f t="shared" si="458"/>
        <v>-119.12883514514326</v>
      </c>
    </row>
    <row r="494" spans="14:65" x14ac:dyDescent="0.35">
      <c r="N494" s="9">
        <v>76</v>
      </c>
      <c r="O494" s="34">
        <f t="shared" si="459"/>
        <v>575439.93733715697</v>
      </c>
      <c r="P494" s="33" t="str">
        <f t="shared" si="411"/>
        <v>59,1053597814893</v>
      </c>
      <c r="Q494" s="4" t="str">
        <f t="shared" si="412"/>
        <v>1+27781,1414642056i</v>
      </c>
      <c r="R494" s="4">
        <f t="shared" si="424"/>
        <v>27781.14148220342</v>
      </c>
      <c r="S494" s="4">
        <f t="shared" si="425"/>
        <v>1.5707603311537219</v>
      </c>
      <c r="T494" s="4" t="str">
        <f t="shared" si="413"/>
        <v>1+4,70027448727352i</v>
      </c>
      <c r="U494" s="4">
        <f t="shared" si="426"/>
        <v>4.8054739886627571</v>
      </c>
      <c r="V494" s="4">
        <f t="shared" si="427"/>
        <v>1.3611683679686764</v>
      </c>
      <c r="W494" t="str">
        <f t="shared" si="414"/>
        <v>1-173,548596453176i</v>
      </c>
      <c r="X494" s="4">
        <f t="shared" si="428"/>
        <v>173.55147746667942</v>
      </c>
      <c r="Y494" s="4">
        <f t="shared" si="429"/>
        <v>-1.5650343157300508</v>
      </c>
      <c r="Z494" t="str">
        <f t="shared" si="415"/>
        <v>-5,84155209674778+16,2373118651267i</v>
      </c>
      <c r="AA494" s="4">
        <f t="shared" si="430"/>
        <v>17.256130142775429</v>
      </c>
      <c r="AB494" s="4">
        <f t="shared" si="431"/>
        <v>1.9161403415431297</v>
      </c>
      <c r="AC494" s="47" t="str">
        <f t="shared" si="432"/>
        <v>-0,0877050378074162+0,0536727862956389i</v>
      </c>
      <c r="AD494" s="20">
        <f t="shared" si="433"/>
        <v>-19.758041647562393</v>
      </c>
      <c r="AE494" s="43">
        <f t="shared" si="434"/>
        <v>148.53464947998148</v>
      </c>
      <c r="AF494" t="str">
        <f t="shared" si="416"/>
        <v>405,634542683733</v>
      </c>
      <c r="AG494" t="str">
        <f t="shared" si="417"/>
        <v>1+27830,5726220143i</v>
      </c>
      <c r="AH494">
        <f t="shared" si="435"/>
        <v>27830.572639980157</v>
      </c>
      <c r="AI494">
        <f t="shared" si="436"/>
        <v>1.5707603950872329</v>
      </c>
      <c r="AJ494" t="str">
        <f t="shared" si="418"/>
        <v>1+4,70027448727352i</v>
      </c>
      <c r="AK494">
        <f t="shared" si="437"/>
        <v>4.8054739886627571</v>
      </c>
      <c r="AL494">
        <f t="shared" si="438"/>
        <v>1.3611683679686764</v>
      </c>
      <c r="AM494" t="str">
        <f t="shared" si="419"/>
        <v>1-25,3326373311584i</v>
      </c>
      <c r="AN494">
        <f t="shared" si="439"/>
        <v>25.352367032527752</v>
      </c>
      <c r="AO494">
        <f t="shared" si="440"/>
        <v>-1.5313420428644244</v>
      </c>
      <c r="AP494" s="41" t="str">
        <f t="shared" si="441"/>
        <v>-0,30065673197392-1,75005316640788i</v>
      </c>
      <c r="AQ494">
        <f t="shared" si="442"/>
        <v>4.987350663598618</v>
      </c>
      <c r="AR494" s="43">
        <f t="shared" si="443"/>
        <v>-99.74817462055789</v>
      </c>
      <c r="AS494" t="str">
        <f t="shared" si="420"/>
        <v>-0,0000166666666666667</v>
      </c>
      <c r="AT494" t="str">
        <f t="shared" si="421"/>
        <v>0,800854460716218i</v>
      </c>
      <c r="AU494">
        <f t="shared" si="444"/>
        <v>0.80085446071621802</v>
      </c>
      <c r="AV494">
        <f t="shared" si="445"/>
        <v>1.5707963267948966</v>
      </c>
      <c r="AW494" t="str">
        <f t="shared" si="422"/>
        <v>1+28,5493317528786i</v>
      </c>
      <c r="AX494">
        <f t="shared" si="446"/>
        <v>28.566839929119254</v>
      </c>
      <c r="AY494">
        <f t="shared" si="447"/>
        <v>1.5357835515826237</v>
      </c>
      <c r="AZ494" t="str">
        <f t="shared" si="423"/>
        <v>1+4215,78465550841i</v>
      </c>
      <c r="BA494">
        <f t="shared" si="448"/>
        <v>4215.7847741102923</v>
      </c>
      <c r="BB494">
        <f t="shared" si="449"/>
        <v>1.5705591230326177</v>
      </c>
      <c r="BC494" s="41" t="str">
        <f t="shared" si="450"/>
        <v>-0,000106782016317446+0,00306936631458126i</v>
      </c>
      <c r="BD494">
        <f t="shared" si="451"/>
        <v>-50.253772391576376</v>
      </c>
      <c r="BE494" s="43">
        <f t="shared" si="452"/>
        <v>91.992493474240277</v>
      </c>
      <c r="BF494" s="41" t="str">
        <f t="shared" si="453"/>
        <v>-0,000155376121487279-0,000274930177007183i</v>
      </c>
      <c r="BG494" s="20">
        <f t="shared" si="454"/>
        <v>-70.01181403913877</v>
      </c>
      <c r="BH494" s="43">
        <f t="shared" si="455"/>
        <v>-119.47285704577818</v>
      </c>
      <c r="BI494" s="41" t="str">
        <f t="shared" si="409"/>
        <v>0,00540365896975821-0,000735951439601072i</v>
      </c>
      <c r="BJ494" s="20">
        <f t="shared" si="456"/>
        <v>-45.26642172797775</v>
      </c>
      <c r="BK494" s="43">
        <f t="shared" si="410"/>
        <v>-7.7556811463176079</v>
      </c>
      <c r="BL494">
        <f t="shared" si="457"/>
        <v>-70.01181403913877</v>
      </c>
      <c r="BM494" s="43">
        <f t="shared" si="458"/>
        <v>-119.47285704577818</v>
      </c>
    </row>
    <row r="495" spans="14:65" x14ac:dyDescent="0.35">
      <c r="N495" s="9">
        <v>77</v>
      </c>
      <c r="O495" s="34">
        <f t="shared" si="459"/>
        <v>588843.65535558888</v>
      </c>
      <c r="P495" s="33" t="str">
        <f t="shared" si="411"/>
        <v>59,1053597814893</v>
      </c>
      <c r="Q495" s="4" t="str">
        <f t="shared" si="412"/>
        <v>1+28428,2473778818i</v>
      </c>
      <c r="R495" s="4">
        <f t="shared" si="424"/>
        <v>28428.247395469938</v>
      </c>
      <c r="S495" s="4">
        <f t="shared" si="425"/>
        <v>1.5707611505145478</v>
      </c>
      <c r="T495" s="4" t="str">
        <f t="shared" si="413"/>
        <v>1+4,80975794462301i</v>
      </c>
      <c r="U495" s="4">
        <f t="shared" si="426"/>
        <v>4.9126135087002485</v>
      </c>
      <c r="V495" s="4">
        <f t="shared" si="427"/>
        <v>1.3658060527985318</v>
      </c>
      <c r="W495" t="str">
        <f t="shared" si="414"/>
        <v>1-177,591062570696i</v>
      </c>
      <c r="X495" s="4">
        <f t="shared" si="428"/>
        <v>177.59387800537738</v>
      </c>
      <c r="Y495" s="4">
        <f t="shared" si="429"/>
        <v>-1.565165472310095</v>
      </c>
      <c r="Z495" t="str">
        <f t="shared" si="415"/>
        <v>-6,16398451348207+16,6155274450613i</v>
      </c>
      <c r="AA495" s="4">
        <f t="shared" si="430"/>
        <v>17.722033104585716</v>
      </c>
      <c r="AB495" s="4">
        <f t="shared" si="431"/>
        <v>1.9260356437516311</v>
      </c>
      <c r="AC495" s="47" t="str">
        <f t="shared" si="432"/>
        <v>-0,0870140412712615+0,0538966597078303i</v>
      </c>
      <c r="AD495" s="20">
        <f t="shared" si="433"/>
        <v>-19.797923510827967</v>
      </c>
      <c r="AE495" s="43">
        <f t="shared" si="434"/>
        <v>148.22584852948131</v>
      </c>
      <c r="AF495" t="str">
        <f t="shared" si="416"/>
        <v>405,634542683733</v>
      </c>
      <c r="AG495" t="str">
        <f t="shared" si="417"/>
        <v>1+28478,8299352678i</v>
      </c>
      <c r="AH495">
        <f t="shared" si="435"/>
        <v>28478.829952824701</v>
      </c>
      <c r="AI495">
        <f t="shared" si="436"/>
        <v>1.5707612129927544</v>
      </c>
      <c r="AJ495" t="str">
        <f t="shared" si="418"/>
        <v>1+4,80975794462301i</v>
      </c>
      <c r="AK495">
        <f t="shared" si="437"/>
        <v>4.9126135087002485</v>
      </c>
      <c r="AL495">
        <f t="shared" si="438"/>
        <v>1.3658060527985318</v>
      </c>
      <c r="AM495" t="str">
        <f t="shared" si="419"/>
        <v>1-25,9227102569642i</v>
      </c>
      <c r="AN495">
        <f t="shared" si="439"/>
        <v>25.941991193170136</v>
      </c>
      <c r="AO495">
        <f t="shared" si="440"/>
        <v>-1.5322392318339899</v>
      </c>
      <c r="AP495" s="41" t="str">
        <f t="shared" si="441"/>
        <v>-0,300656755562212-1,79014537436087i</v>
      </c>
      <c r="AQ495">
        <f t="shared" si="442"/>
        <v>5.1785738887093968</v>
      </c>
      <c r="AR495" s="43">
        <f t="shared" si="443"/>
        <v>-99.533906857011544</v>
      </c>
      <c r="AS495" t="str">
        <f t="shared" si="420"/>
        <v>-0,0000166666666666667</v>
      </c>
      <c r="AT495" t="str">
        <f t="shared" si="421"/>
        <v>0,819508757487689i</v>
      </c>
      <c r="AU495">
        <f t="shared" si="444"/>
        <v>0.81950875748768903</v>
      </c>
      <c r="AV495">
        <f t="shared" si="445"/>
        <v>1.5707963267948966</v>
      </c>
      <c r="AW495" t="str">
        <f t="shared" si="422"/>
        <v>1+29,2143311170191i</v>
      </c>
      <c r="AX495">
        <f t="shared" si="446"/>
        <v>29.231440994498211</v>
      </c>
      <c r="AY495">
        <f t="shared" si="447"/>
        <v>1.5365799105041498</v>
      </c>
      <c r="AZ495" t="str">
        <f t="shared" si="423"/>
        <v>1+4313,98289494648i</v>
      </c>
      <c r="BA495">
        <f t="shared" si="448"/>
        <v>4313.9830108486531</v>
      </c>
      <c r="BB495">
        <f t="shared" si="449"/>
        <v>1.570564522449251</v>
      </c>
      <c r="BC495" s="41" t="str">
        <f t="shared" si="450"/>
        <v>-0,000101981658375171+0,00299966332253217i</v>
      </c>
      <c r="BD495">
        <f t="shared" si="451"/>
        <v>-50.453532874763589</v>
      </c>
      <c r="BE495" s="43">
        <f t="shared" si="452"/>
        <v>91.947174832844183</v>
      </c>
      <c r="BF495" s="41" t="str">
        <f t="shared" si="453"/>
        <v>-0,000152797997101807-0,00026650929888459i</v>
      </c>
      <c r="BG495" s="20">
        <f t="shared" si="454"/>
        <v>-70.251456385591567</v>
      </c>
      <c r="BH495" s="43">
        <f t="shared" si="455"/>
        <v>-119.82697663767452</v>
      </c>
      <c r="BI495" s="41" t="str">
        <f t="shared" si="409"/>
        <v>0,00540049489600485-0,000719307048321524i</v>
      </c>
      <c r="BJ495" s="20">
        <f t="shared" si="456"/>
        <v>-45.274958986054195</v>
      </c>
      <c r="BK495" s="43">
        <f t="shared" si="410"/>
        <v>-7.5867320241673601</v>
      </c>
      <c r="BL495">
        <f t="shared" si="457"/>
        <v>-70.251456385591567</v>
      </c>
      <c r="BM495" s="43">
        <f t="shared" si="458"/>
        <v>-119.82697663767452</v>
      </c>
    </row>
    <row r="496" spans="14:65" x14ac:dyDescent="0.35">
      <c r="N496" s="9">
        <v>78</v>
      </c>
      <c r="O496" s="34">
        <f t="shared" si="459"/>
        <v>602559.58607435878</v>
      </c>
      <c r="P496" s="33" t="str">
        <f t="shared" si="411"/>
        <v>59,1053597814893</v>
      </c>
      <c r="Q496" s="4" t="str">
        <f t="shared" si="412"/>
        <v>1+29090,4263246102i</v>
      </c>
      <c r="R496" s="4">
        <f t="shared" si="424"/>
        <v>29090.426341797982</v>
      </c>
      <c r="S496" s="4">
        <f t="shared" si="425"/>
        <v>1.5707619512244444</v>
      </c>
      <c r="T496" s="4" t="str">
        <f t="shared" si="413"/>
        <v>1+4,92179159929941i</v>
      </c>
      <c r="U496" s="4">
        <f t="shared" si="426"/>
        <v>5.0223532877461183</v>
      </c>
      <c r="V496" s="4">
        <f t="shared" si="427"/>
        <v>1.3703468294293482</v>
      </c>
      <c r="W496" t="str">
        <f t="shared" si="414"/>
        <v>1-181,727689820286i</v>
      </c>
      <c r="X496" s="4">
        <f t="shared" si="428"/>
        <v>181.73044116883139</v>
      </c>
      <c r="Y496" s="4">
        <f t="shared" si="429"/>
        <v>-1.5652936435890825</v>
      </c>
      <c r="Z496" t="str">
        <f t="shared" si="415"/>
        <v>-6,50161270186159+17,0025527975798i</v>
      </c>
      <c r="AA496" s="4">
        <f t="shared" si="430"/>
        <v>18.203235134434117</v>
      </c>
      <c r="AB496" s="4">
        <f t="shared" si="431"/>
        <v>1.9360304437144371</v>
      </c>
      <c r="AC496" s="47" t="str">
        <f t="shared" si="432"/>
        <v>-0,0863052920814023+0,0541266845763293i</v>
      </c>
      <c r="AD496" s="20">
        <f t="shared" si="433"/>
        <v>-19.838737199305463</v>
      </c>
      <c r="AE496" s="43">
        <f t="shared" si="434"/>
        <v>147.90596646055394</v>
      </c>
      <c r="AF496" t="str">
        <f t="shared" si="416"/>
        <v>405,634542683733</v>
      </c>
      <c r="AG496" t="str">
        <f t="shared" si="417"/>
        <v>1+29142,1871011149i</v>
      </c>
      <c r="AH496">
        <f t="shared" si="435"/>
        <v>29142.187118272155</v>
      </c>
      <c r="AI496">
        <f t="shared" si="436"/>
        <v>1.5707620122804733</v>
      </c>
      <c r="AJ496" t="str">
        <f t="shared" si="418"/>
        <v>1+4,92179159929941i</v>
      </c>
      <c r="AK496">
        <f t="shared" si="437"/>
        <v>5.0223532877461183</v>
      </c>
      <c r="AL496">
        <f t="shared" si="438"/>
        <v>1.3703468294293482</v>
      </c>
      <c r="AM496" t="str">
        <f t="shared" si="419"/>
        <v>1-26,5265277468759i</v>
      </c>
      <c r="AN496">
        <f t="shared" si="439"/>
        <v>26.545370110544265</v>
      </c>
      <c r="AO496">
        <f t="shared" si="440"/>
        <v>-1.5331160583032659</v>
      </c>
      <c r="AP496" s="41" t="str">
        <f t="shared" si="441"/>
        <v>-0,300656778088856-1,83118674108664i</v>
      </c>
      <c r="AQ496">
        <f t="shared" si="442"/>
        <v>5.3701766544839691</v>
      </c>
      <c r="AR496" s="43">
        <f t="shared" si="443"/>
        <v>-99.324023772221949</v>
      </c>
      <c r="AS496" t="str">
        <f t="shared" si="420"/>
        <v>-0,0000166666666666667</v>
      </c>
      <c r="AT496" t="str">
        <f t="shared" si="421"/>
        <v>0,838597568649861i</v>
      </c>
      <c r="AU496">
        <f t="shared" si="444"/>
        <v>0.83859756864986101</v>
      </c>
      <c r="AV496">
        <f t="shared" si="445"/>
        <v>1.5707963267948966</v>
      </c>
      <c r="AW496" t="str">
        <f t="shared" si="422"/>
        <v>1+29,8948203062152i</v>
      </c>
      <c r="AX496">
        <f t="shared" si="446"/>
        <v>29.911540935580312</v>
      </c>
      <c r="AY496">
        <f t="shared" si="447"/>
        <v>1.5373581840381947</v>
      </c>
      <c r="AZ496" t="str">
        <f t="shared" si="423"/>
        <v>1+4414,46846521778i</v>
      </c>
      <c r="BA496">
        <f t="shared" si="448"/>
        <v>4414.4685784816984</v>
      </c>
      <c r="BB496">
        <f t="shared" si="449"/>
        <v>1.5705697989601699</v>
      </c>
      <c r="BC496" s="41" t="str">
        <f t="shared" si="450"/>
        <v>-0,0000973968577906542+0,00293153601349452i</v>
      </c>
      <c r="BD496">
        <f t="shared" si="451"/>
        <v>-50.653304125650152</v>
      </c>
      <c r="BE496" s="43">
        <f t="shared" si="452"/>
        <v>91.902885365842891</v>
      </c>
      <c r="BF496" s="41" t="str">
        <f t="shared" si="453"/>
        <v>-0,000150268460867134-0,000258278840892155i</v>
      </c>
      <c r="BG496" s="20">
        <f t="shared" si="454"/>
        <v>-70.492041324955608</v>
      </c>
      <c r="BH496" s="43">
        <f t="shared" si="455"/>
        <v>-120.19114817360304</v>
      </c>
      <c r="BI496" s="41" t="str">
        <f t="shared" si="409"/>
        <v>0,00539747290438847-0,000703034338058964i</v>
      </c>
      <c r="BJ496" s="20">
        <f t="shared" si="456"/>
        <v>-45.283127471166182</v>
      </c>
      <c r="BK496" s="43">
        <f t="shared" si="410"/>
        <v>-7.4211384063790486</v>
      </c>
      <c r="BL496">
        <f t="shared" si="457"/>
        <v>-70.492041324955608</v>
      </c>
      <c r="BM496" s="43">
        <f t="shared" si="458"/>
        <v>-120.19114817360304</v>
      </c>
    </row>
    <row r="497" spans="14:65" x14ac:dyDescent="0.35">
      <c r="N497" s="9">
        <v>79</v>
      </c>
      <c r="O497" s="34">
        <f t="shared" si="459"/>
        <v>616595.00186148309</v>
      </c>
      <c r="P497" s="33" t="str">
        <f t="shared" si="411"/>
        <v>59,1053597814893</v>
      </c>
      <c r="Q497" s="4" t="str">
        <f t="shared" si="412"/>
        <v>1+29768,0294004332i</v>
      </c>
      <c r="R497" s="4">
        <f t="shared" si="424"/>
        <v>29768.029417229744</v>
      </c>
      <c r="S497" s="4">
        <f t="shared" si="425"/>
        <v>1.5707627337079586</v>
      </c>
      <c r="T497" s="4" t="str">
        <f t="shared" si="413"/>
        <v>1+5,03643485302937i</v>
      </c>
      <c r="U497" s="4">
        <f t="shared" si="426"/>
        <v>5.1347517981698942</v>
      </c>
      <c r="V497" s="4">
        <f t="shared" si="427"/>
        <v>1.3747923560904187</v>
      </c>
      <c r="W497" t="str">
        <f t="shared" si="414"/>
        <v>1-185,960671496469i</v>
      </c>
      <c r="X497" s="4">
        <f t="shared" si="428"/>
        <v>185.9633602175914</v>
      </c>
      <c r="Y497" s="4">
        <f t="shared" si="429"/>
        <v>-1.5654188975082683</v>
      </c>
      <c r="Z497" t="str">
        <f t="shared" si="415"/>
        <v>-6,85515281654054+17,3985931286469i</v>
      </c>
      <c r="AA497" s="4">
        <f t="shared" si="430"/>
        <v>18.700378685853472</v>
      </c>
      <c r="AB497" s="4">
        <f t="shared" si="431"/>
        <v>1.9461249424667952</v>
      </c>
      <c r="AC497" s="47" t="str">
        <f t="shared" si="432"/>
        <v>-0,0855784575644124+0,0543619607407122i</v>
      </c>
      <c r="AD497" s="20">
        <f t="shared" si="433"/>
        <v>-19.880535629016631</v>
      </c>
      <c r="AE497" s="43">
        <f t="shared" si="434"/>
        <v>147.5750828471962</v>
      </c>
      <c r="AF497" t="str">
        <f t="shared" si="416"/>
        <v>405,634542683733</v>
      </c>
      <c r="AG497" t="str">
        <f t="shared" si="417"/>
        <v>1+29820,9958403055i</v>
      </c>
      <c r="AH497">
        <f t="shared" si="435"/>
        <v>29820.995857072208</v>
      </c>
      <c r="AI497">
        <f t="shared" si="436"/>
        <v>1.5707627933741826</v>
      </c>
      <c r="AJ497" t="str">
        <f t="shared" si="418"/>
        <v>1+5,03643485302937i</v>
      </c>
      <c r="AK497">
        <f t="shared" si="437"/>
        <v>5.1347517981698942</v>
      </c>
      <c r="AL497">
        <f t="shared" si="438"/>
        <v>1.3747923560904187</v>
      </c>
      <c r="AM497" t="str">
        <f t="shared" si="419"/>
        <v>1-27,1444099529191i</v>
      </c>
      <c r="AN497">
        <f t="shared" si="439"/>
        <v>27.162823706163788</v>
      </c>
      <c r="AO497">
        <f t="shared" si="440"/>
        <v>-1.5339729817811687</v>
      </c>
      <c r="AP497" s="41" t="str">
        <f t="shared" si="441"/>
        <v>-0,300656799601633-1,87319902726109i</v>
      </c>
      <c r="AQ497">
        <f t="shared" si="442"/>
        <v>5.5621431880162744</v>
      </c>
      <c r="AR497" s="43">
        <f t="shared" si="443"/>
        <v>-99.118456708852136</v>
      </c>
      <c r="AS497" t="str">
        <f t="shared" si="420"/>
        <v>-0,0000166666666666667</v>
      </c>
      <c r="AT497" t="str">
        <f t="shared" si="421"/>
        <v>0,858131015343082i</v>
      </c>
      <c r="AU497">
        <f t="shared" si="444"/>
        <v>0.858131015343082</v>
      </c>
      <c r="AV497">
        <f t="shared" si="445"/>
        <v>1.5707963267948966</v>
      </c>
      <c r="AW497" t="str">
        <f t="shared" si="422"/>
        <v>1+30,5911601248425i</v>
      </c>
      <c r="AX497">
        <f t="shared" si="446"/>
        <v>30.607500351772501</v>
      </c>
      <c r="AY497">
        <f t="shared" si="447"/>
        <v>1.5381187810622703</v>
      </c>
      <c r="AZ497" t="str">
        <f t="shared" si="423"/>
        <v>1+4517,29464510173i</v>
      </c>
      <c r="BA497">
        <f t="shared" si="448"/>
        <v>4517.2947557874459</v>
      </c>
      <c r="BB497">
        <f t="shared" si="449"/>
        <v>1.5705749553630488</v>
      </c>
      <c r="BC497" s="41" t="str">
        <f t="shared" si="450"/>
        <v>-0,0000930179563098662+0,00286494924966659i</v>
      </c>
      <c r="BD497">
        <f t="shared" si="451"/>
        <v>-50.853085660693857</v>
      </c>
      <c r="BE497" s="43">
        <f t="shared" si="452"/>
        <v>91.859601806575569</v>
      </c>
      <c r="BF497" s="41" t="str">
        <f t="shared" si="453"/>
        <v>-0,000147783925407716-0,000250234576275886i</v>
      </c>
      <c r="BG497" s="20">
        <f t="shared" si="454"/>
        <v>-70.73362128971047</v>
      </c>
      <c r="BH497" s="43">
        <f t="shared" si="455"/>
        <v>-120.56531534622822</v>
      </c>
      <c r="BI497" s="41" t="str">
        <f t="shared" si="409"/>
        <v>0,00539458662867745-0,000687125327148401i</v>
      </c>
      <c r="BJ497" s="20">
        <f t="shared" si="456"/>
        <v>-45.290942472677585</v>
      </c>
      <c r="BK497" s="43">
        <f t="shared" si="410"/>
        <v>-7.2588549022765783</v>
      </c>
      <c r="BL497">
        <f t="shared" si="457"/>
        <v>-70.73362128971047</v>
      </c>
      <c r="BM497" s="43">
        <f t="shared" si="458"/>
        <v>-120.56531534622822</v>
      </c>
    </row>
    <row r="498" spans="14:65" x14ac:dyDescent="0.35">
      <c r="N498" s="9">
        <v>80</v>
      </c>
      <c r="O498" s="34">
        <f t="shared" si="459"/>
        <v>630957.34448019415</v>
      </c>
      <c r="P498" s="33" t="str">
        <f t="shared" si="411"/>
        <v>59,1053597814893</v>
      </c>
      <c r="Q498" s="4" t="str">
        <f t="shared" si="412"/>
        <v>1+30461,4158794707i</v>
      </c>
      <c r="R498" s="4">
        <f t="shared" si="424"/>
        <v>30461.415895884904</v>
      </c>
      <c r="S498" s="4">
        <f t="shared" si="425"/>
        <v>1.5707634983799734</v>
      </c>
      <c r="T498" s="4" t="str">
        <f t="shared" si="413"/>
        <v>1+5,1537484911835i</v>
      </c>
      <c r="U498" s="4">
        <f t="shared" si="426"/>
        <v>5.2498689041133408</v>
      </c>
      <c r="V498" s="4">
        <f t="shared" si="427"/>
        <v>1.3791442866794072</v>
      </c>
      <c r="W498" t="str">
        <f t="shared" si="414"/>
        <v>1-190,29225198216i</v>
      </c>
      <c r="X498" s="4">
        <f t="shared" si="428"/>
        <v>190.29487950137249</v>
      </c>
      <c r="Y498" s="4">
        <f t="shared" si="429"/>
        <v>-1.5655413004632086</v>
      </c>
      <c r="Z498" t="str">
        <f t="shared" si="415"/>
        <v>-7,225354763502+17,8038584240884i</v>
      </c>
      <c r="AA498" s="4">
        <f t="shared" si="430"/>
        <v>19.214138706781643</v>
      </c>
      <c r="AB498" s="4">
        <f t="shared" si="431"/>
        <v>1.9563191589867004</v>
      </c>
      <c r="AC498" s="47" t="str">
        <f t="shared" si="432"/>
        <v>-0,0848332395710114+0,0546015624084014i</v>
      </c>
      <c r="AD498" s="20">
        <f t="shared" si="433"/>
        <v>-19.923371628815712</v>
      </c>
      <c r="AE498" s="43">
        <f t="shared" si="434"/>
        <v>147.23328753544891</v>
      </c>
      <c r="AF498" t="str">
        <f t="shared" si="416"/>
        <v>405,634542683733</v>
      </c>
      <c r="AG498" t="str">
        <f t="shared" si="417"/>
        <v>1+30515,6160662181i</v>
      </c>
      <c r="AH498">
        <f t="shared" si="435"/>
        <v>30515.616082603148</v>
      </c>
      <c r="AI498">
        <f t="shared" si="436"/>
        <v>1.5707635566880283</v>
      </c>
      <c r="AJ498" t="str">
        <f t="shared" si="418"/>
        <v>1+5,1537484911835i</v>
      </c>
      <c r="AK498">
        <f t="shared" si="437"/>
        <v>5.2498689041133408</v>
      </c>
      <c r="AL498">
        <f t="shared" si="438"/>
        <v>1.3791442866794072</v>
      </c>
      <c r="AM498" t="str">
        <f t="shared" si="419"/>
        <v>1-27,776684484418i</v>
      </c>
      <c r="AN498">
        <f t="shared" si="439"/>
        <v>27.794679363988134</v>
      </c>
      <c r="AO498">
        <f t="shared" si="440"/>
        <v>-1.5348104515829617</v>
      </c>
      <c r="AP498" s="41" t="str">
        <f t="shared" si="441"/>
        <v>-0,300656820146176-1,91620450835444i</v>
      </c>
      <c r="AQ498">
        <f t="shared" si="442"/>
        <v>5.7544583176557733</v>
      </c>
      <c r="AR498" s="43">
        <f t="shared" si="443"/>
        <v>-98.917136673143432</v>
      </c>
      <c r="AS498" t="str">
        <f t="shared" si="420"/>
        <v>-0,0000166666666666667</v>
      </c>
      <c r="AT498" t="str">
        <f t="shared" si="421"/>
        <v>0,878119454459344i</v>
      </c>
      <c r="AU498">
        <f t="shared" si="444"/>
        <v>0.87811945445934403</v>
      </c>
      <c r="AV498">
        <f t="shared" si="445"/>
        <v>1.5707963267948966</v>
      </c>
      <c r="AW498" t="str">
        <f t="shared" si="422"/>
        <v>1+31,3037197814897i</v>
      </c>
      <c r="AX498">
        <f t="shared" si="446"/>
        <v>31.319688251290586</v>
      </c>
      <c r="AY498">
        <f t="shared" si="447"/>
        <v>1.5388621013328836</v>
      </c>
      <c r="AZ498" t="str">
        <f t="shared" si="423"/>
        <v>1+4622,51595439997i</v>
      </c>
      <c r="BA498">
        <f t="shared" si="448"/>
        <v>4622.516062566172</v>
      </c>
      <c r="BB498">
        <f t="shared" si="449"/>
        <v>1.5705799943918795</v>
      </c>
      <c r="BC498" s="41" t="str">
        <f t="shared" si="450"/>
        <v>-0,0000888357265600588+0,00279986864460991i</v>
      </c>
      <c r="BD498">
        <f t="shared" si="451"/>
        <v>-51.052877018020048</v>
      </c>
      <c r="BE498" s="43">
        <f t="shared" si="452"/>
        <v>91.817301407327747</v>
      </c>
      <c r="BF498" s="41" t="str">
        <f t="shared" si="453"/>
        <v>-0,00014534098006026-0,00024237249696342i</v>
      </c>
      <c r="BG498" s="20">
        <f t="shared" si="454"/>
        <v>-70.976248646835757</v>
      </c>
      <c r="BH498" s="43">
        <f t="shared" si="455"/>
        <v>-120.94941105722336</v>
      </c>
      <c r="BI498" s="41" t="str">
        <f t="shared" ref="BI498:BI560" si="460">IMPRODUCT(AP498,BC498)</f>
        <v>0,00539182998666467-0,000671572183778072i</v>
      </c>
      <c r="BJ498" s="20">
        <f t="shared" si="456"/>
        <v>-45.298418700364273</v>
      </c>
      <c r="BK498" s="43">
        <f t="shared" ref="BK498:BK560" si="461">(180/PI())*IMARGUMENT(BI498)</f>
        <v>-7.099835265815674</v>
      </c>
      <c r="BL498">
        <f t="shared" si="457"/>
        <v>-70.976248646835757</v>
      </c>
      <c r="BM498" s="43">
        <f t="shared" si="458"/>
        <v>-120.94941105722336</v>
      </c>
    </row>
    <row r="499" spans="14:65" x14ac:dyDescent="0.35">
      <c r="N499" s="9">
        <v>81</v>
      </c>
      <c r="O499" s="34">
        <f t="shared" si="459"/>
        <v>645654.22903465747</v>
      </c>
      <c r="P499" s="33" t="str">
        <f t="shared" si="411"/>
        <v>59,1053597814893</v>
      </c>
      <c r="Q499" s="4" t="str">
        <f t="shared" si="412"/>
        <v>1+31170,9534044122i</v>
      </c>
      <c r="R499" s="4">
        <f t="shared" si="424"/>
        <v>31170.95342045277</v>
      </c>
      <c r="S499" s="4">
        <f t="shared" si="425"/>
        <v>1.5707642456459281</v>
      </c>
      <c r="T499" s="4" t="str">
        <f t="shared" si="413"/>
        <v>1+5,2737947150056i</v>
      </c>
      <c r="U499" s="4">
        <f t="shared" si="426"/>
        <v>5.3677658943009989</v>
      </c>
      <c r="V499" s="4">
        <f t="shared" si="427"/>
        <v>1.3834042689510484</v>
      </c>
      <c r="W499" t="str">
        <f t="shared" si="414"/>
        <v>1-194,724727938668i</v>
      </c>
      <c r="X499" s="4">
        <f t="shared" si="428"/>
        <v>194.72729564903904</v>
      </c>
      <c r="Y499" s="4">
        <f t="shared" si="429"/>
        <v>-1.5656609173388905</v>
      </c>
      <c r="Z499" t="str">
        <f t="shared" si="415"/>
        <v>-7,61300379070945+18,2185635609284i</v>
      </c>
      <c r="AA499" s="4">
        <f t="shared" si="430"/>
        <v>19.745224357827503</v>
      </c>
      <c r="AB499" s="4">
        <f t="shared" si="431"/>
        <v>1.9666129241775976</v>
      </c>
      <c r="AC499" s="47" t="str">
        <f t="shared" si="432"/>
        <v>-0,0840693768284735+0,0548445391556783i</v>
      </c>
      <c r="AD499" s="20">
        <f t="shared" si="433"/>
        <v>-19.967297893579175</v>
      </c>
      <c r="AE499" s="43">
        <f t="shared" si="434"/>
        <v>146.8806808823569</v>
      </c>
      <c r="AF499" t="str">
        <f t="shared" si="416"/>
        <v>405,634542683733</v>
      </c>
      <c r="AG499" t="str">
        <f t="shared" si="417"/>
        <v>1+31226,416075691i</v>
      </c>
      <c r="AH499">
        <f t="shared" si="435"/>
        <v>31226.416091703082</v>
      </c>
      <c r="AI499">
        <f t="shared" si="436"/>
        <v>1.5707643026267297</v>
      </c>
      <c r="AJ499" t="str">
        <f t="shared" si="418"/>
        <v>1+5,2737947150056i</v>
      </c>
      <c r="AK499">
        <f t="shared" si="437"/>
        <v>5.3677658943009989</v>
      </c>
      <c r="AL499">
        <f t="shared" si="438"/>
        <v>1.3834042689510484</v>
      </c>
      <c r="AM499" t="str">
        <f t="shared" si="419"/>
        <v>1-28,4236865816986i</v>
      </c>
      <c r="AN499">
        <f t="shared" si="439"/>
        <v>28.441272104015201</v>
      </c>
      <c r="AO499">
        <f t="shared" si="440"/>
        <v>-1.5356289070446225</v>
      </c>
      <c r="AP499" s="41" t="str">
        <f t="shared" si="441"/>
        <v>-0,300656839766063-1,96022598644205i</v>
      </c>
      <c r="AQ499">
        <f t="shared" si="442"/>
        <v>5.9471074547010927</v>
      </c>
      <c r="AR499" s="43">
        <f t="shared" si="443"/>
        <v>-98.719994450989759</v>
      </c>
      <c r="AS499" t="str">
        <f t="shared" si="420"/>
        <v>-0,0000166666666666667</v>
      </c>
      <c r="AT499" t="str">
        <f t="shared" si="421"/>
        <v>0,898573484133647i</v>
      </c>
      <c r="AU499">
        <f t="shared" si="444"/>
        <v>0.89857348413364702</v>
      </c>
      <c r="AV499">
        <f t="shared" si="445"/>
        <v>1.5707963267948966</v>
      </c>
      <c r="AW499" t="str">
        <f t="shared" si="422"/>
        <v>1+32,0328770847189i</v>
      </c>
      <c r="AX499">
        <f t="shared" si="446"/>
        <v>32.048482246819567</v>
      </c>
      <c r="AY499">
        <f t="shared" si="447"/>
        <v>1.5395885356807781</v>
      </c>
      <c r="AZ499" t="str">
        <f t="shared" si="423"/>
        <v>1+4730,18818284348i</v>
      </c>
      <c r="BA499">
        <f t="shared" si="448"/>
        <v>4730.1882885475188</v>
      </c>
      <c r="BB499">
        <f t="shared" si="449"/>
        <v>1.5705849187184211</v>
      </c>
      <c r="BC499" s="41" t="str">
        <f t="shared" si="450"/>
        <v>-0,0000848413529911158+0,00273626054936007i</v>
      </c>
      <c r="BD499">
        <f t="shared" si="451"/>
        <v>-51.252677756455221</v>
      </c>
      <c r="BE499" s="43">
        <f t="shared" si="452"/>
        <v>91.775961928227829</v>
      </c>
      <c r="BF499" s="41" t="str">
        <f t="shared" si="453"/>
        <v>-0,000142936389164269-0,00023468880413118i</v>
      </c>
      <c r="BG499" s="20">
        <f t="shared" si="454"/>
        <v>-71.219975650034371</v>
      </c>
      <c r="BH499" s="43">
        <f t="shared" si="455"/>
        <v>-121.34335718941531</v>
      </c>
      <c r="BI499" s="41" t="str">
        <f t="shared" si="460"/>
        <v>0,00538919716760359-0,000656367224689062i</v>
      </c>
      <c r="BJ499" s="20">
        <f t="shared" si="456"/>
        <v>-45.30557030175413</v>
      </c>
      <c r="BK499" s="43">
        <f t="shared" si="461"/>
        <v>-6.9440325227619306</v>
      </c>
      <c r="BL499">
        <f t="shared" si="457"/>
        <v>-71.219975650034371</v>
      </c>
      <c r="BM499" s="43">
        <f t="shared" si="458"/>
        <v>-121.34335718941531</v>
      </c>
    </row>
    <row r="500" spans="14:65" x14ac:dyDescent="0.35">
      <c r="N500" s="9">
        <v>82</v>
      </c>
      <c r="O500" s="34">
        <f t="shared" si="459"/>
        <v>660693.44800759677</v>
      </c>
      <c r="P500" s="33" t="str">
        <f t="shared" si="411"/>
        <v>59,1053597814893</v>
      </c>
      <c r="Q500" s="4" t="str">
        <f t="shared" si="412"/>
        <v>1+31897,0181814448i</v>
      </c>
      <c r="R500" s="4">
        <f t="shared" si="424"/>
        <v>31897.018197120244</v>
      </c>
      <c r="S500" s="4">
        <f t="shared" si="425"/>
        <v>1.570764975902033</v>
      </c>
      <c r="T500" s="4" t="str">
        <f t="shared" si="413"/>
        <v>1+5,3966371745925i</v>
      </c>
      <c r="U500" s="4">
        <f t="shared" si="426"/>
        <v>5.4885055155473532</v>
      </c>
      <c r="V500" s="4">
        <f t="shared" si="427"/>
        <v>1.387573942842699</v>
      </c>
      <c r="W500" t="str">
        <f t="shared" si="414"/>
        <v>1-199,260449523416i</v>
      </c>
      <c r="X500" s="4">
        <f t="shared" si="428"/>
        <v>199.26295878630785</v>
      </c>
      <c r="Y500" s="4">
        <f t="shared" si="429"/>
        <v>-1.5657778115440653</v>
      </c>
      <c r="Z500" t="str">
        <f t="shared" si="415"/>
        <v>-8,01892215372244+18,6429284213195i</v>
      </c>
      <c r="AA500" s="4">
        <f t="shared" si="430"/>
        <v>20.294380814154025</v>
      </c>
      <c r="AB500" s="4">
        <f t="shared" si="431"/>
        <v>1.9770058750995596</v>
      </c>
      <c r="AC500" s="47" t="str">
        <f t="shared" si="432"/>
        <v>-0,0832866473093736+0,0550899171451096i</v>
      </c>
      <c r="AD500" s="20">
        <f t="shared" si="433"/>
        <v>-20.012366932463742</v>
      </c>
      <c r="AE500" s="43">
        <f t="shared" si="434"/>
        <v>146.51737398858054</v>
      </c>
      <c r="AF500" t="str">
        <f t="shared" si="416"/>
        <v>405,634542683733</v>
      </c>
      <c r="AG500" t="str">
        <f t="shared" si="417"/>
        <v>1+31953,7727442977i</v>
      </c>
      <c r="AH500">
        <f t="shared" si="435"/>
        <v>31953.772759945303</v>
      </c>
      <c r="AI500">
        <f t="shared" si="436"/>
        <v>1.5707650315857933</v>
      </c>
      <c r="AJ500" t="str">
        <f t="shared" si="418"/>
        <v>1+5,3966371745925i</v>
      </c>
      <c r="AK500">
        <f t="shared" si="437"/>
        <v>5.4885055155473532</v>
      </c>
      <c r="AL500">
        <f t="shared" si="438"/>
        <v>1.387573942842699</v>
      </c>
      <c r="AM500" t="str">
        <f t="shared" si="419"/>
        <v>1-29,0857592938366i</v>
      </c>
      <c r="AN500">
        <f t="shared" si="439"/>
        <v>29.10294475992081</v>
      </c>
      <c r="AO500">
        <f t="shared" si="440"/>
        <v>-1.5364287777334995</v>
      </c>
      <c r="AP500" s="41" t="str">
        <f t="shared" si="441"/>
        <v>-0,300656858502908-2,00528680229424i</v>
      </c>
      <c r="AQ500">
        <f t="shared" si="442"/>
        <v>6.1400765752436604</v>
      </c>
      <c r="AR500" s="43">
        <f t="shared" si="443"/>
        <v>-98.526960715958978</v>
      </c>
      <c r="AS500" t="str">
        <f t="shared" si="420"/>
        <v>-0,0000166666666666667</v>
      </c>
      <c r="AT500" t="str">
        <f t="shared" si="421"/>
        <v>0,91950394936326i</v>
      </c>
      <c r="AU500">
        <f t="shared" si="444"/>
        <v>0.91950394936325996</v>
      </c>
      <c r="AV500">
        <f t="shared" si="445"/>
        <v>1.5707963267948966</v>
      </c>
      <c r="AW500" t="str">
        <f t="shared" si="422"/>
        <v>1+32,7790186433835i</v>
      </c>
      <c r="AX500">
        <f t="shared" si="446"/>
        <v>32.794268755733576</v>
      </c>
      <c r="AY500">
        <f t="shared" si="447"/>
        <v>1.5402984662025516</v>
      </c>
      <c r="AZ500" t="str">
        <f t="shared" si="423"/>
        <v>1+4840,36841967296i</v>
      </c>
      <c r="BA500">
        <f t="shared" si="448"/>
        <v>4840.3685229708817</v>
      </c>
      <c r="BB500">
        <f t="shared" si="449"/>
        <v>1.5705897309536154</v>
      </c>
      <c r="BC500" s="41" t="str">
        <f t="shared" si="450"/>
        <v>-0,0000810264136454425+0,00267409203864179i</v>
      </c>
      <c r="BD500">
        <f t="shared" si="451"/>
        <v>-51.452487454602348</v>
      </c>
      <c r="BE500" s="43">
        <f t="shared" si="452"/>
        <v>91.735561626349337</v>
      </c>
      <c r="BF500" s="41" t="str">
        <f t="shared" si="453"/>
        <v>-0,000140567090511142-0,000227179898909455i</v>
      </c>
      <c r="BG500" s="20">
        <f t="shared" si="454"/>
        <v>-71.464854387066097</v>
      </c>
      <c r="BH500" s="43">
        <f t="shared" si="455"/>
        <v>-121.74706438507012</v>
      </c>
      <c r="BI500" s="41" t="str">
        <f t="shared" si="460"/>
        <v>0,00538668262019088-0,000641502913765238i</v>
      </c>
      <c r="BJ500" s="20">
        <f t="shared" si="456"/>
        <v>-45.312410879358673</v>
      </c>
      <c r="BK500" s="43">
        <f t="shared" si="461"/>
        <v>-6.7913990896096319</v>
      </c>
      <c r="BL500">
        <f t="shared" si="457"/>
        <v>-71.464854387066097</v>
      </c>
      <c r="BM500" s="43">
        <f t="shared" si="458"/>
        <v>-121.74706438507012</v>
      </c>
    </row>
    <row r="501" spans="14:65" x14ac:dyDescent="0.35">
      <c r="N501" s="9">
        <v>83</v>
      </c>
      <c r="O501" s="34">
        <f t="shared" si="459"/>
        <v>676082.97539198259</v>
      </c>
      <c r="P501" s="33" t="str">
        <f t="shared" si="411"/>
        <v>59,1053597814893</v>
      </c>
      <c r="Q501" s="4" t="str">
        <f t="shared" si="412"/>
        <v>1+32639,9951797243i</v>
      </c>
      <c r="R501" s="4">
        <f t="shared" si="424"/>
        <v>32639.995195042931</v>
      </c>
      <c r="S501" s="4">
        <f t="shared" si="425"/>
        <v>1.5707656895354798</v>
      </c>
      <c r="T501" s="4" t="str">
        <f t="shared" si="413"/>
        <v>1+5,52234100264231i</v>
      </c>
      <c r="U501" s="4">
        <f t="shared" si="426"/>
        <v>5.6121520069813222</v>
      </c>
      <c r="V501" s="4">
        <f t="shared" si="427"/>
        <v>1.3916549389303021</v>
      </c>
      <c r="W501" t="str">
        <f t="shared" si="414"/>
        <v>1-203,901821636024i</v>
      </c>
      <c r="X501" s="4">
        <f t="shared" si="428"/>
        <v>203.90427378181397</v>
      </c>
      <c r="Y501" s="4">
        <f t="shared" si="429"/>
        <v>-1.5658920450448017</v>
      </c>
      <c r="Z501" t="str">
        <f t="shared" si="415"/>
        <v>-8,44397085981149+19,077178009128i</v>
      </c>
      <c r="AA501" s="4">
        <f t="shared" si="430"/>
        <v>20.862391154258962</v>
      </c>
      <c r="AB501" s="4">
        <f t="shared" si="431"/>
        <v>1.9874974494991124</v>
      </c>
      <c r="AC501" s="47" t="str">
        <f t="shared" si="432"/>
        <v>-0,0824848705976781+0,0553367005687014i</v>
      </c>
      <c r="AD501" s="20">
        <f t="shared" si="433"/>
        <v>-20.058631012186186</v>
      </c>
      <c r="AE501" s="43">
        <f t="shared" si="434"/>
        <v>146.14348892141194</v>
      </c>
      <c r="AF501" t="str">
        <f t="shared" si="416"/>
        <v>405,634542683733</v>
      </c>
      <c r="AG501" t="str">
        <f t="shared" si="417"/>
        <v>1+32698,0717261715i</v>
      </c>
      <c r="AH501">
        <f t="shared" si="435"/>
        <v>32698.071741462918</v>
      </c>
      <c r="AI501">
        <f t="shared" si="436"/>
        <v>1.5707657439517229</v>
      </c>
      <c r="AJ501" t="str">
        <f t="shared" si="418"/>
        <v>1+5,52234100264231i</v>
      </c>
      <c r="AK501">
        <f t="shared" si="437"/>
        <v>5.6121520069813222</v>
      </c>
      <c r="AL501">
        <f t="shared" si="438"/>
        <v>1.3916549389303021</v>
      </c>
      <c r="AM501" t="str">
        <f t="shared" si="419"/>
        <v>1-29,7632536605478i</v>
      </c>
      <c r="AN501">
        <f t="shared" si="439"/>
        <v>29.780048160842725</v>
      </c>
      <c r="AO501">
        <f t="shared" si="440"/>
        <v>-1.5372104836552665</v>
      </c>
      <c r="AP501" s="41" t="str">
        <f t="shared" si="441"/>
        <v>-0,300656876396458-2,05141084775208i</v>
      </c>
      <c r="AQ501">
        <f t="shared" si="442"/>
        <v>6.3333522022047273</v>
      </c>
      <c r="AR501" s="43">
        <f t="shared" si="443"/>
        <v>-98.337966129628782</v>
      </c>
      <c r="AS501" t="str">
        <f t="shared" si="420"/>
        <v>-0,0000166666666666667</v>
      </c>
      <c r="AT501" t="str">
        <f t="shared" si="421"/>
        <v>0,940921947757902i</v>
      </c>
      <c r="AU501">
        <f t="shared" si="444"/>
        <v>0.94092194775790206</v>
      </c>
      <c r="AV501">
        <f t="shared" si="445"/>
        <v>1.5707963267948966</v>
      </c>
      <c r="AW501" t="str">
        <f t="shared" si="422"/>
        <v>1+33,5425400716146i</v>
      </c>
      <c r="AX501">
        <f t="shared" si="446"/>
        <v>33.557443204986157</v>
      </c>
      <c r="AY501">
        <f t="shared" si="447"/>
        <v>1.5409922664486795</v>
      </c>
      <c r="AZ501" t="str">
        <f t="shared" si="423"/>
        <v>1+4953,11508390841i</v>
      </c>
      <c r="BA501">
        <f t="shared" si="448"/>
        <v>4953.1151848549835</v>
      </c>
      <c r="BB501">
        <f t="shared" si="449"/>
        <v>1.5705944336489728</v>
      </c>
      <c r="BC501" s="41" t="str">
        <f t="shared" si="450"/>
        <v>-0,0000773828627216352+0,00261333089719901i</v>
      </c>
      <c r="BD501">
        <f t="shared" si="451"/>
        <v>-51.652305709958533</v>
      </c>
      <c r="BE501" s="43">
        <f t="shared" si="452"/>
        <v>91.696079245017401</v>
      </c>
      <c r="BF501" s="41" t="str">
        <f t="shared" si="453"/>
        <v>-0,000138230193927165-0,00021984237318795i</v>
      </c>
      <c r="BG501" s="20">
        <f t="shared" si="454"/>
        <v>-71.710936722144737</v>
      </c>
      <c r="BH501" s="43">
        <f t="shared" si="455"/>
        <v>-122.1604318335706</v>
      </c>
      <c r="BI501" s="41" t="str">
        <f t="shared" si="460"/>
        <v>0,00538428104107223-0,000626971860524935i</v>
      </c>
      <c r="BJ501" s="20">
        <f t="shared" si="456"/>
        <v>-45.318953507753804</v>
      </c>
      <c r="BK501" s="43">
        <f t="shared" si="461"/>
        <v>-6.6418868846113837</v>
      </c>
      <c r="BL501">
        <f t="shared" si="457"/>
        <v>-71.710936722144737</v>
      </c>
      <c r="BM501" s="43">
        <f t="shared" si="458"/>
        <v>-122.1604318335706</v>
      </c>
    </row>
    <row r="502" spans="14:65" x14ac:dyDescent="0.35">
      <c r="N502" s="9">
        <v>84</v>
      </c>
      <c r="O502" s="34">
        <f t="shared" si="459"/>
        <v>691830.97091893724</v>
      </c>
      <c r="P502" s="33" t="str">
        <f t="shared" si="411"/>
        <v>59,1053597814893</v>
      </c>
      <c r="Q502" s="4" t="str">
        <f t="shared" si="412"/>
        <v>1+33400,2783354894i</v>
      </c>
      <c r="R502" s="4">
        <f t="shared" si="424"/>
        <v>33400.278350459332</v>
      </c>
      <c r="S502" s="4">
        <f t="shared" si="425"/>
        <v>1.570766386924646</v>
      </c>
      <c r="T502" s="4" t="str">
        <f t="shared" si="413"/>
        <v>1+5,65097284898855i</v>
      </c>
      <c r="U502" s="4">
        <f t="shared" si="426"/>
        <v>5.738771135008415</v>
      </c>
      <c r="V502" s="4">
        <f t="shared" si="427"/>
        <v>1.3956488770083972</v>
      </c>
      <c r="W502" t="str">
        <f t="shared" si="414"/>
        <v>1-208,651305193424i</v>
      </c>
      <c r="X502" s="4">
        <f t="shared" si="428"/>
        <v>208.6537015222097</v>
      </c>
      <c r="Y502" s="4">
        <f t="shared" si="429"/>
        <v>-1.5660036783972824</v>
      </c>
      <c r="Z502" t="str">
        <f t="shared" si="415"/>
        <v>-8,8890514942694+19,5215425692332i</v>
      </c>
      <c r="AA502" s="4">
        <f t="shared" si="430"/>
        <v>21.450078339021449</v>
      </c>
      <c r="AB502" s="4">
        <f t="shared" si="431"/>
        <v>1.9980868806896408</v>
      </c>
      <c r="AC502" s="47" t="str">
        <f t="shared" si="432"/>
        <v>-0,0816639102315538+0,0555838733245785i</v>
      </c>
      <c r="AD502" s="20">
        <f t="shared" si="433"/>
        <v>-20.10614209531855</v>
      </c>
      <c r="AE502" s="43">
        <f t="shared" si="434"/>
        <v>145.75915892485585</v>
      </c>
      <c r="AF502" t="str">
        <f t="shared" si="416"/>
        <v>405,634542683733</v>
      </c>
      <c r="AG502" t="str">
        <f t="shared" si="417"/>
        <v>1+33459,7076584848i</v>
      </c>
      <c r="AH502">
        <f t="shared" si="435"/>
        <v>33459.707673428144</v>
      </c>
      <c r="AI502">
        <f t="shared" si="436"/>
        <v>1.5707664401022241</v>
      </c>
      <c r="AJ502" t="str">
        <f t="shared" si="418"/>
        <v>1+5,65097284898855i</v>
      </c>
      <c r="AK502">
        <f t="shared" si="437"/>
        <v>5.738771135008415</v>
      </c>
      <c r="AL502">
        <f t="shared" si="438"/>
        <v>1.3956488770083972</v>
      </c>
      <c r="AM502" t="str">
        <f t="shared" si="419"/>
        <v>1-30,4565288983131i</v>
      </c>
      <c r="AN502">
        <f t="shared" si="439"/>
        <v>30.472941317401261</v>
      </c>
      <c r="AO502">
        <f t="shared" si="440"/>
        <v>-1.5379744354571867</v>
      </c>
      <c r="AP502" s="41" t="str">
        <f t="shared" si="441"/>
        <v>-0,300656893484665-2,09862257839498i</v>
      </c>
      <c r="AQ502">
        <f t="shared" si="442"/>
        <v>6.5269213875987457</v>
      </c>
      <c r="AR502" s="43">
        <f t="shared" si="443"/>
        <v>-98.152941434604443</v>
      </c>
      <c r="AS502" t="str">
        <f t="shared" si="420"/>
        <v>-0,0000166666666666667</v>
      </c>
      <c r="AT502" t="str">
        <f t="shared" si="421"/>
        <v>0,962838835423818i</v>
      </c>
      <c r="AU502">
        <f t="shared" si="444"/>
        <v>0.96283883542381798</v>
      </c>
      <c r="AV502">
        <f t="shared" si="445"/>
        <v>1.5707963267948966</v>
      </c>
      <c r="AW502" t="str">
        <f t="shared" si="422"/>
        <v>1+34,3238461985796i</v>
      </c>
      <c r="AX502">
        <f t="shared" si="446"/>
        <v>34.338410240774799</v>
      </c>
      <c r="AY502">
        <f t="shared" si="447"/>
        <v>1.541670301607972</v>
      </c>
      <c r="AZ502" t="str">
        <f t="shared" si="423"/>
        <v>1+5068,48795532357i</v>
      </c>
      <c r="BA502">
        <f t="shared" si="448"/>
        <v>5068.488053972319</v>
      </c>
      <c r="BB502">
        <f t="shared" si="449"/>
        <v>1.5705990292979233</v>
      </c>
      <c r="BC502" s="41" t="str">
        <f t="shared" si="450"/>
        <v>-0,0000739030138985555+0,00255394560625136i</v>
      </c>
      <c r="BD502">
        <f t="shared" si="451"/>
        <v>-51.852132138070218</v>
      </c>
      <c r="BE502" s="43">
        <f t="shared" si="452"/>
        <v>91.657494003317453</v>
      </c>
      <c r="BF502" s="41" t="str">
        <f t="shared" si="453"/>
        <v>-0,000135922979962887-0,000212673000488024i</v>
      </c>
      <c r="BG502" s="20">
        <f t="shared" si="454"/>
        <v>-71.958274233388764</v>
      </c>
      <c r="BH502" s="43">
        <f t="shared" si="455"/>
        <v>-122.58334707182678</v>
      </c>
      <c r="BI502" s="41" t="str">
        <f t="shared" si="460"/>
        <v>0,00538198736384965-0,000612766818525397i</v>
      </c>
      <c r="BJ502" s="20">
        <f t="shared" si="456"/>
        <v>-45.325210750471484</v>
      </c>
      <c r="BK502" s="43">
        <f t="shared" si="461"/>
        <v>-6.4954474312869985</v>
      </c>
      <c r="BL502">
        <f t="shared" si="457"/>
        <v>-71.958274233388764</v>
      </c>
      <c r="BM502" s="43">
        <f t="shared" si="458"/>
        <v>-122.58334707182678</v>
      </c>
    </row>
    <row r="503" spans="14:65" x14ac:dyDescent="0.35">
      <c r="N503" s="9">
        <v>85</v>
      </c>
      <c r="O503" s="34">
        <f t="shared" si="459"/>
        <v>707945.78438413853</v>
      </c>
      <c r="P503" s="33" t="str">
        <f t="shared" si="411"/>
        <v>59,1053597814893</v>
      </c>
      <c r="Q503" s="4" t="str">
        <f t="shared" si="412"/>
        <v>1+34178,2707609331i</v>
      </c>
      <c r="R503" s="4">
        <f t="shared" si="424"/>
        <v>34178.270775562276</v>
      </c>
      <c r="S503" s="4">
        <f t="shared" si="425"/>
        <v>1.5707670684392967</v>
      </c>
      <c r="T503" s="4" t="str">
        <f t="shared" si="413"/>
        <v>1+5,7826009159388i</v>
      </c>
      <c r="U503" s="4">
        <f t="shared" si="426"/>
        <v>5.8684302290319721</v>
      </c>
      <c r="V503" s="4">
        <f t="shared" si="427"/>
        <v>1.3995573647879467</v>
      </c>
      <c r="W503" t="str">
        <f t="shared" si="414"/>
        <v>1-213,511418434664i</v>
      </c>
      <c r="X503" s="4">
        <f t="shared" si="428"/>
        <v>213.51376021695222</v>
      </c>
      <c r="Y503" s="4">
        <f t="shared" si="429"/>
        <v>-1.5661127707798523</v>
      </c>
      <c r="Z503" t="str">
        <f t="shared" si="415"/>
        <v>-9,3551081327949+19,9762577096067i</v>
      </c>
      <c r="AA503" s="4">
        <f t="shared" si="430"/>
        <v>22.05830728448823</v>
      </c>
      <c r="AB503" s="4">
        <f t="shared" si="431"/>
        <v>2.0087731928359034</v>
      </c>
      <c r="AC503" s="47" t="str">
        <f t="shared" si="432"/>
        <v>-0,0808236760006418+0,0558304009331863i</v>
      </c>
      <c r="AD503" s="20">
        <f t="shared" si="433"/>
        <v>-20.154951773643049</v>
      </c>
      <c r="AE503" s="43">
        <f t="shared" si="434"/>
        <v>145.36452861335087</v>
      </c>
      <c r="AF503" t="str">
        <f t="shared" si="416"/>
        <v>405,634542683733</v>
      </c>
      <c r="AG503" t="str">
        <f t="shared" si="417"/>
        <v>1+34239,0843706902i</v>
      </c>
      <c r="AH503">
        <f t="shared" si="435"/>
        <v>34239.084385293398</v>
      </c>
      <c r="AI503">
        <f t="shared" si="436"/>
        <v>1.5707671204064053</v>
      </c>
      <c r="AJ503" t="str">
        <f t="shared" si="418"/>
        <v>1+5,7826009159388i</v>
      </c>
      <c r="AK503">
        <f t="shared" si="437"/>
        <v>5.8684302290319721</v>
      </c>
      <c r="AL503">
        <f t="shared" si="438"/>
        <v>1.3995573647879467</v>
      </c>
      <c r="AM503" t="str">
        <f t="shared" si="419"/>
        <v>1-31,1659525908401i</v>
      </c>
      <c r="AN503">
        <f t="shared" si="439"/>
        <v>31.181991612058592</v>
      </c>
      <c r="AO503">
        <f t="shared" si="440"/>
        <v>-1.5387210346277045</v>
      </c>
      <c r="AP503" s="41" t="str">
        <f t="shared" si="441"/>
        <v>-0,300656909803776-2,14694702650746i</v>
      </c>
      <c r="AQ503">
        <f t="shared" si="442"/>
        <v>6.720771695057822</v>
      </c>
      <c r="AR503" s="43">
        <f t="shared" si="443"/>
        <v>-97.97181754057479</v>
      </c>
      <c r="AS503" t="str">
        <f t="shared" si="420"/>
        <v>-0,0000166666666666667</v>
      </c>
      <c r="AT503" t="str">
        <f t="shared" si="421"/>
        <v>0,985266232984956i</v>
      </c>
      <c r="AU503">
        <f t="shared" si="444"/>
        <v>0.98526623298495597</v>
      </c>
      <c r="AV503">
        <f t="shared" si="445"/>
        <v>1.5707963267948966</v>
      </c>
      <c r="AW503" t="str">
        <f t="shared" si="422"/>
        <v>1+35,1233512831289i</v>
      </c>
      <c r="AX503">
        <f t="shared" si="446"/>
        <v>35.137583943095358</v>
      </c>
      <c r="AY503">
        <f t="shared" si="447"/>
        <v>1.5423329286885048</v>
      </c>
      <c r="AZ503" t="str">
        <f t="shared" si="423"/>
        <v>1+5186,54820614203i</v>
      </c>
      <c r="BA503">
        <f t="shared" si="448"/>
        <v>5186.5483025452586</v>
      </c>
      <c r="BB503">
        <f t="shared" si="449"/>
        <v>1.5706035203371402</v>
      </c>
      <c r="BC503" s="41" t="str">
        <f t="shared" si="450"/>
        <v>-0,0000705795243876996+0,00249590533008532i</v>
      </c>
      <c r="BD503">
        <f t="shared" si="451"/>
        <v>-52.051966371727197</v>
      </c>
      <c r="BE503" s="43">
        <f t="shared" si="452"/>
        <v>91.619785585804607</v>
      </c>
      <c r="BF503" s="41" t="str">
        <f t="shared" si="453"/>
        <v>-0,000133642898658549-0,00020566872687133i</v>
      </c>
      <c r="BG503" s="20">
        <f t="shared" si="454"/>
        <v>-72.206918145370253</v>
      </c>
      <c r="BH503" s="43">
        <f t="shared" si="455"/>
        <v>-123.01568580084442</v>
      </c>
      <c r="BI503" s="41" t="str">
        <f t="shared" si="460"/>
        <v>0,00537979674856862-0,000598880683689743i</v>
      </c>
      <c r="BJ503" s="20">
        <f t="shared" si="456"/>
        <v>-45.331194676669384</v>
      </c>
      <c r="BK503" s="43">
        <f t="shared" si="461"/>
        <v>-6.3520319547701858</v>
      </c>
      <c r="BL503">
        <f t="shared" si="457"/>
        <v>-72.206918145370253</v>
      </c>
      <c r="BM503" s="43">
        <f t="shared" si="458"/>
        <v>-123.01568580084442</v>
      </c>
    </row>
    <row r="504" spans="14:65" x14ac:dyDescent="0.35">
      <c r="N504" s="9">
        <v>86</v>
      </c>
      <c r="O504" s="34">
        <f t="shared" si="459"/>
        <v>724435.96007499192</v>
      </c>
      <c r="P504" s="33" t="str">
        <f t="shared" si="411"/>
        <v>59,1053597814893</v>
      </c>
      <c r="Q504" s="4" t="str">
        <f t="shared" si="412"/>
        <v>1+34974,3849579371i</v>
      </c>
      <c r="R504" s="4">
        <f t="shared" si="424"/>
        <v>34974.384972233274</v>
      </c>
      <c r="S504" s="4">
        <f t="shared" si="425"/>
        <v>1.57076773444078</v>
      </c>
      <c r="T504" s="4" t="str">
        <f t="shared" si="413"/>
        <v>1+5,91729499443645i</v>
      </c>
      <c r="U504" s="4">
        <f t="shared" si="426"/>
        <v>6.0011982179546992</v>
      </c>
      <c r="V504" s="4">
        <f t="shared" si="427"/>
        <v>1.4033819967058789</v>
      </c>
      <c r="W504" t="str">
        <f t="shared" si="414"/>
        <v>1-218,484738256115i</v>
      </c>
      <c r="X504" s="4">
        <f t="shared" si="428"/>
        <v>218.4870267334953</v>
      </c>
      <c r="Y504" s="4">
        <f t="shared" si="429"/>
        <v>-1.566219380024344</v>
      </c>
      <c r="Z504" t="str">
        <f t="shared" si="415"/>
        <v>-9,8431293440036+20,441564526235i</v>
      </c>
      <c r="AA504" s="4">
        <f t="shared" si="430"/>
        <v>22.687987031973858</v>
      </c>
      <c r="AB504" s="4">
        <f t="shared" si="431"/>
        <v>2.019555196697195</v>
      </c>
      <c r="AC504" s="47" t="str">
        <f t="shared" si="432"/>
        <v>-0,0799641261741454+0,0560752326970033i</v>
      </c>
      <c r="AD504" s="20">
        <f t="shared" si="433"/>
        <v>-20.205111196654649</v>
      </c>
      <c r="AE504" s="43">
        <f t="shared" si="434"/>
        <v>144.95975414565305</v>
      </c>
      <c r="AF504" t="str">
        <f t="shared" si="416"/>
        <v>405,634542683733</v>
      </c>
      <c r="AG504" t="str">
        <f t="shared" si="417"/>
        <v>1+35036,6150986368i</v>
      </c>
      <c r="AH504">
        <f t="shared" si="435"/>
        <v>35036.615112907588</v>
      </c>
      <c r="AI504">
        <f t="shared" si="436"/>
        <v>1.5707677852249728</v>
      </c>
      <c r="AJ504" t="str">
        <f t="shared" si="418"/>
        <v>1+5,91729499443645i</v>
      </c>
      <c r="AK504">
        <f t="shared" si="437"/>
        <v>6.0011982179546992</v>
      </c>
      <c r="AL504">
        <f t="shared" si="438"/>
        <v>1.4033819967058789</v>
      </c>
      <c r="AM504" t="str">
        <f t="shared" si="419"/>
        <v>1-31,8919008839609i</v>
      </c>
      <c r="AN504">
        <f t="shared" si="439"/>
        <v>31.907574993916192</v>
      </c>
      <c r="AO504">
        <f t="shared" si="440"/>
        <v>-1.5394506736923819</v>
      </c>
      <c r="AP504" s="41" t="str">
        <f>(IMDIV(IMPRODUCT(AF504,AJ504,AM504),IMPRODUCT(AG504)))</f>
        <v>-0,300656925388403-2,19640981435154i</v>
      </c>
      <c r="AQ504">
        <f t="shared" si="442"/>
        <v>6.9148911826430881</v>
      </c>
      <c r="AR504" s="43">
        <f t="shared" si="443"/>
        <v>-97.79452560375816</v>
      </c>
      <c r="AS504" t="str">
        <f t="shared" si="420"/>
        <v>-0,0000166666666666667</v>
      </c>
      <c r="AT504" t="str">
        <f t="shared" si="421"/>
        <v>1,00821603174436i</v>
      </c>
      <c r="AU504">
        <f t="shared" si="444"/>
        <v>1.00821603174436</v>
      </c>
      <c r="AV504">
        <f t="shared" si="445"/>
        <v>1.5707963267948966</v>
      </c>
      <c r="AW504" t="str">
        <f t="shared" si="422"/>
        <v>1+35,9414792334411i</v>
      </c>
      <c r="AX504">
        <f t="shared" si="446"/>
        <v>35.955388045296878</v>
      </c>
      <c r="AY504">
        <f t="shared" si="447"/>
        <v>1.5429804966950531</v>
      </c>
      <c r="AZ504" t="str">
        <f t="shared" si="423"/>
        <v>1+5307,35843347146i</v>
      </c>
      <c r="BA504">
        <f t="shared" si="448"/>
        <v>5307.3585276802842</v>
      </c>
      <c r="BB504">
        <f t="shared" si="449"/>
        <v>1.5706079091478313</v>
      </c>
      <c r="BC504" s="41" t="str">
        <f t="shared" si="450"/>
        <v>-0,0000674053796830383+0,00243917990278921i</v>
      </c>
      <c r="BD504">
        <f t="shared" si="451"/>
        <v>-52.251808060191422</v>
      </c>
      <c r="BE504" s="43">
        <f t="shared" si="452"/>
        <v>91.582934132411381</v>
      </c>
      <c r="BF504" s="41" t="str">
        <f t="shared" si="453"/>
        <v>-0,000131387568352968-0,000198826661858832i</v>
      </c>
      <c r="BG504" s="20">
        <f t="shared" si="454"/>
        <v>-72.456919256846078</v>
      </c>
      <c r="BH504" s="43">
        <f t="shared" si="455"/>
        <v>-123.45731172193557</v>
      </c>
      <c r="BI504" s="41" t="str">
        <f t="shared" si="460"/>
        <v>0,0053777045716654-0,00058530649256587i</v>
      </c>
      <c r="BJ504" s="20">
        <f t="shared" si="456"/>
        <v>-45.336916877548326</v>
      </c>
      <c r="BK504" s="43">
        <f t="shared" si="461"/>
        <v>-6.2115914713467797</v>
      </c>
      <c r="BL504">
        <f t="shared" si="457"/>
        <v>-72.456919256846078</v>
      </c>
      <c r="BM504" s="43">
        <f t="shared" si="458"/>
        <v>-123.45731172193557</v>
      </c>
    </row>
    <row r="505" spans="14:65" x14ac:dyDescent="0.35">
      <c r="N505" s="9">
        <v>87</v>
      </c>
      <c r="O505" s="34">
        <f t="shared" si="459"/>
        <v>741310.24130091805</v>
      </c>
      <c r="P505" s="33" t="str">
        <f t="shared" si="411"/>
        <v>59,1053597814893</v>
      </c>
      <c r="Q505" s="4" t="str">
        <f t="shared" si="412"/>
        <v>1+35789,0430367863i</v>
      </c>
      <c r="R505" s="4">
        <f t="shared" si="424"/>
        <v>35789.043050757056</v>
      </c>
      <c r="S505" s="4">
        <f t="shared" si="425"/>
        <v>1.5707683852822187</v>
      </c>
      <c r="T505" s="4" t="str">
        <f t="shared" si="413"/>
        <v>1+6,05512650106479i</v>
      </c>
      <c r="U505" s="4">
        <f t="shared" si="426"/>
        <v>6.1371456674823301</v>
      </c>
      <c r="V505" s="4">
        <f t="shared" si="427"/>
        <v>1.4071243528404045</v>
      </c>
      <c r="W505" t="str">
        <f t="shared" si="414"/>
        <v>1-223,573901577777i</v>
      </c>
      <c r="X505" s="4">
        <f t="shared" si="428"/>
        <v>223.57613796357944</v>
      </c>
      <c r="Y505" s="4">
        <f t="shared" si="429"/>
        <v>-1.5663235626466916</v>
      </c>
      <c r="Z505" t="str">
        <f t="shared" si="415"/>
        <v>-10,3541502863145+20,9177097309511i</v>
      </c>
      <c r="AA505" s="4">
        <f t="shared" si="430"/>
        <v>23.340073019164123</v>
      </c>
      <c r="AB505" s="4">
        <f t="shared" si="431"/>
        <v>2.0304314858843666</v>
      </c>
      <c r="AC505" s="47" t="str">
        <f t="shared" si="432"/>
        <v>-0,0790852696347815+0,0563173041054404i</v>
      </c>
      <c r="AD505" s="20">
        <f t="shared" si="433"/>
        <v>-20.256670995353169</v>
      </c>
      <c r="AE505" s="43">
        <f t="shared" si="434"/>
        <v>144.54500337538093</v>
      </c>
      <c r="AF505" t="str">
        <f t="shared" si="416"/>
        <v>405,634542683733</v>
      </c>
      <c r="AG505" t="str">
        <f t="shared" si="417"/>
        <v>1+35852,722703673i</v>
      </c>
      <c r="AH505">
        <f t="shared" si="435"/>
        <v>35852.722717618941</v>
      </c>
      <c r="AI505">
        <f t="shared" si="436"/>
        <v>1.5707684349104223</v>
      </c>
      <c r="AJ505" t="str">
        <f t="shared" si="418"/>
        <v>1+6,05512650106479i</v>
      </c>
      <c r="AK505">
        <f t="shared" si="437"/>
        <v>6.1371456674823301</v>
      </c>
      <c r="AL505">
        <f t="shared" si="438"/>
        <v>1.4071243528404045</v>
      </c>
      <c r="AM505" t="str">
        <f t="shared" si="419"/>
        <v>1-32,6347586850695i</v>
      </c>
      <c r="AN505">
        <f t="shared" si="439"/>
        <v>32.650076178053851</v>
      </c>
      <c r="AO505">
        <f t="shared" si="440"/>
        <v>-1.5401637364062102</v>
      </c>
      <c r="AP505" s="41" t="str">
        <f t="shared" si="441"/>
        <v>-0,300656940271611-2,24703716775208i</v>
      </c>
      <c r="AQ505">
        <f t="shared" si="442"/>
        <v>7.1092683859681047</v>
      </c>
      <c r="AR505" s="43">
        <f t="shared" si="443"/>
        <v>-97.620997100079734</v>
      </c>
      <c r="AS505" t="str">
        <f t="shared" si="420"/>
        <v>-0,0000166666666666667</v>
      </c>
      <c r="AT505" t="str">
        <f t="shared" si="421"/>
        <v>1,03170039998912i</v>
      </c>
      <c r="AU505">
        <f t="shared" si="444"/>
        <v>1.0317003999891201</v>
      </c>
      <c r="AV505">
        <f t="shared" si="445"/>
        <v>1.5707963267948966</v>
      </c>
      <c r="AW505" t="str">
        <f t="shared" si="422"/>
        <v>1+36,7786638317844i</v>
      </c>
      <c r="AX505">
        <f t="shared" si="446"/>
        <v>36.792256158754469</v>
      </c>
      <c r="AY505">
        <f t="shared" si="447"/>
        <v>1.5436133468030697</v>
      </c>
      <c r="AZ505" t="str">
        <f t="shared" si="423"/>
        <v>1+5430,98269249349i</v>
      </c>
      <c r="BA505">
        <f t="shared" si="448"/>
        <v>5430.9827845578584</v>
      </c>
      <c r="BB505">
        <f t="shared" si="449"/>
        <v>1.5706121980570016</v>
      </c>
      <c r="BC505" s="41" t="str">
        <f t="shared" si="450"/>
        <v>-0,0000643738789787068+0,00238373981513877i</v>
      </c>
      <c r="BD505">
        <f t="shared" si="451"/>
        <v>-52.451656868460724</v>
      </c>
      <c r="BE505" s="43">
        <f t="shared" si="452"/>
        <v>91.546920228551784</v>
      </c>
      <c r="BF505" s="41" t="str">
        <f t="shared" si="453"/>
        <v>-0,000129154774500949-0,000192144069338304i</v>
      </c>
      <c r="BG505" s="20">
        <f t="shared" si="454"/>
        <v>-72.708327863813892</v>
      </c>
      <c r="BH505" s="43">
        <f t="shared" si="455"/>
        <v>-123.90807639606746</v>
      </c>
      <c r="BI505" s="41" t="str">
        <f t="shared" si="460"/>
        <v>0,00537570641635444-0,00057203742052571i</v>
      </c>
      <c r="BJ505" s="20">
        <f t="shared" si="456"/>
        <v>-45.342388482492623</v>
      </c>
      <c r="BK505" s="43">
        <f t="shared" si="461"/>
        <v>-6.0740768715279581</v>
      </c>
      <c r="BL505">
        <f t="shared" si="457"/>
        <v>-72.708327863813892</v>
      </c>
      <c r="BM505" s="43">
        <f t="shared" si="458"/>
        <v>-123.90807639606746</v>
      </c>
    </row>
    <row r="506" spans="14:65" x14ac:dyDescent="0.35">
      <c r="N506" s="9">
        <v>88</v>
      </c>
      <c r="O506" s="34">
        <f t="shared" si="459"/>
        <v>758577.57502918423</v>
      </c>
      <c r="P506" s="33" t="str">
        <f t="shared" si="411"/>
        <v>59,1053597814893</v>
      </c>
      <c r="Q506" s="4" t="str">
        <f t="shared" si="412"/>
        <v>1+36622,6769399778i</v>
      </c>
      <c r="R506" s="4">
        <f t="shared" si="424"/>
        <v>36622.676953630536</v>
      </c>
      <c r="S506" s="4">
        <f t="shared" si="425"/>
        <v>1.5707690213086978</v>
      </c>
      <c r="T506" s="4" t="str">
        <f t="shared" si="413"/>
        <v>1+6,19616851591308i</v>
      </c>
      <c r="U506" s="4">
        <f t="shared" si="426"/>
        <v>6.2763448182515047</v>
      </c>
      <c r="V506" s="4">
        <f t="shared" si="427"/>
        <v>1.4107859979263306</v>
      </c>
      <c r="W506" t="str">
        <f t="shared" si="414"/>
        <v>1-228,781606741406i</v>
      </c>
      <c r="X506" s="4">
        <f t="shared" si="428"/>
        <v>228.78379222134453</v>
      </c>
      <c r="Y506" s="4">
        <f t="shared" si="429"/>
        <v>-1.5664253738768485</v>
      </c>
      <c r="Z506" t="str">
        <f t="shared" si="415"/>
        <v>-10,8892549036603+21,4049457822452i</v>
      </c>
      <c r="AA506" s="4">
        <f t="shared" si="430"/>
        <v>24.015569456037188</v>
      </c>
      <c r="AB506" s="4">
        <f t="shared" si="431"/>
        <v>2.0414004336859124</v>
      </c>
      <c r="AC506" s="47" t="str">
        <f t="shared" si="432"/>
        <v>-0,0781871678925819+0,0565555394840714i</v>
      </c>
      <c r="AD506" s="20">
        <f t="shared" si="433"/>
        <v>-20.309681201519744</v>
      </c>
      <c r="AE506" s="43">
        <f t="shared" si="434"/>
        <v>144.12045597472351</v>
      </c>
      <c r="AF506" t="str">
        <f t="shared" si="416"/>
        <v>405,634542683733</v>
      </c>
      <c r="AG506" t="str">
        <f t="shared" si="417"/>
        <v>1+36687,8398968537i</v>
      </c>
      <c r="AH506">
        <f t="shared" si="435"/>
        <v>36687.839910482195</v>
      </c>
      <c r="AI506">
        <f t="shared" si="436"/>
        <v>1.5707690698072254</v>
      </c>
      <c r="AJ506" t="str">
        <f t="shared" si="418"/>
        <v>1+6,19616851591308i</v>
      </c>
      <c r="AK506">
        <f t="shared" si="437"/>
        <v>6.2763448182515047</v>
      </c>
      <c r="AL506">
        <f t="shared" si="438"/>
        <v>1.4107859979263306</v>
      </c>
      <c r="AM506" t="str">
        <f t="shared" si="419"/>
        <v>1-33,3949198672051i</v>
      </c>
      <c r="AN506">
        <f t="shared" si="439"/>
        <v>33.409888849516541</v>
      </c>
      <c r="AO506">
        <f t="shared" si="440"/>
        <v>-1.5408605979423176</v>
      </c>
      <c r="AP506" s="41" t="str">
        <f t="shared" si="441"/>
        <v>-0,300656954484962-2,29885593000197i</v>
      </c>
      <c r="AQ506">
        <f t="shared" si="442"/>
        <v>7.3038923016535175</v>
      </c>
      <c r="AR506" s="43">
        <f t="shared" si="443"/>
        <v>-97.451163892412566</v>
      </c>
      <c r="AS506" t="str">
        <f t="shared" si="420"/>
        <v>-0,0000166666666666667</v>
      </c>
      <c r="AT506" t="str">
        <f t="shared" si="421"/>
        <v>1,05573178944211i</v>
      </c>
      <c r="AU506">
        <f t="shared" si="444"/>
        <v>1.0557317894421101</v>
      </c>
      <c r="AV506">
        <f t="shared" si="445"/>
        <v>1.5707963267948966</v>
      </c>
      <c r="AW506" t="str">
        <f t="shared" si="422"/>
        <v>1+37,6353489645146i</v>
      </c>
      <c r="AX506">
        <f t="shared" si="446"/>
        <v>37.648632002780531</v>
      </c>
      <c r="AY506">
        <f t="shared" si="447"/>
        <v>1.5442318125292505</v>
      </c>
      <c r="AZ506" t="str">
        <f t="shared" si="423"/>
        <v>1+5557,48653042665i</v>
      </c>
      <c r="BA506">
        <f t="shared" si="448"/>
        <v>5557.4866203953779</v>
      </c>
      <c r="BB506">
        <f t="shared" si="449"/>
        <v>1.5706163893386864</v>
      </c>
      <c r="BC506" s="41" t="str">
        <f t="shared" si="450"/>
        <v>-0,0000614786212261028+0,00232955620164031i</v>
      </c>
      <c r="BD506">
        <f t="shared" si="451"/>
        <v>-52.651512476564626</v>
      </c>
      <c r="BE506" s="43">
        <f t="shared" si="452"/>
        <v>91.511724895419434</v>
      </c>
      <c r="BF506" s="41" t="str">
        <f t="shared" si="453"/>
        <v>-0,000126942468462622-0,000185618358443035i</v>
      </c>
      <c r="BG506" s="20">
        <f t="shared" si="454"/>
        <v>-72.961193678084385</v>
      </c>
      <c r="BH506" s="43">
        <f t="shared" si="455"/>
        <v>-124.36781912985707</v>
      </c>
      <c r="BI506" s="41" t="str">
        <f t="shared" si="460"/>
        <v>0,00537379806343747-0,00055906677991276i</v>
      </c>
      <c r="BJ506" s="20">
        <f t="shared" si="456"/>
        <v>-45.347620174911114</v>
      </c>
      <c r="BK506" s="43">
        <f t="shared" si="461"/>
        <v>-5.9394389969931414</v>
      </c>
      <c r="BL506">
        <f t="shared" si="457"/>
        <v>-72.961193678084385</v>
      </c>
      <c r="BM506" s="43">
        <f t="shared" si="458"/>
        <v>-124.36781912985707</v>
      </c>
    </row>
    <row r="507" spans="14:65" x14ac:dyDescent="0.35">
      <c r="N507" s="9">
        <v>89</v>
      </c>
      <c r="O507" s="34">
        <f t="shared" si="459"/>
        <v>776247.11662869214</v>
      </c>
      <c r="P507" s="33" t="str">
        <f t="shared" si="411"/>
        <v>59,1053597814893</v>
      </c>
      <c r="Q507" s="4" t="str">
        <f t="shared" si="412"/>
        <v>1+37475,7286712413i</v>
      </c>
      <c r="R507" s="4">
        <f t="shared" si="424"/>
        <v>37475.728684583257</v>
      </c>
      <c r="S507" s="4">
        <f t="shared" si="425"/>
        <v>1.5707696428574465</v>
      </c>
      <c r="T507" s="4" t="str">
        <f t="shared" si="413"/>
        <v>1+6,3404958213245i</v>
      </c>
      <c r="U507" s="4">
        <f t="shared" si="426"/>
        <v>6.418869624804155</v>
      </c>
      <c r="V507" s="4">
        <f t="shared" si="427"/>
        <v>1.4143684804647727</v>
      </c>
      <c r="W507" t="str">
        <f t="shared" si="414"/>
        <v>1-234,110614941213i</v>
      </c>
      <c r="X507" s="4">
        <f t="shared" si="428"/>
        <v>234.11275067401368</v>
      </c>
      <c r="Y507" s="4">
        <f t="shared" si="429"/>
        <v>-1.5665248676880292</v>
      </c>
      <c r="Z507" t="str">
        <f t="shared" si="415"/>
        <v>-11,4495782246768+21,903531019121i</v>
      </c>
      <c r="AA507" s="4">
        <f t="shared" si="430"/>
        <v>24.715531809544157</v>
      </c>
      <c r="AB507" s="4">
        <f t="shared" si="431"/>
        <v>2.0524601905177993</v>
      </c>
      <c r="AC507" s="47" t="str">
        <f t="shared" si="432"/>
        <v>-0,0772699369517538+0,0567888548845898i</v>
      </c>
      <c r="AD507" s="20">
        <f t="shared" si="433"/>
        <v>-20.364191162724261</v>
      </c>
      <c r="AE507" s="43">
        <f t="shared" si="434"/>
        <v>143.68630352785902</v>
      </c>
      <c r="AF507" t="str">
        <f t="shared" si="416"/>
        <v>405,634542683733</v>
      </c>
      <c r="AG507" t="str">
        <f t="shared" si="417"/>
        <v>1+37542,4094683687i</v>
      </c>
      <c r="AH507">
        <f t="shared" si="435"/>
        <v>37542.409481686969</v>
      </c>
      <c r="AI507">
        <f t="shared" si="436"/>
        <v>1.570769690252013</v>
      </c>
      <c r="AJ507" t="str">
        <f t="shared" si="418"/>
        <v>1+6,3404958213245i</v>
      </c>
      <c r="AK507">
        <f t="shared" si="437"/>
        <v>6.418869624804155</v>
      </c>
      <c r="AL507">
        <f t="shared" si="438"/>
        <v>1.4143684804647727</v>
      </c>
      <c r="AM507" t="str">
        <f t="shared" si="419"/>
        <v>1-34,1727874778884i</v>
      </c>
      <c r="AN507">
        <f t="shared" si="439"/>
        <v>34.187415872056285</v>
      </c>
      <c r="AO507">
        <f t="shared" si="440"/>
        <v>-1.5415416250771092</v>
      </c>
      <c r="AP507" s="41" t="str">
        <f t="shared" si="441"/>
        <v>-0,300656968058608-2,35189357609488i</v>
      </c>
      <c r="AQ507">
        <f t="shared" si="442"/>
        <v>7.4987523711315243</v>
      </c>
      <c r="AR507" s="43">
        <f t="shared" si="443"/>
        <v>-97.284958292205715</v>
      </c>
      <c r="AS507" t="str">
        <f t="shared" si="420"/>
        <v>-0,0000166666666666667</v>
      </c>
      <c r="AT507" t="str">
        <f t="shared" si="421"/>
        <v>1,08032294186413i</v>
      </c>
      <c r="AU507">
        <f t="shared" si="444"/>
        <v>1.08032294186413</v>
      </c>
      <c r="AV507">
        <f t="shared" si="445"/>
        <v>1.5707963267948966</v>
      </c>
      <c r="AW507" t="str">
        <f t="shared" si="422"/>
        <v>1+38,5119888574286i</v>
      </c>
      <c r="AX507">
        <f t="shared" si="446"/>
        <v>38.524969639893357</v>
      </c>
      <c r="AY507">
        <f t="shared" si="447"/>
        <v>1.5448362198987213</v>
      </c>
      <c r="AZ507" t="str">
        <f t="shared" si="423"/>
        <v>1+5686,93702128028i</v>
      </c>
      <c r="BA507">
        <f t="shared" si="448"/>
        <v>5686.9371092010697</v>
      </c>
      <c r="BB507">
        <f t="shared" si="449"/>
        <v>1.5706204852151584</v>
      </c>
      <c r="BC507" s="41" t="str">
        <f t="shared" si="450"/>
        <v>-0,0000587134918031+0,00227660082773662i</v>
      </c>
      <c r="BD507">
        <f t="shared" si="451"/>
        <v>-52.851374578892482</v>
      </c>
      <c r="BE507" s="43">
        <f t="shared" si="452"/>
        <v>91.477329580477388</v>
      </c>
      <c r="BF507" s="41" t="str">
        <f t="shared" si="453"/>
        <v>-0,000124748766226629-0,000179247074389293i</v>
      </c>
      <c r="BG507" s="20">
        <f t="shared" si="454"/>
        <v>-73.215565741616743</v>
      </c>
      <c r="BH507" s="43">
        <f t="shared" si="455"/>
        <v>-124.83636689166354</v>
      </c>
      <c r="BI507" s="41" t="str">
        <f t="shared" si="460"/>
        <v>0,0053719754825157-0,000546388018145199i</v>
      </c>
      <c r="BJ507" s="20">
        <f t="shared" si="456"/>
        <v>-45.352622207760945</v>
      </c>
      <c r="BK507" s="43">
        <f t="shared" si="461"/>
        <v>-5.807628711728321</v>
      </c>
      <c r="BL507">
        <f t="shared" si="457"/>
        <v>-73.215565741616743</v>
      </c>
      <c r="BM507" s="43">
        <f t="shared" si="458"/>
        <v>-124.83636689166354</v>
      </c>
    </row>
    <row r="508" spans="14:65" x14ac:dyDescent="0.35">
      <c r="N508" s="9">
        <v>90</v>
      </c>
      <c r="O508" s="34">
        <f t="shared" si="459"/>
        <v>794328.23472428333</v>
      </c>
      <c r="P508" s="33" t="str">
        <f t="shared" si="411"/>
        <v>59,1053597814893</v>
      </c>
      <c r="Q508" s="4" t="str">
        <f t="shared" si="412"/>
        <v>1+38348,6505298962i</v>
      </c>
      <c r="R508" s="4">
        <f t="shared" si="424"/>
        <v>38348.650542934469</v>
      </c>
      <c r="S508" s="4">
        <f t="shared" si="425"/>
        <v>1.5707702502580183</v>
      </c>
      <c r="T508" s="4" t="str">
        <f t="shared" si="413"/>
        <v>1+6,48818494154678i</v>
      </c>
      <c r="U508" s="4">
        <f t="shared" si="426"/>
        <v>6.5647957954314453</v>
      </c>
      <c r="V508" s="4">
        <f t="shared" si="427"/>
        <v>1.417873331921861</v>
      </c>
      <c r="W508" t="str">
        <f t="shared" si="414"/>
        <v>1-239,563751687881i</v>
      </c>
      <c r="X508" s="4">
        <f t="shared" si="428"/>
        <v>239.56583880589631</v>
      </c>
      <c r="Y508" s="4">
        <f t="shared" si="429"/>
        <v>-1.5666220968252857</v>
      </c>
      <c r="Z508" t="str">
        <f t="shared" si="415"/>
        <v>-12,036308770252+22,4137297980707i</v>
      </c>
      <c r="AA508" s="4">
        <f t="shared" si="430"/>
        <v>25.441069401142865</v>
      </c>
      <c r="AB508" s="4">
        <f t="shared" si="431"/>
        <v>2.0636086820506829</v>
      </c>
      <c r="AC508" s="47" t="str">
        <f t="shared" si="432"/>
        <v>-0,076333749003253+0,0570161612089094i</v>
      </c>
      <c r="AD508" s="20">
        <f t="shared" si="433"/>
        <v>-20.420249453369696</v>
      </c>
      <c r="AE508" s="43">
        <f t="shared" si="434"/>
        <v>143.24274959069919</v>
      </c>
      <c r="AF508" t="str">
        <f t="shared" si="416"/>
        <v>405,634542683733</v>
      </c>
      <c r="AG508" t="str">
        <f t="shared" si="417"/>
        <v>1+38416,8845223164i</v>
      </c>
      <c r="AH508">
        <f t="shared" si="435"/>
        <v>38416.884535331512</v>
      </c>
      <c r="AI508">
        <f t="shared" si="436"/>
        <v>1.5707702965737527</v>
      </c>
      <c r="AJ508" t="str">
        <f t="shared" si="418"/>
        <v>1+6,48818494154678i</v>
      </c>
      <c r="AK508">
        <f t="shared" si="437"/>
        <v>6.5647957954314453</v>
      </c>
      <c r="AL508">
        <f t="shared" si="438"/>
        <v>1.417873331921861</v>
      </c>
      <c r="AM508" t="str">
        <f t="shared" si="419"/>
        <v>1-34,9687739528227i</v>
      </c>
      <c r="AN508">
        <f t="shared" si="439"/>
        <v>34.983069501740573</v>
      </c>
      <c r="AO508">
        <f t="shared" si="440"/>
        <v>-1.5422071763718683</v>
      </c>
      <c r="AP508" s="41" t="str">
        <f t="shared" si="441"/>
        <v>-0,300656981021338-2,40617822729279i</v>
      </c>
      <c r="AQ508">
        <f t="shared" si="442"/>
        <v>7.6938384648131439</v>
      </c>
      <c r="AR508" s="43">
        <f t="shared" si="443"/>
        <v>-97.122313115810172</v>
      </c>
      <c r="AS508" t="str">
        <f t="shared" si="420"/>
        <v>-0,0000166666666666667</v>
      </c>
      <c r="AT508" t="str">
        <f t="shared" si="421"/>
        <v>1,1054868958097i</v>
      </c>
      <c r="AU508">
        <f t="shared" si="444"/>
        <v>1.1054868958096999</v>
      </c>
      <c r="AV508">
        <f t="shared" si="445"/>
        <v>1.5707963267948966</v>
      </c>
      <c r="AW508" t="str">
        <f t="shared" si="422"/>
        <v>1+39,4090483166013i</v>
      </c>
      <c r="AX508">
        <f t="shared" si="446"/>
        <v>39.421733716570806</v>
      </c>
      <c r="AY508">
        <f t="shared" si="447"/>
        <v>1.5454268876088983</v>
      </c>
      <c r="AZ508" t="str">
        <f t="shared" si="423"/>
        <v>1+5819,40280141811i</v>
      </c>
      <c r="BA508">
        <f t="shared" si="448"/>
        <v>5819.4028873375801</v>
      </c>
      <c r="BB508">
        <f t="shared" si="449"/>
        <v>1.570624487858105</v>
      </c>
      <c r="BC508" s="41" t="str">
        <f t="shared" si="450"/>
        <v>-0,0000560726497691708+0,0022248460771813i</v>
      </c>
      <c r="BD508">
        <f t="shared" si="451"/>
        <v>-53.051242883550159</v>
      </c>
      <c r="BE508" s="43">
        <f t="shared" si="452"/>
        <v>91.443716148137341</v>
      </c>
      <c r="BF508" s="41" t="str">
        <f t="shared" si="453"/>
        <v>-0,000122571947028151-0,000173027889265079i</v>
      </c>
      <c r="BG508" s="20">
        <f t="shared" si="454"/>
        <v>-73.47149233691988</v>
      </c>
      <c r="BH508" s="43">
        <f t="shared" si="455"/>
        <v>-125.31353426116338</v>
      </c>
      <c r="BI508" s="41" t="str">
        <f t="shared" si="460"/>
        <v>0,00537023482358888-0,000533994715781303i</v>
      </c>
      <c r="BJ508" s="20">
        <f t="shared" si="456"/>
        <v>-45.357404418737019</v>
      </c>
      <c r="BK508" s="43">
        <f t="shared" si="461"/>
        <v>-5.6785969676728323</v>
      </c>
      <c r="BL508">
        <f t="shared" si="457"/>
        <v>-73.47149233691988</v>
      </c>
      <c r="BM508" s="43">
        <f t="shared" si="458"/>
        <v>-125.31353426116338</v>
      </c>
    </row>
    <row r="509" spans="14:65" x14ac:dyDescent="0.35">
      <c r="N509" s="9">
        <v>91</v>
      </c>
      <c r="O509" s="34">
        <f t="shared" si="459"/>
        <v>812830.51616410096</v>
      </c>
      <c r="P509" s="33" t="str">
        <f t="shared" si="411"/>
        <v>59,1053597814893</v>
      </c>
      <c r="Q509" s="4" t="str">
        <f t="shared" si="412"/>
        <v>1+39241,9053506664i</v>
      </c>
      <c r="R509" s="4">
        <f t="shared" si="424"/>
        <v>39241.905363407881</v>
      </c>
      <c r="S509" s="4">
        <f t="shared" si="425"/>
        <v>1.5707708438324652</v>
      </c>
      <c r="T509" s="4" t="str">
        <f t="shared" si="413"/>
        <v>1+6,63931418330633i</v>
      </c>
      <c r="U509" s="4">
        <f t="shared" si="426"/>
        <v>6.7142008329102429</v>
      </c>
      <c r="V509" s="4">
        <f t="shared" si="427"/>
        <v>1.4213020660112219</v>
      </c>
      <c r="W509" t="str">
        <f t="shared" si="414"/>
        <v>1-245,143908306695i</v>
      </c>
      <c r="X509" s="4">
        <f t="shared" si="428"/>
        <v>245.14594791650399</v>
      </c>
      <c r="Y509" s="4">
        <f t="shared" si="429"/>
        <v>-1.5667171128334361</v>
      </c>
      <c r="Z509" t="str">
        <f t="shared" si="415"/>
        <v>-12,6506910745372+22,93581263324i</v>
      </c>
      <c r="AA509" s="4">
        <f t="shared" si="430"/>
        <v>26.19334812143088</v>
      </c>
      <c r="AB509" s="4">
        <f t="shared" si="431"/>
        <v>2.0748436080660451</v>
      </c>
      <c r="AC509" s="47" t="str">
        <f t="shared" si="432"/>
        <v>-0,0753788339155982+0,0572363675576983i</v>
      </c>
      <c r="AD509" s="20">
        <f t="shared" si="433"/>
        <v>-20.477903782131239</v>
      </c>
      <c r="AE509" s="43">
        <f t="shared" si="434"/>
        <v>142.79000971370633</v>
      </c>
      <c r="AF509" t="str">
        <f t="shared" si="416"/>
        <v>405,634542683733</v>
      </c>
      <c r="AG509" t="str">
        <f t="shared" si="417"/>
        <v>1+39311,7287169453i</v>
      </c>
      <c r="AH509">
        <f t="shared" si="435"/>
        <v>39311.728729664144</v>
      </c>
      <c r="AI509">
        <f t="shared" si="436"/>
        <v>1.5707708890939249</v>
      </c>
      <c r="AJ509" t="str">
        <f t="shared" si="418"/>
        <v>1+6,63931418330633i</v>
      </c>
      <c r="AK509">
        <f t="shared" si="437"/>
        <v>6.7142008329102429</v>
      </c>
      <c r="AL509">
        <f t="shared" si="438"/>
        <v>1.4213020660112219</v>
      </c>
      <c r="AM509" t="str">
        <f t="shared" si="419"/>
        <v>1-35,7833013345733i</v>
      </c>
      <c r="AN509">
        <f t="shared" si="439"/>
        <v>35.797271605541049</v>
      </c>
      <c r="AO509">
        <f t="shared" si="440"/>
        <v>-1.5428576023508584</v>
      </c>
      <c r="AP509" s="41" t="str">
        <f t="shared" si="441"/>
        <v>-0,30065699340065-2,46173866603631i</v>
      </c>
      <c r="AQ509">
        <f t="shared" si="442"/>
        <v>7.8891408666308909</v>
      </c>
      <c r="AR509" s="43">
        <f t="shared" si="443"/>
        <v>-96.963161735804107</v>
      </c>
      <c r="AS509" t="str">
        <f t="shared" si="420"/>
        <v>-0,0000166666666666667</v>
      </c>
      <c r="AT509" t="str">
        <f t="shared" si="421"/>
        <v>1,13123699354027i</v>
      </c>
      <c r="AU509">
        <f t="shared" si="444"/>
        <v>1.13123699354027</v>
      </c>
      <c r="AV509">
        <f t="shared" si="445"/>
        <v>1.5707963267948966</v>
      </c>
      <c r="AW509" t="str">
        <f t="shared" si="422"/>
        <v>1+40,3270029748317i</v>
      </c>
      <c r="AX509">
        <f t="shared" si="446"/>
        <v>40.339399709614973</v>
      </c>
      <c r="AY509">
        <f t="shared" si="447"/>
        <v>1.5460041271900591</v>
      </c>
      <c r="AZ509" t="str">
        <f t="shared" si="423"/>
        <v>1+5954,95410595014i</v>
      </c>
      <c r="BA509">
        <f t="shared" si="448"/>
        <v>5954.954189913843</v>
      </c>
      <c r="BB509">
        <f t="shared" si="449"/>
        <v>1.57062839938978</v>
      </c>
      <c r="BC509" s="41" t="str">
        <f t="shared" si="450"/>
        <v>-0,0000535505156812854+0,00217426493958525i</v>
      </c>
      <c r="BD509">
        <f t="shared" si="451"/>
        <v>-53.251117111746112</v>
      </c>
      <c r="BE509" s="43">
        <f t="shared" si="452"/>
        <v>91.410866870625341</v>
      </c>
      <c r="BF509" s="41" t="str">
        <f t="shared" si="453"/>
        <v>-0,000120410451822284-0,000166958592767943i</v>
      </c>
      <c r="BG509" s="20">
        <f t="shared" si="454"/>
        <v>-73.729020893877347</v>
      </c>
      <c r="BH509" s="43">
        <f t="shared" si="455"/>
        <v>-125.79912341566838</v>
      </c>
      <c r="BI509" s="41" t="str">
        <f t="shared" si="460"/>
        <v>0,0053685724090239-0,000521880584553343i</v>
      </c>
      <c r="BJ509" s="20">
        <f t="shared" si="456"/>
        <v>-45.361976245115223</v>
      </c>
      <c r="BK509" s="43">
        <f t="shared" si="461"/>
        <v>-5.5522948651787685</v>
      </c>
      <c r="BL509">
        <f t="shared" si="457"/>
        <v>-73.729020893877347</v>
      </c>
      <c r="BM509" s="43">
        <f t="shared" si="458"/>
        <v>-125.79912341566838</v>
      </c>
    </row>
    <row r="510" spans="14:65" x14ac:dyDescent="0.35">
      <c r="N510" s="9">
        <v>92</v>
      </c>
      <c r="O510" s="34">
        <f t="shared" si="459"/>
        <v>831763.77110267128</v>
      </c>
      <c r="P510" s="33" t="str">
        <f t="shared" si="411"/>
        <v>59,1053597814893</v>
      </c>
      <c r="Q510" s="4" t="str">
        <f t="shared" si="412"/>
        <v>1+40155,9667490815i</v>
      </c>
      <c r="R510" s="4">
        <f t="shared" si="424"/>
        <v>40155.966761532953</v>
      </c>
      <c r="S510" s="4">
        <f t="shared" si="425"/>
        <v>1.5707714238955084</v>
      </c>
      <c r="T510" s="4" t="str">
        <f t="shared" si="413"/>
        <v>1+6,79396367732757i</v>
      </c>
      <c r="U510" s="4">
        <f t="shared" si="426"/>
        <v>6.8671640761559178</v>
      </c>
      <c r="V510" s="4">
        <f t="shared" si="427"/>
        <v>1.4246561780552169</v>
      </c>
      <c r="W510" t="str">
        <f t="shared" si="414"/>
        <v>1-250,854043470557i</v>
      </c>
      <c r="X510" s="4">
        <f t="shared" si="428"/>
        <v>250.85603665355174</v>
      </c>
      <c r="Y510" s="4">
        <f t="shared" si="429"/>
        <v>-1.5668099660843591</v>
      </c>
      <c r="Z510" t="str">
        <f t="shared" si="415"/>
        <v>-13,2940283247714+23,4700563398589i</v>
      </c>
      <c r="AA510" s="4">
        <f t="shared" si="430"/>
        <v>26.973593266303531</v>
      </c>
      <c r="AB510" s="4">
        <f t="shared" si="431"/>
        <v>2.0861624420904983</v>
      </c>
      <c r="AC510" s="47" t="str">
        <f t="shared" si="432"/>
        <v>-0,0744054804966034+0,0574483847903575i</v>
      </c>
      <c r="AD510" s="20">
        <f t="shared" si="433"/>
        <v>-20.537200896207519</v>
      </c>
      <c r="AE510" s="43">
        <f t="shared" si="434"/>
        <v>142.32831142467487</v>
      </c>
      <c r="AF510" t="str">
        <f t="shared" si="416"/>
        <v>405,634542683733</v>
      </c>
      <c r="AG510" t="str">
        <f t="shared" si="417"/>
        <v>1+40227,4165104921i</v>
      </c>
      <c r="AH510">
        <f t="shared" si="435"/>
        <v>40227.416522921441</v>
      </c>
      <c r="AI510">
        <f t="shared" si="436"/>
        <v>1.5707714681266913</v>
      </c>
      <c r="AJ510" t="str">
        <f t="shared" si="418"/>
        <v>1+6,79396367732757i</v>
      </c>
      <c r="AK510">
        <f t="shared" si="437"/>
        <v>6.8671640761559178</v>
      </c>
      <c r="AL510">
        <f t="shared" si="438"/>
        <v>1.4246561780552169</v>
      </c>
      <c r="AM510" t="str">
        <f t="shared" si="419"/>
        <v>1-36,6168014963393i</v>
      </c>
      <c r="AN510">
        <f t="shared" si="439"/>
        <v>36.630453885016436</v>
      </c>
      <c r="AO510">
        <f t="shared" si="440"/>
        <v>-1.5434932456759607</v>
      </c>
      <c r="AP510" s="41" t="str">
        <f t="shared" si="441"/>
        <v>-0,300657005222801-2,5186043512055i</v>
      </c>
      <c r="AQ510">
        <f t="shared" si="442"/>
        <v>8.0846502589652189</v>
      </c>
      <c r="AR510" s="43">
        <f t="shared" si="443"/>
        <v>-96.807438127606915</v>
      </c>
      <c r="AS510" t="str">
        <f t="shared" si="420"/>
        <v>-0,0000166666666666667</v>
      </c>
      <c r="AT510" t="str">
        <f t="shared" si="421"/>
        <v>1,1575868880985i</v>
      </c>
      <c r="AU510">
        <f t="shared" si="444"/>
        <v>1.1575868880985001</v>
      </c>
      <c r="AV510">
        <f t="shared" si="445"/>
        <v>1.5707963267948966</v>
      </c>
      <c r="AW510" t="str">
        <f t="shared" si="422"/>
        <v>1+41,2663395438303i</v>
      </c>
      <c r="AX510">
        <f t="shared" si="446"/>
        <v>41.278454178259771</v>
      </c>
      <c r="AY510">
        <f t="shared" si="447"/>
        <v>1.5465682431626731</v>
      </c>
      <c r="AZ510" t="str">
        <f t="shared" si="423"/>
        <v>1+6093,66280597227i</v>
      </c>
      <c r="BA510">
        <f t="shared" si="448"/>
        <v>6093.6628880247245</v>
      </c>
      <c r="BB510">
        <f t="shared" si="449"/>
        <v>1.5706322218841289</v>
      </c>
      <c r="BC510" s="41" t="str">
        <f t="shared" si="450"/>
        <v>-0,0000511417599464628+0,00212483099813905i</v>
      </c>
      <c r="BD510">
        <f t="shared" si="451"/>
        <v>-53.45099699720511</v>
      </c>
      <c r="BE510" s="43">
        <f t="shared" si="452"/>
        <v>91.378764419032024</v>
      </c>
      <c r="BF510" s="41" t="str">
        <f t="shared" si="453"/>
        <v>-0,000118262881573313-0,000161037082894874i</v>
      </c>
      <c r="BG510" s="20">
        <f t="shared" si="454"/>
        <v>-73.988197893412632</v>
      </c>
      <c r="BH510" s="43">
        <f t="shared" si="455"/>
        <v>-126.29292415629308</v>
      </c>
      <c r="BI510" s="41" t="str">
        <f t="shared" si="460"/>
        <v>0,00536698472587666-0,000510039465375593i</v>
      </c>
      <c r="BJ510" s="20">
        <f t="shared" si="456"/>
        <v>-45.366346738239905</v>
      </c>
      <c r="BK510" s="43">
        <f t="shared" si="461"/>
        <v>-5.4286737085748848</v>
      </c>
      <c r="BL510">
        <f t="shared" si="457"/>
        <v>-73.988197893412632</v>
      </c>
      <c r="BM510" s="43">
        <f t="shared" si="458"/>
        <v>-126.29292415629308</v>
      </c>
    </row>
    <row r="511" spans="14:65" x14ac:dyDescent="0.35">
      <c r="N511" s="9">
        <v>93</v>
      </c>
      <c r="O511" s="34">
        <f t="shared" si="459"/>
        <v>851138.03820237669</v>
      </c>
      <c r="P511" s="33" t="str">
        <f t="shared" si="411"/>
        <v>59,1053597814893</v>
      </c>
      <c r="Q511" s="4" t="str">
        <f t="shared" si="412"/>
        <v>1+41091,319372594i</v>
      </c>
      <c r="R511" s="4">
        <f t="shared" si="424"/>
        <v>41091.31938476202</v>
      </c>
      <c r="S511" s="4">
        <f t="shared" si="425"/>
        <v>1.5707719907547044</v>
      </c>
      <c r="T511" s="4" t="str">
        <f t="shared" si="413"/>
        <v>1+6,95221542081928i</v>
      </c>
      <c r="U511" s="4">
        <f t="shared" si="426"/>
        <v>7.0237667428152379</v>
      </c>
      <c r="V511" s="4">
        <f t="shared" si="427"/>
        <v>1.4279371444201205</v>
      </c>
      <c r="W511" t="str">
        <f t="shared" si="414"/>
        <v>1-256,697184768712i</v>
      </c>
      <c r="X511" s="4">
        <f t="shared" si="428"/>
        <v>256.69913258167094</v>
      </c>
      <c r="Y511" s="4">
        <f t="shared" si="429"/>
        <v>-1.5669007058036695</v>
      </c>
      <c r="Z511" t="str">
        <f t="shared" si="415"/>
        <v>-13,9676851255163+24,0167441810121i</v>
      </c>
      <c r="AA511" s="4">
        <f t="shared" si="430"/>
        <v>27.783092499247591</v>
      </c>
      <c r="AB511" s="4">
        <f t="shared" si="431"/>
        <v>2.09756243185402</v>
      </c>
      <c r="AC511" s="47" t="str">
        <f t="shared" si="432"/>
        <v>-0,0734140374993412+0,0576511292801119i</v>
      </c>
      <c r="AD511" s="20">
        <f t="shared" si="433"/>
        <v>-20.598186482852491</v>
      </c>
      <c r="AE511" s="43">
        <f t="shared" si="434"/>
        <v>141.85789416857585</v>
      </c>
      <c r="AF511" t="str">
        <f t="shared" si="416"/>
        <v>405,634542683733</v>
      </c>
      <c r="AG511" t="str">
        <f t="shared" si="417"/>
        <v>1+41164,4334127457i</v>
      </c>
      <c r="AH511">
        <f t="shared" si="435"/>
        <v>41164.4334248921</v>
      </c>
      <c r="AI511">
        <f t="shared" si="436"/>
        <v>1.5707720339790627</v>
      </c>
      <c r="AJ511" t="str">
        <f t="shared" si="418"/>
        <v>1+6,95221542081928i</v>
      </c>
      <c r="AK511">
        <f t="shared" si="437"/>
        <v>7.0237667428152379</v>
      </c>
      <c r="AL511">
        <f t="shared" si="438"/>
        <v>1.4279371444201205</v>
      </c>
      <c r="AM511" t="str">
        <f t="shared" si="419"/>
        <v>1-37,4697163709394i</v>
      </c>
      <c r="AN511">
        <f t="shared" si="439"/>
        <v>37.483058105211263</v>
      </c>
      <c r="AO511">
        <f t="shared" si="440"/>
        <v>-1.5441144413178884</v>
      </c>
      <c r="AP511" s="41" t="str">
        <f t="shared" si="441"/>
        <v>-0,300657016512866-2,57680543373932i</v>
      </c>
      <c r="AQ511">
        <f t="shared" si="442"/>
        <v>8.2803577079617483</v>
      </c>
      <c r="AR511" s="43">
        <f t="shared" si="443"/>
        <v>-96.655076911660686</v>
      </c>
      <c r="AS511" t="str">
        <f t="shared" si="420"/>
        <v>-0,0000166666666666667</v>
      </c>
      <c r="AT511" t="str">
        <f t="shared" si="421"/>
        <v>1,18455055054729i</v>
      </c>
      <c r="AU511">
        <f t="shared" si="444"/>
        <v>1.18455055054729</v>
      </c>
      <c r="AV511">
        <f t="shared" si="445"/>
        <v>1.5707963267948966</v>
      </c>
      <c r="AW511" t="str">
        <f t="shared" si="422"/>
        <v>1+42,2275560722797i</v>
      </c>
      <c r="AX511">
        <f t="shared" si="446"/>
        <v>42.239395022153502</v>
      </c>
      <c r="AY511">
        <f t="shared" si="447"/>
        <v>1.5471195331915388</v>
      </c>
      <c r="AZ511" t="str">
        <f t="shared" si="423"/>
        <v>1+6235,60244667329i</v>
      </c>
      <c r="BA511">
        <f t="shared" si="448"/>
        <v>6235.6025268580042</v>
      </c>
      <c r="BB511">
        <f t="shared" si="449"/>
        <v>1.5706359573678879</v>
      </c>
      <c r="BC511" s="41" t="str">
        <f t="shared" si="450"/>
        <v>-0,0000488412916878574+0,0020765184175146i</v>
      </c>
      <c r="BD511">
        <f t="shared" si="451"/>
        <v>-53.650882285607651</v>
      </c>
      <c r="BE511" s="43">
        <f t="shared" si="452"/>
        <v>91.347391854544227</v>
      </c>
      <c r="BF511" s="41" t="str">
        <f t="shared" si="453"/>
        <v>-0,000116127995321179-0,000155261356592794i</v>
      </c>
      <c r="BG511" s="20">
        <f t="shared" si="454"/>
        <v>-74.249068768460134</v>
      </c>
      <c r="BH511" s="43">
        <f t="shared" si="455"/>
        <v>-126.79471397687988</v>
      </c>
      <c r="BI511" s="41" t="str">
        <f t="shared" si="460"/>
        <v>0,0053654684185529-0,000498465326331839i</v>
      </c>
      <c r="BJ511" s="20">
        <f t="shared" si="456"/>
        <v>-45.370524577645909</v>
      </c>
      <c r="BK511" s="43">
        <f t="shared" si="461"/>
        <v>-5.307685057116462</v>
      </c>
      <c r="BL511">
        <f t="shared" si="457"/>
        <v>-74.249068768460134</v>
      </c>
      <c r="BM511" s="43">
        <f t="shared" si="458"/>
        <v>-126.79471397687988</v>
      </c>
    </row>
    <row r="512" spans="14:65" x14ac:dyDescent="0.35">
      <c r="N512" s="9">
        <v>94</v>
      </c>
      <c r="O512" s="34">
        <f t="shared" si="459"/>
        <v>870963.58995608077</v>
      </c>
      <c r="P512" s="33" t="str">
        <f t="shared" si="411"/>
        <v>59,1053597814893</v>
      </c>
      <c r="Q512" s="4" t="str">
        <f t="shared" si="412"/>
        <v>1+42048,4591575458i</v>
      </c>
      <c r="R512" s="4">
        <f t="shared" si="424"/>
        <v>42048.45916943685</v>
      </c>
      <c r="S512" s="4">
        <f t="shared" si="425"/>
        <v>1.57077254471061</v>
      </c>
      <c r="T512" s="4" t="str">
        <f t="shared" si="413"/>
        <v>1+7,11415332095056i</v>
      </c>
      <c r="U512" s="4">
        <f t="shared" si="426"/>
        <v>7.1840919728238362</v>
      </c>
      <c r="V512" s="4">
        <f t="shared" si="427"/>
        <v>1.4311464220206169</v>
      </c>
      <c r="W512" t="str">
        <f t="shared" si="414"/>
        <v>1-262,676430312021i</v>
      </c>
      <c r="X512" s="4">
        <f t="shared" si="428"/>
        <v>262.67833378766898</v>
      </c>
      <c r="Y512" s="4">
        <f t="shared" si="429"/>
        <v>-1.5669893800967869</v>
      </c>
      <c r="Z512" t="str">
        <f t="shared" si="415"/>
        <v>-14,673090393165+24,5761660178292i</v>
      </c>
      <c r="AA512" s="4">
        <f t="shared" si="430"/>
        <v>28.623198944595508</v>
      </c>
      <c r="AB512" s="4">
        <f t="shared" si="431"/>
        <v>2.1090406006138167</v>
      </c>
      <c r="AC512" s="47" t="str">
        <f t="shared" si="432"/>
        <v>-0,0724049143466635+0,0578435268444623i</v>
      </c>
      <c r="AD512" s="20">
        <f t="shared" si="433"/>
        <v>-20.660905068712019</v>
      </c>
      <c r="AE512" s="43">
        <f t="shared" si="434"/>
        <v>141.37900920181258</v>
      </c>
      <c r="AF512" t="str">
        <f t="shared" si="416"/>
        <v>405,634542683733</v>
      </c>
      <c r="AG512" t="str">
        <f t="shared" si="417"/>
        <v>1+42123,2762424704i</v>
      </c>
      <c r="AH512">
        <f t="shared" si="435"/>
        <v>42123.276254340322</v>
      </c>
      <c r="AI512">
        <f t="shared" si="436"/>
        <v>1.5707725869510616</v>
      </c>
      <c r="AJ512" t="str">
        <f t="shared" si="418"/>
        <v>1+7,11415332095056i</v>
      </c>
      <c r="AK512">
        <f t="shared" si="437"/>
        <v>7.1840919728238362</v>
      </c>
      <c r="AL512">
        <f t="shared" si="438"/>
        <v>1.4311464220206169</v>
      </c>
      <c r="AM512" t="str">
        <f t="shared" si="419"/>
        <v>1-38,3424981851297i</v>
      </c>
      <c r="AN512">
        <f t="shared" si="439"/>
        <v>38.355536328888356</v>
      </c>
      <c r="AO512">
        <f t="shared" si="440"/>
        <v>-1.54472151672402</v>
      </c>
      <c r="AP512" s="41" t="str">
        <f t="shared" si="441"/>
        <v>-0,300657027294794-2,63637277262217i</v>
      </c>
      <c r="AQ512">
        <f t="shared" si="442"/>
        <v>8.4762546492446482</v>
      </c>
      <c r="AR512" s="43">
        <f t="shared" si="443"/>
        <v>-96.506013391445563</v>
      </c>
      <c r="AS512" t="str">
        <f t="shared" si="420"/>
        <v>-0,0000166666666666667</v>
      </c>
      <c r="AT512" t="str">
        <f t="shared" si="421"/>
        <v>1,21214227737735i</v>
      </c>
      <c r="AU512">
        <f t="shared" si="444"/>
        <v>1.21214227737735</v>
      </c>
      <c r="AV512">
        <f t="shared" si="445"/>
        <v>1.5707963267948966</v>
      </c>
      <c r="AW512" t="str">
        <f t="shared" si="422"/>
        <v>1+43,2111622099064i</v>
      </c>
      <c r="AX512">
        <f t="shared" si="446"/>
        <v>43.222731745354125</v>
      </c>
      <c r="AY512">
        <f t="shared" si="447"/>
        <v>1.5476582882367709</v>
      </c>
      <c r="AZ512" t="str">
        <f t="shared" si="423"/>
        <v>1+6380,8482863295i</v>
      </c>
      <c r="BA512">
        <f t="shared" si="448"/>
        <v>6380.8483646889872</v>
      </c>
      <c r="BB512">
        <f t="shared" si="449"/>
        <v>1.5706396078216598</v>
      </c>
      <c r="BC512" s="41" t="str">
        <f t="shared" si="450"/>
        <v>-0,0000466442481022028+0,00202930193194855i</v>
      </c>
      <c r="BD512">
        <f t="shared" si="451"/>
        <v>-53.850772734053642</v>
      </c>
      <c r="BE512" s="43">
        <f t="shared" si="452"/>
        <v>91.316732619855486</v>
      </c>
      <c r="BF512" s="41" t="str">
        <f t="shared" si="453"/>
        <v>-0,000114004707987581-0,000149629500383493i</v>
      </c>
      <c r="BG512" s="20">
        <f t="shared" si="454"/>
        <v>-74.511677802765647</v>
      </c>
      <c r="BH512" s="43">
        <f t="shared" si="455"/>
        <v>-127.30425817833201</v>
      </c>
      <c r="BI512" s="41" t="str">
        <f t="shared" si="460"/>
        <v>0,00536402028179353-0,000487152260647153i</v>
      </c>
      <c r="BJ512" s="20">
        <f t="shared" si="456"/>
        <v>-45.374518084808997</v>
      </c>
      <c r="BK512" s="43">
        <f t="shared" si="461"/>
        <v>-5.1892807715900862</v>
      </c>
      <c r="BL512">
        <f t="shared" si="457"/>
        <v>-74.511677802765647</v>
      </c>
      <c r="BM512" s="43">
        <f t="shared" si="458"/>
        <v>-127.30425817833201</v>
      </c>
    </row>
    <row r="513" spans="14:65" x14ac:dyDescent="0.35">
      <c r="N513" s="9">
        <v>95</v>
      </c>
      <c r="O513" s="34">
        <f t="shared" si="459"/>
        <v>891250.93813374708</v>
      </c>
      <c r="P513" s="33" t="str">
        <f t="shared" si="411"/>
        <v>59,1053597814893</v>
      </c>
      <c r="Q513" s="4" t="str">
        <f t="shared" si="412"/>
        <v>1+43027,8935921202i</v>
      </c>
      <c r="R513" s="4">
        <f t="shared" si="424"/>
        <v>43027.893603740566</v>
      </c>
      <c r="S513" s="4">
        <f t="shared" si="425"/>
        <v>1.5707730860569395</v>
      </c>
      <c r="T513" s="4" t="str">
        <f t="shared" si="413"/>
        <v>1+7,27986323933958i</v>
      </c>
      <c r="U513" s="4">
        <f t="shared" si="426"/>
        <v>7.3482248729531792</v>
      </c>
      <c r="V513" s="4">
        <f t="shared" si="427"/>
        <v>1.4342854478892035</v>
      </c>
      <c r="W513" t="str">
        <f t="shared" si="414"/>
        <v>1-268,794950375615i</v>
      </c>
      <c r="X513" s="4">
        <f t="shared" si="428"/>
        <v>268.79681052317062</v>
      </c>
      <c r="Y513" s="4">
        <f t="shared" si="429"/>
        <v>-1.567076035974414</v>
      </c>
      <c r="Z513" t="str">
        <f t="shared" si="415"/>
        <v>-15,4117403868654+25,1486184631731i</v>
      </c>
      <c r="AA513" s="4">
        <f t="shared" si="430"/>
        <v>29.495334416791902</v>
      </c>
      <c r="AB513" s="4">
        <f t="shared" si="431"/>
        <v>2.1205937493808151</v>
      </c>
      <c r="AC513" s="47" t="str">
        <f t="shared" si="432"/>
        <v>-0,0713785815500903+0,0580245168278952i</v>
      </c>
      <c r="AD513" s="20">
        <f t="shared" si="433"/>
        <v>-20.725399917538049</v>
      </c>
      <c r="AE513" s="43">
        <f t="shared" si="434"/>
        <v>140.89191943851122</v>
      </c>
      <c r="AF513" t="str">
        <f t="shared" si="416"/>
        <v>405,634542683733</v>
      </c>
      <c r="AG513" t="str">
        <f t="shared" si="417"/>
        <v>1+43104,4533908264i</v>
      </c>
      <c r="AH513">
        <f t="shared" si="435"/>
        <v>43104.453402426123</v>
      </c>
      <c r="AI513">
        <f t="shared" si="436"/>
        <v>1.5707731273358811</v>
      </c>
      <c r="AJ513" t="str">
        <f t="shared" si="418"/>
        <v>1+7,27986323933958i</v>
      </c>
      <c r="AK513">
        <f t="shared" si="437"/>
        <v>7.3482248729531792</v>
      </c>
      <c r="AL513">
        <f t="shared" si="438"/>
        <v>1.4342854478892035</v>
      </c>
      <c r="AM513" t="str">
        <f t="shared" si="419"/>
        <v>1-39,2356096993809i</v>
      </c>
      <c r="AN513">
        <f t="shared" si="439"/>
        <v>39.248351156222505</v>
      </c>
      <c r="AO513">
        <f t="shared" si="440"/>
        <v>-1.5453147919828911</v>
      </c>
      <c r="AP513" s="41" t="str">
        <f t="shared" si="441"/>
        <v>-0,300657037591458-2,69733795124554i</v>
      </c>
      <c r="AQ513">
        <f t="shared" si="442"/>
        <v>8.6723328740276227</v>
      </c>
      <c r="AR513" s="43">
        <f t="shared" si="443"/>
        <v>-96.360183587585539</v>
      </c>
      <c r="AS513" t="str">
        <f t="shared" si="420"/>
        <v>-0,0000166666666666667</v>
      </c>
      <c r="AT513" t="str">
        <f t="shared" si="421"/>
        <v>1,24037669808747i</v>
      </c>
      <c r="AU513">
        <f t="shared" si="444"/>
        <v>1.24037669808747</v>
      </c>
      <c r="AV513">
        <f t="shared" si="445"/>
        <v>1.5707963267948966</v>
      </c>
      <c r="AW513" t="str">
        <f t="shared" si="422"/>
        <v>1+44,2176794777042i</v>
      </c>
      <c r="AX513">
        <f t="shared" si="446"/>
        <v>44.228985726477873</v>
      </c>
      <c r="AY513">
        <f t="shared" si="447"/>
        <v>1.5481847927016894</v>
      </c>
      <c r="AZ513" t="str">
        <f t="shared" si="423"/>
        <v>1+6529,47733620765i</v>
      </c>
      <c r="BA513">
        <f t="shared" si="448"/>
        <v>6529.477412783458</v>
      </c>
      <c r="BB513">
        <f t="shared" si="449"/>
        <v>1.5706431751809633</v>
      </c>
      <c r="BC513" s="41" t="str">
        <f t="shared" si="450"/>
        <v>-0,0000445459842873403+0,00198315683350902i</v>
      </c>
      <c r="BD513">
        <f t="shared" si="451"/>
        <v>-54.050668110551769</v>
      </c>
      <c r="BE513" s="43">
        <f t="shared" si="452"/>
        <v>91.286770530752946</v>
      </c>
      <c r="BF513" s="41" t="str">
        <f t="shared" si="453"/>
        <v>-0,000111892087886117-0,000144139680982138i</v>
      </c>
      <c r="BG513" s="20">
        <f t="shared" si="454"/>
        <v>-74.77606802808981</v>
      </c>
      <c r="BH513" s="43">
        <f t="shared" si="455"/>
        <v>-127.82131003073599</v>
      </c>
      <c r="BI513" s="41" t="str">
        <f t="shared" si="460"/>
        <v>0,00536263725396824-0,000476094484648248i</v>
      </c>
      <c r="BJ513" s="20">
        <f t="shared" si="456"/>
        <v>-45.378335236524151</v>
      </c>
      <c r="BK513" s="43">
        <f t="shared" si="461"/>
        <v>-5.0734130568325888</v>
      </c>
      <c r="BL513">
        <f t="shared" si="457"/>
        <v>-74.77606802808981</v>
      </c>
      <c r="BM513" s="43">
        <f t="shared" si="458"/>
        <v>-127.82131003073599</v>
      </c>
    </row>
    <row r="514" spans="14:65" x14ac:dyDescent="0.35">
      <c r="N514" s="9">
        <v>96</v>
      </c>
      <c r="O514" s="34">
        <f t="shared" si="459"/>
        <v>912010.83935591124</v>
      </c>
      <c r="P514" s="33" t="str">
        <f t="shared" si="411"/>
        <v>59,1053597814893</v>
      </c>
      <c r="Q514" s="4" t="str">
        <f t="shared" si="412"/>
        <v>1+44030,1419854186i</v>
      </c>
      <c r="R514" s="4">
        <f t="shared" si="424"/>
        <v>44030.141996774459</v>
      </c>
      <c r="S514" s="4">
        <f t="shared" si="425"/>
        <v>1.5707736150807223</v>
      </c>
      <c r="T514" s="4" t="str">
        <f t="shared" si="413"/>
        <v>1+7,44943303757846i</v>
      </c>
      <c r="U514" s="4">
        <f t="shared" si="426"/>
        <v>7.5162525623721184</v>
      </c>
      <c r="V514" s="4">
        <f t="shared" si="427"/>
        <v>1.4373556388062758</v>
      </c>
      <c r="W514" t="str">
        <f t="shared" si="414"/>
        <v>1-275,05598907982i</v>
      </c>
      <c r="X514" s="4">
        <f t="shared" si="428"/>
        <v>275.05780688553102</v>
      </c>
      <c r="Y514" s="4">
        <f t="shared" si="429"/>
        <v>-1.5671607193774355</v>
      </c>
      <c r="Z514" t="str">
        <f t="shared" si="415"/>
        <v>-16,1852018822866+25,7344050389074i</v>
      </c>
      <c r="AA514" s="4">
        <f t="shared" si="430"/>
        <v>30.400992790975039</v>
      </c>
      <c r="AB514" s="4">
        <f t="shared" si="431"/>
        <v>2.1322184600801015</v>
      </c>
      <c r="AC514" s="47" t="str">
        <f t="shared" si="432"/>
        <v>-0,0703355708008278+0,0581930563104415i</v>
      </c>
      <c r="AD514" s="20">
        <f t="shared" si="433"/>
        <v>-20.791712926900455</v>
      </c>
      <c r="AE514" s="43">
        <f t="shared" si="434"/>
        <v>140.39689924681127</v>
      </c>
      <c r="AF514" t="str">
        <f t="shared" si="416"/>
        <v>405,634542683733</v>
      </c>
      <c r="AG514" t="str">
        <f t="shared" si="417"/>
        <v>1+44108,485090925i</v>
      </c>
      <c r="AH514">
        <f t="shared" si="435"/>
        <v>44108.485102260696</v>
      </c>
      <c r="AI514">
        <f t="shared" si="436"/>
        <v>1.5707736554200407</v>
      </c>
      <c r="AJ514" t="str">
        <f t="shared" si="418"/>
        <v>1+7,44943303757846i</v>
      </c>
      <c r="AK514">
        <f t="shared" si="437"/>
        <v>7.5162525623721184</v>
      </c>
      <c r="AL514">
        <f t="shared" si="438"/>
        <v>1.4373556388062758</v>
      </c>
      <c r="AM514" t="str">
        <f t="shared" si="419"/>
        <v>1-40,1495244532392i</v>
      </c>
      <c r="AN514">
        <f t="shared" si="439"/>
        <v>40.161975970079617</v>
      </c>
      <c r="AO514">
        <f t="shared" si="440"/>
        <v>-1.5458945799853927</v>
      </c>
      <c r="AP514" s="41" t="str">
        <f t="shared" si="441"/>
        <v>-0,300657047424694-2,75973329415414i</v>
      </c>
      <c r="AQ514">
        <f t="shared" si="442"/>
        <v>8.8685845156261287</v>
      </c>
      <c r="AR514" s="43">
        <f t="shared" si="443"/>
        <v>-96.217524268287093</v>
      </c>
      <c r="AS514" t="str">
        <f t="shared" si="420"/>
        <v>-0,0000166666666666667</v>
      </c>
      <c r="AT514" t="str">
        <f t="shared" si="421"/>
        <v>1,26926878294125i</v>
      </c>
      <c r="AU514">
        <f t="shared" si="444"/>
        <v>1.2692687829412499</v>
      </c>
      <c r="AV514">
        <f t="shared" si="445"/>
        <v>1.5707963267948966</v>
      </c>
      <c r="AW514" t="str">
        <f t="shared" si="422"/>
        <v>1+45,2476415444512i</v>
      </c>
      <c r="AX514">
        <f t="shared" si="446"/>
        <v>45.258690495142986</v>
      </c>
      <c r="AY514">
        <f t="shared" si="447"/>
        <v>1.5486993245776559</v>
      </c>
      <c r="AZ514" t="str">
        <f t="shared" si="423"/>
        <v>1+6681,56840139729i</v>
      </c>
      <c r="BA514">
        <f t="shared" si="448"/>
        <v>6681.5684762300189</v>
      </c>
      <c r="BB514">
        <f t="shared" si="449"/>
        <v>1.5706466613372587</v>
      </c>
      <c r="BC514" s="41" t="str">
        <f t="shared" si="450"/>
        <v>-0,0000425420635194719+0,00193805896054802i</v>
      </c>
      <c r="BD514">
        <f t="shared" si="451"/>
        <v>-54.2505681935301</v>
      </c>
      <c r="BE514" s="43">
        <f t="shared" si="452"/>
        <v>91.257489767877573</v>
      </c>
      <c r="BF514" s="41" t="str">
        <f t="shared" si="453"/>
        <v>-0,00010978935390344-0,000138790135933755i</v>
      </c>
      <c r="BG514" s="20">
        <f t="shared" si="454"/>
        <v>-75.042281120430545</v>
      </c>
      <c r="BH514" s="43">
        <f t="shared" si="455"/>
        <v>-128.34561098531125</v>
      </c>
      <c r="BI514" s="41" t="str">
        <f t="shared" si="460"/>
        <v>0,00536131641066725-0,000465286335716632i</v>
      </c>
      <c r="BJ514" s="20">
        <f t="shared" si="456"/>
        <v>-45.381983677903975</v>
      </c>
      <c r="BK514" s="43">
        <f t="shared" si="461"/>
        <v>-4.9600345004095221</v>
      </c>
      <c r="BL514">
        <f t="shared" si="457"/>
        <v>-75.042281120430545</v>
      </c>
      <c r="BM514" s="43">
        <f t="shared" si="458"/>
        <v>-128.34561098531125</v>
      </c>
    </row>
    <row r="515" spans="14:65" x14ac:dyDescent="0.35">
      <c r="N515" s="9">
        <v>97</v>
      </c>
      <c r="O515" s="34">
        <f t="shared" si="459"/>
        <v>933254.30079699249</v>
      </c>
      <c r="P515" s="33" t="str">
        <f t="shared" si="411"/>
        <v>59,1053597814893</v>
      </c>
      <c r="Q515" s="4" t="str">
        <f t="shared" si="412"/>
        <v>1+45055,7357428055i</v>
      </c>
      <c r="R515" s="4">
        <f t="shared" si="424"/>
        <v>45055.73575390286</v>
      </c>
      <c r="S515" s="4">
        <f t="shared" si="425"/>
        <v>1.5707741320624535</v>
      </c>
      <c r="T515" s="4" t="str">
        <f t="shared" si="413"/>
        <v>1+7,62295262381877i</v>
      </c>
      <c r="U515" s="4">
        <f t="shared" si="426"/>
        <v>7.6882642192490671</v>
      </c>
      <c r="V515" s="4">
        <f t="shared" si="427"/>
        <v>1.4403583909868787</v>
      </c>
      <c r="W515" t="str">
        <f t="shared" si="414"/>
        <v>1-281,462866110232i</v>
      </c>
      <c r="X515" s="4">
        <f t="shared" si="428"/>
        <v>281.46464253789748</v>
      </c>
      <c r="Y515" s="4">
        <f t="shared" si="429"/>
        <v>-1.5672434752012516</v>
      </c>
      <c r="Z515" t="str">
        <f t="shared" si="415"/>
        <v>-16,9951154949604+26,3338363368285i</v>
      </c>
      <c r="AA515" s="4">
        <f t="shared" si="430"/>
        <v>31.341743520453871</v>
      </c>
      <c r="AB515" s="4">
        <f t="shared" si="431"/>
        <v>2.1439110996703525</v>
      </c>
      <c r="AC515" s="47" t="str">
        <f t="shared" si="432"/>
        <v>-0,069276474713092+0,0583481244125429i</v>
      </c>
      <c r="AD515" s="20">
        <f t="shared" si="433"/>
        <v>-20.859884524558726</v>
      </c>
      <c r="AE515" s="43">
        <f t="shared" si="434"/>
        <v>139.89423419348839</v>
      </c>
      <c r="AF515" t="str">
        <f t="shared" si="416"/>
        <v>405,634542683733</v>
      </c>
      <c r="AG515" t="str">
        <f t="shared" si="417"/>
        <v>1+45135,9036936637i</v>
      </c>
      <c r="AH515">
        <f t="shared" si="435"/>
        <v>45135.903704741359</v>
      </c>
      <c r="AI515">
        <f t="shared" si="436"/>
        <v>1.5707741714835368</v>
      </c>
      <c r="AJ515" t="str">
        <f t="shared" si="418"/>
        <v>1+7,62295262381877i</v>
      </c>
      <c r="AK515">
        <f t="shared" si="437"/>
        <v>7.6882642192490671</v>
      </c>
      <c r="AL515">
        <f t="shared" si="438"/>
        <v>1.4403583909868787</v>
      </c>
      <c r="AM515" t="str">
        <f t="shared" si="419"/>
        <v>1-41,0847270164045i</v>
      </c>
      <c r="AN515">
        <f t="shared" si="439"/>
        <v>41.096895187014766</v>
      </c>
      <c r="AO515">
        <f t="shared" si="440"/>
        <v>-1.5464611865827205</v>
      </c>
      <c r="AP515" s="41" t="str">
        <f t="shared" si="441"/>
        <v>-0,300657056815363-2,82359188418467i</v>
      </c>
      <c r="AQ515">
        <f t="shared" si="442"/>
        <v>9.0650020363682966</v>
      </c>
      <c r="AR515" s="43">
        <f t="shared" si="443"/>
        <v>-96.077972976346288</v>
      </c>
      <c r="AS515" t="str">
        <f t="shared" si="420"/>
        <v>-0,0000166666666666667</v>
      </c>
      <c r="AT515" t="str">
        <f t="shared" si="421"/>
        <v>1,29883385090451i</v>
      </c>
      <c r="AU515">
        <f t="shared" si="444"/>
        <v>1.2988338509045101</v>
      </c>
      <c r="AV515">
        <f t="shared" si="445"/>
        <v>1.5707963267948966</v>
      </c>
      <c r="AW515" t="str">
        <f t="shared" si="422"/>
        <v>1+46,3015945096685i</v>
      </c>
      <c r="AX515">
        <f t="shared" si="446"/>
        <v>46.312392014856719</v>
      </c>
      <c r="AY515">
        <f t="shared" si="447"/>
        <v>1.5492021555859075</v>
      </c>
      <c r="AZ515" t="str">
        <f t="shared" si="423"/>
        <v>1+6837,20212259437i</v>
      </c>
      <c r="BA515">
        <f t="shared" si="448"/>
        <v>6837.2021957236984</v>
      </c>
      <c r="BB515">
        <f t="shared" si="449"/>
        <v>1.5706500681389524</v>
      </c>
      <c r="BC515" s="41" t="str">
        <f t="shared" si="450"/>
        <v>-0,0000406282479605987+0,00189398468634024i</v>
      </c>
      <c r="BD515">
        <f t="shared" si="451"/>
        <v>-54.45047277136905</v>
      </c>
      <c r="BE515" s="43">
        <f t="shared" si="452"/>
        <v>91.228874868655126</v>
      </c>
      <c r="BF515" s="41" t="str">
        <f t="shared" si="453"/>
        <v>-0,000107695872321552-0,000133579164296902i</v>
      </c>
      <c r="BG515" s="20">
        <f t="shared" si="454"/>
        <v>-75.310357295927759</v>
      </c>
      <c r="BH515" s="43">
        <f t="shared" si="455"/>
        <v>-128.8768909378565</v>
      </c>
      <c r="BI515" s="41" t="str">
        <f t="shared" si="460"/>
        <v>0,00536005495857575-0,000454722270238236i</v>
      </c>
      <c r="BJ515" s="20">
        <f t="shared" si="456"/>
        <v>-45.385470735000752</v>
      </c>
      <c r="BK515" s="43">
        <f t="shared" si="461"/>
        <v>-4.8490981076911615</v>
      </c>
      <c r="BL515">
        <f t="shared" si="457"/>
        <v>-75.310357295927759</v>
      </c>
      <c r="BM515" s="43">
        <f t="shared" si="458"/>
        <v>-128.8768909378565</v>
      </c>
    </row>
    <row r="516" spans="14:65" x14ac:dyDescent="0.35">
      <c r="N516" s="9">
        <v>98</v>
      </c>
      <c r="O516" s="34">
        <f t="shared" si="459"/>
        <v>954992.58602143743</v>
      </c>
      <c r="P516" s="33" t="str">
        <f t="shared" si="411"/>
        <v>59,1053597814893</v>
      </c>
      <c r="Q516" s="4" t="str">
        <f t="shared" si="412"/>
        <v>1+46105,2186476663i</v>
      </c>
      <c r="R516" s="4">
        <f t="shared" si="424"/>
        <v>46105.218658511054</v>
      </c>
      <c r="S516" s="4">
        <f t="shared" si="425"/>
        <v>1.5707746372762439</v>
      </c>
      <c r="T516" s="4" t="str">
        <f t="shared" si="413"/>
        <v>1+7,80051400044193i</v>
      </c>
      <c r="U516" s="4">
        <f t="shared" si="426"/>
        <v>7.864351128420612</v>
      </c>
      <c r="V516" s="4">
        <f t="shared" si="427"/>
        <v>1.4432950798202868</v>
      </c>
      <c r="W516" t="str">
        <f t="shared" si="414"/>
        <v>1-288,018978477856i</v>
      </c>
      <c r="X516" s="4">
        <f t="shared" si="428"/>
        <v>288.02071446933758</v>
      </c>
      <c r="Y516" s="4">
        <f t="shared" si="429"/>
        <v>-1.5673243473195586</v>
      </c>
      <c r="Z516" t="str">
        <f t="shared" si="415"/>
        <v>-17,8431991602461+26,9472301833448i</v>
      </c>
      <c r="AA516" s="4">
        <f t="shared" si="430"/>
        <v>32.319235306955761</v>
      </c>
      <c r="AB516" s="4">
        <f t="shared" si="431"/>
        <v>2.1556678252403629</v>
      </c>
      <c r="AC516" s="47" t="str">
        <f t="shared" si="432"/>
        <v>-0,0682019462027814+0,0584887266637615i</v>
      </c>
      <c r="AD516" s="20">
        <f t="shared" si="433"/>
        <v>-20.92995356519307</v>
      </c>
      <c r="AE516" s="43">
        <f t="shared" si="434"/>
        <v>139.38422073565346</v>
      </c>
      <c r="AF516" t="str">
        <f t="shared" si="416"/>
        <v>405,634542683733</v>
      </c>
      <c r="AG516" t="str">
        <f t="shared" si="417"/>
        <v>1+46187,2539499851i</v>
      </c>
      <c r="AH516">
        <f t="shared" si="435"/>
        <v>46187.253960810594</v>
      </c>
      <c r="AI516">
        <f t="shared" si="436"/>
        <v>1.5707746757999939</v>
      </c>
      <c r="AJ516" t="str">
        <f t="shared" si="418"/>
        <v>1+7,80051400044193i</v>
      </c>
      <c r="AK516">
        <f t="shared" si="437"/>
        <v>7.864351128420612</v>
      </c>
      <c r="AL516">
        <f t="shared" si="438"/>
        <v>1.4432950798202868</v>
      </c>
      <c r="AM516" t="str">
        <f t="shared" si="419"/>
        <v>1-42,0417132456545i</v>
      </c>
      <c r="AN516">
        <f t="shared" si="439"/>
        <v>42.053604514117943</v>
      </c>
      <c r="AO516">
        <f t="shared" si="440"/>
        <v>-1.5470149107411173</v>
      </c>
      <c r="AP516" s="41" t="str">
        <f t="shared" si="441"/>
        <v>-0,300657065783381-2,88894758000682i</v>
      </c>
      <c r="AQ516">
        <f t="shared" si="442"/>
        <v>9.2615782149046861</v>
      </c>
      <c r="AR516" s="43">
        <f t="shared" si="443"/>
        <v>-95.941468052943904</v>
      </c>
      <c r="AS516" t="str">
        <f t="shared" si="420"/>
        <v>-0,0000166666666666667</v>
      </c>
      <c r="AT516" t="str">
        <f t="shared" si="421"/>
        <v>1,32908757776761i</v>
      </c>
      <c r="AU516">
        <f t="shared" si="444"/>
        <v>1.3290875777676101</v>
      </c>
      <c r="AV516">
        <f t="shared" si="445"/>
        <v>1.5707963267948966</v>
      </c>
      <c r="AW516" t="str">
        <f t="shared" si="422"/>
        <v>1+47,3800971931688i</v>
      </c>
      <c r="AX516">
        <f t="shared" si="446"/>
        <v>47.390648972493743</v>
      </c>
      <c r="AY516">
        <f t="shared" si="447"/>
        <v>1.5496935513164345</v>
      </c>
      <c r="AZ516" t="str">
        <f t="shared" si="423"/>
        <v>1+6996,46101885792i</v>
      </c>
      <c r="BA516">
        <f t="shared" si="448"/>
        <v>6996.4610903226212</v>
      </c>
      <c r="BB516">
        <f t="shared" si="449"/>
        <v>1.5706533973923751</v>
      </c>
      <c r="BC516" s="41" t="str">
        <f t="shared" si="450"/>
        <v>-0,0000388004897774341+0,00185091090790912i</v>
      </c>
      <c r="BD516">
        <f t="shared" si="451"/>
        <v>-54.650381641955327</v>
      </c>
      <c r="BE516" s="43">
        <f t="shared" si="452"/>
        <v>91.200910719395225</v>
      </c>
      <c r="BF516" s="41" t="str">
        <f t="shared" si="453"/>
        <v>-0,000105611153255229-0,000128505117408371i</v>
      </c>
      <c r="BG516" s="20">
        <f t="shared" si="454"/>
        <v>-75.580335207148423</v>
      </c>
      <c r="BH516" s="43">
        <f t="shared" si="455"/>
        <v>-129.41486854495145</v>
      </c>
      <c r="BI516" s="41" t="str">
        <f t="shared" si="460"/>
        <v>0,00535885022961972-0,000444396861552812i</v>
      </c>
      <c r="BJ516" s="20">
        <f t="shared" si="456"/>
        <v>-45.38880342705064</v>
      </c>
      <c r="BK516" s="43">
        <f t="shared" si="461"/>
        <v>-4.7405573335486801</v>
      </c>
      <c r="BL516">
        <f t="shared" si="457"/>
        <v>-75.580335207148423</v>
      </c>
      <c r="BM516" s="43">
        <f t="shared" si="458"/>
        <v>-129.41486854495145</v>
      </c>
    </row>
    <row r="517" spans="14:65" x14ac:dyDescent="0.35">
      <c r="N517" s="9">
        <v>99</v>
      </c>
      <c r="O517" s="34">
        <f t="shared" si="459"/>
        <v>977237.22095581202</v>
      </c>
      <c r="P517" s="33" t="str">
        <f t="shared" si="411"/>
        <v>59,1053597814893</v>
      </c>
      <c r="Q517" s="4" t="str">
        <f t="shared" si="412"/>
        <v>1+47179,1471497289i</v>
      </c>
      <c r="R517" s="4">
        <f t="shared" si="424"/>
        <v>47179.1471603268</v>
      </c>
      <c r="S517" s="4">
        <f t="shared" si="425"/>
        <v>1.5707751309899645</v>
      </c>
      <c r="T517" s="4" t="str">
        <f t="shared" si="413"/>
        <v>1+7,98221131284014i</v>
      </c>
      <c r="U517" s="4">
        <f t="shared" si="426"/>
        <v>8.0446067301536317</v>
      </c>
      <c r="V517" s="4">
        <f t="shared" si="427"/>
        <v>1.4461670596587797</v>
      </c>
      <c r="W517" t="str">
        <f t="shared" si="414"/>
        <v>1-294,727802320252i</v>
      </c>
      <c r="X517" s="4">
        <f t="shared" si="428"/>
        <v>294.7294987959732</v>
      </c>
      <c r="Y517" s="4">
        <f t="shared" si="429"/>
        <v>-1.5674033786075903</v>
      </c>
      <c r="Z517" t="str">
        <f t="shared" si="415"/>
        <v>-18,7312517773025+27,5749118079932i</v>
      </c>
      <c r="AA517" s="4">
        <f t="shared" si="430"/>
        <v>33.335199929853445</v>
      </c>
      <c r="AB517" s="4">
        <f t="shared" si="431"/>
        <v>2.1674845900931947</v>
      </c>
      <c r="AC517" s="47" t="str">
        <f t="shared" si="432"/>
        <v>-0,0671126974878559+0,0586138994002508i</v>
      </c>
      <c r="AD517" s="20">
        <f t="shared" si="433"/>
        <v>-21.001957228225123</v>
      </c>
      <c r="AE517" s="43">
        <f t="shared" si="434"/>
        <v>138.86716585871397</v>
      </c>
      <c r="AF517" t="str">
        <f t="shared" si="416"/>
        <v>405,634542683733</v>
      </c>
      <c r="AG517" t="str">
        <f t="shared" si="417"/>
        <v>1+47263,0932997113i</v>
      </c>
      <c r="AH517">
        <f t="shared" si="435"/>
        <v>47263.09331029038</v>
      </c>
      <c r="AI517">
        <f t="shared" si="436"/>
        <v>1.5707751686368068</v>
      </c>
      <c r="AJ517" t="str">
        <f t="shared" si="418"/>
        <v>1+7,98221131284014i</v>
      </c>
      <c r="AK517">
        <f t="shared" si="437"/>
        <v>8.0446067301536317</v>
      </c>
      <c r="AL517">
        <f t="shared" si="438"/>
        <v>1.4461670596587797</v>
      </c>
      <c r="AM517" t="str">
        <f t="shared" si="419"/>
        <v>1-43,0209905477552i</v>
      </c>
      <c r="AN517">
        <f t="shared" si="439"/>
        <v>43.032611211847716</v>
      </c>
      <c r="AO517">
        <f t="shared" si="440"/>
        <v>-1.5475560446934626</v>
      </c>
      <c r="AP517" s="41" t="str">
        <f t="shared" si="441"/>
        <v>-0,300657074347771-2,95583503407562i</v>
      </c>
      <c r="AQ517">
        <f t="shared" si="442"/>
        <v>9.4583061339136361</v>
      </c>
      <c r="AR517" s="43">
        <f t="shared" si="443"/>
        <v>-95.807948658441589</v>
      </c>
      <c r="AS517" t="str">
        <f t="shared" si="420"/>
        <v>-0,0000166666666666667</v>
      </c>
      <c r="AT517" t="str">
        <f t="shared" si="421"/>
        <v>1,36004600445699i</v>
      </c>
      <c r="AU517">
        <f t="shared" si="444"/>
        <v>1.36004600445699</v>
      </c>
      <c r="AV517">
        <f t="shared" si="445"/>
        <v>1.5707963267948966</v>
      </c>
      <c r="AW517" t="str">
        <f t="shared" si="422"/>
        <v>1+48,4837214313507i</v>
      </c>
      <c r="AX517">
        <f t="shared" si="446"/>
        <v>48.494033074521809</v>
      </c>
      <c r="AY517">
        <f t="shared" si="447"/>
        <v>1.5501737713639561</v>
      </c>
      <c r="AZ517" t="str">
        <f t="shared" si="423"/>
        <v>1+7159,42953136277i</v>
      </c>
      <c r="BA517">
        <f t="shared" si="448"/>
        <v>7159.4296012007362</v>
      </c>
      <c r="BB517">
        <f t="shared" si="449"/>
        <v>1.5706566508627409</v>
      </c>
      <c r="BC517" s="41" t="str">
        <f t="shared" si="450"/>
        <v>-0,0000370549226538629+0,00180881503504074i</v>
      </c>
      <c r="BD517">
        <f t="shared" si="451"/>
        <v>-54.850294612255588</v>
      </c>
      <c r="BE517" s="43">
        <f t="shared" si="452"/>
        <v>91.173582547555398</v>
      </c>
      <c r="BF517" s="41" t="str">
        <f t="shared" si="453"/>
        <v>-0,000103534846683034-0,000123566389766892i</v>
      </c>
      <c r="BG517" s="20">
        <f t="shared" si="454"/>
        <v>-75.852251840480733</v>
      </c>
      <c r="BH517" s="43">
        <f t="shared" si="455"/>
        <v>-129.95925159373056</v>
      </c>
      <c r="BI517" s="41" t="str">
        <f t="shared" si="460"/>
        <v>0,00535769967537143-0,000434304797906359i</v>
      </c>
      <c r="BJ517" s="20">
        <f t="shared" si="456"/>
        <v>-45.391988478341958</v>
      </c>
      <c r="BK517" s="43">
        <f t="shared" si="461"/>
        <v>-4.6343661108861758</v>
      </c>
      <c r="BL517">
        <f t="shared" si="457"/>
        <v>-75.852251840480733</v>
      </c>
      <c r="BM517" s="43">
        <f t="shared" si="458"/>
        <v>-129.95925159373056</v>
      </c>
    </row>
    <row r="518" spans="14:65" x14ac:dyDescent="0.35">
      <c r="N518" s="9">
        <v>100</v>
      </c>
      <c r="O518" s="34">
        <f t="shared" si="459"/>
        <v>1000000</v>
      </c>
      <c r="P518" s="33" t="str">
        <f t="shared" si="411"/>
        <v>59,1053597814893</v>
      </c>
      <c r="Q518" s="4" t="str">
        <f t="shared" si="412"/>
        <v>1+48278,0906601001i</v>
      </c>
      <c r="R518" s="4">
        <f t="shared" si="424"/>
        <v>48278.090670456753</v>
      </c>
      <c r="S518" s="4">
        <f t="shared" si="425"/>
        <v>1.5707756134653887</v>
      </c>
      <c r="T518" s="4" t="str">
        <f t="shared" si="413"/>
        <v>1+8,16814089933347i</v>
      </c>
      <c r="U518" s="4">
        <f t="shared" si="426"/>
        <v>8.2291266700278829</v>
      </c>
      <c r="V518" s="4">
        <f t="shared" si="427"/>
        <v>1.4489756636521509</v>
      </c>
      <c r="W518" t="str">
        <f t="shared" si="414"/>
        <v>1-301,592894744621i</v>
      </c>
      <c r="X518" s="4">
        <f t="shared" si="428"/>
        <v>301.59455260405491</v>
      </c>
      <c r="Y518" s="4">
        <f t="shared" si="429"/>
        <v>-1.5674806109648307</v>
      </c>
      <c r="Z518" t="str">
        <f t="shared" si="415"/>
        <v>-19,6611570247934+28,2172140158792i</v>
      </c>
      <c r="AA518" s="4">
        <f t="shared" si="430"/>
        <v>34.39145624092577</v>
      </c>
      <c r="AB518" s="4">
        <f t="shared" si="431"/>
        <v>2.179357150820286</v>
      </c>
      <c r="AC518" s="47" t="str">
        <f t="shared" si="432"/>
        <v>-0,0660094987005118+0,0587227141536407i</v>
      </c>
      <c r="AD518" s="20">
        <f t="shared" si="433"/>
        <v>-21.075930917481816</v>
      </c>
      <c r="AE518" s="43">
        <f t="shared" si="434"/>
        <v>138.34338666026528</v>
      </c>
      <c r="AF518" t="str">
        <f t="shared" si="416"/>
        <v>405,634542683733</v>
      </c>
      <c r="AG518" t="str">
        <f t="shared" si="417"/>
        <v>1+48363,992167106i</v>
      </c>
      <c r="AH518">
        <f t="shared" si="435"/>
        <v>48363.99217744427</v>
      </c>
      <c r="AI518">
        <f t="shared" si="436"/>
        <v>1.5707756502552843</v>
      </c>
      <c r="AJ518" t="str">
        <f t="shared" si="418"/>
        <v>1+8,16814089933347i</v>
      </c>
      <c r="AK518">
        <f t="shared" si="437"/>
        <v>8.2291266700278829</v>
      </c>
      <c r="AL518">
        <f t="shared" si="438"/>
        <v>1.4489756636521509</v>
      </c>
      <c r="AM518" t="str">
        <f t="shared" si="419"/>
        <v>1-44,0230781484944i</v>
      </c>
      <c r="AN518">
        <f t="shared" si="439"/>
        <v>44.034434362989664</v>
      </c>
      <c r="AO518">
        <f t="shared" si="440"/>
        <v>-1.5480848740877495</v>
      </c>
      <c r="AP518" s="41" t="str">
        <f t="shared" si="441"/>
        <v>-0,300657082526701-3,02428971100457i</v>
      </c>
      <c r="AQ518">
        <f t="shared" si="442"/>
        <v>9.6551791681982504</v>
      </c>
      <c r="AR518" s="43">
        <f t="shared" si="443"/>
        <v>-95.677354790379013</v>
      </c>
      <c r="AS518" t="str">
        <f t="shared" si="420"/>
        <v>-0,0000166666666666667</v>
      </c>
      <c r="AT518" t="str">
        <f t="shared" si="421"/>
        <v>1,39172554554028i</v>
      </c>
      <c r="AU518">
        <f t="shared" si="444"/>
        <v>1.3917255455402799</v>
      </c>
      <c r="AV518">
        <f t="shared" si="445"/>
        <v>1.5707963267948966</v>
      </c>
      <c r="AW518" t="str">
        <f t="shared" si="422"/>
        <v>1+49,6130523803933i</v>
      </c>
      <c r="AX518">
        <f t="shared" si="446"/>
        <v>49.623129350129147</v>
      </c>
      <c r="AY518">
        <f t="shared" si="447"/>
        <v>1.5506430694610367</v>
      </c>
      <c r="AZ518" t="str">
        <f t="shared" si="423"/>
        <v>1+7326,1940681714i</v>
      </c>
      <c r="BA518">
        <f t="shared" si="448"/>
        <v>7326.19413641966</v>
      </c>
      <c r="BB518">
        <f t="shared" si="449"/>
        <v>1.5706598302750823</v>
      </c>
      <c r="BC518" s="41" t="str">
        <f t="shared" si="450"/>
        <v>-0,0000353878536797806+0,00176767497948557i</v>
      </c>
      <c r="BD518">
        <f t="shared" si="451"/>
        <v>-55.050211497909338</v>
      </c>
      <c r="BE518" s="43">
        <f t="shared" si="452"/>
        <v>91.146875914167666</v>
      </c>
      <c r="BF518" s="41" t="str">
        <f t="shared" si="453"/>
        <v>-0,000101466738055384-0,000118761410077429i</v>
      </c>
      <c r="BG518" s="20">
        <f t="shared" si="454"/>
        <v>-76.126142415391143</v>
      </c>
      <c r="BH518" s="43">
        <f t="shared" si="455"/>
        <v>-130.50973742556678</v>
      </c>
      <c r="BI518" s="41" t="str">
        <f t="shared" si="460"/>
        <v>0,00535660086170267-0,000424440880409282i</v>
      </c>
      <c r="BJ518" s="20">
        <f t="shared" si="456"/>
        <v>-45.395032329711086</v>
      </c>
      <c r="BK518" s="43">
        <f t="shared" si="461"/>
        <v>-4.5304788762113457</v>
      </c>
      <c r="BL518">
        <f t="shared" si="457"/>
        <v>-76.126142415391143</v>
      </c>
      <c r="BM518" s="43">
        <f t="shared" si="458"/>
        <v>-130.50973742556678</v>
      </c>
    </row>
    <row r="519" spans="14:65" x14ac:dyDescent="0.35">
      <c r="N519" s="9">
        <v>1</v>
      </c>
      <c r="O519" s="34">
        <f>10^(6+(N519/100))</f>
        <v>1023292.9922807553</v>
      </c>
      <c r="P519" s="33" t="str">
        <f t="shared" si="411"/>
        <v>59,1053597814893</v>
      </c>
      <c r="Q519" s="4" t="str">
        <f t="shared" si="412"/>
        <v>1+49402,6318531754i</v>
      </c>
      <c r="R519" s="4">
        <f t="shared" si="424"/>
        <v>49402.631863296316</v>
      </c>
      <c r="S519" s="4">
        <f t="shared" si="425"/>
        <v>1.5707760849583314</v>
      </c>
      <c r="T519" s="4" t="str">
        <f t="shared" si="413"/>
        <v>1+8,35840134224977i</v>
      </c>
      <c r="U519" s="4">
        <f t="shared" si="426"/>
        <v>8.418008849967002</v>
      </c>
      <c r="V519" s="4">
        <f t="shared" si="427"/>
        <v>1.4517222036246793</v>
      </c>
      <c r="W519" t="str">
        <f t="shared" si="414"/>
        <v>1-308,617895713838i</v>
      </c>
      <c r="X519" s="4">
        <f t="shared" si="428"/>
        <v>308.61951583598437</v>
      </c>
      <c r="Y519" s="4">
        <f t="shared" si="429"/>
        <v>-1.5675560853372099</v>
      </c>
      <c r="Z519" t="str">
        <f t="shared" si="415"/>
        <v>-20,6348873564236+28,8744773641355i</v>
      </c>
      <c r="AA519" s="4">
        <f t="shared" si="430"/>
        <v>35.489914331599387</v>
      </c>
      <c r="AB519" s="4">
        <f t="shared" si="431"/>
        <v>2.1912810753593206</v>
      </c>
      <c r="AC519" s="47" t="str">
        <f t="shared" si="432"/>
        <v>-0,0648931761053241+0,0588142819921459i</v>
      </c>
      <c r="AD519" s="20">
        <f t="shared" si="433"/>
        <v>-21.151908163473429</v>
      </c>
      <c r="AE519" s="43">
        <f t="shared" si="434"/>
        <v>137.81320988008173</v>
      </c>
      <c r="AF519" t="str">
        <f t="shared" si="416"/>
        <v>405,634542683733</v>
      </c>
      <c r="AG519" t="str">
        <f t="shared" si="417"/>
        <v>1+49490,5342633209i</v>
      </c>
      <c r="AH519">
        <f t="shared" si="435"/>
        <v>49490.534273423844</v>
      </c>
      <c r="AI519">
        <f t="shared" si="436"/>
        <v>1.5707761209107867</v>
      </c>
      <c r="AJ519" t="str">
        <f t="shared" si="418"/>
        <v>1+8,35840134224977i</v>
      </c>
      <c r="AK519">
        <f t="shared" si="437"/>
        <v>8.418008849967002</v>
      </c>
      <c r="AL519">
        <f t="shared" si="438"/>
        <v>1.4517222036246793</v>
      </c>
      <c r="AM519" t="str">
        <f t="shared" si="419"/>
        <v>1-45,0485073679824i</v>
      </c>
      <c r="AN519">
        <f t="shared" si="439"/>
        <v>45.059605147883445</v>
      </c>
      <c r="AO519">
        <f t="shared" si="440"/>
        <v>-1.5486016781325032</v>
      </c>
      <c r="AP519" s="41" t="str">
        <f t="shared" si="441"/>
        <v>-0,300657090337519-3,09434790636951i</v>
      </c>
      <c r="AQ519">
        <f t="shared" si="442"/>
        <v>9.8521909731710622</v>
      </c>
      <c r="AR519" s="43">
        <f t="shared" si="443"/>
        <v>-95.549627298862703</v>
      </c>
      <c r="AS519" t="str">
        <f t="shared" si="420"/>
        <v>-0,0000166666666666667</v>
      </c>
      <c r="AT519" t="str">
        <f t="shared" si="421"/>
        <v>1,42414299792948i</v>
      </c>
      <c r="AU519">
        <f t="shared" si="444"/>
        <v>1.42414299792948</v>
      </c>
      <c r="AV519">
        <f t="shared" si="445"/>
        <v>1.5707963267948966</v>
      </c>
      <c r="AW519" t="str">
        <f t="shared" si="422"/>
        <v>1+50,7686888265145i</v>
      </c>
      <c r="AX519">
        <f t="shared" si="446"/>
        <v>50.778536461417026</v>
      </c>
      <c r="AY519">
        <f t="shared" si="447"/>
        <v>1.5511016936083966</v>
      </c>
      <c r="AZ519" t="str">
        <f t="shared" si="423"/>
        <v>1+7496,84305004864i</v>
      </c>
      <c r="BA519">
        <f t="shared" si="448"/>
        <v>7496.8431167433801</v>
      </c>
      <c r="BB519">
        <f t="shared" si="449"/>
        <v>1.5706629373151659</v>
      </c>
      <c r="BC519" s="41" t="str">
        <f t="shared" si="450"/>
        <v>-0,0000337957555998607+0,00172746914434799i</v>
      </c>
      <c r="BD519">
        <f t="shared" si="451"/>
        <v>-55.250132122839865</v>
      </c>
      <c r="BE519" s="43">
        <f t="shared" si="452"/>
        <v>91.120776706424721</v>
      </c>
      <c r="BF519" s="41" t="str">
        <f t="shared" si="453"/>
        <v>-0,0000994067434686594-0,000114088632500676i</v>
      </c>
      <c r="BG519" s="20">
        <f t="shared" si="454"/>
        <v>-76.40204028631328</v>
      </c>
      <c r="BH519" s="43">
        <f t="shared" si="455"/>
        <v>-131.06601341349341</v>
      </c>
      <c r="BI519" s="41" t="str">
        <f t="shared" si="460"/>
        <v>0,00535555146367554-0,000414800021002906i</v>
      </c>
      <c r="BJ519" s="20">
        <f t="shared" si="456"/>
        <v>-45.39794114966881</v>
      </c>
      <c r="BK519" s="43">
        <f t="shared" si="461"/>
        <v>-4.4288505924379917</v>
      </c>
      <c r="BL519">
        <f t="shared" si="457"/>
        <v>-76.40204028631328</v>
      </c>
      <c r="BM519" s="43">
        <f t="shared" si="458"/>
        <v>-131.06601341349341</v>
      </c>
    </row>
    <row r="520" spans="14:65" x14ac:dyDescent="0.35">
      <c r="N520" s="9">
        <v>2</v>
      </c>
      <c r="O520" s="34">
        <f t="shared" ref="O520:O560" si="462">10^(6+(N520/100))</f>
        <v>1047128.5480509007</v>
      </c>
      <c r="P520" s="33" t="str">
        <f t="shared" si="411"/>
        <v>59,1053597814893</v>
      </c>
      <c r="Q520" s="4" t="str">
        <f t="shared" si="412"/>
        <v>1+50553,3669755803i</v>
      </c>
      <c r="R520" s="4">
        <f t="shared" si="424"/>
        <v>50553.366985470835</v>
      </c>
      <c r="S520" s="4">
        <f t="shared" si="425"/>
        <v>1.5707765457187846</v>
      </c>
      <c r="T520" s="4" t="str">
        <f t="shared" si="413"/>
        <v>1+8,55309352019423i</v>
      </c>
      <c r="U520" s="4">
        <f t="shared" si="426"/>
        <v>8.6113534804459455</v>
      </c>
      <c r="V520" s="4">
        <f t="shared" si="427"/>
        <v>1.4544079699914525</v>
      </c>
      <c r="W520" t="str">
        <f t="shared" si="414"/>
        <v>1-315,806529976403i</v>
      </c>
      <c r="X520" s="4">
        <f t="shared" si="428"/>
        <v>315.80811322025392</v>
      </c>
      <c r="Y520" s="4">
        <f t="shared" si="429"/>
        <v>-1.5676298417387982</v>
      </c>
      <c r="Z520" t="str">
        <f t="shared" si="415"/>
        <v>-21,6545081847766+29,5470503424891i</v>
      </c>
      <c r="AA520" s="4">
        <f t="shared" si="430"/>
        <v>36.632579880021311</v>
      </c>
      <c r="AB520" s="4">
        <f t="shared" si="431"/>
        <v>2.2032517520206358</v>
      </c>
      <c r="AC520" s="47" t="str">
        <f t="shared" si="432"/>
        <v>-0,0637646099219404+0,0588877577733854i</v>
      </c>
      <c r="AD520" s="20">
        <f t="shared" si="433"/>
        <v>-21.229920529063225</v>
      </c>
      <c r="AE520" s="43">
        <f t="shared" si="434"/>
        <v>137.27697137689421</v>
      </c>
      <c r="AF520" t="str">
        <f t="shared" si="416"/>
        <v>405,634542683733</v>
      </c>
      <c r="AG520" t="str">
        <f t="shared" si="417"/>
        <v>1+50643,3168958868i</v>
      </c>
      <c r="AH520">
        <f t="shared" si="435"/>
        <v>50643.31690575977</v>
      </c>
      <c r="AI520">
        <f t="shared" si="436"/>
        <v>1.570776580852862</v>
      </c>
      <c r="AJ520" t="str">
        <f t="shared" si="418"/>
        <v>1+8,55309352019423i</v>
      </c>
      <c r="AK520">
        <f t="shared" si="437"/>
        <v>8.6113534804459455</v>
      </c>
      <c r="AL520">
        <f t="shared" si="438"/>
        <v>1.4544079699914525</v>
      </c>
      <c r="AM520" t="str">
        <f t="shared" si="419"/>
        <v>1-46,0978219023642i</v>
      </c>
      <c r="AN520">
        <f t="shared" si="439"/>
        <v>46.108667126063068</v>
      </c>
      <c r="AO520">
        <f t="shared" si="440"/>
        <v>-1.549106729739185</v>
      </c>
      <c r="AP520" s="41" t="str">
        <f t="shared" si="441"/>
        <v>-0,300657097796792-3,16604676595289i</v>
      </c>
      <c r="AQ520">
        <f t="shared" si="442"/>
        <v>10.049335473720078</v>
      </c>
      <c r="AR520" s="43">
        <f t="shared" si="443"/>
        <v>-95.424707899527348</v>
      </c>
      <c r="AS520" t="str">
        <f t="shared" si="420"/>
        <v>-0,0000166666666666667</v>
      </c>
      <c r="AT520" t="str">
        <f t="shared" si="421"/>
        <v>1,45731554978694i</v>
      </c>
      <c r="AU520">
        <f t="shared" si="444"/>
        <v>1.4573155497869399</v>
      </c>
      <c r="AV520">
        <f t="shared" si="445"/>
        <v>1.5707963267948966</v>
      </c>
      <c r="AW520" t="str">
        <f t="shared" si="422"/>
        <v>1+51,9512435034545i</v>
      </c>
      <c r="AX520">
        <f t="shared" si="446"/>
        <v>51.960867020818881</v>
      </c>
      <c r="AY520">
        <f t="shared" si="447"/>
        <v>1.5515498862024653</v>
      </c>
      <c r="AZ520" t="str">
        <f t="shared" si="423"/>
        <v>1+7671,46695734344i</v>
      </c>
      <c r="BA520">
        <f t="shared" si="448"/>
        <v>7671.4670225200216</v>
      </c>
      <c r="BB520">
        <f t="shared" si="449"/>
        <v>1.570665973630385</v>
      </c>
      <c r="BC520" s="41" t="str">
        <f t="shared" si="450"/>
        <v>-0,0000322752594065039+0,00168817641366312i</v>
      </c>
      <c r="BD520">
        <f t="shared" si="451"/>
        <v>-55.450056318882659</v>
      </c>
      <c r="BE520" s="43">
        <f t="shared" si="452"/>
        <v>91.095271130422887</v>
      </c>
      <c r="BF520" s="41" t="str">
        <f t="shared" si="453"/>
        <v>-0,0000973549044003511-0,000109546528154653i</v>
      </c>
      <c r="BG520" s="20">
        <f t="shared" si="454"/>
        <v>-76.679976847945866</v>
      </c>
      <c r="BH520" s="43">
        <f t="shared" si="455"/>
        <v>-131.62775749268278</v>
      </c>
      <c r="BI520" s="41" t="str">
        <f t="shared" si="460"/>
        <v>0,00535454926065987-0,000405377240436698i</v>
      </c>
      <c r="BJ520" s="20">
        <f t="shared" si="456"/>
        <v>-45.400720845162581</v>
      </c>
      <c r="BK520" s="43">
        <f t="shared" si="461"/>
        <v>-4.3294367691044453</v>
      </c>
      <c r="BL520">
        <f t="shared" si="457"/>
        <v>-76.679976847945866</v>
      </c>
      <c r="BM520" s="43">
        <f t="shared" si="458"/>
        <v>-131.62775749268278</v>
      </c>
    </row>
    <row r="521" spans="14:65" x14ac:dyDescent="0.35">
      <c r="N521" s="9">
        <v>3</v>
      </c>
      <c r="O521" s="34">
        <f t="shared" si="462"/>
        <v>1071519.3052376076</v>
      </c>
      <c r="P521" s="33" t="str">
        <f t="shared" si="411"/>
        <v>59,1053597814893</v>
      </c>
      <c r="Q521" s="4" t="str">
        <f t="shared" si="412"/>
        <v>1+51730,9061623086i</v>
      </c>
      <c r="R521" s="4">
        <f t="shared" si="424"/>
        <v>51730.906171973998</v>
      </c>
      <c r="S521" s="4">
        <f t="shared" si="425"/>
        <v>1.5707769959910491</v>
      </c>
      <c r="T521" s="4" t="str">
        <f t="shared" si="413"/>
        <v>1+8,75232066153668i</v>
      </c>
      <c r="U521" s="4">
        <f t="shared" si="426"/>
        <v>8.8092631339040999</v>
      </c>
      <c r="V521" s="4">
        <f t="shared" si="427"/>
        <v>1.4570342317111147</v>
      </c>
      <c r="W521" t="str">
        <f t="shared" si="414"/>
        <v>1-323,162609041355i</v>
      </c>
      <c r="X521" s="4">
        <f t="shared" si="428"/>
        <v>323.1641562463505</v>
      </c>
      <c r="Y521" s="4">
        <f t="shared" si="429"/>
        <v>-1.5677019192730042</v>
      </c>
      <c r="Z521" t="str">
        <f t="shared" si="415"/>
        <v>-22,7221822623323+30,2352895580358i</v>
      </c>
      <c r="AA521" s="4">
        <f t="shared" si="430"/>
        <v>37.821558685767002</v>
      </c>
      <c r="AB521" s="4">
        <f t="shared" si="431"/>
        <v>2.215264399457848</v>
      </c>
      <c r="AC521" s="47" t="str">
        <f t="shared" si="432"/>
        <v>-0,0626247317555786+0,0589423442675872i</v>
      </c>
      <c r="AD521" s="20">
        <f t="shared" si="433"/>
        <v>-21.309997519305206</v>
      </c>
      <c r="AE521" s="43">
        <f t="shared" si="434"/>
        <v>136.73501555318867</v>
      </c>
      <c r="AF521" t="str">
        <f t="shared" si="416"/>
        <v>405,634542683733</v>
      </c>
      <c r="AG521" t="str">
        <f t="shared" si="417"/>
        <v>1+51822,9512854145i</v>
      </c>
      <c r="AH521">
        <f t="shared" si="435"/>
        <v>51822.951295062732</v>
      </c>
      <c r="AI521">
        <f t="shared" si="436"/>
        <v>1.5707770303253774</v>
      </c>
      <c r="AJ521" t="str">
        <f t="shared" si="418"/>
        <v>1+8,75232066153668i</v>
      </c>
      <c r="AK521">
        <f t="shared" si="437"/>
        <v>8.8092631339040999</v>
      </c>
      <c r="AL521">
        <f t="shared" si="438"/>
        <v>1.4570342317111147</v>
      </c>
      <c r="AM521" t="str">
        <f t="shared" si="419"/>
        <v>1-47,1715781120956i</v>
      </c>
      <c r="AN521">
        <f t="shared" si="439"/>
        <v>47.182176524462463</v>
      </c>
      <c r="AO521">
        <f t="shared" si="440"/>
        <v>-1.5496002956616344</v>
      </c>
      <c r="AP521" s="41" t="str">
        <f t="shared" si="441"/>
        <v>-0,300657104920342-3,23942430543917i</v>
      </c>
      <c r="AQ521">
        <f t="shared" si="442"/>
        <v>10.246606853451583</v>
      </c>
      <c r="AR521" s="43">
        <f t="shared" si="443"/>
        <v>-95.30253918423989</v>
      </c>
      <c r="AS521" t="str">
        <f t="shared" si="420"/>
        <v>-0,0000166666666666667</v>
      </c>
      <c r="AT521" t="str">
        <f t="shared" si="421"/>
        <v>1,49126078963875i</v>
      </c>
      <c r="AU521">
        <f t="shared" si="444"/>
        <v>1.49126078963875</v>
      </c>
      <c r="AV521">
        <f t="shared" si="445"/>
        <v>1.5707963267948966</v>
      </c>
      <c r="AW521" t="str">
        <f t="shared" si="422"/>
        <v>1+53,161343417356i</v>
      </c>
      <c r="AX521">
        <f t="shared" si="446"/>
        <v>53.170747915917644</v>
      </c>
      <c r="AY521">
        <f t="shared" si="447"/>
        <v>1.5519878841602239</v>
      </c>
      <c r="AZ521" t="str">
        <f t="shared" si="423"/>
        <v>1+7850,1583779629i</v>
      </c>
      <c r="BA521">
        <f t="shared" si="448"/>
        <v>7850.1584416558826</v>
      </c>
      <c r="BB521">
        <f t="shared" si="449"/>
        <v>1.570668940830634</v>
      </c>
      <c r="BC521" s="41" t="str">
        <f t="shared" si="450"/>
        <v>-0,0000308231472618861+0,00164977614216033i</v>
      </c>
      <c r="BD521">
        <f t="shared" si="451"/>
        <v>-55.649983925430213</v>
      </c>
      <c r="BE521" s="43">
        <f t="shared" si="452"/>
        <v>91.070345704059193</v>
      </c>
      <c r="BF521" s="41" t="str">
        <f t="shared" si="453"/>
        <v>-0,0000953113820065277-0,000105133576916865i</v>
      </c>
      <c r="BG521" s="20">
        <f t="shared" si="454"/>
        <v>-76.959981444735405</v>
      </c>
      <c r="BH521" s="43">
        <f t="shared" si="455"/>
        <v>-132.19463874275198</v>
      </c>
      <c r="BI521" s="41" t="str">
        <f t="shared" si="460"/>
        <v>0,00535359213166813-0,000396167666258291i</v>
      </c>
      <c r="BJ521" s="20">
        <f t="shared" si="456"/>
        <v>-45.403377071978632</v>
      </c>
      <c r="BK521" s="43">
        <f t="shared" si="461"/>
        <v>-4.2321934801806957</v>
      </c>
      <c r="BL521">
        <f t="shared" si="457"/>
        <v>-76.959981444735405</v>
      </c>
      <c r="BM521" s="43">
        <f t="shared" si="458"/>
        <v>-132.19463874275198</v>
      </c>
    </row>
    <row r="522" spans="14:65" x14ac:dyDescent="0.35">
      <c r="N522" s="9">
        <v>4</v>
      </c>
      <c r="O522" s="34">
        <f t="shared" si="462"/>
        <v>1096478.196143186</v>
      </c>
      <c r="P522" s="33" t="str">
        <f t="shared" si="411"/>
        <v>59,1053597814893</v>
      </c>
      <c r="Q522" s="4" t="str">
        <f t="shared" si="412"/>
        <v>1+52935,8737602237i</v>
      </c>
      <c r="R522" s="4">
        <f t="shared" si="424"/>
        <v>52935.873769669095</v>
      </c>
      <c r="S522" s="4">
        <f t="shared" si="425"/>
        <v>1.5707774360138658</v>
      </c>
      <c r="T522" s="4" t="str">
        <f t="shared" si="413"/>
        <v>1+8,95618839914454i</v>
      </c>
      <c r="U522" s="4">
        <f t="shared" si="426"/>
        <v>9.011842799392987</v>
      </c>
      <c r="V522" s="4">
        <f t="shared" si="427"/>
        <v>1.4596022362722598</v>
      </c>
      <c r="W522" t="str">
        <f t="shared" si="414"/>
        <v>1-330,690033199183i</v>
      </c>
      <c r="X522" s="4">
        <f t="shared" si="428"/>
        <v>330.69154518565597</v>
      </c>
      <c r="Y522" s="4">
        <f t="shared" si="429"/>
        <v>-1.5677723561532928</v>
      </c>
      <c r="Z522" t="str">
        <f t="shared" si="415"/>
        <v>-23,8401742689549+30,9395599243175i</v>
      </c>
      <c r="AA522" s="4">
        <f t="shared" si="430"/>
        <v>39.059061400455754</v>
      </c>
      <c r="AB522" s="4">
        <f t="shared" si="431"/>
        <v>2.2273140775489924</v>
      </c>
      <c r="AC522" s="47" t="str">
        <f t="shared" si="432"/>
        <v>-0,0614745216433917+0,0589772961096648i</v>
      </c>
      <c r="AD522" s="20">
        <f t="shared" si="433"/>
        <v>-21.392166496217055</v>
      </c>
      <c r="AE522" s="43">
        <f t="shared" si="434"/>
        <v>136.18769472978596</v>
      </c>
      <c r="AF522" t="str">
        <f t="shared" si="416"/>
        <v>405,634542683733</v>
      </c>
      <c r="AG522" t="str">
        <f t="shared" si="417"/>
        <v>1+53030,0628896715i</v>
      </c>
      <c r="AH522">
        <f t="shared" si="435"/>
        <v>53030.062899100114</v>
      </c>
      <c r="AI522">
        <f t="shared" si="436"/>
        <v>1.5707774695666492</v>
      </c>
      <c r="AJ522" t="str">
        <f t="shared" si="418"/>
        <v>1+8,95618839914454i</v>
      </c>
      <c r="AK522">
        <f t="shared" si="437"/>
        <v>9.011842799392987</v>
      </c>
      <c r="AL522">
        <f t="shared" si="438"/>
        <v>1.4596022362722598</v>
      </c>
      <c r="AM522" t="str">
        <f t="shared" si="419"/>
        <v>1-48,2703453169316i</v>
      </c>
      <c r="AN522">
        <f t="shared" si="439"/>
        <v>48.28070253233502</v>
      </c>
      <c r="AO522">
        <f t="shared" si="440"/>
        <v>-1.5500826366325948</v>
      </c>
      <c r="AP522" s="41" t="str">
        <f t="shared" si="441"/>
        <v>-0,30065711172328-3,31451943057103i</v>
      </c>
      <c r="AQ522">
        <f t="shared" si="442"/>
        <v>10.443999544300883</v>
      </c>
      <c r="AR522" s="43">
        <f t="shared" si="443"/>
        <v>-95.183064629709293</v>
      </c>
      <c r="AS522" t="str">
        <f t="shared" si="420"/>
        <v>-0,0000166666666666667</v>
      </c>
      <c r="AT522" t="str">
        <f t="shared" si="421"/>
        <v>1,5259967157004i</v>
      </c>
      <c r="AU522">
        <f t="shared" si="444"/>
        <v>1.5259967157004</v>
      </c>
      <c r="AV522">
        <f t="shared" si="445"/>
        <v>1.5707963267948966</v>
      </c>
      <c r="AW522" t="str">
        <f t="shared" si="422"/>
        <v>1+54,399630179211i</v>
      </c>
      <c r="AX522">
        <f t="shared" si="446"/>
        <v>54.4088206418309</v>
      </c>
      <c r="AY522">
        <f t="shared" si="447"/>
        <v>1.5524159190413902</v>
      </c>
      <c r="AZ522" t="str">
        <f t="shared" si="423"/>
        <v>1+8033,01205646348i</v>
      </c>
      <c r="BA522">
        <f t="shared" si="448"/>
        <v>8033.0121187066325</v>
      </c>
      <c r="BB522">
        <f t="shared" si="449"/>
        <v>1.5706718404891615</v>
      </c>
      <c r="BC522" s="41" t="str">
        <f t="shared" si="450"/>
        <v>-0,0000294363457346714+0,00161224814521239i</v>
      </c>
      <c r="BD522">
        <f t="shared" si="451"/>
        <v>-55.84991478909329</v>
      </c>
      <c r="BE522" s="43">
        <f t="shared" si="452"/>
        <v>91.045987250079662</v>
      </c>
      <c r="BF522" s="41" t="str">
        <f t="shared" si="453"/>
        <v>-0,0000932764509894805-0,000100848259576157i</v>
      </c>
      <c r="BG522" s="20">
        <f t="shared" si="454"/>
        <v>-77.242081285310363</v>
      </c>
      <c r="BH522" s="43">
        <f t="shared" si="455"/>
        <v>-132.76631802013443</v>
      </c>
      <c r="BI522" s="41" t="str">
        <f t="shared" si="460"/>
        <v>0,00535267805089684-0,000387166530818198i</v>
      </c>
      <c r="BJ522" s="20">
        <f t="shared" si="456"/>
        <v>-45.405915244792403</v>
      </c>
      <c r="BK522" s="43">
        <f t="shared" si="461"/>
        <v>-4.1370773796296527</v>
      </c>
      <c r="BL522">
        <f t="shared" si="457"/>
        <v>-77.242081285310363</v>
      </c>
      <c r="BM522" s="43">
        <f t="shared" si="458"/>
        <v>-132.76631802013443</v>
      </c>
    </row>
    <row r="523" spans="14:65" x14ac:dyDescent="0.35">
      <c r="N523" s="9">
        <v>5</v>
      </c>
      <c r="O523" s="34">
        <f t="shared" si="462"/>
        <v>1122018.4543019643</v>
      </c>
      <c r="P523" s="33" t="str">
        <f t="shared" si="411"/>
        <v>59,1053597814893</v>
      </c>
      <c r="Q523" s="4" t="str">
        <f t="shared" si="412"/>
        <v>1+54168,9086590955i</v>
      </c>
      <c r="R523" s="4">
        <f t="shared" si="424"/>
        <v>54168.908668325887</v>
      </c>
      <c r="S523" s="4">
        <f t="shared" si="425"/>
        <v>1.5707778660205403</v>
      </c>
      <c r="T523" s="4" t="str">
        <f t="shared" si="413"/>
        <v>1+9,16480482639079i</v>
      </c>
      <c r="U523" s="4">
        <f t="shared" si="426"/>
        <v>9.2191999384890178</v>
      </c>
      <c r="V523" s="4">
        <f t="shared" si="427"/>
        <v>1.4621132097108576</v>
      </c>
      <c r="W523" t="str">
        <f t="shared" si="414"/>
        <v>1-338,392793589814i</v>
      </c>
      <c r="X523" s="4">
        <f t="shared" si="428"/>
        <v>338.39427115942505</v>
      </c>
      <c r="Y523" s="4">
        <f t="shared" si="429"/>
        <v>-1.5678411897234334</v>
      </c>
      <c r="Z523" t="str">
        <f t="shared" si="415"/>
        <v>-25,010855615582+31,6602348548045i</v>
      </c>
      <c r="AA523" s="4">
        <f t="shared" si="430"/>
        <v>40.347408463058287</v>
      </c>
      <c r="AB523" s="4">
        <f t="shared" si="431"/>
        <v>2.2393956991452182</v>
      </c>
      <c r="AC523" s="47" t="str">
        <f t="shared" si="432"/>
        <v>-0,0603150047297301+0,0589919235390693i</v>
      </c>
      <c r="AD523" s="20">
        <f t="shared" si="433"/>
        <v>-21.476452599232793</v>
      </c>
      <c r="AE523" s="43">
        <f t="shared" si="434"/>
        <v>135.63536847252377</v>
      </c>
      <c r="AF523" t="str">
        <f t="shared" si="416"/>
        <v>405,634542683733</v>
      </c>
      <c r="AG523" t="str">
        <f t="shared" si="417"/>
        <v>1+54265,2917352086i</v>
      </c>
      <c r="AH523">
        <f t="shared" si="435"/>
        <v>54265.29174442259</v>
      </c>
      <c r="AI523">
        <f t="shared" si="436"/>
        <v>1.5707778988095691</v>
      </c>
      <c r="AJ523" t="str">
        <f t="shared" si="418"/>
        <v>1+9,16480482639079i</v>
      </c>
      <c r="AK523">
        <f t="shared" si="437"/>
        <v>9.2191999384890178</v>
      </c>
      <c r="AL523">
        <f t="shared" si="438"/>
        <v>1.4621132097108576</v>
      </c>
      <c r="AM523" t="str">
        <f t="shared" si="419"/>
        <v>1-49,3947060977882i</v>
      </c>
      <c r="AN523">
        <f t="shared" si="439"/>
        <v>49.404827603047814</v>
      </c>
      <c r="AO523">
        <f t="shared" si="440"/>
        <v>-1.5505540074973754</v>
      </c>
      <c r="AP523" s="41" t="str">
        <f t="shared" si="441"/>
        <v>-0,300657118220034-3,39137195777781i</v>
      </c>
      <c r="AQ523">
        <f t="shared" si="442"/>
        <v>10.641508216505892</v>
      </c>
      <c r="AR523" s="43">
        <f t="shared" si="443"/>
        <v>-95.066228604153238</v>
      </c>
      <c r="AS523" t="str">
        <f t="shared" si="420"/>
        <v>-0,0000166666666666667</v>
      </c>
      <c r="AT523" t="str">
        <f t="shared" si="421"/>
        <v>1,56154174541966i</v>
      </c>
      <c r="AU523">
        <f t="shared" si="444"/>
        <v>1.5615417454196601</v>
      </c>
      <c r="AV523">
        <f t="shared" si="445"/>
        <v>1.5707963267948966</v>
      </c>
      <c r="AW523" t="str">
        <f t="shared" si="422"/>
        <v>1+55,6667603450513i</v>
      </c>
      <c r="AX523">
        <f t="shared" si="446"/>
        <v>55.675741641341212</v>
      </c>
      <c r="AY523">
        <f t="shared" si="447"/>
        <v>1.5528342171679885</v>
      </c>
      <c r="AZ523" t="str">
        <f t="shared" si="423"/>
        <v>1+8220,12494428589i</v>
      </c>
      <c r="BA523">
        <f t="shared" si="448"/>
        <v>8220.1250051122151</v>
      </c>
      <c r="BB523">
        <f t="shared" si="449"/>
        <v>1.5706746741434048</v>
      </c>
      <c r="BC523" s="41" t="str">
        <f t="shared" si="450"/>
        <v>-0,0000281119193375681+0,00157557268896945i</v>
      </c>
      <c r="BD523">
        <f t="shared" si="451"/>
        <v>-56.049848763376502</v>
      </c>
      <c r="BE523" s="43">
        <f t="shared" si="452"/>
        <v>91.022182889276067</v>
      </c>
      <c r="BF523" s="41" t="str">
        <f t="shared" si="453"/>
        <v>-0,0000912504930501244-0,0000966890503833242i</v>
      </c>
      <c r="BG523" s="20">
        <f t="shared" si="454"/>
        <v>-77.526301362609303</v>
      </c>
      <c r="BH523" s="43">
        <f t="shared" si="455"/>
        <v>-133.34244863820015</v>
      </c>
      <c r="BI523" s="41" t="str">
        <f t="shared" si="460"/>
        <v>0,00535180508346724-0,000378369169291005i</v>
      </c>
      <c r="BJ523" s="20">
        <f t="shared" si="456"/>
        <v>-45.408340546870605</v>
      </c>
      <c r="BK523" s="43">
        <f t="shared" si="461"/>
        <v>-4.0440457148771793</v>
      </c>
      <c r="BL523">
        <f t="shared" si="457"/>
        <v>-77.526301362609303</v>
      </c>
      <c r="BM523" s="43">
        <f t="shared" si="458"/>
        <v>-133.34244863820015</v>
      </c>
    </row>
    <row r="524" spans="14:65" x14ac:dyDescent="0.35">
      <c r="N524" s="9">
        <v>6</v>
      </c>
      <c r="O524" s="34">
        <f t="shared" si="462"/>
        <v>1148153.6214968837</v>
      </c>
      <c r="P524" s="33" t="str">
        <f t="shared" si="411"/>
        <v>59,1053597814893</v>
      </c>
      <c r="Q524" s="4" t="str">
        <f t="shared" si="412"/>
        <v>1+55430,6646303487i</v>
      </c>
      <c r="R524" s="4">
        <f t="shared" si="424"/>
        <v>55430.664639368973</v>
      </c>
      <c r="S524" s="4">
        <f t="shared" si="425"/>
        <v>1.5707782862390678</v>
      </c>
      <c r="T524" s="4" t="str">
        <f t="shared" si="413"/>
        <v>1+9,37828055446653i</v>
      </c>
      <c r="U524" s="4">
        <f t="shared" si="426"/>
        <v>9.4314445425016977</v>
      </c>
      <c r="V524" s="4">
        <f t="shared" si="427"/>
        <v>1.464568356656244</v>
      </c>
      <c r="W524" t="str">
        <f t="shared" si="414"/>
        <v>1-346,274974318765i</v>
      </c>
      <c r="X524" s="4">
        <f t="shared" si="428"/>
        <v>346.27641825492725</v>
      </c>
      <c r="Y524" s="4">
        <f t="shared" si="429"/>
        <v>-1.5679084564772852</v>
      </c>
      <c r="Z524" t="str">
        <f t="shared" si="415"/>
        <v>-26,2367094743059+32,3976964608843i</v>
      </c>
      <c r="AA524" s="4">
        <f t="shared" si="430"/>
        <v>41.68903524922024</v>
      </c>
      <c r="AB524" s="4">
        <f t="shared" si="431"/>
        <v>2.2515040426350188</v>
      </c>
      <c r="AC524" s="47" t="str">
        <f t="shared" si="432"/>
        <v>-0,0591472475882155+0,0589855958873924i</v>
      </c>
      <c r="AD524" s="20">
        <f t="shared" si="433"/>
        <v>-21.562878672053785</v>
      </c>
      <c r="AE524" s="43">
        <f t="shared" si="434"/>
        <v>135.07840287387327</v>
      </c>
      <c r="AF524" t="str">
        <f t="shared" si="416"/>
        <v>405,634542683733</v>
      </c>
      <c r="AG524" t="str">
        <f t="shared" si="417"/>
        <v>1+55529,2927567096i</v>
      </c>
      <c r="AH524">
        <f t="shared" si="435"/>
        <v>55529.292765713864</v>
      </c>
      <c r="AI524">
        <f t="shared" si="436"/>
        <v>1.5707783182817272</v>
      </c>
      <c r="AJ524" t="str">
        <f t="shared" si="418"/>
        <v>1+9,37828055446653i</v>
      </c>
      <c r="AK524">
        <f t="shared" si="437"/>
        <v>9.4314445425016977</v>
      </c>
      <c r="AL524">
        <f t="shared" si="438"/>
        <v>1.464568356656244</v>
      </c>
      <c r="AM524" t="str">
        <f t="shared" si="419"/>
        <v>1-50,5452566056341i</v>
      </c>
      <c r="AN524">
        <f t="shared" si="439"/>
        <v>50.555147762907374</v>
      </c>
      <c r="AO524">
        <f t="shared" si="440"/>
        <v>-1.5510146573446943</v>
      </c>
      <c r="AP524" s="41" t="str">
        <f t="shared" si="441"/>
        <v>-0,300657124424386-3,47002263528672i</v>
      </c>
      <c r="AQ524">
        <f t="shared" si="442"/>
        <v>10.839127768934784</v>
      </c>
      <c r="AR524" s="43">
        <f t="shared" si="443"/>
        <v>-94.951976372167152</v>
      </c>
      <c r="AS524" t="str">
        <f t="shared" si="420"/>
        <v>-0,0000166666666666667</v>
      </c>
      <c r="AT524" t="str">
        <f t="shared" si="421"/>
        <v>1,5979147252418i</v>
      </c>
      <c r="AU524">
        <f t="shared" si="444"/>
        <v>1.5979147252418</v>
      </c>
      <c r="AV524">
        <f t="shared" si="445"/>
        <v>1.5707963267948966</v>
      </c>
      <c r="AW524" t="str">
        <f t="shared" si="422"/>
        <v>1+56,9634057640631i</v>
      </c>
      <c r="AX524">
        <f t="shared" si="446"/>
        <v>56.972182652951751</v>
      </c>
      <c r="AY524">
        <f t="shared" si="447"/>
        <v>1.5532429997413584</v>
      </c>
      <c r="AZ524" t="str">
        <f t="shared" si="423"/>
        <v>1+8411,59625115998i</v>
      </c>
      <c r="BA524">
        <f t="shared" si="448"/>
        <v>8411.5963106017298</v>
      </c>
      <c r="BB524">
        <f t="shared" si="449"/>
        <v>1.5706774432958044</v>
      </c>
      <c r="BC524" s="41" t="str">
        <f t="shared" si="450"/>
        <v>-0,0000268470643524997+0,00153973048067622i</v>
      </c>
      <c r="BD524">
        <f t="shared" si="451"/>
        <v>-56.24978570836938</v>
      </c>
      <c r="BE524" s="43">
        <f t="shared" si="452"/>
        <v>90.99892003382881</v>
      </c>
      <c r="BF524" s="41" t="str">
        <f t="shared" si="453"/>
        <v>-0,0000892339899463939-0,0000926544100483378i</v>
      </c>
      <c r="BG524" s="20">
        <f t="shared" si="454"/>
        <v>-77.812664380423172</v>
      </c>
      <c r="BH524" s="43">
        <f t="shared" si="455"/>
        <v>-133.9226770922979</v>
      </c>
      <c r="BI524" s="41" t="str">
        <f t="shared" si="460"/>
        <v>0,00535097138135484-0,000369771017714517i</v>
      </c>
      <c r="BJ524" s="20">
        <f t="shared" si="456"/>
        <v>-45.410657939434607</v>
      </c>
      <c r="BK524" s="43">
        <f t="shared" si="461"/>
        <v>-3.9530563383383459</v>
      </c>
      <c r="BL524">
        <f t="shared" si="457"/>
        <v>-77.812664380423172</v>
      </c>
      <c r="BM524" s="43">
        <f t="shared" si="458"/>
        <v>-133.9226770922979</v>
      </c>
    </row>
    <row r="525" spans="14:65" x14ac:dyDescent="0.35">
      <c r="N525" s="9">
        <v>7</v>
      </c>
      <c r="O525" s="34">
        <f t="shared" si="462"/>
        <v>1174897.5549395324</v>
      </c>
      <c r="P525" s="33" t="str">
        <f t="shared" si="411"/>
        <v>59,1053597814893</v>
      </c>
      <c r="Q525" s="4" t="str">
        <f t="shared" si="412"/>
        <v>1+56721,8106737006i</v>
      </c>
      <c r="R525" s="4">
        <f t="shared" si="424"/>
        <v>56721.810682515556</v>
      </c>
      <c r="S525" s="4">
        <f t="shared" si="425"/>
        <v>1.5707786968922539</v>
      </c>
      <c r="T525" s="4" t="str">
        <f t="shared" si="413"/>
        <v>1+9,59672877102848i</v>
      </c>
      <c r="U525" s="4">
        <f t="shared" si="426"/>
        <v>9.6486891910085788</v>
      </c>
      <c r="V525" s="4">
        <f t="shared" si="427"/>
        <v>1.4669688604033548</v>
      </c>
      <c r="W525" t="str">
        <f t="shared" si="414"/>
        <v>1-354,34075462259i</v>
      </c>
      <c r="X525" s="4">
        <f t="shared" si="428"/>
        <v>354.34216569088494</v>
      </c>
      <c r="Y525" s="4">
        <f t="shared" si="429"/>
        <v>-1.5679741920781354</v>
      </c>
      <c r="Z525" t="str">
        <f t="shared" si="415"/>
        <v>-27,5203360455143+33,152335754462i</v>
      </c>
      <c r="AA525" s="4">
        <f t="shared" si="430"/>
        <v>43.086497444496608</v>
      </c>
      <c r="AB525" s="4">
        <f t="shared" si="431"/>
        <v>2.2636337652631102</v>
      </c>
      <c r="AC525" s="47" t="str">
        <f t="shared" si="432"/>
        <v>-0,0579723542134344+0,0589577447754512i</v>
      </c>
      <c r="AD525" s="20">
        <f t="shared" si="433"/>
        <v>-21.651465196571845</v>
      </c>
      <c r="AE525" s="43">
        <f t="shared" si="434"/>
        <v>134.517169792847</v>
      </c>
      <c r="AF525" t="str">
        <f t="shared" si="416"/>
        <v>405,634542683733</v>
      </c>
      <c r="AG525" t="str">
        <f t="shared" si="417"/>
        <v>1+56822,7361442475i</v>
      </c>
      <c r="AH525">
        <f t="shared" si="435"/>
        <v>56822.736153046797</v>
      </c>
      <c r="AI525">
        <f t="shared" si="436"/>
        <v>1.5707787282055334</v>
      </c>
      <c r="AJ525" t="str">
        <f t="shared" si="418"/>
        <v>1+9,59672877102848i</v>
      </c>
      <c r="AK525">
        <f t="shared" si="437"/>
        <v>9.6486891910085788</v>
      </c>
      <c r="AL525">
        <f t="shared" si="438"/>
        <v>1.4669688604033548</v>
      </c>
      <c r="AM525" t="str">
        <f t="shared" si="419"/>
        <v>1-51,722606877578i</v>
      </c>
      <c r="AN525">
        <f t="shared" si="439"/>
        <v>51.732272927182308</v>
      </c>
      <c r="AO525">
        <f t="shared" si="440"/>
        <v>-1.5514648296347568</v>
      </c>
      <c r="AP525" s="41" t="str">
        <f t="shared" si="441"/>
        <v>-0,300657130349498-3,55051316472804i</v>
      </c>
      <c r="AQ525">
        <f t="shared" si="442"/>
        <v>11.036853319759869</v>
      </c>
      <c r="AR525" s="43">
        <f t="shared" si="443"/>
        <v>-94.840254097930696</v>
      </c>
      <c r="AS525" t="str">
        <f t="shared" si="420"/>
        <v>-0,0000166666666666667</v>
      </c>
      <c r="AT525" t="str">
        <f t="shared" si="421"/>
        <v>1,63513494060216i</v>
      </c>
      <c r="AU525">
        <f t="shared" si="444"/>
        <v>1.63513494060216</v>
      </c>
      <c r="AV525">
        <f t="shared" si="445"/>
        <v>1.5707963267948966</v>
      </c>
      <c r="AW525" t="str">
        <f t="shared" si="422"/>
        <v>1+58,290253934811i</v>
      </c>
      <c r="AX525">
        <f t="shared" si="446"/>
        <v>58.298831067052703</v>
      </c>
      <c r="AY525">
        <f t="shared" si="447"/>
        <v>1.5536424829566466</v>
      </c>
      <c r="AZ525" t="str">
        <f t="shared" si="423"/>
        <v>1+8607,52749770708i</v>
      </c>
      <c r="BA525">
        <f t="shared" si="448"/>
        <v>8607.5275557957702</v>
      </c>
      <c r="BB525">
        <f t="shared" si="449"/>
        <v>1.5706801494146017</v>
      </c>
      <c r="BC525" s="41" t="str">
        <f t="shared" si="450"/>
        <v>-0,0000256391029307304+0,00150470265917125i</v>
      </c>
      <c r="BD525">
        <f t="shared" si="451"/>
        <v>-56.449725490450355</v>
      </c>
      <c r="BE525" s="43">
        <f t="shared" si="452"/>
        <v>90.976186380792413</v>
      </c>
      <c r="BF525" s="41" t="str">
        <f t="shared" si="453"/>
        <v>-0,0000872275161855463-0,0000887427792302339i</v>
      </c>
      <c r="BG525" s="20">
        <f t="shared" si="454"/>
        <v>-78.101190687022196</v>
      </c>
      <c r="BH525" s="43">
        <f t="shared" si="455"/>
        <v>-134.50664382636057</v>
      </c>
      <c r="BI525" s="41" t="str">
        <f t="shared" si="460"/>
        <v>0,0053501751795007-0,000361367611048311i</v>
      </c>
      <c r="BJ525" s="20">
        <f t="shared" si="456"/>
        <v>-45.412872170690484</v>
      </c>
      <c r="BK525" s="43">
        <f t="shared" si="461"/>
        <v>-3.8640677171382807</v>
      </c>
      <c r="BL525">
        <f t="shared" si="457"/>
        <v>-78.101190687022196</v>
      </c>
      <c r="BM525" s="43">
        <f t="shared" si="458"/>
        <v>-134.50664382636057</v>
      </c>
    </row>
    <row r="526" spans="14:65" x14ac:dyDescent="0.35">
      <c r="N526" s="9">
        <v>8</v>
      </c>
      <c r="O526" s="34">
        <f t="shared" si="462"/>
        <v>1202264.4346174158</v>
      </c>
      <c r="P526" s="33" t="str">
        <f t="shared" si="411"/>
        <v>59,1053597814893</v>
      </c>
      <c r="Q526" s="4" t="str">
        <f t="shared" si="412"/>
        <v>1+58043,0313718735i</v>
      </c>
      <c r="R526" s="4">
        <f t="shared" si="424"/>
        <v>58043.031380487802</v>
      </c>
      <c r="S526" s="4">
        <f t="shared" si="425"/>
        <v>1.5707790981978322</v>
      </c>
      <c r="T526" s="4" t="str">
        <f t="shared" si="413"/>
        <v>1+9,82026530021254i</v>
      </c>
      <c r="U526" s="4">
        <f t="shared" si="426"/>
        <v>9.8710491117488868</v>
      </c>
      <c r="V526" s="4">
        <f t="shared" si="427"/>
        <v>1.4693158830090138</v>
      </c>
      <c r="W526" t="str">
        <f t="shared" si="414"/>
        <v>1-362,594411084771i</v>
      </c>
      <c r="X526" s="4">
        <f t="shared" si="428"/>
        <v>362.59579003335375</v>
      </c>
      <c r="Y526" s="4">
        <f t="shared" si="429"/>
        <v>-1.5680384313775955</v>
      </c>
      <c r="Z526" t="str">
        <f t="shared" si="415"/>
        <v>-28,8644580732631+33,9245528552797i</v>
      </c>
      <c r="AA526" s="4">
        <f t="shared" si="430"/>
        <v>44.542476651998477</v>
      </c>
      <c r="AB526" s="4">
        <f t="shared" si="431"/>
        <v>2.2757794171347747</v>
      </c>
      <c r="AC526" s="47" t="str">
        <f t="shared" si="432"/>
        <v>-0,0567914617096705+0,0589078669839348i</v>
      </c>
      <c r="AD526" s="20">
        <f t="shared" si="433"/>
        <v>-21.742230234494873</v>
      </c>
      <c r="AE526" s="43">
        <f t="shared" si="434"/>
        <v>133.95204605703779</v>
      </c>
      <c r="AF526" t="str">
        <f t="shared" si="416"/>
        <v>405,634542683733</v>
      </c>
      <c r="AG526" t="str">
        <f t="shared" si="417"/>
        <v>1+58146,3076986268i</v>
      </c>
      <c r="AH526">
        <f t="shared" si="435"/>
        <v>58146.307707225809</v>
      </c>
      <c r="AI526">
        <f t="shared" si="436"/>
        <v>1.5707791287983346</v>
      </c>
      <c r="AJ526" t="str">
        <f t="shared" si="418"/>
        <v>1+9,82026530021254i</v>
      </c>
      <c r="AK526">
        <f t="shared" si="437"/>
        <v>9.8710491117488868</v>
      </c>
      <c r="AL526">
        <f t="shared" si="438"/>
        <v>1.4693158830090138</v>
      </c>
      <c r="AM526" t="str">
        <f t="shared" si="419"/>
        <v>1-52,9273811603179i</v>
      </c>
      <c r="AN526">
        <f t="shared" si="439"/>
        <v>52.936827223489459</v>
      </c>
      <c r="AO526">
        <f t="shared" si="440"/>
        <v>-1.5519047623246136</v>
      </c>
      <c r="AP526" s="41" t="str">
        <f t="shared" si="441"/>
        <v>-0,300657136007935-3,63288622324586i</v>
      </c>
      <c r="AQ526">
        <f t="shared" si="442"/>
        <v>11.234680197469755</v>
      </c>
      <c r="AR526" s="43">
        <f t="shared" si="443"/>
        <v>-94.731008846880073</v>
      </c>
      <c r="AS526" t="str">
        <f t="shared" si="420"/>
        <v>-0,0000166666666666667</v>
      </c>
      <c r="AT526" t="str">
        <f t="shared" si="421"/>
        <v>1,6732221261516i</v>
      </c>
      <c r="AU526">
        <f t="shared" si="444"/>
        <v>1.6732221261516</v>
      </c>
      <c r="AV526">
        <f t="shared" si="445"/>
        <v>1.5707963267948966</v>
      </c>
      <c r="AW526" t="str">
        <f t="shared" si="422"/>
        <v>1+59,6480083697578i</v>
      </c>
      <c r="AX526">
        <f t="shared" si="446"/>
        <v>59.656390290384621</v>
      </c>
      <c r="AY526">
        <f t="shared" si="447"/>
        <v>1.5540328781148312</v>
      </c>
      <c r="AZ526" t="str">
        <f t="shared" si="423"/>
        <v>1+8808,02256926755i</v>
      </c>
      <c r="BA526">
        <f t="shared" si="448"/>
        <v>8808.0226260339787</v>
      </c>
      <c r="BB526">
        <f t="shared" si="449"/>
        <v>1.5706827939346162</v>
      </c>
      <c r="BC526" s="41" t="str">
        <f t="shared" si="450"/>
        <v>-0,0000244854774558307+0,00147047078556645i</v>
      </c>
      <c r="BD526">
        <f t="shared" si="451"/>
        <v>-56.649667982004686</v>
      </c>
      <c r="BE526" s="43">
        <f t="shared" si="452"/>
        <v>90.953969905721777</v>
      </c>
      <c r="BF526" s="41" t="str">
        <f t="shared" si="453"/>
        <v>-0,0000852317313845347-0,0000849525725626923i</v>
      </c>
      <c r="BG526" s="20">
        <f t="shared" si="454"/>
        <v>-78.391898216499555</v>
      </c>
      <c r="BH526" s="43">
        <f t="shared" si="455"/>
        <v>-135.09398403724043</v>
      </c>
      <c r="BI526" s="41" t="str">
        <f t="shared" si="460"/>
        <v>0,00534941479209553-0,000353154581252863i</v>
      </c>
      <c r="BJ526" s="20">
        <f t="shared" si="456"/>
        <v>-45.414987784534937</v>
      </c>
      <c r="BK526" s="43">
        <f t="shared" si="461"/>
        <v>-3.7770389411582985</v>
      </c>
      <c r="BL526">
        <f t="shared" si="457"/>
        <v>-78.391898216499555</v>
      </c>
      <c r="BM526" s="43">
        <f t="shared" si="458"/>
        <v>-135.09398403724043</v>
      </c>
    </row>
    <row r="527" spans="14:65" x14ac:dyDescent="0.35">
      <c r="N527" s="9">
        <v>9</v>
      </c>
      <c r="O527" s="34">
        <f t="shared" si="462"/>
        <v>1230268.770812382</v>
      </c>
      <c r="P527" s="33" t="str">
        <f t="shared" si="411"/>
        <v>59,1053597814893</v>
      </c>
      <c r="Q527" s="4" t="str">
        <f t="shared" si="412"/>
        <v>1+59395,02725357i</v>
      </c>
      <c r="R527" s="4">
        <f t="shared" si="424"/>
        <v>59395.027261988209</v>
      </c>
      <c r="S527" s="4">
        <f t="shared" si="425"/>
        <v>1.5707794903685803</v>
      </c>
      <c r="T527" s="4" t="str">
        <f t="shared" si="413"/>
        <v>1+10,0490086640453i</v>
      </c>
      <c r="U527" s="4">
        <f t="shared" si="426"/>
        <v>10.098642241908436</v>
      </c>
      <c r="V527" s="4">
        <f t="shared" si="427"/>
        <v>1.4716105654102283</v>
      </c>
      <c r="W527" t="str">
        <f t="shared" si="414"/>
        <v>1-371,040319903213i</v>
      </c>
      <c r="X527" s="4">
        <f t="shared" si="428"/>
        <v>371.04166746320914</v>
      </c>
      <c r="Y527" s="4">
        <f t="shared" si="429"/>
        <v>-1.5681012084340709</v>
      </c>
      <c r="Z527" t="str">
        <f t="shared" si="415"/>
        <v>-30,2719266205829+34,7147572030657i</v>
      </c>
      <c r="AA527" s="4">
        <f t="shared" si="430"/>
        <v>46.059786245593436</v>
      </c>
      <c r="AB527" s="4">
        <f t="shared" si="431"/>
        <v>2.2879354558288068</v>
      </c>
      <c r="AC527" s="47" t="str">
        <f t="shared" si="432"/>
        <v>-0,0556057357084781+0,0588355269647337i</v>
      </c>
      <c r="AD527" s="20">
        <f t="shared" si="433"/>
        <v>-21.835189377244831</v>
      </c>
      <c r="AE527" s="43">
        <f t="shared" si="434"/>
        <v>133.38341263106949</v>
      </c>
      <c r="AF527" t="str">
        <f t="shared" si="416"/>
        <v>405,634542683733</v>
      </c>
      <c r="AG527" t="str">
        <f t="shared" si="417"/>
        <v>1+59500,7091950052i</v>
      </c>
      <c r="AH527">
        <f t="shared" si="435"/>
        <v>59500.709203408464</v>
      </c>
      <c r="AI527">
        <f t="shared" si="436"/>
        <v>1.5707795202725301</v>
      </c>
      <c r="AJ527" t="str">
        <f t="shared" si="418"/>
        <v>1+10,0490086640453i</v>
      </c>
      <c r="AK527">
        <f t="shared" si="437"/>
        <v>10.098642241908436</v>
      </c>
      <c r="AL527">
        <f t="shared" si="438"/>
        <v>1.4716105654102283</v>
      </c>
      <c r="AM527" t="str">
        <f t="shared" si="419"/>
        <v>1-54,1602182411256i</v>
      </c>
      <c r="AN527">
        <f t="shared" si="439"/>
        <v>54.169449322716517</v>
      </c>
      <c r="AO527">
        <f t="shared" si="440"/>
        <v>-1.5523346879908502</v>
      </c>
      <c r="AP527" s="41" t="str">
        <f t="shared" si="441"/>
        <v>-0,300657141411701-3,71718548612616i</v>
      </c>
      <c r="AQ527">
        <f t="shared" si="442"/>
        <v>11.432603932211459</v>
      </c>
      <c r="AR527" s="43">
        <f t="shared" si="443"/>
        <v>-94.624188585966451</v>
      </c>
      <c r="AS527" t="str">
        <f t="shared" si="420"/>
        <v>-0,0000166666666666667</v>
      </c>
      <c r="AT527" t="str">
        <f t="shared" si="421"/>
        <v>1,71219647622003i</v>
      </c>
      <c r="AU527">
        <f t="shared" si="444"/>
        <v>1.7121964762200299</v>
      </c>
      <c r="AV527">
        <f t="shared" si="445"/>
        <v>1.5707963267948966</v>
      </c>
      <c r="AW527" t="str">
        <f t="shared" si="422"/>
        <v>1+61,0373889682768i</v>
      </c>
      <c r="AX527">
        <f t="shared" si="446"/>
        <v>61.045580118995659</v>
      </c>
      <c r="AY527">
        <f t="shared" si="447"/>
        <v>1.554414391732323</v>
      </c>
      <c r="AZ527" t="str">
        <f t="shared" si="423"/>
        <v>1+9013,18777098219i</v>
      </c>
      <c r="BA527">
        <f t="shared" si="448"/>
        <v>9013.1878264564566</v>
      </c>
      <c r="BB527">
        <f t="shared" si="449"/>
        <v>1.5706853782580075</v>
      </c>
      <c r="BC527" s="41" t="str">
        <f t="shared" si="450"/>
        <v>-0,0000233837451578892+0,00143701683410535i</v>
      </c>
      <c r="BD527">
        <f t="shared" si="451"/>
        <v>-56.849613061154415</v>
      </c>
      <c r="BE527" s="43">
        <f t="shared" si="452"/>
        <v>90.932258856435951</v>
      </c>
      <c r="BF527" s="41" t="str">
        <f t="shared" si="453"/>
        <v>-0,0000832473723386576-0,0000812821732546695i</v>
      </c>
      <c r="BG527" s="20">
        <f t="shared" si="454"/>
        <v>-78.684802438399245</v>
      </c>
      <c r="BH527" s="43">
        <f t="shared" si="455"/>
        <v>-135.68432851249455</v>
      </c>
      <c r="BI527" s="41" t="str">
        <f t="shared" si="460"/>
        <v>0,00534868860903004-0,000345127655390429i</v>
      </c>
      <c r="BJ527" s="20">
        <f t="shared" si="456"/>
        <v>-45.417009128942958</v>
      </c>
      <c r="BK527" s="43">
        <f t="shared" si="461"/>
        <v>-3.6919297295305102</v>
      </c>
      <c r="BL527">
        <f t="shared" si="457"/>
        <v>-78.684802438399245</v>
      </c>
      <c r="BM527" s="43">
        <f t="shared" si="458"/>
        <v>-135.68432851249455</v>
      </c>
    </row>
    <row r="528" spans="14:65" x14ac:dyDescent="0.35">
      <c r="N528" s="9">
        <v>10</v>
      </c>
      <c r="O528" s="34">
        <f t="shared" si="462"/>
        <v>1258925.4117941677</v>
      </c>
      <c r="P528" s="33" t="str">
        <f t="shared" si="411"/>
        <v>59,1053597814893</v>
      </c>
      <c r="Q528" s="4" t="str">
        <f t="shared" si="412"/>
        <v>1+60778,5151649026i</v>
      </c>
      <c r="R528" s="4">
        <f t="shared" si="424"/>
        <v>60778.515173129184</v>
      </c>
      <c r="S528" s="4">
        <f t="shared" si="425"/>
        <v>1.5707798736124325</v>
      </c>
      <c r="T528" s="4" t="str">
        <f t="shared" si="413"/>
        <v>1+10,2830801452862i</v>
      </c>
      <c r="U528" s="4">
        <f t="shared" si="426"/>
        <v>10.331589290829328</v>
      </c>
      <c r="V528" s="4">
        <f t="shared" si="427"/>
        <v>1.4738540275625596</v>
      </c>
      <c r="W528" t="str">
        <f t="shared" si="414"/>
        <v>1-379,682959210566i</v>
      </c>
      <c r="X528" s="4">
        <f t="shared" si="428"/>
        <v>379.68427609645931</v>
      </c>
      <c r="Y528" s="4">
        <f t="shared" si="429"/>
        <v>-1.5681625565308071</v>
      </c>
      <c r="Z528" t="str">
        <f t="shared" si="415"/>
        <v>-31,7457271169652+35,5233677746249i</v>
      </c>
      <c r="AA528" s="4">
        <f t="shared" si="430"/>
        <v>47.641377480464172</v>
      </c>
      <c r="AB528" s="4">
        <f t="shared" si="431"/>
        <v>2.3000962615351068</v>
      </c>
      <c r="AC528" s="47" t="str">
        <f t="shared" si="432"/>
        <v>-0,0544163655509095+0,0587403589636555i</v>
      </c>
      <c r="AD528" s="20">
        <f t="shared" si="433"/>
        <v>-21.930355704631801</v>
      </c>
      <c r="AE528" s="43">
        <f t="shared" si="434"/>
        <v>132.81165375616655</v>
      </c>
      <c r="AF528" t="str">
        <f t="shared" si="416"/>
        <v>405,634542683733</v>
      </c>
      <c r="AG528" t="str">
        <f t="shared" si="417"/>
        <v>1+60886,6587549838i</v>
      </c>
      <c r="AH528">
        <f t="shared" si="435"/>
        <v>60886.658763195781</v>
      </c>
      <c r="AI528">
        <f t="shared" si="436"/>
        <v>1.5707799028356852</v>
      </c>
      <c r="AJ528" t="str">
        <f t="shared" si="418"/>
        <v>1+10,2830801452862i</v>
      </c>
      <c r="AK528">
        <f t="shared" si="437"/>
        <v>10.331589290829328</v>
      </c>
      <c r="AL528">
        <f t="shared" si="438"/>
        <v>1.4738540275625596</v>
      </c>
      <c r="AM528" t="str">
        <f t="shared" si="419"/>
        <v>1-55,4217717865401i</v>
      </c>
      <c r="AN528">
        <f t="shared" si="439"/>
        <v>55.430792777655022</v>
      </c>
      <c r="AO528">
        <f t="shared" si="440"/>
        <v>-1.5527548339496544</v>
      </c>
      <c r="AP528" s="41" t="str">
        <f t="shared" si="441"/>
        <v>-0,300657146572257-3,80345564995402i</v>
      </c>
      <c r="AQ528">
        <f t="shared" si="442"/>
        <v>11.630620247453363</v>
      </c>
      <c r="AR528" s="43">
        <f t="shared" si="443"/>
        <v>-94.519742182613669</v>
      </c>
      <c r="AS528" t="str">
        <f t="shared" si="420"/>
        <v>-0,0000166666666666667</v>
      </c>
      <c r="AT528" t="str">
        <f t="shared" si="421"/>
        <v>1,75207865552376i</v>
      </c>
      <c r="AU528">
        <f t="shared" si="444"/>
        <v>1.75207865552376</v>
      </c>
      <c r="AV528">
        <f t="shared" si="445"/>
        <v>1.5707963267948966</v>
      </c>
      <c r="AW528" t="str">
        <f t="shared" si="422"/>
        <v>1+62,4591323983522i</v>
      </c>
      <c r="AX528">
        <f t="shared" si="446"/>
        <v>62.467137119888001</v>
      </c>
      <c r="AY528">
        <f t="shared" si="447"/>
        <v>1.5547872256481949</v>
      </c>
      <c r="AZ528" t="str">
        <f t="shared" si="423"/>
        <v>1+9223,13188415666i</v>
      </c>
      <c r="BA528">
        <f t="shared" si="448"/>
        <v>9223.1319383681803</v>
      </c>
      <c r="BB528">
        <f t="shared" si="449"/>
        <v>1.5706879037550181</v>
      </c>
      <c r="BC528" s="41" t="str">
        <f t="shared" si="450"/>
        <v>-0,0000223315729678795+0,00140432318319802i</v>
      </c>
      <c r="BD528">
        <f t="shared" si="451"/>
        <v>-57.049560611501128</v>
      </c>
      <c r="BE528" s="43">
        <f t="shared" si="452"/>
        <v>90.911041746917022</v>
      </c>
      <c r="BF528" s="41" t="str">
        <f t="shared" si="453"/>
        <v>-0,0000812752448440881-0,0000777299283008766i</v>
      </c>
      <c r="BG528" s="20">
        <f t="shared" si="454"/>
        <v>-78.979916316132929</v>
      </c>
      <c r="BH528" s="43">
        <f t="shared" si="455"/>
        <v>-136.27730449691643</v>
      </c>
      <c r="BI528" s="41" t="str">
        <f t="shared" si="460"/>
        <v>0,00534799509250292-0,000337282653748544i</v>
      </c>
      <c r="BJ528" s="20">
        <f t="shared" si="456"/>
        <v>-45.418940364047764</v>
      </c>
      <c r="BK528" s="43">
        <f t="shared" si="461"/>
        <v>-3.6087004356966466</v>
      </c>
      <c r="BL528">
        <f t="shared" si="457"/>
        <v>-78.979916316132929</v>
      </c>
      <c r="BM528" s="43">
        <f t="shared" si="458"/>
        <v>-136.27730449691643</v>
      </c>
    </row>
    <row r="529" spans="14:65" x14ac:dyDescent="0.35">
      <c r="N529" s="9">
        <v>11</v>
      </c>
      <c r="O529" s="34">
        <f t="shared" si="462"/>
        <v>1288249.5516931366</v>
      </c>
      <c r="P529" s="33" t="str">
        <f t="shared" si="411"/>
        <v>59,1053597814893</v>
      </c>
      <c r="Q529" s="4" t="str">
        <f t="shared" si="412"/>
        <v>1+62194,2286494744i</v>
      </c>
      <c r="R529" s="4">
        <f t="shared" si="424"/>
        <v>62194.228657513726</v>
      </c>
      <c r="S529" s="4">
        <f t="shared" si="425"/>
        <v>1.5707802481325894</v>
      </c>
      <c r="T529" s="4" t="str">
        <f t="shared" si="413"/>
        <v>1+10,5226038517327i</v>
      </c>
      <c r="U529" s="4">
        <f t="shared" si="426"/>
        <v>10.570013804177357</v>
      </c>
      <c r="V529" s="4">
        <f t="shared" si="427"/>
        <v>1.4760473685967559</v>
      </c>
      <c r="W529" t="str">
        <f t="shared" si="414"/>
        <v>1-388,526911448593i</v>
      </c>
      <c r="X529" s="4">
        <f t="shared" si="428"/>
        <v>388.52819835860413</v>
      </c>
      <c r="Y529" s="4">
        <f t="shared" si="429"/>
        <v>-1.568222508193529</v>
      </c>
      <c r="Z529" t="str">
        <f t="shared" si="415"/>
        <v>-33,2889856908588+36,3508133059857i</v>
      </c>
      <c r="AA529" s="4">
        <f t="shared" si="430"/>
        <v>49.290345873536218</v>
      </c>
      <c r="AB529" s="4">
        <f t="shared" si="431"/>
        <v>2.3122561526269676</v>
      </c>
      <c r="AC529" s="47" t="str">
        <f t="shared" si="432"/>
        <v>-0,0532245592736952+0,0586220687293713i</v>
      </c>
      <c r="AD529" s="20">
        <f t="shared" si="433"/>
        <v>-22.027739752737304</v>
      </c>
      <c r="AE529" s="43">
        <f t="shared" si="434"/>
        <v>132.23715606588331</v>
      </c>
      <c r="AF529" t="str">
        <f t="shared" si="416"/>
        <v>405,634542683733</v>
      </c>
      <c r="AG529" t="str">
        <f t="shared" si="417"/>
        <v>1+62304,8912273646i</v>
      </c>
      <c r="AH529">
        <f t="shared" si="435"/>
        <v>62304.891235389652</v>
      </c>
      <c r="AI529">
        <f t="shared" si="436"/>
        <v>1.5707802766906398</v>
      </c>
      <c r="AJ529" t="str">
        <f t="shared" si="418"/>
        <v>1+10,5226038517327i</v>
      </c>
      <c r="AK529">
        <f t="shared" si="437"/>
        <v>10.570013804177357</v>
      </c>
      <c r="AL529">
        <f t="shared" si="438"/>
        <v>1.4760473685967559</v>
      </c>
      <c r="AM529" t="str">
        <f t="shared" si="419"/>
        <v>1-56,7127106889498i</v>
      </c>
      <c r="AN529">
        <f t="shared" si="439"/>
        <v>56.721526369523247</v>
      </c>
      <c r="AO529">
        <f t="shared" si="440"/>
        <v>-1.5531654223743125</v>
      </c>
      <c r="AP529" s="41" t="str">
        <f t="shared" si="441"/>
        <v>-0,300657151500549-3,89174245631212i</v>
      </c>
      <c r="AQ529">
        <f t="shared" si="442"/>
        <v>11.828725051960058</v>
      </c>
      <c r="AR529" s="43">
        <f t="shared" si="443"/>
        <v>-94.417619402482245</v>
      </c>
      <c r="AS529" t="str">
        <f t="shared" si="420"/>
        <v>-0,0000166666666666667</v>
      </c>
      <c r="AT529" t="str">
        <f t="shared" si="421"/>
        <v>1,79288981012215i</v>
      </c>
      <c r="AU529">
        <f t="shared" si="444"/>
        <v>1.79288981012215</v>
      </c>
      <c r="AV529">
        <f t="shared" si="445"/>
        <v>1.5707963267948966</v>
      </c>
      <c r="AW529" t="str">
        <f t="shared" si="422"/>
        <v>1+63,9139924871697i</v>
      </c>
      <c r="AX529">
        <f t="shared" si="446"/>
        <v>63.921815021555716</v>
      </c>
      <c r="AY529">
        <f t="shared" si="447"/>
        <v>1.5551515771290796</v>
      </c>
      <c r="AZ529" t="str">
        <f t="shared" si="423"/>
        <v>1+9437,96622393872i</v>
      </c>
      <c r="BA529">
        <f t="shared" si="448"/>
        <v>9437.9662769162333</v>
      </c>
      <c r="BB529">
        <f t="shared" si="449"/>
        <v>1.5706903717646994</v>
      </c>
      <c r="BC529" s="41" t="str">
        <f t="shared" si="450"/>
        <v>-0,0000213267326015695+0,00137237260663093i</v>
      </c>
      <c r="BD529">
        <f t="shared" si="451"/>
        <v>-57.24951052187982</v>
      </c>
      <c r="BE529" s="43">
        <f t="shared" si="452"/>
        <v>90.890307351341519</v>
      </c>
      <c r="BF529" s="41" t="str">
        <f t="shared" si="453"/>
        <v>-0,0000793162153247583-0,0000742941443315657i</v>
      </c>
      <c r="BG529" s="20">
        <f t="shared" si="454"/>
        <v>-79.277250274617117</v>
      </c>
      <c r="BH529" s="43">
        <f t="shared" si="455"/>
        <v>-136.8725365827751</v>
      </c>
      <c r="BI529" s="41" t="str">
        <f t="shared" si="460"/>
        <v>0,00534733277378012-0,000329615487987095i</v>
      </c>
      <c r="BJ529" s="20">
        <f t="shared" si="456"/>
        <v>-45.420785469919764</v>
      </c>
      <c r="BK529" s="43">
        <f t="shared" si="461"/>
        <v>-3.5273120511407123</v>
      </c>
      <c r="BL529">
        <f t="shared" si="457"/>
        <v>-79.277250274617117</v>
      </c>
      <c r="BM529" s="43">
        <f t="shared" si="458"/>
        <v>-136.8725365827751</v>
      </c>
    </row>
    <row r="530" spans="14:65" x14ac:dyDescent="0.35">
      <c r="N530" s="9">
        <v>12</v>
      </c>
      <c r="O530" s="34">
        <f t="shared" si="462"/>
        <v>1318256.7385564097</v>
      </c>
      <c r="P530" s="33" t="str">
        <f t="shared" si="411"/>
        <v>59,1053597814893</v>
      </c>
      <c r="Q530" s="4" t="str">
        <f t="shared" si="412"/>
        <v>1+63642,9183373142i</v>
      </c>
      <c r="R530" s="4">
        <f t="shared" si="424"/>
        <v>63642.918345170532</v>
      </c>
      <c r="S530" s="4">
        <f t="shared" si="425"/>
        <v>1.5707806141276268</v>
      </c>
      <c r="T530" s="4" t="str">
        <f t="shared" si="413"/>
        <v>1+10,7677067820246i</v>
      </c>
      <c r="U530" s="4">
        <f t="shared" si="426"/>
        <v>10.814042229603997</v>
      </c>
      <c r="V530" s="4">
        <f t="shared" si="427"/>
        <v>1.478191666991971</v>
      </c>
      <c r="W530" t="str">
        <f t="shared" si="414"/>
        <v>1-397,57686579783i</v>
      </c>
      <c r="X530" s="4">
        <f t="shared" si="428"/>
        <v>397.57812341428661</v>
      </c>
      <c r="Y530" s="4">
        <f t="shared" si="429"/>
        <v>-1.5682810952076771</v>
      </c>
      <c r="Z530" t="str">
        <f t="shared" si="415"/>
        <v>-34,9049758006071+37,1975325197212i</v>
      </c>
      <c r="AA530" s="4">
        <f t="shared" si="430"/>
        <v>51.009937867014528</v>
      </c>
      <c r="AB530" s="4">
        <f t="shared" si="431"/>
        <v>2.3244094015728916</v>
      </c>
      <c r="AC530" s="47" t="str">
        <f t="shared" si="432"/>
        <v>-0,0520315384417072+0,058480434788046i</v>
      </c>
      <c r="AD530" s="20">
        <f t="shared" si="433"/>
        <v>-22.127349491356725</v>
      </c>
      <c r="AE530" s="43">
        <f t="shared" si="434"/>
        <v>131.66030768335665</v>
      </c>
      <c r="AF530" t="str">
        <f t="shared" si="416"/>
        <v>405,634542683733</v>
      </c>
      <c r="AG530" t="str">
        <f t="shared" si="417"/>
        <v>1+63756,1585777769i</v>
      </c>
      <c r="AH530">
        <f t="shared" si="435"/>
        <v>63756.158585619276</v>
      </c>
      <c r="AI530">
        <f t="shared" si="436"/>
        <v>1.5707806420356165</v>
      </c>
      <c r="AJ530" t="str">
        <f t="shared" si="418"/>
        <v>1+10,7677067820246i</v>
      </c>
      <c r="AK530">
        <f t="shared" si="437"/>
        <v>10.814042229603997</v>
      </c>
      <c r="AL530">
        <f t="shared" si="438"/>
        <v>1.478191666991971</v>
      </c>
      <c r="AM530" t="str">
        <f t="shared" si="419"/>
        <v>1-58,0337194212482i</v>
      </c>
      <c r="AN530">
        <f t="shared" si="439"/>
        <v>58.042334462564142</v>
      </c>
      <c r="AO530">
        <f t="shared" si="440"/>
        <v>-1.5535666704101794</v>
      </c>
      <c r="AP530" s="41" t="str">
        <f t="shared" si="441"/>
        <v>-0,300657156207032-3,98209271603388i</v>
      </c>
      <c r="AQ530">
        <f t="shared" si="442"/>
        <v>12.026914432072056</v>
      </c>
      <c r="AR530" s="43">
        <f t="shared" si="443"/>
        <v>-94.317770906138051</v>
      </c>
      <c r="AS530" t="str">
        <f t="shared" si="420"/>
        <v>-0,0000166666666666667</v>
      </c>
      <c r="AT530" t="str">
        <f t="shared" si="421"/>
        <v>1,83465157862957i</v>
      </c>
      <c r="AU530">
        <f t="shared" si="444"/>
        <v>1.8346515786295701</v>
      </c>
      <c r="AV530">
        <f t="shared" si="445"/>
        <v>1.5707963267948966</v>
      </c>
      <c r="AW530" t="str">
        <f t="shared" si="422"/>
        <v>1+65,4027406208056i</v>
      </c>
      <c r="AX530">
        <f t="shared" si="446"/>
        <v>65.410385113622254</v>
      </c>
      <c r="AY530">
        <f t="shared" si="447"/>
        <v>1.5555076389717859</v>
      </c>
      <c r="AZ530" t="str">
        <f t="shared" si="423"/>
        <v>1+9657,80469833895i</v>
      </c>
      <c r="BA530">
        <f t="shared" si="448"/>
        <v>9657.8047501105502</v>
      </c>
      <c r="BB530">
        <f t="shared" si="449"/>
        <v>1.570692783595623</v>
      </c>
      <c r="BC530" s="41" t="str">
        <f t="shared" si="450"/>
        <v>-0,0000203670958628254+0,00134114826494965i</v>
      </c>
      <c r="BD530">
        <f t="shared" si="451"/>
        <v>-57.449462686123468</v>
      </c>
      <c r="BE530" s="43">
        <f t="shared" si="452"/>
        <v>90.870044698241642</v>
      </c>
      <c r="BF530" s="41" t="str">
        <f t="shared" si="453"/>
        <v>-0,0000773712023181565-0,0000709730841251845i</v>
      </c>
      <c r="BG530" s="20">
        <f t="shared" si="454"/>
        <v>-79.576812177480193</v>
      </c>
      <c r="BH530" s="43">
        <f t="shared" si="455"/>
        <v>-137.46964761840172</v>
      </c>
      <c r="BI530" s="41" t="str">
        <f t="shared" si="460"/>
        <v>0,00534670025009979-0,000322122159309636i</v>
      </c>
      <c r="BJ530" s="20">
        <f t="shared" si="456"/>
        <v>-45.422548254051414</v>
      </c>
      <c r="BK530" s="43">
        <f t="shared" si="461"/>
        <v>-3.447726207896419</v>
      </c>
      <c r="BL530">
        <f t="shared" si="457"/>
        <v>-79.576812177480193</v>
      </c>
      <c r="BM530" s="43">
        <f t="shared" si="458"/>
        <v>-137.46964761840172</v>
      </c>
    </row>
    <row r="531" spans="14:65" x14ac:dyDescent="0.35">
      <c r="N531" s="9">
        <v>13</v>
      </c>
      <c r="O531" s="34">
        <f t="shared" si="462"/>
        <v>1348962.8825916562</v>
      </c>
      <c r="P531" s="33" t="str">
        <f t="shared" ref="P531:P560" si="463">COMPLEX(Adc,0)</f>
        <v>59,1053597814893</v>
      </c>
      <c r="Q531" s="4" t="str">
        <f t="shared" ref="Q531:Q560" si="464">IMSUM(COMPLEX(1,0),IMDIV(COMPLEX(0,2*PI()*O531),COMPLEX(wp_lf,0)))</f>
        <v>1+65125,3523428698i</v>
      </c>
      <c r="R531" s="4">
        <f t="shared" si="424"/>
        <v>65125.352350547299</v>
      </c>
      <c r="S531" s="4">
        <f t="shared" si="425"/>
        <v>1.5707809717915999</v>
      </c>
      <c r="T531" s="4" t="str">
        <f t="shared" ref="T531:T560" si="465">IMSUM(COMPLEX(1,0),IMDIV(COMPLEX(0,2*PI()*O531),COMPLEX(wz_esr,0)))</f>
        <v>1+11,0185188929797i</v>
      </c>
      <c r="U531" s="4">
        <f t="shared" si="426"/>
        <v>11.06380398393566</v>
      </c>
      <c r="V531" s="4">
        <f t="shared" si="427"/>
        <v>1.4802879807639562</v>
      </c>
      <c r="W531" t="str">
        <f t="shared" ref="W531:W560" si="466">IMSUB(COMPLEX(1,0),IMDIV(COMPLEX(0,2*PI()*O531),COMPLEX(wz_rhp,0)))</f>
        <v>1-406,837620663865i</v>
      </c>
      <c r="X531" s="4">
        <f t="shared" si="428"/>
        <v>406.83884965356356</v>
      </c>
      <c r="Y531" s="4">
        <f t="shared" si="429"/>
        <v>-1.5683383486352518</v>
      </c>
      <c r="Z531" t="str">
        <f t="shared" ref="Z531:Z560" si="467">IMSUM(COMPLEX(1,0),IMDIV(COMPLEX(0,2*PI()*O531),COMPLEX(Q*(wsl/2),0)),IMDIV(IMPOWER(COMPLEX(0,2*PI()*O531),2),IMPOWER(COMPLEX(wsl/2,0),2)))</f>
        <v>-36,5971251778923+38,0639743575661i</v>
      </c>
      <c r="AA531" s="4">
        <f t="shared" si="430"/>
        <v>52.803557789033192</v>
      </c>
      <c r="AB531" s="4">
        <f t="shared" si="431"/>
        <v>2.3365502510887444</v>
      </c>
      <c r="AC531" s="47" t="str">
        <f t="shared" si="432"/>
        <v>-0,0508385328713585+0,058315309268084i</v>
      </c>
      <c r="AD531" s="20">
        <f t="shared" si="433"/>
        <v>-22.229190311270024</v>
      </c>
      <c r="AE531" s="43">
        <f t="shared" si="434"/>
        <v>131.08149730566589</v>
      </c>
      <c r="AF531" t="str">
        <f t="shared" ref="AF531:AF560" si="468">COMPLEX($B$72,0)</f>
        <v>405,634542683733</v>
      </c>
      <c r="AG531" t="str">
        <f t="shared" ref="AG531:AG560" si="469">IMSUM(COMPLEX(1,0),IMDIV(COMPLEX(0,2*PI()*O531),COMPLEX(wp_lf_DCM,0)))</f>
        <v>1+65241,2302873795i</v>
      </c>
      <c r="AH531">
        <f t="shared" si="435"/>
        <v>65241.230295043359</v>
      </c>
      <c r="AI531">
        <f t="shared" si="436"/>
        <v>1.5707809990643262</v>
      </c>
      <c r="AJ531" t="str">
        <f t="shared" ref="AJ531:AJ560" si="470">IMSUM(COMPLEX(1,0),IMDIV(COMPLEX(0,2*PI()*O531),COMPLEX(wz1_dcm,0)))</f>
        <v>1+11,0185188929797i</v>
      </c>
      <c r="AK531">
        <f t="shared" si="437"/>
        <v>11.06380398393566</v>
      </c>
      <c r="AL531">
        <f t="shared" si="438"/>
        <v>1.4802879807639562</v>
      </c>
      <c r="AM531" t="str">
        <f t="shared" ref="AM531:AM560" si="471">IMSUB(COMPLEX(1,0),IMDIV(COMPLEX(0,2*PI()*O531),COMPLEX(wz2_dcm,0)))</f>
        <v>1-59,3854983997507i</v>
      </c>
      <c r="AN531">
        <f t="shared" si="439"/>
        <v>59.393917366905448</v>
      </c>
      <c r="AO531">
        <f t="shared" si="440"/>
        <v>-1.5539587902871703</v>
      </c>
      <c r="AP531" s="41" t="str">
        <f t="shared" si="441"/>
        <v>-0,300657160701688-4,07455433402288i</v>
      </c>
      <c r="AQ531">
        <f t="shared" si="442"/>
        <v>12.225184644278748</v>
      </c>
      <c r="AR531" s="43">
        <f t="shared" si="443"/>
        <v>-94.220148244721159</v>
      </c>
      <c r="AS531" t="str">
        <f t="shared" ref="AS531:AS560" si="472">COMPLEX(Adc_ea,0)</f>
        <v>-0,0000166666666666667</v>
      </c>
      <c r="AT531" t="str">
        <f t="shared" ref="AT531:AT560" si="473">COMPLEX(0,2*PI()*O531*wp0_ea)</f>
        <v>1,87738610368846i</v>
      </c>
      <c r="AU531">
        <f t="shared" si="444"/>
        <v>1.87738610368846</v>
      </c>
      <c r="AV531">
        <f t="shared" si="445"/>
        <v>1.5707963267948966</v>
      </c>
      <c r="AW531" t="str">
        <f t="shared" ref="AW531:AW560" si="474">IMSUM(COMPLEX(1,0),IMDIV(COMPLEX(0,2*PI()*O531),COMPLEX(wp1_ea,0)))</f>
        <v>1+66,9261661532261i</v>
      </c>
      <c r="AX531">
        <f t="shared" si="446"/>
        <v>66.933636655789343</v>
      </c>
      <c r="AY531">
        <f t="shared" si="447"/>
        <v>1.555855599603676</v>
      </c>
      <c r="AZ531" t="str">
        <f t="shared" ref="AZ531:AZ560" si="475">IMSUM(COMPLEX(1,0),IMDIV(COMPLEX(0,2*PI()*O531),COMPLEX(wz_ea,0)))</f>
        <v>1+9882,76386862638i</v>
      </c>
      <c r="BA531">
        <f t="shared" si="448"/>
        <v>9882.7639192195147</v>
      </c>
      <c r="BB531">
        <f t="shared" si="449"/>
        <v>1.5706951405265732</v>
      </c>
      <c r="BC531" s="41" t="str">
        <f t="shared" si="450"/>
        <v>-0,0000194506301565932+0,00131063369701213i</v>
      </c>
      <c r="BD531">
        <f t="shared" si="451"/>
        <v>-57.649417002838973</v>
      </c>
      <c r="BE531" s="43">
        <f t="shared" si="452"/>
        <v>90.850243064793673</v>
      </c>
      <c r="BF531" s="41" t="str">
        <f t="shared" si="453"/>
        <v>-0,0000754411678778501-0,0000677649638009021i</v>
      </c>
      <c r="BG531" s="20">
        <f t="shared" si="454"/>
        <v>-79.87860731410899</v>
      </c>
      <c r="BH531" s="43">
        <f t="shared" si="455"/>
        <v>-138.06825962954048</v>
      </c>
      <c r="BI531" s="41" t="str">
        <f t="shared" si="460"/>
        <v>0,00534609618171394-0,000314798756659601i</v>
      </c>
      <c r="BJ531" s="20">
        <f t="shared" si="456"/>
        <v>-45.424232358560232</v>
      </c>
      <c r="BK531" s="43">
        <f t="shared" si="461"/>
        <v>-3.3699051799274833</v>
      </c>
      <c r="BL531">
        <f t="shared" si="457"/>
        <v>-79.87860731410899</v>
      </c>
      <c r="BM531" s="43">
        <f t="shared" si="458"/>
        <v>-138.06825962954048</v>
      </c>
    </row>
    <row r="532" spans="14:65" x14ac:dyDescent="0.35">
      <c r="N532" s="9">
        <v>14</v>
      </c>
      <c r="O532" s="34">
        <f t="shared" si="462"/>
        <v>1380384.2646028849</v>
      </c>
      <c r="P532" s="33" t="str">
        <f t="shared" si="463"/>
        <v>59,1053597814893</v>
      </c>
      <c r="Q532" s="4" t="str">
        <f t="shared" si="464"/>
        <v>1+66642,3166722735i</v>
      </c>
      <c r="R532" s="4">
        <f t="shared" ref="R532:R560" si="476">IMABS(Q532)</f>
        <v>66642.316679776253</v>
      </c>
      <c r="S532" s="4">
        <f t="shared" ref="S532:S560" si="477">IMARGUMENT(Q532)</f>
        <v>1.5707813213141473</v>
      </c>
      <c r="T532" s="4" t="str">
        <f t="shared" si="465"/>
        <v>1+11,2751731684992i</v>
      </c>
      <c r="U532" s="4">
        <f t="shared" ref="U532:U560" si="478">IMABS(T532)</f>
        <v>11.319431521929193</v>
      </c>
      <c r="V532" s="4">
        <f t="shared" ref="V532:V560" si="479">IMARGUMENT(T532)</f>
        <v>1.4823373476667692</v>
      </c>
      <c r="W532" t="str">
        <f t="shared" si="466"/>
        <v>1-416,314086221508i</v>
      </c>
      <c r="X532" s="4">
        <f t="shared" ref="X532:X560" si="480">IMABS(W532)</f>
        <v>416.31528723606726</v>
      </c>
      <c r="Y532" s="4">
        <f t="shared" ref="Y532:Y560" si="481">IMARGUMENT(W532)</f>
        <v>-1.5683942988312762</v>
      </c>
      <c r="Z532" t="str">
        <f t="shared" si="467"/>
        <v>-38,3690230984142+38,9505982184516i</v>
      </c>
      <c r="AA532" s="4">
        <f t="shared" ref="AA532:AA560" si="482">IMABS(Z532)</f>
        <v>54.674775126212339</v>
      </c>
      <c r="AB532" s="4">
        <f t="shared" ref="AB532:AB560" si="483">IMARGUMENT(Z532)</f>
        <v>2.3486729304281551</v>
      </c>
      <c r="AC532" s="47" t="str">
        <f t="shared" ref="AC532:AC560" si="484">(IMDIV(IMPRODUCT(P532,T532,W532),IMPRODUCT(Q532,Z532)))</f>
        <v>-0,0496467752913361+0,0581266182647211i</v>
      </c>
      <c r="AD532" s="20">
        <f t="shared" ref="AD532:AD560" si="485">20*LOG(IMABS(AC532))</f>
        <v>-22.333265021517651</v>
      </c>
      <c r="AE532" s="43">
        <f t="shared" ref="AE532:AE560" si="486">(180/PI())*IMARGUMENT(AC532)</f>
        <v>130.50111328107022</v>
      </c>
      <c r="AF532" t="str">
        <f t="shared" si="468"/>
        <v>405,634542683733</v>
      </c>
      <c r="AG532" t="str">
        <f t="shared" si="469"/>
        <v>1+66760,8937608503i</v>
      </c>
      <c r="AH532">
        <f t="shared" ref="AH532:AH560" si="487">IMABS(AG532)</f>
        <v>66760.893768339723</v>
      </c>
      <c r="AI532">
        <f t="shared" ref="AI532:AI560" si="488">IMARGUMENT(AG532)</f>
        <v>1.5707813479660704</v>
      </c>
      <c r="AJ532" t="str">
        <f t="shared" si="470"/>
        <v>1+11,2751731684992i</v>
      </c>
      <c r="AK532">
        <f t="shared" ref="AK532:AK560" si="489">IMABS(AJ532)</f>
        <v>11.319431521929193</v>
      </c>
      <c r="AL532">
        <f t="shared" ref="AL532:AL560" si="490">IMARGUMENT(AJ532)</f>
        <v>1.4823373476667692</v>
      </c>
      <c r="AM532" t="str">
        <f t="shared" si="471"/>
        <v>1-60,7687643555647i</v>
      </c>
      <c r="AN532">
        <f t="shared" ref="AN532:AN560" si="491">IMABS(AM532)</f>
        <v>60.776991709874473</v>
      </c>
      <c r="AO532">
        <f t="shared" ref="AO532:AO560" si="492">IMARGUMENT(AM532)</f>
        <v>-1.5543419894298256</v>
      </c>
      <c r="AP532" s="41" t="str">
        <f t="shared" ref="AP532:AP560" si="493">(IMDIV(IMPRODUCT(AF532,AJ532,AM532),IMPRODUCT(AG532)))</f>
        <v>-0,300657164994052-4,16917633465285i</v>
      </c>
      <c r="AQ532">
        <f t="shared" ref="AQ532:AQ560" si="494">20*LOG(IMABS(AP532))</f>
        <v>12.42353210807833</v>
      </c>
      <c r="AR532" s="43">
        <f t="shared" ref="AR532:AR560" si="495">(180/PI())*IMARGUMENT(AP532)</f>
        <v>-94.124703854700783</v>
      </c>
      <c r="AS532" t="str">
        <f t="shared" si="472"/>
        <v>-0,0000166666666666667</v>
      </c>
      <c r="AT532" t="str">
        <f t="shared" si="473"/>
        <v>1,92111604370967i</v>
      </c>
      <c r="AU532">
        <f t="shared" ref="AU532:AU560" si="496">IMABS(AT532)</f>
        <v>1.9211160437096699</v>
      </c>
      <c r="AV532">
        <f t="shared" ref="AV532:AV560" si="497">IMARGUMENT(AT532)</f>
        <v>1.5707963267948966</v>
      </c>
      <c r="AW532" t="str">
        <f t="shared" si="474"/>
        <v>1+68,4850768248136i</v>
      </c>
      <c r="AX532">
        <f t="shared" ref="AX532:AX560" si="498">IMABS(AW532)</f>
        <v>68.492377296313933</v>
      </c>
      <c r="AY532">
        <f t="shared" ref="AY532:AY560" si="499">IMARGUMENT(AW532)</f>
        <v>1.5561956431808506</v>
      </c>
      <c r="AZ532" t="str">
        <f t="shared" si="475"/>
        <v>1+10112,9630111308i</v>
      </c>
      <c r="BA532">
        <f t="shared" ref="BA532:BA560" si="500">IMABS(AZ532)</f>
        <v>10112.963060572292</v>
      </c>
      <c r="BB532">
        <f t="shared" ref="BB532:BB560" si="501">IMARGUMENT(AZ532)</f>
        <v>1.5706974438072263</v>
      </c>
      <c r="BC532" s="41" t="str">
        <f t="shared" ref="BC532:BC560" si="502">IMPRODUCT(AS532,IMDIV(AZ532,IMPRODUCT(AT532,AW532)))</f>
        <v>-0,0000185753942022794+0,00128081281171059i</v>
      </c>
      <c r="BD532">
        <f t="shared" ref="BD532:BD560" si="503">20*LOG(IMABS(BC532))</f>
        <v>-57.849373375192243</v>
      </c>
      <c r="BE532" s="43">
        <f t="shared" ref="BE532:BE560" si="504">(180/PI())*IMARGUMENT(BC532)</f>
        <v>90.830891971231495</v>
      </c>
      <c r="BF532" s="41" t="str">
        <f t="shared" ref="BF532:BF560" si="505">IMPRODUCT(AC532,BC532)</f>
        <v>-0,000073527108952957-0,0000646679507011726i</v>
      </c>
      <c r="BG532" s="20">
        <f t="shared" ref="BG532:BG560" si="506">20*LOG(IMABS(BF532))</f>
        <v>-80.182638396709905</v>
      </c>
      <c r="BH532" s="43">
        <f t="shared" ref="BH532:BH560" si="507">(180/PI())*IMARGUMENT(BF532)</f>
        <v>-138.66799474769826</v>
      </c>
      <c r="BI532" s="41" t="str">
        <f t="shared" si="460"/>
        <v>0,00534551928906347-0,000307641454941975i</v>
      </c>
      <c r="BJ532" s="20">
        <f t="shared" ref="BJ532:BJ560" si="508">20*LOG(IMABS(BI532))</f>
        <v>-45.425841267113903</v>
      </c>
      <c r="BK532" s="43">
        <f t="shared" si="461"/>
        <v>-3.2938118834692838</v>
      </c>
      <c r="BL532">
        <f t="shared" ref="BL532:BL560" si="509">IF($B$31=0,BJ532,BG532)</f>
        <v>-80.182638396709905</v>
      </c>
      <c r="BM532" s="43">
        <f t="shared" ref="BM532:BM560" si="510">IF($B$31=0,BK532,BH532)</f>
        <v>-138.66799474769826</v>
      </c>
    </row>
    <row r="533" spans="14:65" x14ac:dyDescent="0.35">
      <c r="N533" s="9">
        <v>15</v>
      </c>
      <c r="O533" s="34">
        <f t="shared" si="462"/>
        <v>1412537.5446227565</v>
      </c>
      <c r="P533" s="33" t="str">
        <f t="shared" si="463"/>
        <v>59,1053597814893</v>
      </c>
      <c r="Q533" s="4" t="str">
        <f t="shared" si="464"/>
        <v>1+68194,6156400925i</v>
      </c>
      <c r="R533" s="4">
        <f t="shared" si="476"/>
        <v>68194.615647424464</v>
      </c>
      <c r="S533" s="4">
        <f t="shared" si="477"/>
        <v>1.57078166288059</v>
      </c>
      <c r="T533" s="4" t="str">
        <f t="shared" si="465"/>
        <v>1+11,5378056900772i</v>
      </c>
      <c r="U533" s="4">
        <f t="shared" si="478"/>
        <v>11.581060406628479</v>
      </c>
      <c r="V533" s="4">
        <f t="shared" si="479"/>
        <v>1.4843407854065913</v>
      </c>
      <c r="W533" t="str">
        <f t="shared" si="466"/>
        <v>1-426,011287018236i</v>
      </c>
      <c r="X533" s="4">
        <f t="shared" si="480"/>
        <v>426.01246069444244</v>
      </c>
      <c r="Y533" s="4">
        <f t="shared" si="481"/>
        <v>-1.5684489754598827</v>
      </c>
      <c r="Z533" t="str">
        <f t="shared" si="467"/>
        <v>-40,2244279952249+39,8578742020849i</v>
      </c>
      <c r="AA533" s="4">
        <f t="shared" si="482"/>
        <v>56.627332123739137</v>
      </c>
      <c r="AB533" s="4">
        <f t="shared" si="483"/>
        <v>2.3607716717073544</v>
      </c>
      <c r="AC533" s="47" t="str">
        <f t="shared" si="484"/>
        <v>-0,0484574959880423+0,0579143617396733i</v>
      </c>
      <c r="AD533" s="20">
        <f t="shared" si="485"/>
        <v>-22.439573856768892</v>
      </c>
      <c r="AE533" s="43">
        <f t="shared" si="486"/>
        <v>129.91954268498765</v>
      </c>
      <c r="AF533" t="str">
        <f t="shared" si="468"/>
        <v>405,634542683733</v>
      </c>
      <c r="AG533" t="str">
        <f t="shared" si="469"/>
        <v>1+68315,9547438781i</v>
      </c>
      <c r="AH533">
        <f t="shared" si="487"/>
        <v>68315.95475119703</v>
      </c>
      <c r="AI533">
        <f t="shared" si="488"/>
        <v>1.5707816889258412</v>
      </c>
      <c r="AJ533" t="str">
        <f t="shared" si="470"/>
        <v>1+11,5378056900772i</v>
      </c>
      <c r="AK533">
        <f t="shared" si="489"/>
        <v>11.581060406628479</v>
      </c>
      <c r="AL533">
        <f t="shared" si="490"/>
        <v>1.4843407854065913</v>
      </c>
      <c r="AM533" t="str">
        <f t="shared" si="471"/>
        <v>1-62,18425071461i</v>
      </c>
      <c r="AN533">
        <f t="shared" si="491"/>
        <v>62.192290815964277</v>
      </c>
      <c r="AO533">
        <f t="shared" si="492"/>
        <v>-1.5547164705649881</v>
      </c>
      <c r="AP533" s="41" t="str">
        <f t="shared" si="493"/>
        <v>-0,300657169093228-4,26600888776106i</v>
      </c>
      <c r="AQ533">
        <f t="shared" si="494"/>
        <v>12.621953399114485</v>
      </c>
      <c r="AR533" s="43">
        <f t="shared" si="495"/>
        <v>-94.031391051799659</v>
      </c>
      <c r="AS533" t="str">
        <f t="shared" si="472"/>
        <v>-0,0000166666666666667</v>
      </c>
      <c r="AT533" t="str">
        <f t="shared" si="473"/>
        <v>1,96586458488623i</v>
      </c>
      <c r="AU533">
        <f t="shared" si="496"/>
        <v>1.9658645848862299</v>
      </c>
      <c r="AV533">
        <f t="shared" si="497"/>
        <v>1.5707963267948966</v>
      </c>
      <c r="AW533" t="str">
        <f t="shared" si="474"/>
        <v>1+70,0802991906409i</v>
      </c>
      <c r="AX533">
        <f t="shared" si="498"/>
        <v>70.087433500234155</v>
      </c>
      <c r="AY533">
        <f t="shared" si="499"/>
        <v>1.5565279496841815</v>
      </c>
      <c r="AZ533" t="str">
        <f t="shared" si="475"/>
        <v>1+10348,5241804846i</v>
      </c>
      <c r="BA533">
        <f t="shared" si="500"/>
        <v>10348.524228800667</v>
      </c>
      <c r="BB533">
        <f t="shared" si="501"/>
        <v>1.5706996946588117</v>
      </c>
      <c r="BC533" s="41" t="str">
        <f t="shared" si="502"/>
        <v>-0,0000177395339386382+0,00125166987985953i</v>
      </c>
      <c r="BD533">
        <f t="shared" si="503"/>
        <v>-58.049331710703882</v>
      </c>
      <c r="BE533" s="43">
        <f t="shared" si="504"/>
        <v>90.81198117538203</v>
      </c>
      <c r="BF533" s="41" t="str">
        <f t="shared" si="505"/>
        <v>-0,0000716300488061769-0,0000616801619672621i</v>
      </c>
      <c r="BG533" s="20">
        <f t="shared" si="506"/>
        <v>-80.488905567472784</v>
      </c>
      <c r="BH533" s="43">
        <f t="shared" si="507"/>
        <v>-139.26847613963028</v>
      </c>
      <c r="BI533" s="41" t="str">
        <f t="shared" si="460"/>
        <v>0,0053449683500786-0,000300646513270858i</v>
      </c>
      <c r="BJ533" s="20">
        <f t="shared" si="508"/>
        <v>-45.427378311589386</v>
      </c>
      <c r="BK533" s="43">
        <f t="shared" si="461"/>
        <v>-3.2194098764176351</v>
      </c>
      <c r="BL533">
        <f t="shared" si="509"/>
        <v>-80.488905567472784</v>
      </c>
      <c r="BM533" s="43">
        <f t="shared" si="510"/>
        <v>-139.26847613963028</v>
      </c>
    </row>
    <row r="534" spans="14:65" x14ac:dyDescent="0.35">
      <c r="N534" s="9">
        <v>16</v>
      </c>
      <c r="O534" s="34">
        <f t="shared" si="462"/>
        <v>1445439.7707459298</v>
      </c>
      <c r="P534" s="33" t="str">
        <f t="shared" si="463"/>
        <v>59,1053597814893</v>
      </c>
      <c r="Q534" s="4" t="str">
        <f t="shared" si="464"/>
        <v>1+69783,0722957862i</v>
      </c>
      <c r="R534" s="4">
        <f t="shared" si="476"/>
        <v>69783.072302951259</v>
      </c>
      <c r="S534" s="4">
        <f t="shared" si="477"/>
        <v>1.5707819966720311</v>
      </c>
      <c r="T534" s="4" t="str">
        <f t="shared" si="465"/>
        <v>1+11,806555708953i</v>
      </c>
      <c r="U534" s="4">
        <f t="shared" si="478"/>
        <v>11.848829381361295</v>
      </c>
      <c r="V534" s="4">
        <f t="shared" si="479"/>
        <v>1.4862992918663744</v>
      </c>
      <c r="W534" t="str">
        <f t="shared" si="466"/>
        <v>1-435,934364638266i</v>
      </c>
      <c r="X534" s="4">
        <f t="shared" si="480"/>
        <v>435.93551159841144</v>
      </c>
      <c r="Y534" s="4">
        <f t="shared" si="481"/>
        <v>-1.5685024075100353</v>
      </c>
      <c r="Z534" t="str">
        <f t="shared" si="467"/>
        <v>-42,1672754308687+40,7862833582013i</v>
      </c>
      <c r="AA534" s="4">
        <f t="shared" si="482"/>
        <v>58.665151729440126</v>
      </c>
      <c r="AB534" s="4">
        <f t="shared" si="483"/>
        <v>2.3728407261602262</v>
      </c>
      <c r="AC534" s="47" t="str">
        <f t="shared" si="484"/>
        <v>-0,0472719174833968+0,0576786129566319i</v>
      </c>
      <c r="AD534" s="20">
        <f t="shared" si="485"/>
        <v>-22.548114494776549</v>
      </c>
      <c r="AE534" s="43">
        <f t="shared" si="486"/>
        <v>129.33717040061399</v>
      </c>
      <c r="AF534" t="str">
        <f t="shared" si="468"/>
        <v>405,634542683733</v>
      </c>
      <c r="AG534" t="str">
        <f t="shared" si="469"/>
        <v>1+69907,2377503797i</v>
      </c>
      <c r="AH534">
        <f t="shared" si="487"/>
        <v>69907.237757532042</v>
      </c>
      <c r="AI534">
        <f t="shared" si="488"/>
        <v>1.5707820221244202</v>
      </c>
      <c r="AJ534" t="str">
        <f t="shared" si="470"/>
        <v>1+11,806555708953i</v>
      </c>
      <c r="AK534">
        <f t="shared" si="489"/>
        <v>11.848829381361295</v>
      </c>
      <c r="AL534">
        <f t="shared" si="490"/>
        <v>1.4862992918663744</v>
      </c>
      <c r="AM534" t="str">
        <f t="shared" si="471"/>
        <v>1-63,6327079864899i</v>
      </c>
      <c r="AN534">
        <f t="shared" si="491"/>
        <v>63.640565095651809</v>
      </c>
      <c r="AO534">
        <f t="shared" si="492"/>
        <v>-1.5550824318271446</v>
      </c>
      <c r="AP534" s="41" t="str">
        <f t="shared" si="493"/>
        <v>-0,300657173007909-4,36510333524883i</v>
      </c>
      <c r="AQ534">
        <f t="shared" si="494"/>
        <v>12.820445242580956</v>
      </c>
      <c r="AR534" s="43">
        <f t="shared" si="495"/>
        <v>-93.940164024164147</v>
      </c>
      <c r="AS534" t="str">
        <f t="shared" si="472"/>
        <v>-0,0000166666666666667</v>
      </c>
      <c r="AT534" t="str">
        <f t="shared" si="473"/>
        <v>2,01165545348699i</v>
      </c>
      <c r="AU534">
        <f t="shared" si="496"/>
        <v>2.0116554534869899</v>
      </c>
      <c r="AV534">
        <f t="shared" si="497"/>
        <v>1.5707963267948966</v>
      </c>
      <c r="AW534" t="str">
        <f t="shared" si="474"/>
        <v>1+71,7126790587215i</v>
      </c>
      <c r="AX534">
        <f t="shared" si="498"/>
        <v>71.719650987572393</v>
      </c>
      <c r="AY534">
        <f t="shared" si="499"/>
        <v>1.5568526950132409</v>
      </c>
      <c r="AZ534" t="str">
        <f t="shared" si="475"/>
        <v>1+10589,5722743379i</v>
      </c>
      <c r="BA534">
        <f t="shared" si="500"/>
        <v>10589.57232155416</v>
      </c>
      <c r="BB534">
        <f t="shared" si="501"/>
        <v>1.5707018942747606</v>
      </c>
      <c r="BC534" s="41" t="str">
        <f t="shared" si="502"/>
        <v>-0,0000169412786116802+0,00122318952624779i</v>
      </c>
      <c r="BD534">
        <f t="shared" si="503"/>
        <v>-58.249291921053171</v>
      </c>
      <c r="BE534" s="43">
        <f t="shared" si="504"/>
        <v>90.793500667320785</v>
      </c>
      <c r="BF534" s="41" t="str">
        <f t="shared" si="505"/>
        <v>-0,0000697510285324577-0,0000587996638033743i</v>
      </c>
      <c r="BG534" s="20">
        <f t="shared" si="506"/>
        <v>-80.797406415829727</v>
      </c>
      <c r="BH534" s="43">
        <f t="shared" si="507"/>
        <v>-139.86932893206526</v>
      </c>
      <c r="BI534" s="41" t="str">
        <f t="shared" si="460"/>
        <v>0,00534444219760019-0,000293810273243319i</v>
      </c>
      <c r="BJ534" s="20">
        <f t="shared" si="508"/>
        <v>-45.428846678472219</v>
      </c>
      <c r="BK534" s="43">
        <f t="shared" si="461"/>
        <v>-3.1466633568433653</v>
      </c>
      <c r="BL534">
        <f t="shared" si="509"/>
        <v>-80.797406415829727</v>
      </c>
      <c r="BM534" s="43">
        <f t="shared" si="510"/>
        <v>-139.86932893206526</v>
      </c>
    </row>
    <row r="535" spans="14:65" x14ac:dyDescent="0.35">
      <c r="N535" s="9">
        <v>17</v>
      </c>
      <c r="O535" s="34">
        <f t="shared" si="462"/>
        <v>1479108.3881682095</v>
      </c>
      <c r="P535" s="33" t="str">
        <f t="shared" si="463"/>
        <v>59,1053597814893</v>
      </c>
      <c r="Q535" s="4" t="str">
        <f t="shared" si="464"/>
        <v>1+71408,5288600992i</v>
      </c>
      <c r="R535" s="4">
        <f t="shared" si="476"/>
        <v>71408.528867101166</v>
      </c>
      <c r="S535" s="4">
        <f t="shared" si="477"/>
        <v>1.5707823228654516</v>
      </c>
      <c r="T535" s="4" t="str">
        <f t="shared" si="465"/>
        <v>1+12,0815657199439i</v>
      </c>
      <c r="U535" s="4">
        <f t="shared" si="478"/>
        <v>12.122880443414575</v>
      </c>
      <c r="V535" s="4">
        <f t="shared" si="479"/>
        <v>1.488213845340103</v>
      </c>
      <c r="W535" t="str">
        <f t="shared" si="466"/>
        <v>1-446,0885804287i</v>
      </c>
      <c r="X535" s="4">
        <f t="shared" si="480"/>
        <v>446.08970128091136</v>
      </c>
      <c r="Y535" s="4">
        <f t="shared" si="481"/>
        <v>-1.5685546233108929</v>
      </c>
      <c r="Z535" t="str">
        <f t="shared" si="467"/>
        <v>-44,2016864452388+41,7363179416245i</v>
      </c>
      <c r="AA535" s="4">
        <f t="shared" si="482"/>
        <v>60.792345899196668</v>
      </c>
      <c r="AB535" s="4">
        <f t="shared" si="483"/>
        <v>2.3848743802201042</v>
      </c>
      <c r="AC535" s="47" t="str">
        <f t="shared" si="484"/>
        <v>-0,0460912492921813+0,0574195174589512i</v>
      </c>
      <c r="AD535" s="20">
        <f t="shared" si="485"/>
        <v>-22.658882083820178</v>
      </c>
      <c r="AE535" s="43">
        <f t="shared" si="486"/>
        <v>128.75437821003996</v>
      </c>
      <c r="AF535" t="str">
        <f t="shared" si="468"/>
        <v>405,634542683733</v>
      </c>
      <c r="AG535" t="str">
        <f t="shared" si="469"/>
        <v>1+71535,586499668i</v>
      </c>
      <c r="AH535">
        <f t="shared" si="487"/>
        <v>71535.58650665755</v>
      </c>
      <c r="AI535">
        <f t="shared" si="488"/>
        <v>1.5707823477384735</v>
      </c>
      <c r="AJ535" t="str">
        <f t="shared" si="470"/>
        <v>1+12,0815657199439i</v>
      </c>
      <c r="AK535">
        <f t="shared" si="489"/>
        <v>12.122880443414575</v>
      </c>
      <c r="AL535">
        <f t="shared" si="490"/>
        <v>1.488213845340103</v>
      </c>
      <c r="AM535" t="str">
        <f t="shared" si="471"/>
        <v>1-65,1149041624226i</v>
      </c>
      <c r="AN535">
        <f t="shared" si="491"/>
        <v>65.122582443277537</v>
      </c>
      <c r="AO535">
        <f t="shared" si="492"/>
        <v>-1.5554400668614774</v>
      </c>
      <c r="AP535" s="41" t="str">
        <f t="shared" si="493"/>
        <v>-0,300657176746402-4,46651221830392i</v>
      </c>
      <c r="AQ535">
        <f t="shared" si="494"/>
        <v>13.01900450688678</v>
      </c>
      <c r="AR535" s="43">
        <f t="shared" si="495"/>
        <v>-93.850977824851682</v>
      </c>
      <c r="AS535" t="str">
        <f t="shared" si="472"/>
        <v>-0,0000166666666666667</v>
      </c>
      <c r="AT535" t="str">
        <f t="shared" si="473"/>
        <v>2,0585129284366i</v>
      </c>
      <c r="AU535">
        <f t="shared" si="496"/>
        <v>2.0585129284365999</v>
      </c>
      <c r="AV535">
        <f t="shared" si="497"/>
        <v>1.5707963267948966</v>
      </c>
      <c r="AW535" t="str">
        <f t="shared" si="474"/>
        <v>1+73,3830819384685i</v>
      </c>
      <c r="AX535">
        <f t="shared" si="498"/>
        <v>73.389895181748145</v>
      </c>
      <c r="AY535">
        <f t="shared" si="499"/>
        <v>1.557170051078163</v>
      </c>
      <c r="AZ535" t="str">
        <f t="shared" si="475"/>
        <v>1+10836,2350995805i</v>
      </c>
      <c r="BA535">
        <f t="shared" si="500"/>
        <v>10836.235145721988</v>
      </c>
      <c r="BB535">
        <f t="shared" si="501"/>
        <v>1.5707040438213387</v>
      </c>
      <c r="BC535" s="41" t="str">
        <f t="shared" si="502"/>
        <v>-0,0000161789370374701+0,00119535672185208i</v>
      </c>
      <c r="BD535">
        <f t="shared" si="503"/>
        <v>-58.449253921891625</v>
      </c>
      <c r="BE535" s="43">
        <f t="shared" si="504"/>
        <v>90.775440664144668</v>
      </c>
      <c r="BF535" s="41" t="str">
        <f t="shared" si="505"/>
        <v>-0,0000678910987397836-0,0000560244714176591i</v>
      </c>
      <c r="BG535" s="20">
        <f t="shared" si="506"/>
        <v>-81.108136005711799</v>
      </c>
      <c r="BH535" s="43">
        <f t="shared" si="507"/>
        <v>-140.47018112581537</v>
      </c>
      <c r="BI535" s="41" t="str">
        <f t="shared" si="460"/>
        <v>0,00534393971691648-0,00028712915723985i</v>
      </c>
      <c r="BJ535" s="20">
        <f t="shared" si="508"/>
        <v>-45.430249415004845</v>
      </c>
      <c r="BK535" s="43">
        <f t="shared" si="461"/>
        <v>-3.0755371607070185</v>
      </c>
      <c r="BL535">
        <f t="shared" si="509"/>
        <v>-81.108136005711799</v>
      </c>
      <c r="BM535" s="43">
        <f t="shared" si="510"/>
        <v>-140.47018112581537</v>
      </c>
    </row>
    <row r="536" spans="14:65" x14ac:dyDescent="0.35">
      <c r="N536" s="9">
        <v>18</v>
      </c>
      <c r="O536" s="34">
        <f t="shared" si="462"/>
        <v>1513561.2484362102</v>
      </c>
      <c r="P536" s="33" t="str">
        <f t="shared" si="463"/>
        <v>59,1053597814893</v>
      </c>
      <c r="Q536" s="4" t="str">
        <f t="shared" si="464"/>
        <v>1+73071,8471716176i</v>
      </c>
      <c r="R536" s="4">
        <f t="shared" si="476"/>
        <v>73071.847178460186</v>
      </c>
      <c r="S536" s="4">
        <f t="shared" si="477"/>
        <v>1.5707826416338031</v>
      </c>
      <c r="T536" s="4" t="str">
        <f t="shared" si="465"/>
        <v>1+12,362981536998i</v>
      </c>
      <c r="U536" s="4">
        <f t="shared" si="478"/>
        <v>12.403358919427973</v>
      </c>
      <c r="V536" s="4">
        <f t="shared" si="479"/>
        <v>1.4900854047755516</v>
      </c>
      <c r="W536" t="str">
        <f t="shared" si="466"/>
        <v>1-456,479318289159i</v>
      </c>
      <c r="X536" s="4">
        <f t="shared" si="480"/>
        <v>456.48041362772108</v>
      </c>
      <c r="Y536" s="4">
        <f t="shared" si="481"/>
        <v>-1.5686056505468249</v>
      </c>
      <c r="Z536" t="str">
        <f t="shared" si="467"/>
        <v>-46,3319762968549+42,7084816732659i</v>
      </c>
      <c r="AA536" s="4">
        <f t="shared" si="482"/>
        <v>63.013224281955395</v>
      </c>
      <c r="AB536" s="4">
        <f t="shared" si="483"/>
        <v>2.3968669713269151</v>
      </c>
      <c r="AC536" s="47" t="str">
        <f t="shared" si="484"/>
        <v>-0,044916682804932+0,0571372916013295i</v>
      </c>
      <c r="AD536" s="20">
        <f t="shared" si="485"/>
        <v>-22.771869279947076</v>
      </c>
      <c r="AE536" s="43">
        <f t="shared" si="486"/>
        <v>128.17154390161232</v>
      </c>
      <c r="AF536" t="str">
        <f t="shared" si="468"/>
        <v>405,634542683733</v>
      </c>
      <c r="AG536" t="str">
        <f t="shared" si="469"/>
        <v>1+73201,8643638041i</v>
      </c>
      <c r="AH536">
        <f t="shared" si="487"/>
        <v>73201.864370634517</v>
      </c>
      <c r="AI536">
        <f t="shared" si="488"/>
        <v>1.5707826659406461</v>
      </c>
      <c r="AJ536" t="str">
        <f t="shared" si="470"/>
        <v>1+12,362981536998i</v>
      </c>
      <c r="AK536">
        <f t="shared" si="489"/>
        <v>12.403358919427973</v>
      </c>
      <c r="AL536">
        <f t="shared" si="490"/>
        <v>1.4900854047755516</v>
      </c>
      <c r="AM536" t="str">
        <f t="shared" si="471"/>
        <v>1-66,63162512244i</v>
      </c>
      <c r="AN536">
        <f t="shared" si="491"/>
        <v>66.639128644193548</v>
      </c>
      <c r="AO536">
        <f t="shared" si="492"/>
        <v>-1.5557895649246649</v>
      </c>
      <c r="AP536" s="41" t="str">
        <f t="shared" si="493"/>
        <v>-0,300657180316634-4,57028930525845i</v>
      </c>
      <c r="AQ536">
        <f t="shared" si="494"/>
        <v>13.217628197571932</v>
      </c>
      <c r="AR536" s="43">
        <f t="shared" si="495"/>
        <v>-93.763788363702744</v>
      </c>
      <c r="AS536" t="str">
        <f t="shared" si="472"/>
        <v>-0,0000166666666666667</v>
      </c>
      <c r="AT536" t="str">
        <f t="shared" si="473"/>
        <v>2,10646185418851i</v>
      </c>
      <c r="AU536">
        <f t="shared" si="496"/>
        <v>2.1064618541885101</v>
      </c>
      <c r="AV536">
        <f t="shared" si="497"/>
        <v>1.5707963267948966</v>
      </c>
      <c r="AW536" t="str">
        <f t="shared" si="474"/>
        <v>1+75,0923934995992i</v>
      </c>
      <c r="AX536">
        <f t="shared" si="498"/>
        <v>75.099051668437525</v>
      </c>
      <c r="AY536">
        <f t="shared" si="499"/>
        <v>1.5574801858894878</v>
      </c>
      <c r="AZ536" t="str">
        <f t="shared" si="475"/>
        <v>1+11088,6434401075i</v>
      </c>
      <c r="BA536">
        <f t="shared" si="500"/>
        <v>11088.64348519868</v>
      </c>
      <c r="BB536">
        <f t="shared" si="501"/>
        <v>1.570706144438264</v>
      </c>
      <c r="BC536" s="41" t="str">
        <f t="shared" si="502"/>
        <v>-0,0000154508940320548+0,00116815677620989i</v>
      </c>
      <c r="BD536">
        <f t="shared" si="503"/>
        <v>-58.649217632663493</v>
      </c>
      <c r="BE536" s="43">
        <f t="shared" si="504"/>
        <v>90.757791604859833</v>
      </c>
      <c r="BF536" s="41" t="str">
        <f t="shared" si="505"/>
        <v>-0,0000660513114520831-0,0000533525496212623i</v>
      </c>
      <c r="BG536" s="20">
        <f t="shared" si="506"/>
        <v>-81.421086912610576</v>
      </c>
      <c r="BH536" s="43">
        <f t="shared" si="507"/>
        <v>-141.07066449352786</v>
      </c>
      <c r="BI536" s="41" t="str">
        <f t="shared" si="460"/>
        <v>0,0053434598434103-0,000280599666751653i</v>
      </c>
      <c r="BJ536" s="20">
        <f t="shared" si="508"/>
        <v>-45.43158943509156</v>
      </c>
      <c r="BK536" s="43">
        <f t="shared" si="461"/>
        <v>-3.0059967588429122</v>
      </c>
      <c r="BL536">
        <f t="shared" si="509"/>
        <v>-81.421086912610576</v>
      </c>
      <c r="BM536" s="43">
        <f t="shared" si="510"/>
        <v>-141.07066449352786</v>
      </c>
    </row>
    <row r="537" spans="14:65" x14ac:dyDescent="0.35">
      <c r="N537" s="9">
        <v>19</v>
      </c>
      <c r="O537" s="34">
        <f t="shared" si="462"/>
        <v>1548816.6189124861</v>
      </c>
      <c r="P537" s="33" t="str">
        <f t="shared" si="463"/>
        <v>59,1053597814893</v>
      </c>
      <c r="Q537" s="4" t="str">
        <f t="shared" si="464"/>
        <v>1+74773,9091437266i</v>
      </c>
      <c r="R537" s="4">
        <f t="shared" si="476"/>
        <v>74773.909150413427</v>
      </c>
      <c r="S537" s="4">
        <f t="shared" si="477"/>
        <v>1.5707829531461013</v>
      </c>
      <c r="T537" s="4" t="str">
        <f t="shared" si="465"/>
        <v>1+12,6509523705065i</v>
      </c>
      <c r="U537" s="4">
        <f t="shared" si="478"/>
        <v>12.690413542545571</v>
      </c>
      <c r="V537" s="4">
        <f t="shared" si="479"/>
        <v>1.491914910024486</v>
      </c>
      <c r="W537" t="str">
        <f t="shared" si="466"/>
        <v>1-467,112087526393i</v>
      </c>
      <c r="X537" s="4">
        <f t="shared" si="480"/>
        <v>467.11315793206325</v>
      </c>
      <c r="Y537" s="4">
        <f t="shared" si="481"/>
        <v>-1.5686555162720837</v>
      </c>
      <c r="Z537" t="str">
        <f t="shared" si="467"/>
        <v>-48,5626636161055+43,7032900072041i</v>
      </c>
      <c r="AA537" s="4">
        <f t="shared" si="482"/>
        <v>65.332303303532797</v>
      </c>
      <c r="AB537" s="4">
        <f t="shared" si="483"/>
        <v>2.4088129033614889</v>
      </c>
      <c r="AC537" s="47" t="str">
        <f t="shared" si="484"/>
        <v>-0,0437493863404807+0,056832220652486i</v>
      </c>
      <c r="AD537" s="20">
        <f t="shared" si="485"/>
        <v>-22.887066293734826</v>
      </c>
      <c r="AE537" s="43">
        <f t="shared" si="486"/>
        <v>127.58904039910249</v>
      </c>
      <c r="AF537" t="str">
        <f t="shared" si="468"/>
        <v>405,634542683733</v>
      </c>
      <c r="AG537" t="str">
        <f t="shared" si="469"/>
        <v>1+74906,9548253671i</v>
      </c>
      <c r="AH537">
        <f t="shared" si="487"/>
        <v>74906.954832042044</v>
      </c>
      <c r="AI537">
        <f t="shared" si="488"/>
        <v>1.5707829768996528</v>
      </c>
      <c r="AJ537" t="str">
        <f t="shared" si="470"/>
        <v>1+12,6509523705065i</v>
      </c>
      <c r="AK537">
        <f t="shared" si="489"/>
        <v>12.690413542545571</v>
      </c>
      <c r="AL537">
        <f t="shared" si="490"/>
        <v>1.491914910024486</v>
      </c>
      <c r="AM537" t="str">
        <f t="shared" si="471"/>
        <v>1-68,1836750520712i</v>
      </c>
      <c r="AN537">
        <f t="shared" si="491"/>
        <v>68.19100779139751</v>
      </c>
      <c r="AO537">
        <f t="shared" si="492"/>
        <v>-1.5561311109834843</v>
      </c>
      <c r="AP537" s="41" t="str">
        <f t="shared" si="493"/>
        <v>-0,300657183726179-4,67648962009758i</v>
      </c>
      <c r="AQ537">
        <f t="shared" si="494"/>
        <v>13.416313451465946</v>
      </c>
      <c r="AR537" s="43">
        <f t="shared" si="495"/>
        <v>-93.678552398660145</v>
      </c>
      <c r="AS537" t="str">
        <f t="shared" si="472"/>
        <v>-0,0000166666666666667</v>
      </c>
      <c r="AT537" t="str">
        <f t="shared" si="473"/>
        <v>2,15552765389783i</v>
      </c>
      <c r="AU537">
        <f t="shared" si="496"/>
        <v>2.1555276538978299</v>
      </c>
      <c r="AV537">
        <f t="shared" si="497"/>
        <v>1.5707963267948966</v>
      </c>
      <c r="AW537" t="str">
        <f t="shared" si="474"/>
        <v>1+76,8415200417288i</v>
      </c>
      <c r="AX537">
        <f t="shared" si="498"/>
        <v>76.848026665122688</v>
      </c>
      <c r="AY537">
        <f t="shared" si="499"/>
        <v>1.5577832636460214</v>
      </c>
      <c r="AZ537" t="str">
        <f t="shared" si="475"/>
        <v>1+11346,9311261619i</v>
      </c>
      <c r="BA537">
        <f t="shared" si="500"/>
        <v>11346.931170226677</v>
      </c>
      <c r="BB537">
        <f t="shared" si="501"/>
        <v>1.5707081972393109</v>
      </c>
      <c r="BC537" s="41" t="str">
        <f t="shared" si="502"/>
        <v>-0,0000147556070010837+0,00114157532994883i</v>
      </c>
      <c r="BD537">
        <f t="shared" si="503"/>
        <v>-58.849182976436751</v>
      </c>
      <c r="BE537" s="43">
        <f t="shared" si="504"/>
        <v>90.74054414538233</v>
      </c>
      <c r="BF537" s="41" t="str">
        <f t="shared" si="505"/>
        <v>-0,0000642327122917077-0,00005078181405964i</v>
      </c>
      <c r="BG537" s="20">
        <f t="shared" si="506"/>
        <v>-81.736249270171584</v>
      </c>
      <c r="BH537" s="43">
        <f t="shared" si="507"/>
        <v>-141.67041545551521</v>
      </c>
      <c r="BI537" s="41" t="str">
        <f t="shared" si="460"/>
        <v>0,00534300156031029-0,000274218380734892i</v>
      </c>
      <c r="BJ537" s="20">
        <f t="shared" si="508"/>
        <v>-45.432869524970805</v>
      </c>
      <c r="BK537" s="43">
        <f t="shared" si="461"/>
        <v>-2.9380082532778173</v>
      </c>
      <c r="BL537">
        <f t="shared" si="509"/>
        <v>-81.736249270171584</v>
      </c>
      <c r="BM537" s="43">
        <f t="shared" si="510"/>
        <v>-141.67041545551521</v>
      </c>
    </row>
    <row r="538" spans="14:65" x14ac:dyDescent="0.35">
      <c r="N538" s="9">
        <v>20</v>
      </c>
      <c r="O538" s="34">
        <f t="shared" si="462"/>
        <v>1584893.1924611153</v>
      </c>
      <c r="P538" s="33" t="str">
        <f t="shared" si="463"/>
        <v>59,1053597814893</v>
      </c>
      <c r="Q538" s="4" t="str">
        <f t="shared" si="464"/>
        <v>1+76515,6172322131i</v>
      </c>
      <c r="R538" s="4">
        <f t="shared" si="476"/>
        <v>76515.617238747713</v>
      </c>
      <c r="S538" s="4">
        <f t="shared" si="477"/>
        <v>1.5707832575675138</v>
      </c>
      <c r="T538" s="4" t="str">
        <f t="shared" si="465"/>
        <v>1+12,9456309064168i</v>
      </c>
      <c r="U538" s="4">
        <f t="shared" si="478"/>
        <v>12.984196531367425</v>
      </c>
      <c r="V538" s="4">
        <f t="shared" si="479"/>
        <v>1.4937032820993386</v>
      </c>
      <c r="W538" t="str">
        <f t="shared" si="466"/>
        <v>1-477,992525775391i</v>
      </c>
      <c r="X538" s="4">
        <f t="shared" si="480"/>
        <v>477.99357181570741</v>
      </c>
      <c r="Y538" s="4">
        <f t="shared" si="481"/>
        <v>-1.5687042469251442</v>
      </c>
      <c r="Z538" t="str">
        <f t="shared" si="467"/>
        <v>-50,8984799898675+44,7212704039854i</v>
      </c>
      <c r="AA538" s="4">
        <f t="shared" si="482"/>
        <v>67.75431566937506</v>
      </c>
      <c r="AB538" s="4">
        <f t="shared" si="483"/>
        <v>2.4207066616131838</v>
      </c>
      <c r="AC538" s="47" t="str">
        <f t="shared" si="484"/>
        <v>-0,0425905004097238+0,056504656490739i</v>
      </c>
      <c r="AD538" s="20">
        <f t="shared" si="485"/>
        <v>-23.004460946213598</v>
      </c>
      <c r="AE538" s="43">
        <f t="shared" si="486"/>
        <v>127.0072349180042</v>
      </c>
      <c r="AF538" t="str">
        <f t="shared" si="468"/>
        <v>405,634542683733</v>
      </c>
      <c r="AG538" t="str">
        <f t="shared" si="469"/>
        <v>1+76651,761945889i</v>
      </c>
      <c r="AH538">
        <f t="shared" si="487"/>
        <v>76651.761952412009</v>
      </c>
      <c r="AI538">
        <f t="shared" si="488"/>
        <v>1.5707832807803686</v>
      </c>
      <c r="AJ538" t="str">
        <f t="shared" si="470"/>
        <v>1+12,9456309064168i</v>
      </c>
      <c r="AK538">
        <f t="shared" si="489"/>
        <v>12.984196531367425</v>
      </c>
      <c r="AL538">
        <f t="shared" si="490"/>
        <v>1.4937032820993386</v>
      </c>
      <c r="AM538" t="str">
        <f t="shared" si="471"/>
        <v>1-69,7718768687324i</v>
      </c>
      <c r="AN538">
        <f t="shared" si="491"/>
        <v>69.779042711874155</v>
      </c>
      <c r="AO538">
        <f t="shared" si="492"/>
        <v>-1.5564648858112526</v>
      </c>
      <c r="AP538" s="41" t="str">
        <f t="shared" si="493"/>
        <v>-0,30065718698227-4,78516947163387i</v>
      </c>
      <c r="AQ538">
        <f t="shared" si="494"/>
        <v>13.615057531080899</v>
      </c>
      <c r="AR538" s="43">
        <f t="shared" si="495"/>
        <v>-93.595227526593362</v>
      </c>
      <c r="AS538" t="str">
        <f t="shared" si="472"/>
        <v>-0,0000166666666666667</v>
      </c>
      <c r="AT538" t="str">
        <f t="shared" si="473"/>
        <v>2,20573634290102i</v>
      </c>
      <c r="AU538">
        <f t="shared" si="496"/>
        <v>2.2057363429010199</v>
      </c>
      <c r="AV538">
        <f t="shared" si="497"/>
        <v>1.5707963267948966</v>
      </c>
      <c r="AW538" t="str">
        <f t="shared" si="474"/>
        <v>1+78,6313889749021i</v>
      </c>
      <c r="AX538">
        <f t="shared" si="498"/>
        <v>78.637747501580662</v>
      </c>
      <c r="AY538">
        <f t="shared" si="499"/>
        <v>1.5580794448207578</v>
      </c>
      <c r="AZ538" t="str">
        <f t="shared" si="475"/>
        <v>1+11611,2351052939i</v>
      </c>
      <c r="BA538">
        <f t="shared" si="500"/>
        <v>11611.235148355639</v>
      </c>
      <c r="BB538">
        <f t="shared" si="501"/>
        <v>1.5707102033129019</v>
      </c>
      <c r="BC538" s="41" t="str">
        <f t="shared" si="502"/>
        <v>-0,0000140916026820317+0,0011155983474707i</v>
      </c>
      <c r="BD538">
        <f t="shared" si="503"/>
        <v>-59.049149879738707</v>
      </c>
      <c r="BE538" s="43">
        <f t="shared" si="504"/>
        <v>90.723689153648863</v>
      </c>
      <c r="BF538" s="41" t="str">
        <f t="shared" si="505"/>
        <v>-0,0000624363329956653-0,0000483101330439902i</v>
      </c>
      <c r="BG538" s="20">
        <f t="shared" si="506"/>
        <v>-82.053610825952305</v>
      </c>
      <c r="BH538" s="43">
        <f t="shared" si="507"/>
        <v>-142.26907592834695</v>
      </c>
      <c r="BI538" s="41" t="str">
        <f t="shared" si="460"/>
        <v>0,00534256389654444-0,000267981953992158i</v>
      </c>
      <c r="BJ538" s="20">
        <f t="shared" si="508"/>
        <v>-45.434092348657806</v>
      </c>
      <c r="BK538" s="43">
        <f t="shared" si="461"/>
        <v>-2.871538372944483</v>
      </c>
      <c r="BL538">
        <f t="shared" si="509"/>
        <v>-82.053610825952305</v>
      </c>
      <c r="BM538" s="43">
        <f t="shared" si="510"/>
        <v>-142.26907592834695</v>
      </c>
    </row>
    <row r="539" spans="14:65" x14ac:dyDescent="0.35">
      <c r="N539" s="9">
        <v>21</v>
      </c>
      <c r="O539" s="34">
        <f t="shared" si="462"/>
        <v>1621810.0973589318</v>
      </c>
      <c r="P539" s="33" t="str">
        <f t="shared" si="463"/>
        <v>59,1053597814893</v>
      </c>
      <c r="Q539" s="4" t="str">
        <f t="shared" si="464"/>
        <v>1+78297,8949137599i</v>
      </c>
      <c r="R539" s="4">
        <f t="shared" si="476"/>
        <v>78297.894920145773</v>
      </c>
      <c r="S539" s="4">
        <f t="shared" si="477"/>
        <v>1.5707835550594489</v>
      </c>
      <c r="T539" s="4" t="str">
        <f t="shared" si="465"/>
        <v>1+13,2471733871894i</v>
      </c>
      <c r="U539" s="4">
        <f t="shared" si="478"/>
        <v>13.284863670744203</v>
      </c>
      <c r="V539" s="4">
        <f t="shared" si="479"/>
        <v>1.4954514234354608</v>
      </c>
      <c r="W539" t="str">
        <f t="shared" si="466"/>
        <v>1-489,126401988534i</v>
      </c>
      <c r="X539" s="4">
        <f t="shared" si="480"/>
        <v>489.12742421811612</v>
      </c>
      <c r="Y539" s="4">
        <f t="shared" si="481"/>
        <v>-1.5687518683427173</v>
      </c>
      <c r="Z539" t="str">
        <f t="shared" si="467"/>
        <v>-53,3443799978382+45,7629626102907i</v>
      </c>
      <c r="AA539" s="4">
        <f t="shared" si="482"/>
        <v>70.284220307439043</v>
      </c>
      <c r="AB539" s="4">
        <f t="shared" si="483"/>
        <v>2.4325428271924863</v>
      </c>
      <c r="AC539" s="47" t="str">
        <f t="shared" si="484"/>
        <v>-0,0414411332290587+0,0561550149188787i</v>
      </c>
      <c r="AD539" s="20">
        <f t="shared" si="485"/>
        <v>-23.124038733508257</v>
      </c>
      <c r="AE539" s="43">
        <f t="shared" si="486"/>
        <v>126.42648815397055</v>
      </c>
      <c r="AF539" t="str">
        <f t="shared" si="468"/>
        <v>405,634542683733</v>
      </c>
      <c r="AG539" t="str">
        <f t="shared" si="469"/>
        <v>1+78437,2108452005i</v>
      </c>
      <c r="AH539">
        <f t="shared" si="487"/>
        <v>78437.21085157503</v>
      </c>
      <c r="AI539">
        <f t="shared" si="488"/>
        <v>1.5707835777439147</v>
      </c>
      <c r="AJ539" t="str">
        <f t="shared" si="470"/>
        <v>1+13,2471733871894i</v>
      </c>
      <c r="AK539">
        <f t="shared" si="489"/>
        <v>13.284863670744203</v>
      </c>
      <c r="AL539">
        <f t="shared" si="490"/>
        <v>1.4954514234354608</v>
      </c>
      <c r="AM539" t="str">
        <f t="shared" si="471"/>
        <v>1-71,3970726580493i</v>
      </c>
      <c r="AN539">
        <f t="shared" si="491"/>
        <v>71.404075402870177</v>
      </c>
      <c r="AO539">
        <f t="shared" si="492"/>
        <v>-1.556791066082156</v>
      </c>
      <c r="AP539" s="41" t="str">
        <f t="shared" si="493"/>
        <v>-0,300657190091813-4,89638648336324i</v>
      </c>
      <c r="AQ539">
        <f t="shared" si="494"/>
        <v>13.813857819231321</v>
      </c>
      <c r="AR539" s="43">
        <f t="shared" si="495"/>
        <v>-93.513772173682256</v>
      </c>
      <c r="AS539" t="str">
        <f t="shared" si="472"/>
        <v>-0,0000166666666666667</v>
      </c>
      <c r="AT539" t="str">
        <f t="shared" si="473"/>
        <v>2,25711454250959i</v>
      </c>
      <c r="AU539">
        <f t="shared" si="496"/>
        <v>2.2571145425095902</v>
      </c>
      <c r="AV539">
        <f t="shared" si="497"/>
        <v>1.5707963267948966</v>
      </c>
      <c r="AW539" t="str">
        <f t="shared" si="474"/>
        <v>1+80,4629493113192i</v>
      </c>
      <c r="AX539">
        <f t="shared" si="498"/>
        <v>80.469163111566687</v>
      </c>
      <c r="AY539">
        <f t="shared" si="499"/>
        <v>1.558368886244901</v>
      </c>
      <c r="AZ539" t="str">
        <f t="shared" si="475"/>
        <v>1+11881,6955149714i</v>
      </c>
      <c r="BA539">
        <f t="shared" si="500"/>
        <v>11881.695557052935</v>
      </c>
      <c r="BB539">
        <f t="shared" si="501"/>
        <v>1.5707121637226837</v>
      </c>
      <c r="BC539" s="41" t="str">
        <f t="shared" si="502"/>
        <v>-0,0000134574740322239+0,00109021210978697i</v>
      </c>
      <c r="BD539">
        <f t="shared" si="503"/>
        <v>-59.2491182724022</v>
      </c>
      <c r="BE539" s="43">
        <f t="shared" si="504"/>
        <v>90.707217704835841</v>
      </c>
      <c r="BF539" s="41" t="str">
        <f t="shared" si="505"/>
        <v>-0,0000606631843155335-0,000045935329944665i</v>
      </c>
      <c r="BG539" s="20">
        <f t="shared" si="506"/>
        <v>-82.373157005910457</v>
      </c>
      <c r="BH539" s="43">
        <f t="shared" si="507"/>
        <v>-142.86629414119358</v>
      </c>
      <c r="BI539" s="41" t="str">
        <f t="shared" si="460"/>
        <v>0,0053421459246881-0,000261887115581025i</v>
      </c>
      <c r="BJ539" s="20">
        <f t="shared" si="508"/>
        <v>-45.435260453170876</v>
      </c>
      <c r="BK539" s="43">
        <f t="shared" si="461"/>
        <v>-2.8065544688464259</v>
      </c>
      <c r="BL539">
        <f t="shared" si="509"/>
        <v>-82.373157005910457</v>
      </c>
      <c r="BM539" s="43">
        <f t="shared" si="510"/>
        <v>-142.86629414119358</v>
      </c>
    </row>
    <row r="540" spans="14:65" x14ac:dyDescent="0.35">
      <c r="N540" s="9">
        <v>22</v>
      </c>
      <c r="O540" s="34">
        <f t="shared" si="462"/>
        <v>1659586.9074375622</v>
      </c>
      <c r="P540" s="33" t="str">
        <f t="shared" si="463"/>
        <v>59,1053597814893</v>
      </c>
      <c r="Q540" s="4" t="str">
        <f t="shared" si="464"/>
        <v>1+80121,6871755857i</v>
      </c>
      <c r="R540" s="4">
        <f t="shared" si="476"/>
        <v>80121.687181826215</v>
      </c>
      <c r="S540" s="4">
        <f t="shared" si="477"/>
        <v>1.570783845779641</v>
      </c>
      <c r="T540" s="4" t="str">
        <f t="shared" si="465"/>
        <v>1+13,5557396946391i</v>
      </c>
      <c r="U540" s="4">
        <f t="shared" si="478"/>
        <v>13.592574394455752</v>
      </c>
      <c r="V540" s="4">
        <f t="shared" si="479"/>
        <v>1.4971602181580954</v>
      </c>
      <c r="W540" t="str">
        <f t="shared" si="466"/>
        <v>1-500,519619494367i</v>
      </c>
      <c r="X540" s="4">
        <f t="shared" si="480"/>
        <v>500.52061845521001</v>
      </c>
      <c r="Y540" s="4">
        <f t="shared" si="481"/>
        <v>-1.5687984057734448</v>
      </c>
      <c r="Z540" t="str">
        <f t="shared" si="467"/>
        <v>-55,9055517218629+46,8289189451168i</v>
      </c>
      <c r="AA540" s="4">
        <f t="shared" si="482"/>
        <v>72.927212773382522</v>
      </c>
      <c r="AB540" s="4">
        <f t="shared" si="483"/>
        <v>2.444316090806482</v>
      </c>
      <c r="AC540" s="47" t="str">
        <f t="shared" si="484"/>
        <v>-0,0403023565182658+0,0557837726287046i</v>
      </c>
      <c r="AD540" s="20">
        <f t="shared" si="485"/>
        <v>-23.24578289969125</v>
      </c>
      <c r="AE540" s="43">
        <f t="shared" si="486"/>
        <v>125.84715350804483</v>
      </c>
      <c r="AF540" t="str">
        <f t="shared" si="468"/>
        <v>405,634542683733</v>
      </c>
      <c r="AG540" t="str">
        <f t="shared" si="469"/>
        <v>1+80264,2481919419i</v>
      </c>
      <c r="AH540">
        <f t="shared" si="487"/>
        <v>80264.248198171321</v>
      </c>
      <c r="AI540">
        <f t="shared" si="488"/>
        <v>1.5707838679477453</v>
      </c>
      <c r="AJ540" t="str">
        <f t="shared" si="470"/>
        <v>1+13,5557396946391i</v>
      </c>
      <c r="AK540">
        <f t="shared" si="489"/>
        <v>13.592574394455752</v>
      </c>
      <c r="AL540">
        <f t="shared" si="490"/>
        <v>1.4971602181580954</v>
      </c>
      <c r="AM540" t="str">
        <f t="shared" si="471"/>
        <v>1-73,0601241203419i</v>
      </c>
      <c r="AN540">
        <f t="shared" si="491"/>
        <v>73.066967478332941</v>
      </c>
      <c r="AO540">
        <f t="shared" si="492"/>
        <v>-1.5571098244635042</v>
      </c>
      <c r="AP540" s="41" t="str">
        <f t="shared" si="493"/>
        <v>-0,300657193061402-5,01019962401747i</v>
      </c>
      <c r="AQ540">
        <f t="shared" si="494"/>
        <v>14.012711813871556</v>
      </c>
      <c r="AR540" s="43">
        <f t="shared" si="495"/>
        <v>-93.4341455854114</v>
      </c>
      <c r="AS540" t="str">
        <f t="shared" si="472"/>
        <v>-0,0000166666666666667</v>
      </c>
      <c r="AT540" t="str">
        <f t="shared" si="473"/>
        <v>2,30968949412504i</v>
      </c>
      <c r="AU540">
        <f t="shared" si="496"/>
        <v>2.3096894941250401</v>
      </c>
      <c r="AV540">
        <f t="shared" si="497"/>
        <v>1.5707963267948966</v>
      </c>
      <c r="AW540" t="str">
        <f t="shared" si="474"/>
        <v>1+82,3371721685147i</v>
      </c>
      <c r="AX540">
        <f t="shared" si="498"/>
        <v>82.343244535952266</v>
      </c>
      <c r="AY540">
        <f t="shared" si="499"/>
        <v>1.5586517411900271</v>
      </c>
      <c r="AZ540" t="str">
        <f t="shared" si="475"/>
        <v>1+12158,455756884i</v>
      </c>
      <c r="BA540">
        <f t="shared" si="500"/>
        <v>12158.455798007641</v>
      </c>
      <c r="BB540">
        <f t="shared" si="501"/>
        <v>1.5707140795080914</v>
      </c>
      <c r="BC540" s="41" t="str">
        <f t="shared" si="502"/>
        <v>-0,0000128518772561828+0,00106540320750409i</v>
      </c>
      <c r="BD540">
        <f t="shared" si="503"/>
        <v>-59.449088087415291</v>
      </c>
      <c r="BE540" s="43">
        <f t="shared" si="504"/>
        <v>90.691121076684013</v>
      </c>
      <c r="BF540" s="41" t="str">
        <f t="shared" si="505"/>
        <v>-0,0000589142493461931-0,0000436551861032447i</v>
      </c>
      <c r="BG540" s="20">
        <f t="shared" si="506"/>
        <v>-82.69487098710654</v>
      </c>
      <c r="BH540" s="43">
        <f t="shared" si="507"/>
        <v>-143.46172541527113</v>
      </c>
      <c r="BI540" s="41" t="str">
        <f t="shared" si="460"/>
        <v>0,00534174675900541-0,000255930667249948i</v>
      </c>
      <c r="BJ540" s="20">
        <f t="shared" si="508"/>
        <v>-45.436376273543729</v>
      </c>
      <c r="BK540" s="43">
        <f t="shared" si="461"/>
        <v>-2.7430245087273875</v>
      </c>
      <c r="BL540">
        <f t="shared" si="509"/>
        <v>-82.69487098710654</v>
      </c>
      <c r="BM540" s="43">
        <f t="shared" si="510"/>
        <v>-143.46172541527113</v>
      </c>
    </row>
    <row r="541" spans="14:65" x14ac:dyDescent="0.35">
      <c r="N541" s="9">
        <v>23</v>
      </c>
      <c r="O541" s="34">
        <f t="shared" si="462"/>
        <v>1698243.6524617488</v>
      </c>
      <c r="P541" s="33" t="str">
        <f t="shared" si="463"/>
        <v>59,1053597814893</v>
      </c>
      <c r="Q541" s="4" t="str">
        <f t="shared" si="464"/>
        <v>1+81987,9610164881i</v>
      </c>
      <c r="R541" s="4">
        <f t="shared" si="476"/>
        <v>81987.961022586547</v>
      </c>
      <c r="S541" s="4">
        <f t="shared" si="477"/>
        <v>1.5707841298822334</v>
      </c>
      <c r="T541" s="4" t="str">
        <f t="shared" si="465"/>
        <v>1+13,8714934347063i</v>
      </c>
      <c r="U541" s="4">
        <f t="shared" si="478"/>
        <v>13.907491869819662</v>
      </c>
      <c r="V541" s="4">
        <f t="shared" si="479"/>
        <v>1.4988305323533102</v>
      </c>
      <c r="W541" t="str">
        <f t="shared" si="466"/>
        <v>1-512,178219127618i</v>
      </c>
      <c r="X541" s="4">
        <f t="shared" si="480"/>
        <v>512.17919534937994</v>
      </c>
      <c r="Y541" s="4">
        <f t="shared" si="481"/>
        <v>-1.5688438838912815</v>
      </c>
      <c r="Z541" t="str">
        <f t="shared" si="467"/>
        <v>-58,5874277505503+47,9197045926218i</v>
      </c>
      <c r="AA541" s="4">
        <f t="shared" si="482"/>
        <v>75.688736141318216</v>
      </c>
      <c r="AB541" s="4">
        <f t="shared" si="483"/>
        <v>2.4560212658224172</v>
      </c>
      <c r="AC541" s="47" t="str">
        <f t="shared" si="484"/>
        <v>-0,0391752016135317+0,0553914638490739i</v>
      </c>
      <c r="AD541" s="20">
        <f t="shared" si="485"/>
        <v>-23.369674517268905</v>
      </c>
      <c r="AE541" s="43">
        <f t="shared" si="486"/>
        <v>125.26957635292457</v>
      </c>
      <c r="AF541" t="str">
        <f t="shared" si="468"/>
        <v>405,634542683733</v>
      </c>
      <c r="AG541" t="str">
        <f t="shared" si="469"/>
        <v>1+82133,8427054978i</v>
      </c>
      <c r="AH541">
        <f t="shared" si="487"/>
        <v>82133.842711585428</v>
      </c>
      <c r="AI541">
        <f t="shared" si="488"/>
        <v>1.5707841515457299</v>
      </c>
      <c r="AJ541" t="str">
        <f t="shared" si="470"/>
        <v>1+13,8714934347063i</v>
      </c>
      <c r="AK541">
        <f t="shared" si="489"/>
        <v>13.907491869819662</v>
      </c>
      <c r="AL541">
        <f t="shared" si="490"/>
        <v>1.4988305323533102</v>
      </c>
      <c r="AM541" t="str">
        <f t="shared" si="471"/>
        <v>1-74,7619130275084i</v>
      </c>
      <c r="AN541">
        <f t="shared" si="491"/>
        <v>74.768600625748846</v>
      </c>
      <c r="AO541">
        <f t="shared" si="492"/>
        <v>-1.5574213297059574</v>
      </c>
      <c r="AP541" s="41" t="str">
        <f t="shared" si="493"/>
        <v>-0,300657195897339-5,12666923883018i</v>
      </c>
      <c r="AQ541">
        <f t="shared" si="494"/>
        <v>14.211617123144098</v>
      </c>
      <c r="AR541" s="43">
        <f t="shared" si="495"/>
        <v>-93.356307816221189</v>
      </c>
      <c r="AS541" t="str">
        <f t="shared" si="472"/>
        <v>-0,0000166666666666667</v>
      </c>
      <c r="AT541" t="str">
        <f t="shared" si="473"/>
        <v>2,36348907368264i</v>
      </c>
      <c r="AU541">
        <f t="shared" si="496"/>
        <v>2.3634890736826399</v>
      </c>
      <c r="AV541">
        <f t="shared" si="497"/>
        <v>1.5707963267948966</v>
      </c>
      <c r="AW541" t="str">
        <f t="shared" si="474"/>
        <v>1+84,2550512842555i</v>
      </c>
      <c r="AX541">
        <f t="shared" si="498"/>
        <v>84.26098543758269</v>
      </c>
      <c r="AY541">
        <f t="shared" si="499"/>
        <v>1.5589281594484254</v>
      </c>
      <c r="AZ541" t="str">
        <f t="shared" si="475"/>
        <v>1+12441,662572975i</v>
      </c>
      <c r="BA541">
        <f t="shared" si="500"/>
        <v>12441.662613162554</v>
      </c>
      <c r="BB541">
        <f t="shared" si="501"/>
        <v>1.5707159516848999</v>
      </c>
      <c r="BC541" s="41" t="str">
        <f t="shared" si="502"/>
        <v>-0,0000122735289660829+0,00104115853395528i</v>
      </c>
      <c r="BD541">
        <f t="shared" si="503"/>
        <v>-59.649059260780781</v>
      </c>
      <c r="BE541" s="43">
        <f t="shared" si="504"/>
        <v>90.675390744927043</v>
      </c>
      <c r="BF541" s="41" t="str">
        <f t="shared" si="505"/>
        <v>-0,0000571904773229829-0,0000414674442153725i</v>
      </c>
      <c r="BG541" s="20">
        <f t="shared" si="506"/>
        <v>-83.018733778049679</v>
      </c>
      <c r="BH541" s="43">
        <f t="shared" si="507"/>
        <v>-144.05503290214841</v>
      </c>
      <c r="BI541" s="41" t="str">
        <f t="shared" si="460"/>
        <v>0,00534136555357677-0,000250109481901271i</v>
      </c>
      <c r="BJ541" s="20">
        <f t="shared" si="508"/>
        <v>-45.43744213763668</v>
      </c>
      <c r="BK541" s="43">
        <f t="shared" si="461"/>
        <v>-2.6809170712941364</v>
      </c>
      <c r="BL541">
        <f t="shared" si="509"/>
        <v>-83.018733778049679</v>
      </c>
      <c r="BM541" s="43">
        <f t="shared" si="510"/>
        <v>-144.05503290214841</v>
      </c>
    </row>
    <row r="542" spans="14:65" x14ac:dyDescent="0.35">
      <c r="N542" s="9">
        <v>24</v>
      </c>
      <c r="O542" s="34">
        <f t="shared" si="462"/>
        <v>1737800.8287493798</v>
      </c>
      <c r="P542" s="33" t="str">
        <f t="shared" si="463"/>
        <v>59,1053597814893</v>
      </c>
      <c r="Q542" s="4" t="str">
        <f t="shared" si="464"/>
        <v>1+83897,7059595594i</v>
      </c>
      <c r="R542" s="4">
        <f t="shared" si="476"/>
        <v>83897.705965519053</v>
      </c>
      <c r="S542" s="4">
        <f t="shared" si="477"/>
        <v>1.5707844075178614</v>
      </c>
      <c r="T542" s="4" t="str">
        <f t="shared" si="465"/>
        <v>1+14,1946020242034i</v>
      </c>
      <c r="U542" s="4">
        <f t="shared" si="478"/>
        <v>14.229783084275011</v>
      </c>
      <c r="V542" s="4">
        <f t="shared" si="479"/>
        <v>1.5004632143421643</v>
      </c>
      <c r="W542" t="str">
        <f t="shared" si="466"/>
        <v>1-524,108382432126i</v>
      </c>
      <c r="X542" s="4">
        <f t="shared" si="480"/>
        <v>524.10933643240855</v>
      </c>
      <c r="Y542" s="4">
        <f t="shared" si="481"/>
        <v>-1.5688883268085747</v>
      </c>
      <c r="Z542" t="str">
        <f t="shared" si="467"/>
        <v>-61,3956967025213+49,0358979017935i</v>
      </c>
      <c r="AA542" s="4">
        <f t="shared" si="482"/>
        <v>78.574492404489007</v>
      </c>
      <c r="AB542" s="4">
        <f t="shared" si="483"/>
        <v>2.4676533005524091</v>
      </c>
      <c r="AC542" s="47" t="str">
        <f t="shared" si="484"/>
        <v>-0,0380606559218473+0,0549786767141217i</v>
      </c>
      <c r="AD542" s="20">
        <f t="shared" si="485"/>
        <v>-23.495692574672248</v>
      </c>
      <c r="AE542" s="43">
        <f t="shared" si="486"/>
        <v>124.69409334405496</v>
      </c>
      <c r="AF542" t="str">
        <f t="shared" si="468"/>
        <v>405,634542683733</v>
      </c>
      <c r="AG542" t="str">
        <f t="shared" si="469"/>
        <v>1+84046,9856696252i</v>
      </c>
      <c r="AH542">
        <f t="shared" si="487"/>
        <v>84046.985675574251</v>
      </c>
      <c r="AI542">
        <f t="shared" si="488"/>
        <v>1.5707844286882366</v>
      </c>
      <c r="AJ542" t="str">
        <f t="shared" si="470"/>
        <v>1+14,1946020242034i</v>
      </c>
      <c r="AK542">
        <f t="shared" si="489"/>
        <v>14.229783084275011</v>
      </c>
      <c r="AL542">
        <f t="shared" si="490"/>
        <v>1.5004632143421643</v>
      </c>
      <c r="AM542" t="str">
        <f t="shared" si="471"/>
        <v>1-76,5033416905522i</v>
      </c>
      <c r="AN542">
        <f t="shared" si="491"/>
        <v>76.509877073626143</v>
      </c>
      <c r="AO542">
        <f t="shared" si="492"/>
        <v>-1.5577257467317625</v>
      </c>
      <c r="AP542" s="41" t="str">
        <f t="shared" si="493"/>
        <v>-0,300657198605637-5,24585708153276i</v>
      </c>
      <c r="AQ542">
        <f t="shared" si="494"/>
        <v>14.410571460631045</v>
      </c>
      <c r="AR542" s="43">
        <f t="shared" si="495"/>
        <v>-93.280219718859328</v>
      </c>
      <c r="AS542" t="str">
        <f t="shared" si="472"/>
        <v>-0,0000166666666666667</v>
      </c>
      <c r="AT542" t="str">
        <f t="shared" si="473"/>
        <v>2,41854180643158i</v>
      </c>
      <c r="AU542">
        <f t="shared" si="496"/>
        <v>2.41854180643158</v>
      </c>
      <c r="AV542">
        <f t="shared" si="497"/>
        <v>1.5707963267948966</v>
      </c>
      <c r="AW542" t="str">
        <f t="shared" si="474"/>
        <v>1+86,2176035434338i</v>
      </c>
      <c r="AX542">
        <f t="shared" si="498"/>
        <v>86.223402628130657</v>
      </c>
      <c r="AY542">
        <f t="shared" si="499"/>
        <v>1.5591982874116557</v>
      </c>
      <c r="AZ542" t="str">
        <f t="shared" si="475"/>
        <v>1+12731,466123247i</v>
      </c>
      <c r="BA542">
        <f t="shared" si="500"/>
        <v>12731.466162519775</v>
      </c>
      <c r="BB542">
        <f t="shared" si="501"/>
        <v>1.5707177812457616</v>
      </c>
      <c r="BC542" s="41" t="str">
        <f t="shared" si="502"/>
        <v>-0,0000117212034693893+0,00101746527847699i</v>
      </c>
      <c r="BD542">
        <f t="shared" si="503"/>
        <v>-59.849031731379903</v>
      </c>
      <c r="BE542" s="43">
        <f t="shared" si="504"/>
        <v>90.660018378821235</v>
      </c>
      <c r="BF542" s="41" t="str">
        <f t="shared" si="505"/>
        <v>-0,0000554927779209919-0,0000393698121327833i</v>
      </c>
      <c r="BG542" s="20">
        <f t="shared" si="506"/>
        <v>-83.344724306052157</v>
      </c>
      <c r="BH542" s="43">
        <f t="shared" si="507"/>
        <v>-144.64588827712379</v>
      </c>
      <c r="BI542" s="41" t="str">
        <f t="shared" si="460"/>
        <v>0,00534100150051161-0,000244420502081414i</v>
      </c>
      <c r="BJ542" s="20">
        <f t="shared" si="508"/>
        <v>-45.438460270748863</v>
      </c>
      <c r="BK542" s="43">
        <f t="shared" si="461"/>
        <v>-2.6202013400380917</v>
      </c>
      <c r="BL542">
        <f t="shared" si="509"/>
        <v>-83.344724306052157</v>
      </c>
      <c r="BM542" s="43">
        <f t="shared" si="510"/>
        <v>-144.64588827712379</v>
      </c>
    </row>
    <row r="543" spans="14:65" x14ac:dyDescent="0.35">
      <c r="N543" s="9">
        <v>25</v>
      </c>
      <c r="O543" s="34">
        <f t="shared" si="462"/>
        <v>1778279.4100389241</v>
      </c>
      <c r="P543" s="33" t="str">
        <f t="shared" si="463"/>
        <v>59,1053597814893</v>
      </c>
      <c r="Q543" s="4" t="str">
        <f t="shared" si="464"/>
        <v>1+85851,934576848i</v>
      </c>
      <c r="R543" s="4">
        <f t="shared" si="476"/>
        <v>85851.93458267198</v>
      </c>
      <c r="S543" s="4">
        <f t="shared" si="477"/>
        <v>1.570784678833731</v>
      </c>
      <c r="T543" s="4" t="str">
        <f t="shared" si="465"/>
        <v>1+14,5252367795815i</v>
      </c>
      <c r="U543" s="4">
        <f t="shared" si="478"/>
        <v>14.559618933986807</v>
      </c>
      <c r="V543" s="4">
        <f t="shared" si="479"/>
        <v>1.5020590949574457</v>
      </c>
      <c r="W543" t="str">
        <f t="shared" si="466"/>
        <v>1-536,316434938393i</v>
      </c>
      <c r="X543" s="4">
        <f t="shared" si="480"/>
        <v>536.31736722301616</v>
      </c>
      <c r="Y543" s="4">
        <f t="shared" si="481"/>
        <v>-1.5689317580888444</v>
      </c>
      <c r="Z543" t="str">
        <f t="shared" si="467"/>
        <v>-64,3363152927348+50,1780906930995i</v>
      </c>
      <c r="AA543" s="4">
        <f t="shared" si="482"/>
        <v>81.590454411353164</v>
      </c>
      <c r="AB543" s="4">
        <f t="shared" si="483"/>
        <v>2.4792072897008772</v>
      </c>
      <c r="AC543" s="47" t="str">
        <f t="shared" si="484"/>
        <v>-0,0369596597383073+0,0545460493905396i</v>
      </c>
      <c r="AD543" s="20">
        <f t="shared" si="485"/>
        <v>-23.62381407007468</v>
      </c>
      <c r="AE543" s="43">
        <f t="shared" si="486"/>
        <v>124.12103177885766</v>
      </c>
      <c r="AF543" t="str">
        <f t="shared" si="468"/>
        <v>405,634542683733</v>
      </c>
      <c r="AG543" t="str">
        <f t="shared" si="469"/>
        <v>1+86004,691458048i</v>
      </c>
      <c r="AH543">
        <f t="shared" si="487"/>
        <v>86004.691463861614</v>
      </c>
      <c r="AI543">
        <f t="shared" si="488"/>
        <v>1.5707846995222094</v>
      </c>
      <c r="AJ543" t="str">
        <f t="shared" si="470"/>
        <v>1+14,5252367795815i</v>
      </c>
      <c r="AK543">
        <f t="shared" si="489"/>
        <v>14.559618933986807</v>
      </c>
      <c r="AL543">
        <f t="shared" si="490"/>
        <v>1.5020590949574457</v>
      </c>
      <c r="AM543" t="str">
        <f t="shared" si="471"/>
        <v>1-78,2853334380017i</v>
      </c>
      <c r="AN543">
        <f t="shared" si="491"/>
        <v>78.291720069871417</v>
      </c>
      <c r="AO543">
        <f t="shared" si="492"/>
        <v>-1.5580232367210447</v>
      </c>
      <c r="AP543" s="41" t="str">
        <f t="shared" si="493"/>
        <v>-0,300657201192042-5,36782634709709i</v>
      </c>
      <c r="AQ543">
        <f t="shared" si="494"/>
        <v>14.609572640801048</v>
      </c>
      <c r="AR543" s="43">
        <f t="shared" si="495"/>
        <v>-93.205842933473832</v>
      </c>
      <c r="AS543" t="str">
        <f t="shared" si="472"/>
        <v>-0,0000166666666666667</v>
      </c>
      <c r="AT543" t="str">
        <f t="shared" si="473"/>
        <v>2,47487688205947i</v>
      </c>
      <c r="AU543">
        <f t="shared" si="496"/>
        <v>2.47487688205947</v>
      </c>
      <c r="AV543">
        <f t="shared" si="497"/>
        <v>1.5707963267948966</v>
      </c>
      <c r="AW543" t="str">
        <f t="shared" si="474"/>
        <v>1+88,2258695172356i</v>
      </c>
      <c r="AX543">
        <f t="shared" si="498"/>
        <v>88.231536607226118</v>
      </c>
      <c r="AY543">
        <f t="shared" si="499"/>
        <v>1.5594622681473613</v>
      </c>
      <c r="AZ543" t="str">
        <f t="shared" si="475"/>
        <v>1+13028,0200653784i</v>
      </c>
      <c r="BA543">
        <f t="shared" si="500"/>
        <v>13028.020103757215</v>
      </c>
      <c r="BB543">
        <f t="shared" si="501"/>
        <v>1.5707195691607345</v>
      </c>
      <c r="BC543" s="41" t="str">
        <f t="shared" si="502"/>
        <v>-0,000011193730178005+0,000994310919827109i</v>
      </c>
      <c r="BD543">
        <f t="shared" si="503"/>
        <v>-60.049005440843288</v>
      </c>
      <c r="BE543" s="43">
        <f t="shared" si="504"/>
        <v>90.644995836774612</v>
      </c>
      <c r="BF543" s="41" t="str">
        <f t="shared" si="505"/>
        <v>-0,0000538220160838609-0,0000373599670300471i</v>
      </c>
      <c r="BG543" s="20">
        <f t="shared" si="506"/>
        <v>-83.672819510917961</v>
      </c>
      <c r="BH543" s="43">
        <f t="shared" si="507"/>
        <v>-145.23397238436777</v>
      </c>
      <c r="BI543" s="41" t="str">
        <f t="shared" si="460"/>
        <v>0,00534065382824052-0,000238860738498112i</v>
      </c>
      <c r="BJ543" s="20">
        <f t="shared" si="508"/>
        <v>-45.439432800042226</v>
      </c>
      <c r="BK543" s="43">
        <f t="shared" si="461"/>
        <v>-2.5608470966992094</v>
      </c>
      <c r="BL543">
        <f t="shared" si="509"/>
        <v>-83.672819510917961</v>
      </c>
      <c r="BM543" s="43">
        <f t="shared" si="510"/>
        <v>-145.23397238436777</v>
      </c>
    </row>
    <row r="544" spans="14:65" x14ac:dyDescent="0.35">
      <c r="N544" s="9">
        <v>26</v>
      </c>
      <c r="O544" s="34">
        <f t="shared" si="462"/>
        <v>1819700.8586099846</v>
      </c>
      <c r="P544" s="33" t="str">
        <f t="shared" si="463"/>
        <v>59,1053597814893</v>
      </c>
      <c r="Q544" s="4" t="str">
        <f t="shared" si="464"/>
        <v>1+87851,6830262344i</v>
      </c>
      <c r="R544" s="4">
        <f t="shared" si="476"/>
        <v>87851.683031925801</v>
      </c>
      <c r="S544" s="4">
        <f t="shared" si="477"/>
        <v>1.5707849439736972</v>
      </c>
      <c r="T544" s="4" t="str">
        <f t="shared" si="465"/>
        <v>1+14,8635730077644i</v>
      </c>
      <c r="U544" s="4">
        <f t="shared" si="478"/>
        <v>14.897174314518255</v>
      </c>
      <c r="V544" s="4">
        <f t="shared" si="479"/>
        <v>1.5036189878223589</v>
      </c>
      <c r="W544" t="str">
        <f t="shared" si="466"/>
        <v>1-548,808849517455i</v>
      </c>
      <c r="X544" s="4">
        <f t="shared" si="480"/>
        <v>548.80976058072486</v>
      </c>
      <c r="Y544" s="4">
        <f t="shared" si="481"/>
        <v>-1.5689742007592749</v>
      </c>
      <c r="Z544" t="str">
        <f t="shared" si="467"/>
        <v>-67,4155209674773+51,346888572277i</v>
      </c>
      <c r="AA544" s="4">
        <f t="shared" si="482"/>
        <v>84.742878363731563</v>
      </c>
      <c r="AB544" s="4">
        <f t="shared" si="483"/>
        <v>2.4906784849251307</v>
      </c>
      <c r="AC544" s="47" t="str">
        <f t="shared" si="484"/>
        <v>-0,0358731034429807+0,0540942660043548i</v>
      </c>
      <c r="AD544" s="20">
        <f t="shared" si="485"/>
        <v>-23.754014110820894</v>
      </c>
      <c r="AE544" s="43">
        <f t="shared" si="486"/>
        <v>123.5507090069013</v>
      </c>
      <c r="AF544" t="str">
        <f t="shared" si="468"/>
        <v>405,634542683733</v>
      </c>
      <c r="AG544" t="str">
        <f t="shared" si="469"/>
        <v>1+88007,9980722891i</v>
      </c>
      <c r="AH544">
        <f t="shared" si="487"/>
        <v>88007.998077970406</v>
      </c>
      <c r="AI544">
        <f t="shared" si="488"/>
        <v>1.5707849641912486</v>
      </c>
      <c r="AJ544" t="str">
        <f t="shared" si="470"/>
        <v>1+14,8635730077644i</v>
      </c>
      <c r="AK544">
        <f t="shared" si="489"/>
        <v>14.897174314518255</v>
      </c>
      <c r="AL544">
        <f t="shared" si="490"/>
        <v>1.5036189878223589</v>
      </c>
      <c r="AM544" t="str">
        <f t="shared" si="471"/>
        <v>1-80,1088331054694i</v>
      </c>
      <c r="AN544">
        <f t="shared" si="491"/>
        <v>80.115074371306363</v>
      </c>
      <c r="AO544">
        <f t="shared" si="492"/>
        <v>-1.5583139571961899</v>
      </c>
      <c r="AP544" s="41" t="str">
        <f t="shared" si="493"/>
        <v>-0,300657203662039-5,49264170524224i</v>
      </c>
      <c r="AQ544">
        <f t="shared" si="494"/>
        <v>14.808618574644253</v>
      </c>
      <c r="AR544" s="43">
        <f t="shared" si="495"/>
        <v>-93.133139876484492</v>
      </c>
      <c r="AS544" t="str">
        <f t="shared" si="472"/>
        <v>-0,0000166666666666667</v>
      </c>
      <c r="AT544" t="str">
        <f t="shared" si="473"/>
        <v>2,53252417016909i</v>
      </c>
      <c r="AU544">
        <f t="shared" si="496"/>
        <v>2.5325241701690899</v>
      </c>
      <c r="AV544">
        <f t="shared" si="497"/>
        <v>1.5707963267948966</v>
      </c>
      <c r="AW544" t="str">
        <f t="shared" si="474"/>
        <v>1+90,2809140148636i</v>
      </c>
      <c r="AX544">
        <f t="shared" si="498"/>
        <v>90.286452114141639</v>
      </c>
      <c r="AY544">
        <f t="shared" si="499"/>
        <v>1.5597202414743725</v>
      </c>
      <c r="AZ544" t="str">
        <f t="shared" si="475"/>
        <v>1+13331,4816361948i</v>
      </c>
      <c r="BA544">
        <f t="shared" si="500"/>
        <v>13331.481673700009</v>
      </c>
      <c r="BB544">
        <f t="shared" si="501"/>
        <v>1.5707213163777942</v>
      </c>
      <c r="BC544" s="41" t="str">
        <f t="shared" si="502"/>
        <v>-0,0000106899911335117+0,000971683219742675i</v>
      </c>
      <c r="BD544">
        <f t="shared" si="503"/>
        <v>-60.248980333427056</v>
      </c>
      <c r="BE544" s="43">
        <f t="shared" si="504"/>
        <v>90.630315162073359</v>
      </c>
      <c r="BF544" s="41" t="str">
        <f t="shared" si="505"/>
        <v>-0,0000521790074029912-0,0000354355598795979i</v>
      </c>
      <c r="BG544" s="20">
        <f t="shared" si="506"/>
        <v>-84.002994444247946</v>
      </c>
      <c r="BH544" s="43">
        <f t="shared" si="507"/>
        <v>-145.81897583102534</v>
      </c>
      <c r="BI544" s="41" t="str">
        <f t="shared" si="460"/>
        <v>0,00534032179988405-0,000233427268564563i</v>
      </c>
      <c r="BJ544" s="20">
        <f t="shared" si="508"/>
        <v>-45.440361758782799</v>
      </c>
      <c r="BK544" s="43">
        <f t="shared" si="461"/>
        <v>-2.5028247144111329</v>
      </c>
      <c r="BL544">
        <f t="shared" si="509"/>
        <v>-84.002994444247946</v>
      </c>
      <c r="BM544" s="43">
        <f t="shared" si="510"/>
        <v>-145.81897583102534</v>
      </c>
    </row>
    <row r="545" spans="14:65" x14ac:dyDescent="0.35">
      <c r="N545" s="9">
        <v>27</v>
      </c>
      <c r="O545" s="34">
        <f t="shared" si="462"/>
        <v>1862087.1366628683</v>
      </c>
      <c r="P545" s="33" t="str">
        <f t="shared" si="463"/>
        <v>59,1053597814893</v>
      </c>
      <c r="Q545" s="4" t="str">
        <f t="shared" si="464"/>
        <v>1+89898,0116008157i</v>
      </c>
      <c r="R545" s="4">
        <f t="shared" si="476"/>
        <v>89898.011606377564</v>
      </c>
      <c r="S545" s="4">
        <f t="shared" si="477"/>
        <v>1.5707852030783411</v>
      </c>
      <c r="T545" s="4" t="str">
        <f t="shared" si="465"/>
        <v>1+15,2097900990987i</v>
      </c>
      <c r="U545" s="4">
        <f t="shared" si="478"/>
        <v>15.242628213619884</v>
      </c>
      <c r="V545" s="4">
        <f t="shared" si="479"/>
        <v>1.5051436896306025</v>
      </c>
      <c r="W545" t="str">
        <f t="shared" si="466"/>
        <v>1-561,592249812875i</v>
      </c>
      <c r="X545" s="4">
        <f t="shared" si="480"/>
        <v>561.59314013784626</v>
      </c>
      <c r="Y545" s="4">
        <f t="shared" si="481"/>
        <v>-1.5690156773229198</v>
      </c>
      <c r="Z545" t="str">
        <f t="shared" si="467"/>
        <v>-70,6398451348202+52,5429112514317i</v>
      </c>
      <c r="AA545" s="4">
        <f t="shared" si="482"/>
        <v>88.038316904897769</v>
      </c>
      <c r="AB545" s="4">
        <f t="shared" si="483"/>
        <v>2.502062304468744</v>
      </c>
      <c r="AC545" s="47" t="str">
        <f t="shared" si="484"/>
        <v>-0,0348018250890769+0,0536240524085436i</v>
      </c>
      <c r="AD545" s="20">
        <f t="shared" si="485"/>
        <v>-23.886266017725024</v>
      </c>
      <c r="AE545" s="43">
        <f t="shared" si="486"/>
        <v>122.98343189329398</v>
      </c>
      <c r="AF545" t="str">
        <f t="shared" si="468"/>
        <v>405,634542683733</v>
      </c>
      <c r="AG545" t="str">
        <f t="shared" si="469"/>
        <v>1+90057,9676920315i</v>
      </c>
      <c r="AH545">
        <f t="shared" si="487"/>
        <v>90057.967697583474</v>
      </c>
      <c r="AI545">
        <f t="shared" si="488"/>
        <v>1.5707852228356847</v>
      </c>
      <c r="AJ545" t="str">
        <f t="shared" si="470"/>
        <v>1+15,2097900990987i</v>
      </c>
      <c r="AK545">
        <f t="shared" si="489"/>
        <v>15.242628213619884</v>
      </c>
      <c r="AL545">
        <f t="shared" si="490"/>
        <v>1.5051436896306025</v>
      </c>
      <c r="AM545" t="str">
        <f t="shared" si="471"/>
        <v>1-81,9748075366153i</v>
      </c>
      <c r="AN545">
        <f t="shared" si="491"/>
        <v>81.980906744589745</v>
      </c>
      <c r="AO545">
        <f t="shared" si="492"/>
        <v>-1.5585980621043594</v>
      </c>
      <c r="AP545" s="41" t="str">
        <f t="shared" si="493"/>
        <v>-0,300657206020868-5,62036933472323i</v>
      </c>
      <c r="AQ545">
        <f t="shared" si="494"/>
        <v>15.007707265488648</v>
      </c>
      <c r="AR545" s="43">
        <f t="shared" si="495"/>
        <v>-93.062073729267809</v>
      </c>
      <c r="AS545" t="str">
        <f t="shared" si="472"/>
        <v>-0,0000166666666666667</v>
      </c>
      <c r="AT545" t="str">
        <f t="shared" si="473"/>
        <v>2,59151423611567i</v>
      </c>
      <c r="AU545">
        <f t="shared" si="496"/>
        <v>2.5915142361156698</v>
      </c>
      <c r="AV545">
        <f t="shared" si="497"/>
        <v>1.5707963267948966</v>
      </c>
      <c r="AW545" t="str">
        <f t="shared" si="474"/>
        <v>1+92,3838266481111i</v>
      </c>
      <c r="AX545">
        <f t="shared" si="498"/>
        <v>92.389238692329542</v>
      </c>
      <c r="AY545">
        <f t="shared" si="499"/>
        <v>1.559972344036137</v>
      </c>
      <c r="AZ545" t="str">
        <f t="shared" si="475"/>
        <v>1+13642,0117350377i</v>
      </c>
      <c r="BA545">
        <f t="shared" si="500"/>
        <v>13642.011771689184</v>
      </c>
      <c r="BB545">
        <f t="shared" si="501"/>
        <v>1.5707230238233385</v>
      </c>
      <c r="BC545" s="41" t="str">
        <f t="shared" si="502"/>
        <v>-0,0000102089186433218+0,000949570216634427i</v>
      </c>
      <c r="BD545">
        <f t="shared" si="503"/>
        <v>-60.448956355895248</v>
      </c>
      <c r="BE545" s="43">
        <f t="shared" si="504"/>
        <v>90.615968578703246</v>
      </c>
      <c r="BF545" s="41" t="str">
        <f t="shared" si="505"/>
        <v>-0,0000505645140614231-0,0000335942201774722i</v>
      </c>
      <c r="BG545" s="20">
        <f t="shared" si="506"/>
        <v>-84.335222373620269</v>
      </c>
      <c r="BH545" s="43">
        <f t="shared" si="507"/>
        <v>-146.40059952800277</v>
      </c>
      <c r="BI545" s="41" t="str">
        <f t="shared" si="460"/>
        <v>0,00534000471169442-0,000228117234970327i</v>
      </c>
      <c r="BJ545" s="20">
        <f t="shared" si="508"/>
        <v>-45.441249090406608</v>
      </c>
      <c r="BK545" s="43">
        <f t="shared" si="461"/>
        <v>-2.4461051505645734</v>
      </c>
      <c r="BL545">
        <f t="shared" si="509"/>
        <v>-84.335222373620269</v>
      </c>
      <c r="BM545" s="43">
        <f t="shared" si="510"/>
        <v>-146.40059952800277</v>
      </c>
    </row>
    <row r="546" spans="14:65" x14ac:dyDescent="0.35">
      <c r="N546" s="9">
        <v>28</v>
      </c>
      <c r="O546" s="34">
        <f t="shared" si="462"/>
        <v>1905460.7179632513</v>
      </c>
      <c r="P546" s="33" t="str">
        <f t="shared" si="463"/>
        <v>59,1053597814893</v>
      </c>
      <c r="Q546" s="4" t="str">
        <f t="shared" si="464"/>
        <v>1+91992,0052910894i</v>
      </c>
      <c r="R546" s="4">
        <f t="shared" si="476"/>
        <v>91992.005296524643</v>
      </c>
      <c r="S546" s="4">
        <f t="shared" si="477"/>
        <v>1.5707854562850432</v>
      </c>
      <c r="T546" s="4" t="str">
        <f t="shared" si="465"/>
        <v>1+15,564071622469i</v>
      </c>
      <c r="U546" s="4">
        <f t="shared" si="478"/>
        <v>15.596163806184673</v>
      </c>
      <c r="V546" s="4">
        <f t="shared" si="479"/>
        <v>1.5066339804273117</v>
      </c>
      <c r="W546" t="str">
        <f t="shared" si="466"/>
        <v>1-574,673413752702i</v>
      </c>
      <c r="X546" s="4">
        <f t="shared" si="480"/>
        <v>574.67428381143361</v>
      </c>
      <c r="Y546" s="4">
        <f t="shared" si="481"/>
        <v>-1.5690562097706309</v>
      </c>
      <c r="Z546" t="str">
        <f t="shared" si="467"/>
        <v>-74,0161270186169+53,7667928776201i</v>
      </c>
      <c r="AA546" s="4">
        <f t="shared" si="482"/>
        <v>91.483632826757216</v>
      </c>
      <c r="AB546" s="4">
        <f t="shared" si="483"/>
        <v>2.5133543418366706</v>
      </c>
      <c r="AC546" s="47" t="str">
        <f t="shared" si="484"/>
        <v>-0,0337466083892267+0,0531361718330723i</v>
      </c>
      <c r="AD546" s="20">
        <f t="shared" si="485"/>
        <v>-24.020541433477383</v>
      </c>
      <c r="AE546" s="43">
        <f t="shared" si="486"/>
        <v>122.41949633704382</v>
      </c>
      <c r="AF546" t="str">
        <f t="shared" si="468"/>
        <v>405,634542683733</v>
      </c>
      <c r="AG546" t="str">
        <f t="shared" si="469"/>
        <v>1+92155,6872383031i</v>
      </c>
      <c r="AH546">
        <f t="shared" si="487"/>
        <v>92155.687243728695</v>
      </c>
      <c r="AI546">
        <f t="shared" si="488"/>
        <v>1.5707854755926547</v>
      </c>
      <c r="AJ546" t="str">
        <f t="shared" si="470"/>
        <v>1+15,564071622469i</v>
      </c>
      <c r="AK546">
        <f t="shared" si="489"/>
        <v>15.596163806184673</v>
      </c>
      <c r="AL546">
        <f t="shared" si="490"/>
        <v>1.5066339804273117</v>
      </c>
      <c r="AM546" t="str">
        <f t="shared" si="471"/>
        <v>1-83,8842460957827i</v>
      </c>
      <c r="AN546">
        <f t="shared" si="491"/>
        <v>83.890206478812729</v>
      </c>
      <c r="AO546">
        <f t="shared" si="492"/>
        <v>-1.5588757018981769</v>
      </c>
      <c r="AP546" s="41" t="str">
        <f t="shared" si="493"/>
        <v>-0,300657208273533-5,7510769584199i</v>
      </c>
      <c r="AQ546">
        <f t="shared" si="494"/>
        <v>15.206836804990861</v>
      </c>
      <c r="AR546" s="43">
        <f t="shared" si="495"/>
        <v>-92.992608426687454</v>
      </c>
      <c r="AS546" t="str">
        <f t="shared" si="472"/>
        <v>-0,0000166666666666667</v>
      </c>
      <c r="AT546" t="str">
        <f t="shared" si="473"/>
        <v>2,65187835721298i</v>
      </c>
      <c r="AU546">
        <f t="shared" si="496"/>
        <v>2.65187835721298</v>
      </c>
      <c r="AV546">
        <f t="shared" si="497"/>
        <v>1.5707963267948966</v>
      </c>
      <c r="AW546" t="str">
        <f t="shared" si="474"/>
        <v>1+94,5357224090929i</v>
      </c>
      <c r="AX546">
        <f t="shared" si="498"/>
        <v>94.541011267116602</v>
      </c>
      <c r="AY546">
        <f t="shared" si="499"/>
        <v>1.5602187093725166</v>
      </c>
      <c r="AZ546" t="str">
        <f t="shared" si="475"/>
        <v>1+13959,775009076i</v>
      </c>
      <c r="BA546">
        <f t="shared" si="500"/>
        <v>13959.775044893195</v>
      </c>
      <c r="BB546">
        <f t="shared" si="501"/>
        <v>1.5707246924026776</v>
      </c>
      <c r="BC546" s="41" t="str">
        <f t="shared" si="502"/>
        <v>-9,74949302279314E-06+0,000927960219415927i</v>
      </c>
      <c r="BD546">
        <f t="shared" si="503"/>
        <v>-60.648933457406585</v>
      </c>
      <c r="BE546" s="43">
        <f t="shared" si="504"/>
        <v>90.601948487264281</v>
      </c>
      <c r="BF546" s="41" t="str">
        <f t="shared" si="505"/>
        <v>-0,0000489792413501065-0,0000318335608619546i</v>
      </c>
      <c r="BG546" s="20">
        <f t="shared" si="506"/>
        <v>-84.669474890883976</v>
      </c>
      <c r="BH546" s="43">
        <f t="shared" si="507"/>
        <v>-146.97855517569192</v>
      </c>
      <c r="BI546" s="41" t="str">
        <f t="shared" si="460"/>
        <v>0,00533970189156753-0,000222927844278827i</v>
      </c>
      <c r="BJ546" s="20">
        <f t="shared" si="508"/>
        <v>-45.442096652415728</v>
      </c>
      <c r="BK546" s="43">
        <f t="shared" si="461"/>
        <v>-2.3906599394231787</v>
      </c>
      <c r="BL546">
        <f t="shared" si="509"/>
        <v>-84.669474890883976</v>
      </c>
      <c r="BM546" s="43">
        <f t="shared" si="510"/>
        <v>-146.97855517569192</v>
      </c>
    </row>
    <row r="547" spans="14:65" x14ac:dyDescent="0.35">
      <c r="N547" s="9">
        <v>29</v>
      </c>
      <c r="O547" s="34">
        <f t="shared" si="462"/>
        <v>1949844.5997580495</v>
      </c>
      <c r="P547" s="33" t="str">
        <f t="shared" si="463"/>
        <v>59,1053597814893</v>
      </c>
      <c r="Q547" s="4" t="str">
        <f t="shared" si="464"/>
        <v>1+94134,7743602253i</v>
      </c>
      <c r="R547" s="4">
        <f t="shared" si="476"/>
        <v>94134.774365536825</v>
      </c>
      <c r="S547" s="4">
        <f t="shared" si="477"/>
        <v>1.570785703728057</v>
      </c>
      <c r="T547" s="4" t="str">
        <f t="shared" si="465"/>
        <v>1+15,9266054226282i</v>
      </c>
      <c r="U547" s="4">
        <f t="shared" si="478"/>
        <v>15.957968551419382</v>
      </c>
      <c r="V547" s="4">
        <f t="shared" si="479"/>
        <v>1.5080906238903846</v>
      </c>
      <c r="W547" t="str">
        <f t="shared" si="466"/>
        <v>1-588,059277143195i</v>
      </c>
      <c r="X547" s="4">
        <f t="shared" si="480"/>
        <v>588.060127397001</v>
      </c>
      <c r="Y547" s="4">
        <f t="shared" si="481"/>
        <v>-1.5690958195927152</v>
      </c>
      <c r="Z547" t="str">
        <f t="shared" si="467"/>
        <v>-77,5515281654048+55,0191823690791i</v>
      </c>
      <c r="AA547" s="4">
        <f t="shared" si="482"/>
        <v>95.086013426536937</v>
      </c>
      <c r="AB547" s="4">
        <f t="shared" si="483"/>
        <v>2.5245503734902655</v>
      </c>
      <c r="AC547" s="47" t="str">
        <f t="shared" si="484"/>
        <v>-0,0327081811019278+0,0526314204586014i</v>
      </c>
      <c r="AD547" s="20">
        <f t="shared" si="485"/>
        <v>-24.156810434388419</v>
      </c>
      <c r="AE547" s="43">
        <f t="shared" si="486"/>
        <v>121.85918684561432</v>
      </c>
      <c r="AF547" t="str">
        <f t="shared" si="468"/>
        <v>405,634542683733</v>
      </c>
      <c r="AG547" t="str">
        <f t="shared" si="469"/>
        <v>1+94302,2689497719i</v>
      </c>
      <c r="AH547">
        <f t="shared" si="487"/>
        <v>94302.268955073974</v>
      </c>
      <c r="AI547">
        <f t="shared" si="488"/>
        <v>1.5707857225961737</v>
      </c>
      <c r="AJ547" t="str">
        <f t="shared" si="470"/>
        <v>1+15,9266054226282i</v>
      </c>
      <c r="AK547">
        <f t="shared" si="489"/>
        <v>15.957968551419382</v>
      </c>
      <c r="AL547">
        <f t="shared" si="490"/>
        <v>1.5080906238903846</v>
      </c>
      <c r="AM547" t="str">
        <f t="shared" si="471"/>
        <v>1-85,8381611925681i</v>
      </c>
      <c r="AN547">
        <f t="shared" si="491"/>
        <v>85.843985910029261</v>
      </c>
      <c r="AO547">
        <f t="shared" si="492"/>
        <v>-1.5591470236146254</v>
      </c>
      <c r="AP547" s="41" t="str">
        <f t="shared" si="493"/>
        <v>-0,300657210424811-5,88483387924437i</v>
      </c>
      <c r="AQ547">
        <f t="shared" si="494"/>
        <v>15.406005369294435</v>
      </c>
      <c r="AR547" s="43">
        <f t="shared" si="495"/>
        <v>-92.924708645499962</v>
      </c>
      <c r="AS547" t="str">
        <f t="shared" si="472"/>
        <v>-0,0000166666666666667</v>
      </c>
      <c r="AT547" t="str">
        <f t="shared" si="473"/>
        <v>2,71364853931704i</v>
      </c>
      <c r="AU547">
        <f t="shared" si="496"/>
        <v>2.71364853931704</v>
      </c>
      <c r="AV547">
        <f t="shared" si="497"/>
        <v>1.5707963267948966</v>
      </c>
      <c r="AW547" t="str">
        <f t="shared" si="474"/>
        <v>1+96,7377422614228i</v>
      </c>
      <c r="AX547">
        <f t="shared" si="498"/>
        <v>96.742910736846568</v>
      </c>
      <c r="AY547">
        <f t="shared" si="499"/>
        <v>1.5604594679899777</v>
      </c>
      <c r="AZ547" t="str">
        <f t="shared" si="475"/>
        <v>1+14284,9399406034i</v>
      </c>
      <c r="BA547">
        <f t="shared" si="500"/>
        <v>14284.939975605297</v>
      </c>
      <c r="BB547">
        <f t="shared" si="501"/>
        <v>1.5707263230005142</v>
      </c>
      <c r="BC547" s="41" t="str">
        <f t="shared" si="502"/>
        <v>-9,31074043857379E-06+0,000906841801464624i</v>
      </c>
      <c r="BD547">
        <f t="shared" si="503"/>
        <v>-60.848911589406882</v>
      </c>
      <c r="BE547" s="43">
        <f t="shared" si="504"/>
        <v>90.588247460976476</v>
      </c>
      <c r="BF547" s="41" t="str">
        <f t="shared" si="505"/>
        <v>-0,0000474238347578622-0,0000301511833679069i</v>
      </c>
      <c r="BG547" s="20">
        <f t="shared" si="506"/>
        <v>-85.0057220237953</v>
      </c>
      <c r="BH547" s="43">
        <f t="shared" si="507"/>
        <v>-147.55256569340912</v>
      </c>
      <c r="BI547" s="41" t="str">
        <f t="shared" si="460"/>
        <v>0,00533941269762127-0,000217856365551194i</v>
      </c>
      <c r="BJ547" s="20">
        <f t="shared" si="508"/>
        <v>-45.442906220112448</v>
      </c>
      <c r="BK547" s="43">
        <f t="shared" si="461"/>
        <v>-2.3364611845234711</v>
      </c>
      <c r="BL547">
        <f t="shared" si="509"/>
        <v>-85.0057220237953</v>
      </c>
      <c r="BM547" s="43">
        <f t="shared" si="510"/>
        <v>-147.55256569340912</v>
      </c>
    </row>
    <row r="548" spans="14:65" x14ac:dyDescent="0.35">
      <c r="N548" s="9">
        <v>30</v>
      </c>
      <c r="O548" s="34">
        <f t="shared" si="462"/>
        <v>1995262.31496888</v>
      </c>
      <c r="P548" s="33" t="str">
        <f t="shared" si="463"/>
        <v>59,1053597814893</v>
      </c>
      <c r="Q548" s="4" t="str">
        <f t="shared" si="464"/>
        <v>1+96327,4549327487i</v>
      </c>
      <c r="R548" s="4">
        <f t="shared" si="476"/>
        <v>96327.454937939343</v>
      </c>
      <c r="S548" s="4">
        <f t="shared" si="477"/>
        <v>1.5707859455385802</v>
      </c>
      <c r="T548" s="4" t="str">
        <f t="shared" si="465"/>
        <v>1+16,2975837197961i</v>
      </c>
      <c r="U548" s="4">
        <f t="shared" si="478"/>
        <v>16.328234292285341</v>
      </c>
      <c r="V548" s="4">
        <f t="shared" si="479"/>
        <v>1.5095143676117577</v>
      </c>
      <c r="W548" t="str">
        <f t="shared" si="466"/>
        <v>1-601,756937346318i</v>
      </c>
      <c r="X548" s="4">
        <f t="shared" si="480"/>
        <v>601.75776824601155</v>
      </c>
      <c r="Y548" s="4">
        <f t="shared" si="481"/>
        <v>-1.5691345277903277</v>
      </c>
      <c r="Z548" t="str">
        <f t="shared" si="467"/>
        <v>-81,25354763502+56,3007437592955i</v>
      </c>
      <c r="AA548" s="4">
        <f t="shared" si="482"/>
        <v>98.852985544829721</v>
      </c>
      <c r="AB548" s="4">
        <f t="shared" si="483"/>
        <v>2.5356463655496957</v>
      </c>
      <c r="AC548" s="47" t="str">
        <f t="shared" si="484"/>
        <v>-0,0316872138155819+0,0521106229541281i</v>
      </c>
      <c r="AD548" s="20">
        <f t="shared" si="485"/>
        <v>-24.295041644702877</v>
      </c>
      <c r="AE548" s="43">
        <f t="shared" si="486"/>
        <v>121.30277616636309</v>
      </c>
      <c r="AF548" t="str">
        <f t="shared" si="468"/>
        <v>405,634542683733</v>
      </c>
      <c r="AG548" t="str">
        <f t="shared" si="469"/>
        <v>1+96498,8509724767i</v>
      </c>
      <c r="AH548">
        <f t="shared" si="487"/>
        <v>96498.850977658105</v>
      </c>
      <c r="AI548">
        <f t="shared" si="488"/>
        <v>1.5707859639772062</v>
      </c>
      <c r="AJ548" t="str">
        <f t="shared" si="470"/>
        <v>1+16,2975837197961i</v>
      </c>
      <c r="AK548">
        <f t="shared" si="489"/>
        <v>16.328234292285341</v>
      </c>
      <c r="AL548">
        <f t="shared" si="490"/>
        <v>1.5095143676117577</v>
      </c>
      <c r="AM548" t="str">
        <f t="shared" si="471"/>
        <v>1-87,8375888186208i</v>
      </c>
      <c r="AN548">
        <f t="shared" si="491"/>
        <v>87.843280958016933</v>
      </c>
      <c r="AO548">
        <f t="shared" si="492"/>
        <v>-1.5594121709521911</v>
      </c>
      <c r="AP548" s="41" t="str">
        <f t="shared" si="493"/>
        <v>-0,300657212479265-6,02171101688662i</v>
      </c>
      <c r="AQ548">
        <f t="shared" si="494"/>
        <v>15.605211215349982</v>
      </c>
      <c r="AR548" s="43">
        <f t="shared" si="495"/>
        <v>-92.858339792663088</v>
      </c>
      <c r="AS548" t="str">
        <f t="shared" si="472"/>
        <v>-0,0000166666666666667</v>
      </c>
      <c r="AT548" t="str">
        <f t="shared" si="473"/>
        <v>2,77685753379602i</v>
      </c>
      <c r="AU548">
        <f t="shared" si="496"/>
        <v>2.77685753379602</v>
      </c>
      <c r="AV548">
        <f t="shared" si="497"/>
        <v>1.5707963267948966</v>
      </c>
      <c r="AW548" t="str">
        <f t="shared" si="474"/>
        <v>1+98,9910537451759i</v>
      </c>
      <c r="AX548">
        <f t="shared" si="498"/>
        <v>98.996104577808026</v>
      </c>
      <c r="AY548">
        <f t="shared" si="499"/>
        <v>1.560694747430218</v>
      </c>
      <c r="AZ548" t="str">
        <f t="shared" si="475"/>
        <v>1+14617,6789363709i</v>
      </c>
      <c r="BA548">
        <f t="shared" si="500"/>
        <v>14617.678970576057</v>
      </c>
      <c r="BB548">
        <f t="shared" si="501"/>
        <v>1.570727916481413</v>
      </c>
      <c r="BC548" s="41" t="str">
        <f t="shared" si="502"/>
        <v>-0,0000088917308486538+0,000886203794712454i</v>
      </c>
      <c r="BD548">
        <f t="shared" si="503"/>
        <v>-61.048890705526517</v>
      </c>
      <c r="BE548" s="43">
        <f t="shared" si="504"/>
        <v>90.574858241774734</v>
      </c>
      <c r="BF548" s="41" t="str">
        <f t="shared" si="505"/>
        <v>-0,0000458988776301863-0,0000285446827608974i</v>
      </c>
      <c r="BG548" s="20">
        <f t="shared" si="506"/>
        <v>-85.343932350229395</v>
      </c>
      <c r="BH548" s="43">
        <f t="shared" si="507"/>
        <v>-148.12236559186212</v>
      </c>
      <c r="BI548" s="41" t="str">
        <f t="shared" si="460"/>
        <v>0,00533913651683778-0,000212900128996264i</v>
      </c>
      <c r="BJ548" s="20">
        <f t="shared" si="508"/>
        <v>-45.44367949017655</v>
      </c>
      <c r="BK548" s="43">
        <f t="shared" si="461"/>
        <v>-2.2834815508883417</v>
      </c>
      <c r="BL548">
        <f t="shared" si="509"/>
        <v>-85.343932350229395</v>
      </c>
      <c r="BM548" s="43">
        <f t="shared" si="510"/>
        <v>-148.12236559186212</v>
      </c>
    </row>
    <row r="549" spans="14:65" x14ac:dyDescent="0.35">
      <c r="N549" s="9">
        <v>31</v>
      </c>
      <c r="O549" s="34">
        <f t="shared" si="462"/>
        <v>2041737.9446695296</v>
      </c>
      <c r="P549" s="33" t="str">
        <f t="shared" si="463"/>
        <v>59,1053597814893</v>
      </c>
      <c r="Q549" s="4" t="str">
        <f t="shared" si="464"/>
        <v>1+98571,2095969216i</v>
      </c>
      <c r="R549" s="4">
        <f t="shared" si="476"/>
        <v>98571.209601994095</v>
      </c>
      <c r="S549" s="4">
        <f t="shared" si="477"/>
        <v>1.5707861818448239</v>
      </c>
      <c r="T549" s="4" t="str">
        <f t="shared" si="465"/>
        <v>1+16,6772032115762i</v>
      </c>
      <c r="U549" s="4">
        <f t="shared" si="478"/>
        <v>16.707157357258819</v>
      </c>
      <c r="V549" s="4">
        <f t="shared" si="479"/>
        <v>1.510905943378213</v>
      </c>
      <c r="W549" t="str">
        <f t="shared" si="466"/>
        <v>1-615,773657042814i</v>
      </c>
      <c r="X549" s="4">
        <f t="shared" si="480"/>
        <v>615.77446902894667</v>
      </c>
      <c r="Y549" s="4">
        <f t="shared" si="481"/>
        <v>-1.5691723548866028</v>
      </c>
      <c r="Z549" t="str">
        <f t="shared" si="467"/>
        <v>-85,1300379070935+57,6121565490813i</v>
      </c>
      <c r="AA549" s="4">
        <f t="shared" si="482"/>
        <v>102.79243131816189</v>
      </c>
      <c r="AB549" s="4">
        <f t="shared" si="483"/>
        <v>2.5466384794997747</v>
      </c>
      <c r="AC549" s="47" t="str">
        <f t="shared" si="484"/>
        <v>-0,0306843191232753+0,051574628017388i</v>
      </c>
      <c r="AD549" s="20">
        <f t="shared" si="485"/>
        <v>-24.435202352720538</v>
      </c>
      <c r="AE549" s="43">
        <f t="shared" si="486"/>
        <v>120.75052497506901</v>
      </c>
      <c r="AF549" t="str">
        <f t="shared" si="468"/>
        <v>405,634542683733</v>
      </c>
      <c r="AG549" t="str">
        <f t="shared" si="469"/>
        <v>1+98746,5979632799i</v>
      </c>
      <c r="AH549">
        <f t="shared" si="487"/>
        <v>98746.597968343354</v>
      </c>
      <c r="AI549">
        <f t="shared" si="488"/>
        <v>1.5707861998637356</v>
      </c>
      <c r="AJ549" t="str">
        <f t="shared" si="470"/>
        <v>1+16,6772032115762i</v>
      </c>
      <c r="AK549">
        <f t="shared" si="489"/>
        <v>16.707157357258819</v>
      </c>
      <c r="AL549">
        <f t="shared" si="490"/>
        <v>1.510905943378213</v>
      </c>
      <c r="AM549" t="str">
        <f t="shared" si="471"/>
        <v>1-89,8835890969327i</v>
      </c>
      <c r="AN549">
        <f t="shared" si="491"/>
        <v>89.889151675528879</v>
      </c>
      <c r="AO549">
        <f t="shared" si="492"/>
        <v>-1.5596712843462908</v>
      </c>
      <c r="AP549" s="41" t="str">
        <f t="shared" si="493"/>
        <v>-0,300657214441253-6,16178094541677i</v>
      </c>
      <c r="AQ549">
        <f t="shared" si="494"/>
        <v>15.804452677389524</v>
      </c>
      <c r="AR549" s="43">
        <f t="shared" si="495"/>
        <v>-92.793467993572307</v>
      </c>
      <c r="AS549" t="str">
        <f t="shared" si="472"/>
        <v>-0,0000166666666666667</v>
      </c>
      <c r="AT549" t="str">
        <f t="shared" si="473"/>
        <v>2,84153885489549i</v>
      </c>
      <c r="AU549">
        <f t="shared" si="496"/>
        <v>2.8415388548954899</v>
      </c>
      <c r="AV549">
        <f t="shared" si="497"/>
        <v>1.5707963267948966</v>
      </c>
      <c r="AW549" t="str">
        <f t="shared" si="474"/>
        <v>1+101,296851595926i</v>
      </c>
      <c r="AX549">
        <f t="shared" si="498"/>
        <v>101.30178746323806</v>
      </c>
      <c r="AY549">
        <f t="shared" si="499"/>
        <v>1.5609246723372576</v>
      </c>
      <c r="AZ549" t="str">
        <f t="shared" si="475"/>
        <v>1+14958,1684189983i</v>
      </c>
      <c r="BA549">
        <f t="shared" si="500"/>
        <v>14958.16845242485</v>
      </c>
      <c r="BB549">
        <f t="shared" si="501"/>
        <v>1.5707294736902584</v>
      </c>
      <c r="BC549" s="41" t="str">
        <f t="shared" si="502"/>
        <v>-8,49157603480713E-06+0,000866035283863659i</v>
      </c>
      <c r="BD549">
        <f t="shared" si="503"/>
        <v>-61.248870761481918</v>
      </c>
      <c r="BE549" s="43">
        <f t="shared" si="504"/>
        <v>90.561773736491105</v>
      </c>
      <c r="BF549" s="41" t="str">
        <f t="shared" si="505"/>
        <v>-0,0000444048893862897-0,0000270116528973654i</v>
      </c>
      <c r="BG549" s="20">
        <f t="shared" si="506"/>
        <v>-85.684073114202448</v>
      </c>
      <c r="BH549" s="43">
        <f t="shared" si="507"/>
        <v>-148.68770128843988</v>
      </c>
      <c r="BI549" s="41" t="str">
        <f t="shared" si="460"/>
        <v>0,00533887276376654-0,000208056524646455i</v>
      </c>
      <c r="BJ549" s="20">
        <f t="shared" si="508"/>
        <v>-45.444418084092391</v>
      </c>
      <c r="BK549" s="43">
        <f t="shared" si="461"/>
        <v>-2.2316942570811893</v>
      </c>
      <c r="BL549">
        <f t="shared" si="509"/>
        <v>-85.684073114202448</v>
      </c>
      <c r="BM549" s="43">
        <f t="shared" si="510"/>
        <v>-148.68770128843988</v>
      </c>
    </row>
    <row r="550" spans="14:65" x14ac:dyDescent="0.35">
      <c r="N550" s="9">
        <v>32</v>
      </c>
      <c r="O550" s="34">
        <f t="shared" si="462"/>
        <v>2089296.1308540432</v>
      </c>
      <c r="P550" s="33" t="str">
        <f t="shared" si="463"/>
        <v>59,1053597814893</v>
      </c>
      <c r="Q550" s="4" t="str">
        <f t="shared" si="464"/>
        <v>1+100867,228021168i</v>
      </c>
      <c r="R550" s="4">
        <f t="shared" si="476"/>
        <v>100867.228026125</v>
      </c>
      <c r="S550" s="4">
        <f t="shared" si="477"/>
        <v>1.5707864127720808</v>
      </c>
      <c r="T550" s="4" t="str">
        <f t="shared" si="465"/>
        <v>1+17,0656651772481i</v>
      </c>
      <c r="U550" s="4">
        <f t="shared" si="478"/>
        <v>17.094938664468451</v>
      </c>
      <c r="V550" s="4">
        <f t="shared" si="479"/>
        <v>1.5122660674513622</v>
      </c>
      <c r="W550" t="str">
        <f t="shared" si="466"/>
        <v>1-630,116868083007i</v>
      </c>
      <c r="X550" s="4">
        <f t="shared" si="480"/>
        <v>630.11766158610237</v>
      </c>
      <c r="Y550" s="4">
        <f t="shared" si="481"/>
        <v>-1.5692093209375342</v>
      </c>
      <c r="Z550" t="str">
        <f t="shared" si="467"/>
        <v>-89,1892215372249+58,954116066857i</v>
      </c>
      <c r="AA550" s="4">
        <f t="shared" si="482"/>
        <v>106.91260468083559</v>
      </c>
      <c r="AB550" s="4">
        <f t="shared" si="483"/>
        <v>2.5575230769041699</v>
      </c>
      <c r="AC550" s="47" t="str">
        <f t="shared" si="484"/>
        <v>-0,0297000511774175+0,0510243039548644i</v>
      </c>
      <c r="AD550" s="20">
        <f t="shared" si="485"/>
        <v>-24.577258627982982</v>
      </c>
      <c r="AE550" s="43">
        <f t="shared" si="486"/>
        <v>120.20268162124287</v>
      </c>
      <c r="AF550" t="str">
        <f t="shared" si="468"/>
        <v>405,634542683733</v>
      </c>
      <c r="AG550" t="str">
        <f t="shared" si="469"/>
        <v>1+101046,70170739i</v>
      </c>
      <c r="AH550">
        <f t="shared" si="487"/>
        <v>101046.70171233821</v>
      </c>
      <c r="AI550">
        <f t="shared" si="488"/>
        <v>1.5707864303808319</v>
      </c>
      <c r="AJ550" t="str">
        <f t="shared" si="470"/>
        <v>1+17,0656651772481i</v>
      </c>
      <c r="AK550">
        <f t="shared" si="489"/>
        <v>17.094938664468451</v>
      </c>
      <c r="AL550">
        <f t="shared" si="490"/>
        <v>1.5122660674513622</v>
      </c>
      <c r="AM550" t="str">
        <f t="shared" si="471"/>
        <v>1-91,9772468439346i</v>
      </c>
      <c r="AN550">
        <f t="shared" si="491"/>
        <v>91.982682810353381</v>
      </c>
      <c r="AO550">
        <f t="shared" si="492"/>
        <v>-1.5599245010430214</v>
      </c>
      <c r="AP550" s="41" t="str">
        <f t="shared" si="493"/>
        <v>-0,300657216314938-6,30511793176504i</v>
      </c>
      <c r="AQ550">
        <f t="shared" si="494"/>
        <v>16.003728163550555</v>
      </c>
      <c r="AR550" s="43">
        <f t="shared" si="495"/>
        <v>-92.73006008024835</v>
      </c>
      <c r="AS550" t="str">
        <f t="shared" si="472"/>
        <v>-0,0000166666666666667</v>
      </c>
      <c r="AT550" t="str">
        <f t="shared" si="473"/>
        <v>2,90772679750804i</v>
      </c>
      <c r="AU550">
        <f t="shared" si="496"/>
        <v>2.9077267975080399</v>
      </c>
      <c r="AV550">
        <f t="shared" si="497"/>
        <v>1.5707963267948966</v>
      </c>
      <c r="AW550" t="str">
        <f t="shared" si="474"/>
        <v>1+103,656358378215i</v>
      </c>
      <c r="AX550">
        <f t="shared" si="498"/>
        <v>103.66118189675896</v>
      </c>
      <c r="AY550">
        <f t="shared" si="499"/>
        <v>1.5611493645230288</v>
      </c>
      <c r="AZ550" t="str">
        <f t="shared" si="475"/>
        <v>1+15306,5889205164i</v>
      </c>
      <c r="BA550">
        <f t="shared" si="500"/>
        <v>15306.58895318207</v>
      </c>
      <c r="BB550">
        <f t="shared" si="501"/>
        <v>1.5707309954527033</v>
      </c>
      <c r="BC550" s="41" t="str">
        <f t="shared" si="502"/>
        <v>-8,10942772328973E-06+0,000846325600737312i</v>
      </c>
      <c r="BD550">
        <f t="shared" si="503"/>
        <v>-61.448851714981593</v>
      </c>
      <c r="BE550" s="43">
        <f t="shared" si="504"/>
        <v>90.548987013122357</v>
      </c>
      <c r="BF550" s="41" t="str">
        <f t="shared" si="505"/>
        <v>-0,0000429423242784025-0,0000255496915597099i</v>
      </c>
      <c r="BG550" s="20">
        <f t="shared" si="506"/>
        <v>-86.026110342964586</v>
      </c>
      <c r="BH550" s="43">
        <f t="shared" si="507"/>
        <v>-149.24833136563475</v>
      </c>
      <c r="BI550" s="41" t="str">
        <f t="shared" si="460"/>
        <v>0,00533862087928584-0,000203323001059281i</v>
      </c>
      <c r="BJ550" s="20">
        <f t="shared" si="508"/>
        <v>-45.445123551431038</v>
      </c>
      <c r="BK550" s="43">
        <f t="shared" si="461"/>
        <v>-2.1810730671259955</v>
      </c>
      <c r="BL550">
        <f t="shared" si="509"/>
        <v>-86.026110342964586</v>
      </c>
      <c r="BM550" s="43">
        <f t="shared" si="510"/>
        <v>-149.24833136563475</v>
      </c>
    </row>
    <row r="551" spans="14:65" x14ac:dyDescent="0.35">
      <c r="N551" s="9">
        <v>33</v>
      </c>
      <c r="O551" s="34">
        <f t="shared" si="462"/>
        <v>2137962.0895022359</v>
      </c>
      <c r="P551" s="33" t="str">
        <f t="shared" si="463"/>
        <v>59,1053597814893</v>
      </c>
      <c r="Q551" s="4" t="str">
        <f t="shared" si="464"/>
        <v>1+103216,727584846i</v>
      </c>
      <c r="R551" s="4">
        <f t="shared" si="476"/>
        <v>103216.72758969018</v>
      </c>
      <c r="S551" s="4">
        <f t="shared" si="477"/>
        <v>1.5707866384427915</v>
      </c>
      <c r="T551" s="4" t="str">
        <f t="shared" si="465"/>
        <v>1+17,4631755844876i</v>
      </c>
      <c r="U551" s="4">
        <f t="shared" si="478"/>
        <v>17.49178382826188</v>
      </c>
      <c r="V551" s="4">
        <f t="shared" si="479"/>
        <v>1.5135954408464569</v>
      </c>
      <c r="W551" t="str">
        <f t="shared" si="466"/>
        <v>1-644,794175427236i</v>
      </c>
      <c r="X551" s="4">
        <f t="shared" si="480"/>
        <v>644.79495086801762</v>
      </c>
      <c r="Y551" s="4">
        <f t="shared" si="481"/>
        <v>-1.569245445542607</v>
      </c>
      <c r="Z551" t="str">
        <f t="shared" si="467"/>
        <v>-93,4397085981149+60,3273338373209i</v>
      </c>
      <c r="AA551" s="4">
        <f t="shared" si="482"/>
        <v>111.2221486522365</v>
      </c>
      <c r="AB551" s="4">
        <f t="shared" si="483"/>
        <v>2.5682967231405103</v>
      </c>
      <c r="AC551" s="47" t="str">
        <f t="shared" si="484"/>
        <v>-0,0287349056097877+0,0504605343359095i</v>
      </c>
      <c r="AD551" s="20">
        <f t="shared" si="485"/>
        <v>-24.721175438805012</v>
      </c>
      <c r="AE551" s="43">
        <f t="shared" si="486"/>
        <v>119.65948192948295</v>
      </c>
      <c r="AF551" t="str">
        <f t="shared" si="468"/>
        <v>405,634542683733</v>
      </c>
      <c r="AG551" t="str">
        <f t="shared" si="469"/>
        <v>1+103400,381750256i</v>
      </c>
      <c r="AH551">
        <f t="shared" si="487"/>
        <v>103400.38175509157</v>
      </c>
      <c r="AI551">
        <f t="shared" si="488"/>
        <v>1.5707866556507186</v>
      </c>
      <c r="AJ551" t="str">
        <f t="shared" si="470"/>
        <v>1+17,4631755844876i</v>
      </c>
      <c r="AK551">
        <f t="shared" si="489"/>
        <v>17.49178382826188</v>
      </c>
      <c r="AL551">
        <f t="shared" si="490"/>
        <v>1.5135954408464569</v>
      </c>
      <c r="AM551" t="str">
        <f t="shared" si="471"/>
        <v>1-94,1196721446751i</v>
      </c>
      <c r="AN551">
        <f t="shared" si="491"/>
        <v>94.124984380456254</v>
      </c>
      <c r="AO551">
        <f t="shared" si="492"/>
        <v>-1.5601719551712652</v>
      </c>
      <c r="AP551" s="41" t="str">
        <f t="shared" si="493"/>
        <v>-0,300657218104291-6,45179797509875i</v>
      </c>
      <c r="AQ551">
        <f t="shared" si="494"/>
        <v>16.203036152642433</v>
      </c>
      <c r="AR551" s="43">
        <f t="shared" si="495"/>
        <v>-92.668083579497662</v>
      </c>
      <c r="AS551" t="str">
        <f t="shared" si="472"/>
        <v>-0,0000166666666666667</v>
      </c>
      <c r="AT551" t="str">
        <f t="shared" si="473"/>
        <v>2,97545645535693i</v>
      </c>
      <c r="AU551">
        <f t="shared" si="496"/>
        <v>2.9754564553569298</v>
      </c>
      <c r="AV551">
        <f t="shared" si="497"/>
        <v>1.5707963267948966</v>
      </c>
      <c r="AW551" t="str">
        <f t="shared" si="474"/>
        <v>1+106,070825133769i</v>
      </c>
      <c r="AX551">
        <f t="shared" si="498"/>
        <v>106.07553886056202</v>
      </c>
      <c r="AY551">
        <f t="shared" si="499"/>
        <v>1.5613689430314992</v>
      </c>
      <c r="AZ551" t="str">
        <f t="shared" si="475"/>
        <v>1+15663,1251780866i</v>
      </c>
      <c r="BA551">
        <f t="shared" si="500"/>
        <v>15663.125210008709</v>
      </c>
      <c r="BB551">
        <f t="shared" si="501"/>
        <v>1.5707324825756064</v>
      </c>
      <c r="BC551" s="41" t="str">
        <f t="shared" si="502"/>
        <v>-7,74447578984957E-06+0,000827064318732155i</v>
      </c>
      <c r="BD551">
        <f t="shared" si="503"/>
        <v>-61.648833525636995</v>
      </c>
      <c r="BE551" s="43">
        <f t="shared" si="504"/>
        <v>90.536491297181186</v>
      </c>
      <c r="BF551" s="41" t="str">
        <f t="shared" si="505"/>
        <v>-0,0000415115706725709-0,0000241564055184992i</v>
      </c>
      <c r="BG551" s="20">
        <f t="shared" si="506"/>
        <v>-86.370008964442007</v>
      </c>
      <c r="BH551" s="43">
        <f t="shared" si="507"/>
        <v>-149.80402677333581</v>
      </c>
      <c r="BI551" s="41" t="str">
        <f t="shared" si="460"/>
        <v>0,0053383803294192-0,000198697064044178i</v>
      </c>
      <c r="BJ551" s="20">
        <f t="shared" si="508"/>
        <v>-45.445797372994562</v>
      </c>
      <c r="BK551" s="43">
        <f t="shared" si="461"/>
        <v>-2.1315922823164759</v>
      </c>
      <c r="BL551">
        <f t="shared" si="509"/>
        <v>-86.370008964442007</v>
      </c>
      <c r="BM551" s="43">
        <f t="shared" si="510"/>
        <v>-149.80402677333581</v>
      </c>
    </row>
    <row r="552" spans="14:65" x14ac:dyDescent="0.35">
      <c r="N552" s="9">
        <v>34</v>
      </c>
      <c r="O552" s="34">
        <f t="shared" si="462"/>
        <v>2187761.6239495561</v>
      </c>
      <c r="P552" s="33" t="str">
        <f t="shared" si="463"/>
        <v>59,1053597814893</v>
      </c>
      <c r="Q552" s="4" t="str">
        <f t="shared" si="464"/>
        <v>1+105620,954023724i</v>
      </c>
      <c r="R552" s="4">
        <f t="shared" si="476"/>
        <v>105620.9540284579</v>
      </c>
      <c r="S552" s="4">
        <f t="shared" si="477"/>
        <v>1.5707868589766099</v>
      </c>
      <c r="T552" s="4" t="str">
        <f t="shared" si="465"/>
        <v>1+17,8699451985746i</v>
      </c>
      <c r="U552" s="4">
        <f t="shared" si="478"/>
        <v>17.897903268261885</v>
      </c>
      <c r="V552" s="4">
        <f t="shared" si="479"/>
        <v>1.5148947496097305</v>
      </c>
      <c r="W552" t="str">
        <f t="shared" si="466"/>
        <v>1-659,813361178139i</v>
      </c>
      <c r="X552" s="4">
        <f t="shared" si="480"/>
        <v>659.81411896775387</v>
      </c>
      <c r="Y552" s="4">
        <f t="shared" si="481"/>
        <v>-1.5692807478551878</v>
      </c>
      <c r="Z552" t="str">
        <f t="shared" si="467"/>
        <v>-97,890514942694+61,7325379587121i</v>
      </c>
      <c r="AA552" s="4">
        <f t="shared" si="482"/>
        <v>115.73011344749311</v>
      </c>
      <c r="AB552" s="4">
        <f t="shared" si="483"/>
        <v>2.5789561901766973</v>
      </c>
      <c r="AC552" s="47" t="str">
        <f t="shared" si="484"/>
        <v>-0,0277893197993203+0,0498842137527637i</v>
      </c>
      <c r="AD552" s="20">
        <f t="shared" si="485"/>
        <v>-24.866916769464584</v>
      </c>
      <c r="AE552" s="43">
        <f t="shared" si="486"/>
        <v>119.12114905569554</v>
      </c>
      <c r="AF552" t="str">
        <f t="shared" si="468"/>
        <v>405,634542683733</v>
      </c>
      <c r="AG552" t="str">
        <f t="shared" si="469"/>
        <v>1+105808,886044191i</v>
      </c>
      <c r="AH552">
        <f t="shared" si="487"/>
        <v>105808.88604891649</v>
      </c>
      <c r="AI552">
        <f t="shared" si="488"/>
        <v>1.5707868757928367</v>
      </c>
      <c r="AJ552" t="str">
        <f t="shared" si="470"/>
        <v>1+17,8699451985746i</v>
      </c>
      <c r="AK552">
        <f t="shared" si="489"/>
        <v>17.897903268261885</v>
      </c>
      <c r="AL552">
        <f t="shared" si="490"/>
        <v>1.5148947496097305</v>
      </c>
      <c r="AM552" t="str">
        <f t="shared" si="471"/>
        <v>1-96,3120009414083i</v>
      </c>
      <c r="AN552">
        <f t="shared" si="491"/>
        <v>96.317192262533439</v>
      </c>
      <c r="AO552">
        <f t="shared" si="492"/>
        <v>-1.5604137778131868</v>
      </c>
      <c r="AP552" s="41" t="str">
        <f t="shared" si="493"/>
        <v>-0,300657219813114-6,60189884711863i</v>
      </c>
      <c r="AQ552">
        <f t="shared" si="494"/>
        <v>16.402375191051352</v>
      </c>
      <c r="AR552" s="43">
        <f t="shared" si="495"/>
        <v>-92.607506701064793</v>
      </c>
      <c r="AS552" t="str">
        <f t="shared" si="472"/>
        <v>-0,0000166666666666667</v>
      </c>
      <c r="AT552" t="str">
        <f t="shared" si="473"/>
        <v>3,04476373960328i</v>
      </c>
      <c r="AU552">
        <f t="shared" si="496"/>
        <v>3.0447637396032801</v>
      </c>
      <c r="AV552">
        <f t="shared" si="497"/>
        <v>1.5707963267948966</v>
      </c>
      <c r="AW552" t="str">
        <f t="shared" si="474"/>
        <v>1+108,541532044824i</v>
      </c>
      <c r="AX552">
        <f t="shared" si="498"/>
        <v>108.54613847870202</v>
      </c>
      <c r="AY552">
        <f t="shared" si="499"/>
        <v>1.5615835242013565</v>
      </c>
      <c r="AZ552" t="str">
        <f t="shared" si="475"/>
        <v>1+16027,9662319523i</v>
      </c>
      <c r="BA552">
        <f t="shared" si="500"/>
        <v>16027.966263147773</v>
      </c>
      <c r="BB552">
        <f t="shared" si="501"/>
        <v>1.5707339358474595</v>
      </c>
      <c r="BC552" s="41" t="str">
        <f t="shared" si="502"/>
        <v>-7,39594654527726E-06+0,00080824124741149i</v>
      </c>
      <c r="BD552">
        <f t="shared" si="503"/>
        <v>-61.848816154876758</v>
      </c>
      <c r="BE552" s="43">
        <f t="shared" si="504"/>
        <v>90.524279968129051</v>
      </c>
      <c r="BF552" s="41" t="str">
        <f t="shared" si="505"/>
        <v>-0,0000401129508259098-0,0000228294154776881i</v>
      </c>
      <c r="BG552" s="20">
        <f t="shared" si="506"/>
        <v>-86.715732924341324</v>
      </c>
      <c r="BH552" s="43">
        <f t="shared" si="507"/>
        <v>-150.35457097617541</v>
      </c>
      <c r="BI552" s="41" t="str">
        <f t="shared" si="460"/>
        <v>0,00533815060420583-0,000194176275414405i</v>
      </c>
      <c r="BJ552" s="20">
        <f t="shared" si="508"/>
        <v>-45.446440963825403</v>
      </c>
      <c r="BK552" s="43">
        <f t="shared" si="461"/>
        <v>-2.0832267329357439</v>
      </c>
      <c r="BL552">
        <f t="shared" si="509"/>
        <v>-86.715732924341324</v>
      </c>
      <c r="BM552" s="43">
        <f t="shared" si="510"/>
        <v>-150.35457097617541</v>
      </c>
    </row>
    <row r="553" spans="14:65" x14ac:dyDescent="0.35">
      <c r="N553" s="9">
        <v>35</v>
      </c>
      <c r="O553" s="34">
        <f t="shared" si="462"/>
        <v>2238721.1385683389</v>
      </c>
      <c r="P553" s="33" t="str">
        <f t="shared" si="463"/>
        <v>59,1053597814893</v>
      </c>
      <c r="Q553" s="4" t="str">
        <f t="shared" si="464"/>
        <v>1+108081,182090484i</v>
      </c>
      <c r="R553" s="4">
        <f t="shared" si="476"/>
        <v>108081.18209511015</v>
      </c>
      <c r="S553" s="4">
        <f t="shared" si="477"/>
        <v>1.5707870744904655</v>
      </c>
      <c r="T553" s="4" t="str">
        <f t="shared" si="465"/>
        <v>1+18,2861896941424i</v>
      </c>
      <c r="U553" s="4">
        <f t="shared" si="478"/>
        <v>18.313512320965629</v>
      </c>
      <c r="V553" s="4">
        <f t="shared" si="479"/>
        <v>1.5161646650939753</v>
      </c>
      <c r="W553" t="str">
        <f t="shared" si="466"/>
        <v>1-675,182388706796i</v>
      </c>
      <c r="X553" s="4">
        <f t="shared" si="480"/>
        <v>675.18312924703253</v>
      </c>
      <c r="Y553" s="4">
        <f t="shared" si="481"/>
        <v>-1.5693152465926778</v>
      </c>
      <c r="Z553" t="str">
        <f t="shared" si="467"/>
        <v>-102,551081327948+63,1704734888554i</v>
      </c>
      <c r="AA553" s="4">
        <f t="shared" si="482"/>
        <v>120.44597545097795</v>
      </c>
      <c r="AB553" s="4">
        <f t="shared" si="483"/>
        <v>2.5894984584152527</v>
      </c>
      <c r="AC553" s="47" t="str">
        <f t="shared" si="484"/>
        <v>-0,0268636734672421+0,049296243715289i</v>
      </c>
      <c r="AD553" s="20">
        <f t="shared" si="485"/>
        <v>-25.014445736399452</v>
      </c>
      <c r="AE553" s="43">
        <f t="shared" si="486"/>
        <v>118.58789339662597</v>
      </c>
      <c r="AF553" t="str">
        <f t="shared" si="468"/>
        <v>405,634542683733</v>
      </c>
      <c r="AG553" t="str">
        <f t="shared" si="469"/>
        <v>1+108273,491610053i</v>
      </c>
      <c r="AH553">
        <f t="shared" si="487"/>
        <v>108273.49161467094</v>
      </c>
      <c r="AI553">
        <f t="shared" si="488"/>
        <v>1.5707870909239083</v>
      </c>
      <c r="AJ553" t="str">
        <f t="shared" si="470"/>
        <v>1+18,2861896941424i</v>
      </c>
      <c r="AK553">
        <f t="shared" si="489"/>
        <v>18.313512320965629</v>
      </c>
      <c r="AL553">
        <f t="shared" si="490"/>
        <v>1.5161646650939753</v>
      </c>
      <c r="AM553" t="str">
        <f t="shared" si="471"/>
        <v>1-98,55539563588i</v>
      </c>
      <c r="AN553">
        <f t="shared" si="491"/>
        <v>98.560468794262704</v>
      </c>
      <c r="AO553">
        <f t="shared" si="492"/>
        <v>-1.5606500970731563</v>
      </c>
      <c r="AP553" s="41" t="str">
        <f t="shared" si="493"/>
        <v>-0,300657221445025-6,7555001332936i</v>
      </c>
      <c r="AQ553">
        <f>20*LOG(IMABS(AP553))</f>
        <v>16.601743889775452</v>
      </c>
      <c r="AR553" s="43">
        <f t="shared" si="495"/>
        <v>-92.548298325795614</v>
      </c>
      <c r="AS553" t="str">
        <f t="shared" si="472"/>
        <v>-0,0000166666666666667</v>
      </c>
      <c r="AT553" t="str">
        <f t="shared" si="473"/>
        <v>3,11568539788657i</v>
      </c>
      <c r="AU553">
        <f t="shared" si="496"/>
        <v>3.11568539788657</v>
      </c>
      <c r="AV553">
        <f t="shared" si="497"/>
        <v>1.5707963267948966</v>
      </c>
      <c r="AW553" t="str">
        <f t="shared" si="474"/>
        <v>1+111,069789112884i</v>
      </c>
      <c r="AX553">
        <f t="shared" si="498"/>
        <v>111.0742906958245</v>
      </c>
      <c r="AY553">
        <f t="shared" si="499"/>
        <v>1.5617932217272885</v>
      </c>
      <c r="AZ553" t="str">
        <f t="shared" si="475"/>
        <v>1+16401,3055256692i</v>
      </c>
      <c r="BA553">
        <f t="shared" si="500"/>
        <v>16401.305556154577</v>
      </c>
      <c r="BB553">
        <f t="shared" si="501"/>
        <v>1.5707353560388067</v>
      </c>
      <c r="BC553" s="41" t="str">
        <f t="shared" si="502"/>
        <v>-7,06310109789631E-06+0,000789846427205772i</v>
      </c>
      <c r="BD553">
        <f t="shared" si="503"/>
        <v>-62.048799565864499</v>
      </c>
      <c r="BE553" s="43">
        <f t="shared" si="504"/>
        <v>90.512346555889124</v>
      </c>
      <c r="BF553" s="41" t="str">
        <f t="shared" si="505"/>
        <v>-0,000038746721131626-0,0000215663608628313i</v>
      </c>
      <c r="BG553" s="20">
        <f t="shared" si="506"/>
        <v>-87.063245302263951</v>
      </c>
      <c r="BH553" s="43">
        <f t="shared" si="507"/>
        <v>-150.89976004748488</v>
      </c>
      <c r="BI553" s="41" t="str">
        <f t="shared" si="460"/>
        <v>0,00533793121662095-0,000189758251763663i</v>
      </c>
      <c r="BJ553" s="20">
        <f t="shared" si="508"/>
        <v>-45.447055676089036</v>
      </c>
      <c r="BK553" s="43">
        <f t="shared" si="461"/>
        <v>-2.03595176990649</v>
      </c>
      <c r="BL553">
        <f t="shared" si="509"/>
        <v>-87.063245302263951</v>
      </c>
      <c r="BM553" s="43">
        <f t="shared" si="510"/>
        <v>-150.89976004748488</v>
      </c>
    </row>
    <row r="554" spans="14:65" x14ac:dyDescent="0.35">
      <c r="N554" s="9">
        <v>36</v>
      </c>
      <c r="O554" s="34">
        <f t="shared" si="462"/>
        <v>2290867.6527677765</v>
      </c>
      <c r="P554" s="33" t="str">
        <f t="shared" si="463"/>
        <v>59,1053597814893</v>
      </c>
      <c r="Q554" s="4" t="str">
        <f t="shared" si="464"/>
        <v>1+110598,716230613i</v>
      </c>
      <c r="R554" s="4">
        <f t="shared" si="476"/>
        <v>110598.71623513386</v>
      </c>
      <c r="S554" s="4">
        <f t="shared" si="477"/>
        <v>1.5707872850986269</v>
      </c>
      <c r="T554" s="4" t="str">
        <f t="shared" si="465"/>
        <v>1+18,7121297695326i</v>
      </c>
      <c r="U554" s="4">
        <f t="shared" si="478"/>
        <v>18.738831353951294</v>
      </c>
      <c r="V554" s="4">
        <f t="shared" si="479"/>
        <v>1.5174058442321186</v>
      </c>
      <c r="W554" t="str">
        <f t="shared" si="466"/>
        <v>1-690,909406875049i</v>
      </c>
      <c r="X554" s="4">
        <f t="shared" si="480"/>
        <v>690.91013055854944</v>
      </c>
      <c r="Y554" s="4">
        <f t="shared" si="481"/>
        <v>-1.5693489600464359</v>
      </c>
      <c r="Z554" t="str">
        <f t="shared" si="467"/>
        <v>-107,431293440037+64,6419028402033i</v>
      </c>
      <c r="AA554" s="4">
        <f t="shared" si="482"/>
        <v>125.37965709397045</v>
      </c>
      <c r="AB554" s="4">
        <f t="shared" si="483"/>
        <v>2.5999207176388426</v>
      </c>
      <c r="AC554" s="47" t="str">
        <f t="shared" si="484"/>
        <v>-0,0259582895768853+0,0486975287060603i</v>
      </c>
      <c r="AD554" s="20">
        <f t="shared" si="485"/>
        <v>-25.163724702800558</v>
      </c>
      <c r="AE554" s="43">
        <f t="shared" si="486"/>
        <v>118.05991255078636</v>
      </c>
      <c r="AF554" t="str">
        <f t="shared" si="468"/>
        <v>405,634542683733</v>
      </c>
      <c r="AG554" t="str">
        <f t="shared" si="469"/>
        <v>1+110795,505214337i</v>
      </c>
      <c r="AH554">
        <f t="shared" si="487"/>
        <v>110795.50521884981</v>
      </c>
      <c r="AI554">
        <f t="shared" si="488"/>
        <v>1.5707873011579989</v>
      </c>
      <c r="AJ554" t="str">
        <f t="shared" si="470"/>
        <v>1+18,7121297695326i</v>
      </c>
      <c r="AK554">
        <f t="shared" si="489"/>
        <v>18.738831353951294</v>
      </c>
      <c r="AL554">
        <f t="shared" si="490"/>
        <v>1.5174058442321186</v>
      </c>
      <c r="AM554" t="str">
        <f t="shared" si="471"/>
        <v>1-100,851045705654i</v>
      </c>
      <c r="AN554">
        <f t="shared" si="491"/>
        <v>100.85600339059599</v>
      </c>
      <c r="AO554">
        <f t="shared" si="492"/>
        <v>-1.5608810381451315</v>
      </c>
      <c r="AP554" s="41" t="str">
        <f t="shared" si="493"/>
        <v>-0,300657223003489-6,91268327505894i</v>
      </c>
      <c r="AQ554">
        <f t="shared" si="494"/>
        <v>16.801140921588825</v>
      </c>
      <c r="AR554" s="43">
        <f t="shared" si="495"/>
        <v>-92.490427993826827</v>
      </c>
      <c r="AS554" t="str">
        <f t="shared" si="472"/>
        <v>-0,0000166666666666667</v>
      </c>
      <c r="AT554" t="str">
        <f t="shared" si="473"/>
        <v>3,18825903380881i</v>
      </c>
      <c r="AU554">
        <f t="shared" si="496"/>
        <v>3.1882590338088099</v>
      </c>
      <c r="AV554">
        <f t="shared" si="497"/>
        <v>1.5707963267948966</v>
      </c>
      <c r="AW554" t="str">
        <f t="shared" si="474"/>
        <v>1+113,656936853316i</v>
      </c>
      <c r="AX554">
        <f t="shared" si="498"/>
        <v>113.66133597173076</v>
      </c>
      <c r="AY554">
        <f t="shared" si="499"/>
        <v>1.5619981467198885</v>
      </c>
      <c r="AZ554" t="str">
        <f t="shared" si="475"/>
        <v>1+16783,341008673i</v>
      </c>
      <c r="BA554">
        <f t="shared" si="500"/>
        <v>16783.341038464445</v>
      </c>
      <c r="BB554">
        <f t="shared" si="501"/>
        <v>1.5707367439026525</v>
      </c>
      <c r="BC554" s="41" t="str">
        <f t="shared" si="502"/>
        <v>-6,74523378954453E-06+0,000771870124230423i</v>
      </c>
      <c r="BD554">
        <f t="shared" si="503"/>
        <v>-62.248783723421752</v>
      </c>
      <c r="BE554" s="43">
        <f t="shared" si="504"/>
        <v>90.500684737437282</v>
      </c>
      <c r="BF554" s="41" t="str">
        <f t="shared" si="505"/>
        <v>-0,0000374130728000886-0,0000203649044166152i</v>
      </c>
      <c r="BG554" s="20">
        <f t="shared" si="506"/>
        <v>-87.412508426222288</v>
      </c>
      <c r="BH554" s="43">
        <f t="shared" si="507"/>
        <v>-151.43940271177632</v>
      </c>
      <c r="BI554" s="41" t="str">
        <f t="shared" si="460"/>
        <v>0,00533772170154499-0,00018544066326713i</v>
      </c>
      <c r="BJ554" s="20">
        <f t="shared" si="508"/>
        <v>-45.447642801832913</v>
      </c>
      <c r="BK554" s="43">
        <f t="shared" si="461"/>
        <v>-1.9897432563895407</v>
      </c>
      <c r="BL554">
        <f t="shared" si="509"/>
        <v>-87.412508426222288</v>
      </c>
      <c r="BM554" s="43">
        <f t="shared" si="510"/>
        <v>-151.43940271177632</v>
      </c>
    </row>
    <row r="555" spans="14:65" x14ac:dyDescent="0.35">
      <c r="N555" s="9">
        <v>37</v>
      </c>
      <c r="O555" s="34">
        <f t="shared" si="462"/>
        <v>2344228.8153199251</v>
      </c>
      <c r="P555" s="33" t="str">
        <f t="shared" si="463"/>
        <v>59,1053597814893</v>
      </c>
      <c r="Q555" s="4" t="str">
        <f t="shared" si="464"/>
        <v>1+113174,891274035i</v>
      </c>
      <c r="R555" s="4">
        <f t="shared" si="476"/>
        <v>113174.89127845294</v>
      </c>
      <c r="S555" s="4">
        <f t="shared" si="477"/>
        <v>1.5707874909127613</v>
      </c>
      <c r="T555" s="4" t="str">
        <f t="shared" si="465"/>
        <v>1+19,1479912638108i</v>
      </c>
      <c r="U555" s="4">
        <f t="shared" si="478"/>
        <v>19.174085882747438</v>
      </c>
      <c r="V555" s="4">
        <f t="shared" si="479"/>
        <v>1.5186189298085508</v>
      </c>
      <c r="W555" t="str">
        <f t="shared" si="466"/>
        <v>1-707,002754356091i</v>
      </c>
      <c r="X555" s="4">
        <f t="shared" si="480"/>
        <v>707.00346156656065</v>
      </c>
      <c r="Y555" s="4">
        <f t="shared" si="481"/>
        <v>-1.5693819060914742</v>
      </c>
      <c r="Z555" t="str">
        <f t="shared" si="467"/>
        <v>-112,541502863147+66,1476061840735i</v>
      </c>
      <c r="AA555" s="4">
        <f t="shared" si="482"/>
        <v>130.54154767957596</v>
      </c>
      <c r="AB555" s="4">
        <f t="shared" si="483"/>
        <v>2.6102203670953199</v>
      </c>
      <c r="AC555" s="47" t="str">
        <f t="shared" si="484"/>
        <v>-0,025073435513692+0,04808897241813i</v>
      </c>
      <c r="AD555" s="20">
        <f t="shared" si="485"/>
        <v>-25.314715391040114</v>
      </c>
      <c r="AE555" s="43">
        <f t="shared" si="486"/>
        <v>117.53739132857018</v>
      </c>
      <c r="AF555" t="str">
        <f t="shared" si="468"/>
        <v>405,634542683733</v>
      </c>
      <c r="AG555" t="str">
        <f t="shared" si="469"/>
        <v>1+113376,264062037i</v>
      </c>
      <c r="AH555">
        <f t="shared" si="487"/>
        <v>113376.26406644708</v>
      </c>
      <c r="AI555">
        <f t="shared" si="488"/>
        <v>1.5707875066065773</v>
      </c>
      <c r="AJ555" t="str">
        <f t="shared" si="470"/>
        <v>1+19,1479912638108i</v>
      </c>
      <c r="AK555">
        <f t="shared" si="489"/>
        <v>19.174085882747438</v>
      </c>
      <c r="AL555">
        <f t="shared" si="490"/>
        <v>1.5186189298085508</v>
      </c>
      <c r="AM555" t="str">
        <f t="shared" si="471"/>
        <v>1-103,200168334782i</v>
      </c>
      <c r="AN555">
        <f t="shared" si="491"/>
        <v>103.20501317439646</v>
      </c>
      <c r="AO555">
        <f t="shared" si="492"/>
        <v>-1.5611067233785332</v>
      </c>
      <c r="AP555" s="41" t="str">
        <f t="shared" si="493"/>
        <v>-0,30065722449181-7,07353161299685i</v>
      </c>
      <c r="AQ555">
        <f t="shared" si="494"/>
        <v>17.000565018324828</v>
      </c>
      <c r="AR555" s="43">
        <f t="shared" si="495"/>
        <v>-92.433865892817863</v>
      </c>
      <c r="AS555" t="str">
        <f t="shared" si="472"/>
        <v>-0,0000166666666666667</v>
      </c>
      <c r="AT555" t="str">
        <f t="shared" si="473"/>
        <v>3,26252312687236i</v>
      </c>
      <c r="AU555">
        <f t="shared" si="496"/>
        <v>3.26252312687236</v>
      </c>
      <c r="AV555">
        <f t="shared" si="497"/>
        <v>1.5707963267948966</v>
      </c>
      <c r="AW555" t="str">
        <f t="shared" si="474"/>
        <v>1+116,304347006095i</v>
      </c>
      <c r="AX555">
        <f t="shared" si="498"/>
        <v>116.30864599209364</v>
      </c>
      <c r="AY555">
        <f t="shared" si="499"/>
        <v>1.5621984077642153</v>
      </c>
      <c r="AZ555" t="str">
        <f t="shared" si="475"/>
        <v>1+17174,2752412333i</v>
      </c>
      <c r="BA555">
        <f t="shared" si="500"/>
        <v>17174.275270346607</v>
      </c>
      <c r="BB555">
        <f t="shared" si="501"/>
        <v>1.5707381001748604</v>
      </c>
      <c r="BC555" s="41" t="str">
        <f t="shared" si="502"/>
        <v>-6,44167070176418E-06+0,000754302825216918i</v>
      </c>
      <c r="BD555">
        <f t="shared" si="503"/>
        <v>-62.448768593952408</v>
      </c>
      <c r="BE555" s="43">
        <f t="shared" si="504"/>
        <v>90.489288333469858</v>
      </c>
      <c r="BF555" s="41" t="str">
        <f t="shared" si="505"/>
        <v>-0,0000361121329418328-0,0000192227365705759i</v>
      </c>
      <c r="BG555" s="20">
        <f t="shared" si="506"/>
        <v>-87.763483984992519</v>
      </c>
      <c r="BH555" s="43">
        <f t="shared" si="507"/>
        <v>-151.97332033795996</v>
      </c>
      <c r="BI555" s="41" t="str">
        <f t="shared" si="460"/>
        <v>0,00533752161477899-0,000181221232506605i</v>
      </c>
      <c r="BJ555" s="20">
        <f t="shared" si="508"/>
        <v>-45.448203575627574</v>
      </c>
      <c r="BK555" s="43">
        <f t="shared" si="461"/>
        <v>-1.9445775593479946</v>
      </c>
      <c r="BL555">
        <f t="shared" si="509"/>
        <v>-87.763483984992519</v>
      </c>
      <c r="BM555" s="43">
        <f t="shared" si="510"/>
        <v>-151.97332033795996</v>
      </c>
    </row>
    <row r="556" spans="14:65" x14ac:dyDescent="0.35">
      <c r="N556" s="9">
        <v>38</v>
      </c>
      <c r="O556" s="34">
        <f t="shared" si="462"/>
        <v>2398832.9190194933</v>
      </c>
      <c r="P556" s="33" t="str">
        <f t="shared" si="463"/>
        <v>59,1053597814893</v>
      </c>
      <c r="Q556" s="4" t="str">
        <f t="shared" si="464"/>
        <v>1+115811,073142856i</v>
      </c>
      <c r="R556" s="4">
        <f t="shared" si="476"/>
        <v>115811.07314717337</v>
      </c>
      <c r="S556" s="4">
        <f t="shared" si="477"/>
        <v>1.5707876920419941</v>
      </c>
      <c r="T556" s="4" t="str">
        <f t="shared" si="465"/>
        <v>1+19,5940052765106i</v>
      </c>
      <c r="U556" s="4">
        <f t="shared" si="478"/>
        <v>19.619506690432491</v>
      </c>
      <c r="V556" s="4">
        <f t="shared" si="479"/>
        <v>1.5198045507280156</v>
      </c>
      <c r="W556" t="str">
        <f t="shared" si="466"/>
        <v>1-723,470964055777i</v>
      </c>
      <c r="X556" s="4">
        <f t="shared" si="480"/>
        <v>723.47165516818654</v>
      </c>
      <c r="Y556" s="4">
        <f t="shared" si="481"/>
        <v>-1.569414102195936</v>
      </c>
      <c r="Z556" t="str">
        <f t="shared" si="467"/>
        <v>-117,892549036603+67,6883818643093i</v>
      </c>
      <c r="AA556" s="4">
        <f t="shared" si="482"/>
        <v>135.94252520001385</v>
      </c>
      <c r="AB556" s="4">
        <f t="shared" si="483"/>
        <v>2.6203950147654673</v>
      </c>
      <c r="AC556" s="47" t="str">
        <f t="shared" si="484"/>
        <v>-0,0242093245195744+0,0474714741944264i</v>
      </c>
      <c r="AD556" s="20">
        <f t="shared" si="485"/>
        <v>-25.467378992418539</v>
      </c>
      <c r="AE556" s="43">
        <f t="shared" si="486"/>
        <v>117.02050180906733</v>
      </c>
      <c r="AF556" t="str">
        <f t="shared" si="468"/>
        <v>405,634542683733</v>
      </c>
      <c r="AG556" t="str">
        <f t="shared" si="469"/>
        <v>1+116017,136505655i</v>
      </c>
      <c r="AH556">
        <f t="shared" si="487"/>
        <v>116017.13650996471</v>
      </c>
      <c r="AI556">
        <f t="shared" si="488"/>
        <v>1.570787707378575</v>
      </c>
      <c r="AJ556" t="str">
        <f t="shared" si="470"/>
        <v>1+19,5940052765106i</v>
      </c>
      <c r="AK556">
        <f t="shared" si="489"/>
        <v>19.619506690432491</v>
      </c>
      <c r="AL556">
        <f t="shared" si="490"/>
        <v>1.5198045507280156</v>
      </c>
      <c r="AM556" t="str">
        <f t="shared" si="471"/>
        <v>1-105,604009059176i</v>
      </c>
      <c r="AN556">
        <f t="shared" si="491"/>
        <v>105.60874362177842</v>
      </c>
      <c r="AO556">
        <f t="shared" si="492"/>
        <v>-1.5613272723426463</v>
      </c>
      <c r="AP556" s="41" t="str">
        <f t="shared" si="493"/>
        <v>-0,300657225913142-7,23813043102514i</v>
      </c>
      <c r="AQ556">
        <f t="shared" si="494"/>
        <v>17.200014968277571</v>
      </c>
      <c r="AR556" s="43">
        <f t="shared" si="495"/>
        <v>-92.378582846237876</v>
      </c>
      <c r="AS556" t="str">
        <f t="shared" si="472"/>
        <v>-0,0000166666666666667</v>
      </c>
      <c r="AT556" t="str">
        <f t="shared" si="473"/>
        <v>3,33851705288238i</v>
      </c>
      <c r="AU556">
        <f t="shared" si="496"/>
        <v>3.3385170528823802</v>
      </c>
      <c r="AV556">
        <f t="shared" si="497"/>
        <v>1.5707963267948966</v>
      </c>
      <c r="AW556" t="str">
        <f t="shared" si="474"/>
        <v>1+119,013423263126i</v>
      </c>
      <c r="AX556">
        <f t="shared" si="498"/>
        <v>119.01762439575066</v>
      </c>
      <c r="AY556">
        <f t="shared" si="499"/>
        <v>1.5623941109770372</v>
      </c>
      <c r="AZ556" t="str">
        <f t="shared" si="475"/>
        <v>1+17574,3155018549i</v>
      </c>
      <c r="BA556">
        <f t="shared" si="500"/>
        <v>17574.31553030551</v>
      </c>
      <c r="BB556">
        <f t="shared" si="501"/>
        <v>1.5707394255745437</v>
      </c>
      <c r="BC556" s="41" t="str">
        <f t="shared" si="502"/>
        <v>-6,15176822905131E-06+0,000737135232554563i</v>
      </c>
      <c r="BD556">
        <f t="shared" si="503"/>
        <v>-62.648754145372116</v>
      </c>
      <c r="BE556" s="43">
        <f t="shared" si="504"/>
        <v>90.478151305146042</v>
      </c>
      <c r="BF556" s="41" t="str">
        <f t="shared" si="505"/>
        <v>-0,0000348439660165901-0,0000181375795664609i</v>
      </c>
      <c r="BG556" s="20">
        <f t="shared" si="506"/>
        <v>-88.116133137790655</v>
      </c>
      <c r="BH556" s="43">
        <f t="shared" si="507"/>
        <v>-152.50134688578657</v>
      </c>
      <c r="BI556" s="41" t="str">
        <f t="shared" si="460"/>
        <v>0,00533733053210418-0,000177097733319384i</v>
      </c>
      <c r="BJ556" s="20">
        <f t="shared" si="508"/>
        <v>-45.448739177094552</v>
      </c>
      <c r="BK556" s="43">
        <f t="shared" si="461"/>
        <v>-1.9004315410918471</v>
      </c>
      <c r="BL556">
        <f t="shared" si="509"/>
        <v>-88.116133137790655</v>
      </c>
      <c r="BM556" s="43">
        <f t="shared" si="510"/>
        <v>-152.50134688578657</v>
      </c>
    </row>
    <row r="557" spans="14:65" x14ac:dyDescent="0.35">
      <c r="N557" s="9">
        <v>39</v>
      </c>
      <c r="O557" s="34">
        <f t="shared" si="462"/>
        <v>2454708.915685033</v>
      </c>
      <c r="P557" s="33" t="str">
        <f t="shared" si="463"/>
        <v>59,1053597814893</v>
      </c>
      <c r="Q557" s="4" t="str">
        <f t="shared" si="464"/>
        <v>1+118508,659575598i</v>
      </c>
      <c r="R557" s="4">
        <f t="shared" si="476"/>
        <v>118508.6595798171</v>
      </c>
      <c r="S557" s="4">
        <f t="shared" si="477"/>
        <v>1.5707878885929665</v>
      </c>
      <c r="T557" s="4" t="str">
        <f t="shared" si="465"/>
        <v>1+20,0504082901654i</v>
      </c>
      <c r="U557" s="4">
        <f t="shared" si="478"/>
        <v>20.07532995002407</v>
      </c>
      <c r="V557" s="4">
        <f t="shared" si="479"/>
        <v>1.5209633222818624</v>
      </c>
      <c r="W557" t="str">
        <f t="shared" si="466"/>
        <v>1-740,322767636876i</v>
      </c>
      <c r="X557" s="4">
        <f t="shared" si="480"/>
        <v>740.32344301766091</v>
      </c>
      <c r="Y557" s="4">
        <f t="shared" si="481"/>
        <v>-1.569445565430355</v>
      </c>
      <c r="Z557" t="str">
        <f t="shared" si="467"/>
        <v>-123,495782246768+69,2650468205713i</v>
      </c>
      <c r="AA557" s="4">
        <f t="shared" si="482"/>
        <v>141.59397919331553</v>
      </c>
      <c r="AB557" s="4">
        <f t="shared" si="483"/>
        <v>2.6304424758602263</v>
      </c>
      <c r="AC557" s="47" t="str">
        <f t="shared" si="484"/>
        <v>-0,0233661173548965+0,0468459256843479i</v>
      </c>
      <c r="AD557" s="20">
        <f t="shared" si="485"/>
        <v>-25.62167627376764</v>
      </c>
      <c r="AE557" s="43">
        <f t="shared" si="486"/>
        <v>116.50940344088768</v>
      </c>
      <c r="AF557" t="str">
        <f t="shared" si="468"/>
        <v>405,634542683733</v>
      </c>
      <c r="AG557" t="str">
        <f t="shared" si="469"/>
        <v>1+118719,522770716i</v>
      </c>
      <c r="AH557">
        <f t="shared" si="487"/>
        <v>118719.52277492759</v>
      </c>
      <c r="AI557">
        <f t="shared" si="488"/>
        <v>1.5707879035804442</v>
      </c>
      <c r="AJ557" t="str">
        <f t="shared" si="470"/>
        <v>1+20,0504082901654i</v>
      </c>
      <c r="AK557">
        <f t="shared" si="489"/>
        <v>20.07532995002407</v>
      </c>
      <c r="AL557">
        <f t="shared" si="490"/>
        <v>1.5209633222818624</v>
      </c>
      <c r="AM557" t="str">
        <f t="shared" si="471"/>
        <v>1-108,063842427008i</v>
      </c>
      <c r="AN557">
        <f t="shared" si="491"/>
        <v>108.06846922247585</v>
      </c>
      <c r="AO557">
        <f t="shared" si="492"/>
        <v>-1.5615428018895787</v>
      </c>
      <c r="AP557" s="41" t="str">
        <f t="shared" si="493"/>
        <v>-0,300657227270508-7,40656700161604i</v>
      </c>
      <c r="AQ557">
        <f t="shared" si="494"/>
        <v>17.399489613714817</v>
      </c>
      <c r="AR557" s="43">
        <f t="shared" si="495"/>
        <v>-92.324550301721274</v>
      </c>
      <c r="AS557" t="str">
        <f t="shared" si="472"/>
        <v>-0,0000166666666666667</v>
      </c>
      <c r="AT557" t="str">
        <f t="shared" si="473"/>
        <v>3,41628110482434i</v>
      </c>
      <c r="AU557">
        <f t="shared" si="496"/>
        <v>3.41628110482434</v>
      </c>
      <c r="AV557">
        <f t="shared" si="497"/>
        <v>1.5707963267948966</v>
      </c>
      <c r="AW557" t="str">
        <f t="shared" si="474"/>
        <v>1+121,7856020125i</v>
      </c>
      <c r="AX557">
        <f t="shared" si="498"/>
        <v>121.78970751893216</v>
      </c>
      <c r="AY557">
        <f t="shared" si="499"/>
        <v>1.562585360062791</v>
      </c>
      <c r="AZ557" t="str">
        <f t="shared" si="475"/>
        <v>1+17983,6738971791i</v>
      </c>
      <c r="BA557">
        <f t="shared" si="500"/>
        <v>17983.673924982093</v>
      </c>
      <c r="BB557">
        <f t="shared" si="501"/>
        <v>1.5707407208044473</v>
      </c>
      <c r="BC557" s="41" t="str">
        <f t="shared" si="502"/>
        <v>-0,0000058749117161643+0,00072035825944094i</v>
      </c>
      <c r="BD557">
        <f t="shared" si="503"/>
        <v>-62.84874034704022</v>
      </c>
      <c r="BE557" s="43">
        <f t="shared" si="504"/>
        <v>90.467267750903588</v>
      </c>
      <c r="BF557" s="41" t="str">
        <f t="shared" si="505"/>
        <v>-0,0000336085756112669-0,0000171071913053235i</v>
      </c>
      <c r="BG557" s="20">
        <f t="shared" si="506"/>
        <v>-88.470416620807868</v>
      </c>
      <c r="BH557" s="43">
        <f t="shared" si="507"/>
        <v>-153.0233288082087</v>
      </c>
      <c r="BI557" s="41" t="str">
        <f t="shared" si="460"/>
        <v>0,00533714804838387-0,000173067989670572i</v>
      </c>
      <c r="BJ557" s="20">
        <f t="shared" si="508"/>
        <v>-45.449250733325414</v>
      </c>
      <c r="BK557" s="43">
        <f t="shared" si="461"/>
        <v>-1.8572825508176816</v>
      </c>
      <c r="BL557">
        <f t="shared" si="509"/>
        <v>-88.470416620807868</v>
      </c>
      <c r="BM557" s="43">
        <f t="shared" si="510"/>
        <v>-153.0233288082087</v>
      </c>
    </row>
    <row r="558" spans="14:65" x14ac:dyDescent="0.35">
      <c r="N558" s="9">
        <v>40</v>
      </c>
      <c r="O558" s="34">
        <f t="shared" si="462"/>
        <v>2511886.431509587</v>
      </c>
      <c r="P558" s="33" t="str">
        <f t="shared" si="463"/>
        <v>59,1053597814893</v>
      </c>
      <c r="Q558" s="4" t="str">
        <f t="shared" si="464"/>
        <v>1+121269,080868295i</v>
      </c>
      <c r="R558" s="4">
        <f t="shared" si="476"/>
        <v>121269.08087241805</v>
      </c>
      <c r="S558" s="4">
        <f t="shared" si="477"/>
        <v>1.5707880806698924</v>
      </c>
      <c r="T558" s="4" t="str">
        <f t="shared" si="465"/>
        <v>1+20,5174422956942i</v>
      </c>
      <c r="U558" s="4">
        <f t="shared" si="478"/>
        <v>20.541797349724323</v>
      </c>
      <c r="V558" s="4">
        <f t="shared" si="479"/>
        <v>1.5220958464115018</v>
      </c>
      <c r="W558" t="str">
        <f t="shared" si="466"/>
        <v>1-757,567100148712i</v>
      </c>
      <c r="X558" s="4">
        <f t="shared" si="480"/>
        <v>757.56776015596688</v>
      </c>
      <c r="Y558" s="4">
        <f t="shared" si="481"/>
        <v>-1.5694763124767048</v>
      </c>
      <c r="Z558" t="str">
        <f t="shared" si="467"/>
        <v>-129,36308770252+70,8784370214892i</v>
      </c>
      <c r="AA558" s="4">
        <f t="shared" si="482"/>
        <v>147.50783468866695</v>
      </c>
      <c r="AB558" s="4">
        <f t="shared" si="483"/>
        <v>2.6403607705975221</v>
      </c>
      <c r="AC558" s="47" t="str">
        <f t="shared" si="484"/>
        <v>-0,0225439241608652+0,0462132077298075i</v>
      </c>
      <c r="AD558" s="20">
        <f t="shared" si="485"/>
        <v>-25.777567680497178</v>
      </c>
      <c r="AE558" s="43">
        <f t="shared" si="486"/>
        <v>116.00424318411338</v>
      </c>
      <c r="AF558" t="str">
        <f t="shared" si="468"/>
        <v>405,634542683733</v>
      </c>
      <c r="AG558" t="str">
        <f t="shared" si="469"/>
        <v>1+121484,85569819i</v>
      </c>
      <c r="AH558">
        <f t="shared" si="487"/>
        <v>121484.85570230575</v>
      </c>
      <c r="AI558">
        <f t="shared" si="488"/>
        <v>1.5707880953162137</v>
      </c>
      <c r="AJ558" t="str">
        <f t="shared" si="470"/>
        <v>1+20,5174422956942i</v>
      </c>
      <c r="AK558">
        <f t="shared" si="489"/>
        <v>20.541797349724323</v>
      </c>
      <c r="AL558">
        <f t="shared" si="490"/>
        <v>1.5220958464115018</v>
      </c>
      <c r="AM558" t="str">
        <f t="shared" si="471"/>
        <v>1-110,580972674489i</v>
      </c>
      <c r="AN558">
        <f t="shared" si="491"/>
        <v>110.58549415559024</v>
      </c>
      <c r="AO558">
        <f t="shared" si="492"/>
        <v>-1.561753426215807</v>
      </c>
      <c r="AP558" s="41" t="str">
        <f t="shared" si="493"/>
        <v>-0,300657228566779-7,57893063206863i</v>
      </c>
      <c r="AQ558">
        <f t="shared" si="494"/>
        <v>17.59898784849727</v>
      </c>
      <c r="AR558" s="43">
        <f t="shared" si="495"/>
        <v>-92.271740319502243</v>
      </c>
      <c r="AS558" t="str">
        <f t="shared" si="472"/>
        <v>-0,0000166666666666667</v>
      </c>
      <c r="AT558" t="str">
        <f t="shared" si="473"/>
        <v>3,4958565142279i</v>
      </c>
      <c r="AU558">
        <f t="shared" si="496"/>
        <v>3.4958565142279001</v>
      </c>
      <c r="AV558">
        <f t="shared" si="497"/>
        <v>1.5707963267948966</v>
      </c>
      <c r="AW558" t="str">
        <f t="shared" si="474"/>
        <v>1+124,622353100084i</v>
      </c>
      <c r="AX558">
        <f t="shared" si="498"/>
        <v>124.62636515682391</v>
      </c>
      <c r="AY558">
        <f t="shared" si="499"/>
        <v>1.5627722563682795</v>
      </c>
      <c r="AZ558" t="str">
        <f t="shared" si="475"/>
        <v>1+18402,5674744458i</v>
      </c>
      <c r="BA558">
        <f t="shared" si="500"/>
        <v>18402.567501615922</v>
      </c>
      <c r="BB558">
        <f t="shared" si="501"/>
        <v>1.570741986551319</v>
      </c>
      <c r="BC558" s="41" t="str">
        <f t="shared" si="502"/>
        <v>-5,61051415662174E-06+0,000703963025138806i</v>
      </c>
      <c r="BD558">
        <f t="shared" si="503"/>
        <v>-63.048727169694551</v>
      </c>
      <c r="BE558" s="43">
        <f t="shared" si="504"/>
        <v>90.456631903346178</v>
      </c>
      <c r="BF558" s="41" t="str">
        <f t="shared" si="505"/>
        <v>-0,000032405906509193-0,0000161293689069735i</v>
      </c>
      <c r="BG558" s="20">
        <f t="shared" si="506"/>
        <v>-88.826294850191729</v>
      </c>
      <c r="BH558" s="43">
        <f t="shared" si="507"/>
        <v>-153.53912491254039</v>
      </c>
      <c r="BI558" s="41" t="str">
        <f t="shared" si="460"/>
        <v>0,00533697377670536-0,000169129874548444i</v>
      </c>
      <c r="BJ558" s="20">
        <f t="shared" si="508"/>
        <v>-45.449739321197278</v>
      </c>
      <c r="BK558" s="43">
        <f t="shared" si="461"/>
        <v>-1.8151084161560738</v>
      </c>
      <c r="BL558">
        <f t="shared" si="509"/>
        <v>-88.826294850191729</v>
      </c>
      <c r="BM558" s="43">
        <f t="shared" si="510"/>
        <v>-153.53912491254039</v>
      </c>
    </row>
    <row r="559" spans="14:65" x14ac:dyDescent="0.35">
      <c r="N559" s="9">
        <v>41</v>
      </c>
      <c r="O559" s="34">
        <f t="shared" si="462"/>
        <v>2570395.782768866</v>
      </c>
      <c r="P559" s="33" t="str">
        <f t="shared" si="463"/>
        <v>59,1053597814893</v>
      </c>
      <c r="Q559" s="4" t="str">
        <f t="shared" si="464"/>
        <v>1+124093,800632854i</v>
      </c>
      <c r="R559" s="4">
        <f t="shared" si="476"/>
        <v>124093.80063688323</v>
      </c>
      <c r="S559" s="4">
        <f t="shared" si="477"/>
        <v>1.5707882683746139</v>
      </c>
      <c r="T559" s="4" t="str">
        <f t="shared" si="465"/>
        <v>1+20,9953549207086i</v>
      </c>
      <c r="U559" s="4">
        <f t="shared" si="478"/>
        <v>21.019156221088487</v>
      </c>
      <c r="V559" s="4">
        <f t="shared" si="479"/>
        <v>1.5232027119689138</v>
      </c>
      <c r="W559" t="str">
        <f t="shared" si="466"/>
        <v>1-775,213104764627i</v>
      </c>
      <c r="X559" s="4">
        <f t="shared" si="480"/>
        <v>775.2137497482953</v>
      </c>
      <c r="Y559" s="4">
        <f t="shared" si="481"/>
        <v>-1.5695063596372441</v>
      </c>
      <c r="Z559" t="str">
        <f t="shared" si="467"/>
        <v>-135,506910745371+72,5294079079025i</v>
      </c>
      <c r="AA559" s="4">
        <f t="shared" si="482"/>
        <v>153.69657729183447</v>
      </c>
      <c r="AB559" s="4">
        <f t="shared" si="483"/>
        <v>2.6501481213110991</v>
      </c>
      <c r="AC559" s="47" t="str">
        <f t="shared" si="484"/>
        <v>-0,0217428064950266+0,0455741874897406i</v>
      </c>
      <c r="AD559" s="20">
        <f t="shared" si="485"/>
        <v>-25.935013435727722</v>
      </c>
      <c r="AE559" s="43">
        <f t="shared" si="486"/>
        <v>115.5051556903656</v>
      </c>
      <c r="AF559" t="str">
        <f t="shared" si="468"/>
        <v>405,634542683733</v>
      </c>
      <c r="AG559" t="str">
        <f t="shared" si="469"/>
        <v>1+124314,601504196i</v>
      </c>
      <c r="AH559">
        <f t="shared" si="487"/>
        <v>124314.60150821804</v>
      </c>
      <c r="AI559">
        <f t="shared" si="488"/>
        <v>1.5707882826875441</v>
      </c>
      <c r="AJ559" t="str">
        <f t="shared" si="470"/>
        <v>1+20,9953549207086i</v>
      </c>
      <c r="AK559">
        <f t="shared" si="489"/>
        <v>21.019156221088487</v>
      </c>
      <c r="AL559">
        <f t="shared" si="490"/>
        <v>1.5232027119689138</v>
      </c>
      <c r="AM559" t="str">
        <f t="shared" si="471"/>
        <v>1-113,156734417394i</v>
      </c>
      <c r="AN559">
        <f t="shared" si="491"/>
        <v>113.16115298108552</v>
      </c>
      <c r="AO559">
        <f t="shared" si="492"/>
        <v>-1.5619592569223431</v>
      </c>
      <c r="AP559" s="41" t="str">
        <f t="shared" si="493"/>
        <v>-0,300657229804711-7,75531271186141i</v>
      </c>
      <c r="AQ559">
        <f t="shared" si="494"/>
        <v>17.798508615802191</v>
      </c>
      <c r="AR559" s="43">
        <f t="shared" si="495"/>
        <v>-92.220125560939309</v>
      </c>
      <c r="AS559" t="str">
        <f t="shared" si="472"/>
        <v>-0,0000166666666666667</v>
      </c>
      <c r="AT559" t="str">
        <f t="shared" si="473"/>
        <v>3,57728547302843i</v>
      </c>
      <c r="AU559">
        <f t="shared" si="496"/>
        <v>3.57728547302843</v>
      </c>
      <c r="AV559">
        <f t="shared" si="497"/>
        <v>1.5707963267948966</v>
      </c>
      <c r="AW559" t="str">
        <f t="shared" si="474"/>
        <v>1+127,525180608854i</v>
      </c>
      <c r="AX559">
        <f t="shared" si="498"/>
        <v>127.52910134287323</v>
      </c>
      <c r="AY559">
        <f t="shared" si="499"/>
        <v>1.5629548989361417</v>
      </c>
      <c r="AZ559" t="str">
        <f t="shared" si="475"/>
        <v>1+18831,218336574i</v>
      </c>
      <c r="BA559">
        <f t="shared" si="500"/>
        <v>18831.218363125652</v>
      </c>
      <c r="BB559">
        <f t="shared" si="501"/>
        <v>1.5707432234862744</v>
      </c>
      <c r="BC559" s="41" t="str">
        <f t="shared" si="502"/>
        <v>-5,35801494964741E-06+0,000687940850337186i</v>
      </c>
      <c r="BD559">
        <f t="shared" si="503"/>
        <v>-63.248714585389905</v>
      </c>
      <c r="BE559" s="43">
        <f t="shared" si="504"/>
        <v>90.446238126200726</v>
      </c>
      <c r="BF559" s="41" t="str">
        <f t="shared" si="505"/>
        <v>-0,0000312358470128709-0,0000152019519667936i</v>
      </c>
      <c r="BG559" s="20">
        <f t="shared" si="506"/>
        <v>-89.183728021117616</v>
      </c>
      <c r="BH559" s="43">
        <f t="shared" si="507"/>
        <v>-154.04860618343366</v>
      </c>
      <c r="BI559" s="41" t="str">
        <f t="shared" si="460"/>
        <v>0,00533680734756074-0,000165281308882532i</v>
      </c>
      <c r="BJ559" s="20">
        <f t="shared" si="508"/>
        <v>-45.450205969587721</v>
      </c>
      <c r="BK559" s="43">
        <f t="shared" si="461"/>
        <v>-1.7738874347385816</v>
      </c>
      <c r="BL559">
        <f t="shared" si="509"/>
        <v>-89.183728021117616</v>
      </c>
      <c r="BM559" s="43">
        <f t="shared" si="510"/>
        <v>-154.04860618343366</v>
      </c>
    </row>
    <row r="560" spans="14:65" ht="15" thickBot="1" x14ac:dyDescent="0.4">
      <c r="N560" s="9">
        <v>42</v>
      </c>
      <c r="O560" s="34">
        <f t="shared" si="462"/>
        <v>2630267.9918953842</v>
      </c>
      <c r="P560" s="33" t="str">
        <f t="shared" si="463"/>
        <v>59,1053597814893</v>
      </c>
      <c r="Q560" s="4" t="str">
        <f t="shared" si="464"/>
        <v>1+126984,316573084i</v>
      </c>
      <c r="R560" s="4">
        <f t="shared" si="476"/>
        <v>126984.31657702148</v>
      </c>
      <c r="S560" s="4">
        <f t="shared" si="477"/>
        <v>1.5707884518066542</v>
      </c>
      <c r="T560" s="4" t="str">
        <f t="shared" si="465"/>
        <v>1+21,4843995608083i</v>
      </c>
      <c r="U560" s="4">
        <f t="shared" si="478"/>
        <v>21.507659670184015</v>
      </c>
      <c r="V560" s="4">
        <f t="shared" si="479"/>
        <v>1.524284494974079</v>
      </c>
      <c r="W560" t="str">
        <f t="shared" si="466"/>
        <v>1-793,270137629848i</v>
      </c>
      <c r="X560" s="4">
        <f t="shared" si="480"/>
        <v>793.27076793190724</v>
      </c>
      <c r="Y560" s="4">
        <f t="shared" si="481"/>
        <v>-1.5695357228431579</v>
      </c>
      <c r="Z560" t="str">
        <f t="shared" si="467"/>
        <v>-141,940283247714+74,2188348464288i</v>
      </c>
      <c r="AA560" s="4">
        <f t="shared" si="482"/>
        <v>160.17327946446861</v>
      </c>
      <c r="AB560" s="4">
        <f t="shared" si="483"/>
        <v>2.6598029489454649</v>
      </c>
      <c r="AC560" s="42" t="str">
        <f t="shared" si="484"/>
        <v>-0,020962779512852+0,0449297158090193i</v>
      </c>
      <c r="AD560" s="46">
        <f t="shared" si="485"/>
        <v>-26.093973635203959</v>
      </c>
      <c r="AE560" s="45">
        <f t="shared" si="486"/>
        <v>115.01226351788141</v>
      </c>
      <c r="AF560" t="str">
        <f t="shared" si="468"/>
        <v>405,634542683733</v>
      </c>
      <c r="AG560" t="str">
        <f t="shared" si="469"/>
        <v>1+127210,260557418i</v>
      </c>
      <c r="AH560">
        <f t="shared" si="487"/>
        <v>127210.26056134849</v>
      </c>
      <c r="AI560">
        <f t="shared" si="488"/>
        <v>1.5707884657937825</v>
      </c>
      <c r="AJ560" t="str">
        <f t="shared" si="470"/>
        <v>1+21,4843995608083i</v>
      </c>
      <c r="AK560">
        <f t="shared" si="489"/>
        <v>21.507659670184015</v>
      </c>
      <c r="AL560">
        <f t="shared" si="490"/>
        <v>1.524284494974079</v>
      </c>
      <c r="AM560" t="str">
        <f t="shared" si="471"/>
        <v>1-115,792493358694i</v>
      </c>
      <c r="AN560">
        <f t="shared" si="491"/>
        <v>115.79681134739072</v>
      </c>
      <c r="AO560">
        <f t="shared" si="492"/>
        <v>-1.5621604030735499</v>
      </c>
      <c r="AP560" s="44" t="str">
        <f t="shared" si="493"/>
        <v>-0,300657230986928-7,93580676110771i</v>
      </c>
      <c r="AQ560" s="39">
        <f t="shared" si="494"/>
        <v>17.998050905944194</v>
      </c>
      <c r="AR560" s="45">
        <f t="shared" si="495"/>
        <v>-92.169679277138471</v>
      </c>
      <c r="AS560" t="str">
        <f t="shared" si="472"/>
        <v>-0,0000166666666666667</v>
      </c>
      <c r="AT560" t="str">
        <f t="shared" si="473"/>
        <v>3,66061115593774i</v>
      </c>
      <c r="AU560">
        <f t="shared" si="496"/>
        <v>3.6606111559377399</v>
      </c>
      <c r="AV560">
        <f t="shared" si="497"/>
        <v>1.5707963267948966</v>
      </c>
      <c r="AW560" t="str">
        <f t="shared" si="474"/>
        <v>1+130,495623656377i</v>
      </c>
      <c r="AX560">
        <f t="shared" si="498"/>
        <v>130.49945514624491</v>
      </c>
      <c r="AY560">
        <f t="shared" si="499"/>
        <v>1.5631333845571149</v>
      </c>
      <c r="AZ560" t="str">
        <f t="shared" si="475"/>
        <v>1+19269,853759925i</v>
      </c>
      <c r="BA560">
        <f t="shared" si="500"/>
        <v>19269.853785872267</v>
      </c>
      <c r="BB560">
        <f t="shared" si="501"/>
        <v>1.5707444322651529</v>
      </c>
      <c r="BC560" s="44" t="str">
        <f t="shared" si="502"/>
        <v>-5,11687871294436E-06+0,000672283252614713i</v>
      </c>
      <c r="BD560" s="39">
        <f t="shared" si="503"/>
        <v>-63.448702567438168</v>
      </c>
      <c r="BE560" s="45">
        <f t="shared" si="504"/>
        <v>90.436080911343296</v>
      </c>
      <c r="BF560" s="44" t="str">
        <f t="shared" si="505"/>
        <v>-0,0000300982314828887-0,000014322825501147i</v>
      </c>
      <c r="BG560" s="46">
        <f t="shared" si="506"/>
        <v>-89.542676202642127</v>
      </c>
      <c r="BH560" s="45">
        <f t="shared" si="507"/>
        <v>-154.5516555707753</v>
      </c>
      <c r="BI560" s="44" t="str">
        <f t="shared" si="460"/>
        <v>0,00533664840806445-0,000161520260484073i</v>
      </c>
      <c r="BJ560" s="46">
        <f t="shared" si="508"/>
        <v>-45.450651661493978</v>
      </c>
      <c r="BK560" s="45">
        <f t="shared" si="461"/>
        <v>-1.7335983657951672</v>
      </c>
      <c r="BL560" s="39">
        <f t="shared" si="509"/>
        <v>-89.542676202642127</v>
      </c>
      <c r="BM560" s="45">
        <f t="shared" si="510"/>
        <v>-154.5516555707753</v>
      </c>
    </row>
    <row r="561" spans="14:30" x14ac:dyDescent="0.35">
      <c r="N561" s="9"/>
      <c r="P561" s="33"/>
      <c r="Q561" s="4"/>
      <c r="R561" s="4"/>
      <c r="S561" s="4"/>
      <c r="T561" s="4"/>
      <c r="U561" s="4"/>
      <c r="V561" s="4"/>
      <c r="X561" s="4"/>
      <c r="Y561" s="4"/>
      <c r="AA561" s="4"/>
      <c r="AB561" s="4"/>
      <c r="AC561" s="4"/>
      <c r="AD561" s="20"/>
    </row>
    <row r="562" spans="14:30" x14ac:dyDescent="0.35">
      <c r="N562" s="9"/>
      <c r="P562" s="33"/>
      <c r="Q562" s="4"/>
      <c r="R562" s="4"/>
      <c r="S562" s="4"/>
      <c r="T562" s="4"/>
      <c r="U562" s="4"/>
      <c r="V562" s="4"/>
      <c r="X562" s="4"/>
      <c r="Y562" s="4"/>
      <c r="AA562" s="4"/>
      <c r="AB562" s="4"/>
      <c r="AC562" s="4"/>
      <c r="AD562" s="20"/>
    </row>
    <row r="563" spans="14:30" x14ac:dyDescent="0.35">
      <c r="N563" s="9"/>
      <c r="P563" s="33"/>
      <c r="Q563" s="4"/>
      <c r="R563" s="4"/>
      <c r="S563" s="4"/>
      <c r="T563" s="4"/>
      <c r="U563" s="4"/>
      <c r="V563" s="4"/>
      <c r="X563" s="4"/>
      <c r="Y563" s="4"/>
      <c r="AA563" s="4"/>
      <c r="AB563" s="4"/>
      <c r="AC563" s="4"/>
      <c r="AD563" s="20"/>
    </row>
    <row r="564" spans="14:30" x14ac:dyDescent="0.35">
      <c r="N564" s="9"/>
      <c r="P564" s="33"/>
      <c r="Q564" s="4"/>
      <c r="R564" s="4"/>
      <c r="S564" s="4"/>
      <c r="T564" s="4"/>
      <c r="U564" s="4"/>
      <c r="V564" s="4"/>
      <c r="X564" s="4"/>
      <c r="Y564" s="4"/>
      <c r="AA564" s="4"/>
      <c r="AB564" s="4"/>
      <c r="AC564" s="4"/>
      <c r="AD564" s="20"/>
    </row>
    <row r="565" spans="14:30" x14ac:dyDescent="0.35">
      <c r="N565" s="9"/>
      <c r="P565" s="33"/>
      <c r="Q565" s="4"/>
      <c r="R565" s="4"/>
      <c r="S565" s="4"/>
      <c r="T565" s="4"/>
      <c r="U565" s="4"/>
      <c r="V565" s="4"/>
      <c r="X565" s="4"/>
      <c r="Y565" s="4"/>
      <c r="AA565" s="4"/>
      <c r="AB565" s="4"/>
      <c r="AC565" s="4"/>
      <c r="AD565" s="20"/>
    </row>
    <row r="566" spans="14:30" x14ac:dyDescent="0.35">
      <c r="N566" s="9"/>
      <c r="P566" s="33"/>
      <c r="Q566" s="4"/>
      <c r="R566" s="4"/>
      <c r="S566" s="4"/>
      <c r="T566" s="4"/>
      <c r="U566" s="4"/>
      <c r="V566" s="4"/>
      <c r="X566" s="4"/>
      <c r="Y566" s="4"/>
      <c r="AA566" s="4"/>
      <c r="AB566" s="4"/>
      <c r="AC566" s="4"/>
      <c r="AD566" s="20"/>
    </row>
    <row r="567" spans="14:30" x14ac:dyDescent="0.35">
      <c r="N567" s="9"/>
      <c r="P567" s="33"/>
      <c r="Q567" s="4"/>
      <c r="R567" s="4"/>
      <c r="S567" s="4"/>
      <c r="T567" s="4"/>
      <c r="U567" s="4"/>
      <c r="V567" s="4"/>
      <c r="X567" s="4"/>
      <c r="Y567" s="4"/>
      <c r="AA567" s="4"/>
      <c r="AB567" s="4"/>
      <c r="AC567" s="4"/>
      <c r="AD567" s="20"/>
    </row>
    <row r="568" spans="14:30" x14ac:dyDescent="0.35">
      <c r="N568" s="9"/>
      <c r="P568" s="33"/>
      <c r="Q568" s="4"/>
      <c r="R568" s="4"/>
      <c r="S568" s="4"/>
      <c r="T568" s="4"/>
      <c r="U568" s="4"/>
      <c r="V568" s="4"/>
      <c r="X568" s="4"/>
      <c r="Y568" s="4"/>
      <c r="AA568" s="4"/>
      <c r="AB568" s="4"/>
      <c r="AC568" s="4"/>
      <c r="AD568" s="20"/>
    </row>
    <row r="569" spans="14:30" x14ac:dyDescent="0.35">
      <c r="N569" s="9"/>
      <c r="P569" s="33"/>
      <c r="Q569" s="4"/>
      <c r="R569" s="4"/>
      <c r="S569" s="4"/>
      <c r="T569" s="4"/>
      <c r="U569" s="4"/>
      <c r="V569" s="4"/>
      <c r="X569" s="4"/>
      <c r="Y569" s="4"/>
      <c r="AA569" s="4"/>
      <c r="AB569" s="4"/>
      <c r="AC569" s="4"/>
      <c r="AD569" s="20"/>
    </row>
    <row r="570" spans="14:30" x14ac:dyDescent="0.35">
      <c r="N570" s="9"/>
      <c r="P570" s="33"/>
      <c r="Q570" s="4"/>
      <c r="R570" s="4"/>
      <c r="S570" s="4"/>
      <c r="T570" s="4"/>
      <c r="U570" s="4"/>
      <c r="V570" s="4"/>
      <c r="X570" s="4"/>
      <c r="Y570" s="4"/>
      <c r="AA570" s="4"/>
      <c r="AB570" s="4"/>
      <c r="AC570" s="4"/>
      <c r="AD570" s="20"/>
    </row>
    <row r="571" spans="14:30" x14ac:dyDescent="0.35">
      <c r="N571" s="9"/>
      <c r="P571" s="33"/>
      <c r="Q571" s="4"/>
      <c r="R571" s="4"/>
      <c r="S571" s="4"/>
      <c r="T571" s="4"/>
      <c r="U571" s="4"/>
      <c r="V571" s="4"/>
      <c r="X571" s="4"/>
      <c r="Y571" s="4"/>
      <c r="AA571" s="4"/>
      <c r="AB571" s="4"/>
      <c r="AC571" s="4"/>
      <c r="AD571" s="20"/>
    </row>
    <row r="572" spans="14:30" x14ac:dyDescent="0.35">
      <c r="N572" s="9"/>
      <c r="P572" s="33"/>
      <c r="Q572" s="4"/>
      <c r="R572" s="4"/>
      <c r="S572" s="4"/>
      <c r="T572" s="4"/>
      <c r="U572" s="4"/>
      <c r="V572" s="4"/>
      <c r="X572" s="4"/>
      <c r="Y572" s="4"/>
      <c r="AA572" s="4"/>
      <c r="AB572" s="4"/>
      <c r="AC572" s="4"/>
      <c r="AD572" s="20"/>
    </row>
    <row r="573" spans="14:30" x14ac:dyDescent="0.35">
      <c r="N573" s="9"/>
      <c r="P573" s="33"/>
      <c r="Q573" s="4"/>
      <c r="R573" s="4"/>
      <c r="S573" s="4"/>
      <c r="T573" s="4"/>
      <c r="U573" s="4"/>
      <c r="V573" s="4"/>
      <c r="X573" s="4"/>
      <c r="Y573" s="4"/>
      <c r="AA573" s="4"/>
      <c r="AB573" s="4"/>
      <c r="AC573" s="4"/>
      <c r="AD573" s="20"/>
    </row>
    <row r="574" spans="14:30" x14ac:dyDescent="0.35">
      <c r="N574" s="9"/>
      <c r="P574" s="33"/>
      <c r="Q574" s="4"/>
      <c r="R574" s="4"/>
      <c r="S574" s="4"/>
      <c r="T574" s="4"/>
      <c r="U574" s="4"/>
      <c r="V574" s="4"/>
      <c r="X574" s="4"/>
      <c r="Y574" s="4"/>
      <c r="AA574" s="4"/>
      <c r="AB574" s="4"/>
      <c r="AC574" s="4"/>
      <c r="AD574" s="20"/>
    </row>
    <row r="575" spans="14:30" x14ac:dyDescent="0.35">
      <c r="N575" s="9"/>
      <c r="P575" s="33"/>
      <c r="Q575" s="4"/>
      <c r="R575" s="4"/>
      <c r="S575" s="4"/>
      <c r="T575" s="4"/>
      <c r="U575" s="4"/>
      <c r="V575" s="4"/>
      <c r="X575" s="4"/>
      <c r="Y575" s="4"/>
      <c r="AA575" s="4"/>
      <c r="AB575" s="4"/>
      <c r="AC575" s="4"/>
      <c r="AD575" s="20"/>
    </row>
    <row r="576" spans="14:30" x14ac:dyDescent="0.35">
      <c r="N576" s="9"/>
      <c r="P576" s="33"/>
      <c r="Q576" s="4"/>
      <c r="R576" s="4"/>
      <c r="S576" s="4"/>
      <c r="T576" s="4"/>
      <c r="U576" s="4"/>
      <c r="V576" s="4"/>
      <c r="X576" s="4"/>
      <c r="Y576" s="4"/>
      <c r="AA576" s="4"/>
      <c r="AB576" s="4"/>
      <c r="AC576" s="4"/>
      <c r="AD576" s="20"/>
    </row>
    <row r="577" spans="14:30" x14ac:dyDescent="0.35">
      <c r="N577" s="9"/>
      <c r="P577" s="33"/>
      <c r="Q577" s="4"/>
      <c r="R577" s="4"/>
      <c r="S577" s="4"/>
      <c r="T577" s="4"/>
      <c r="U577" s="4"/>
      <c r="V577" s="4"/>
      <c r="X577" s="4"/>
      <c r="Y577" s="4"/>
      <c r="AA577" s="4"/>
      <c r="AB577" s="4"/>
      <c r="AC577" s="4"/>
      <c r="AD577" s="20"/>
    </row>
    <row r="578" spans="14:30" x14ac:dyDescent="0.35">
      <c r="N578" s="9"/>
      <c r="P578" s="33"/>
      <c r="Q578" s="4"/>
      <c r="R578" s="4"/>
      <c r="S578" s="4"/>
      <c r="T578" s="4"/>
      <c r="U578" s="4"/>
      <c r="V578" s="4"/>
      <c r="X578" s="4"/>
      <c r="Y578" s="4"/>
      <c r="AA578" s="4"/>
      <c r="AB578" s="4"/>
      <c r="AC578" s="4"/>
      <c r="AD578" s="20"/>
    </row>
    <row r="579" spans="14:30" x14ac:dyDescent="0.35">
      <c r="N579" s="9"/>
      <c r="P579" s="33"/>
      <c r="Q579" s="4"/>
      <c r="R579" s="4"/>
      <c r="S579" s="4"/>
      <c r="T579" s="4"/>
      <c r="U579" s="4"/>
      <c r="V579" s="4"/>
      <c r="X579" s="4"/>
      <c r="Y579" s="4"/>
      <c r="AA579" s="4"/>
      <c r="AB579" s="4"/>
      <c r="AC579" s="4"/>
      <c r="AD579" s="20"/>
    </row>
    <row r="580" spans="14:30" x14ac:dyDescent="0.35">
      <c r="N580" s="9"/>
      <c r="P580" s="33"/>
      <c r="Q580" s="4"/>
      <c r="R580" s="4"/>
      <c r="S580" s="4"/>
      <c r="T580" s="4"/>
      <c r="U580" s="4"/>
      <c r="V580" s="4"/>
      <c r="X580" s="4"/>
      <c r="Y580" s="4"/>
      <c r="AA580" s="4"/>
      <c r="AB580" s="4"/>
      <c r="AC580" s="4"/>
      <c r="AD580" s="20"/>
    </row>
    <row r="581" spans="14:30" x14ac:dyDescent="0.35">
      <c r="N581" s="9"/>
      <c r="P581" s="33"/>
      <c r="Q581" s="4"/>
      <c r="R581" s="4"/>
      <c r="S581" s="4"/>
      <c r="T581" s="4"/>
      <c r="U581" s="4"/>
      <c r="V581" s="4"/>
      <c r="X581" s="4"/>
      <c r="Y581" s="4"/>
      <c r="AA581" s="4"/>
      <c r="AB581" s="4"/>
      <c r="AC581" s="4"/>
      <c r="AD581" s="20"/>
    </row>
    <row r="582" spans="14:30" x14ac:dyDescent="0.35">
      <c r="N582" s="9"/>
      <c r="P582" s="33"/>
      <c r="Q582" s="4"/>
      <c r="R582" s="4"/>
      <c r="S582" s="4"/>
      <c r="T582" s="4"/>
      <c r="U582" s="4"/>
      <c r="V582" s="4"/>
      <c r="X582" s="4"/>
      <c r="Y582" s="4"/>
      <c r="AA582" s="4"/>
      <c r="AB582" s="4"/>
      <c r="AC582" s="4"/>
      <c r="AD582" s="20"/>
    </row>
    <row r="583" spans="14:30" x14ac:dyDescent="0.35">
      <c r="N583" s="9"/>
      <c r="P583" s="33"/>
      <c r="Q583" s="4"/>
      <c r="R583" s="4"/>
      <c r="S583" s="4"/>
      <c r="T583" s="4"/>
      <c r="U583" s="4"/>
      <c r="V583" s="4"/>
      <c r="X583" s="4"/>
      <c r="Y583" s="4"/>
      <c r="AA583" s="4"/>
      <c r="AB583" s="4"/>
      <c r="AC583" s="4"/>
      <c r="AD583" s="20"/>
    </row>
    <row r="584" spans="14:30" x14ac:dyDescent="0.35">
      <c r="N584" s="9"/>
      <c r="P584" s="33"/>
      <c r="Q584" s="4"/>
      <c r="R584" s="4"/>
      <c r="S584" s="4"/>
      <c r="T584" s="4"/>
      <c r="U584" s="4"/>
      <c r="V584" s="4"/>
      <c r="X584" s="4"/>
      <c r="Y584" s="4"/>
      <c r="AA584" s="4"/>
      <c r="AB584" s="4"/>
      <c r="AC584" s="4"/>
      <c r="AD584" s="20"/>
    </row>
    <row r="585" spans="14:30" x14ac:dyDescent="0.35">
      <c r="N585" s="9"/>
      <c r="P585" s="33"/>
      <c r="Q585" s="4"/>
      <c r="R585" s="4"/>
      <c r="S585" s="4"/>
      <c r="T585" s="4"/>
      <c r="U585" s="4"/>
      <c r="V585" s="4"/>
      <c r="X585" s="4"/>
      <c r="Y585" s="4"/>
      <c r="AA585" s="4"/>
      <c r="AB585" s="4"/>
      <c r="AC585" s="4"/>
      <c r="AD585" s="20"/>
    </row>
    <row r="586" spans="14:30" x14ac:dyDescent="0.35">
      <c r="N586" s="9"/>
      <c r="P586" s="33"/>
      <c r="Q586" s="4"/>
      <c r="R586" s="4"/>
      <c r="S586" s="4"/>
      <c r="T586" s="4"/>
      <c r="U586" s="4"/>
      <c r="V586" s="4"/>
      <c r="X586" s="4"/>
      <c r="Y586" s="4"/>
      <c r="AA586" s="4"/>
      <c r="AB586" s="4"/>
      <c r="AC586" s="4"/>
      <c r="AD586" s="20"/>
    </row>
    <row r="587" spans="14:30" x14ac:dyDescent="0.35">
      <c r="N587" s="9"/>
      <c r="P587" s="33"/>
      <c r="Q587" s="4"/>
      <c r="R587" s="4"/>
      <c r="S587" s="4"/>
      <c r="T587" s="4"/>
      <c r="U587" s="4"/>
      <c r="V587" s="4"/>
      <c r="X587" s="4"/>
      <c r="Y587" s="4"/>
      <c r="AA587" s="4"/>
      <c r="AB587" s="4"/>
      <c r="AC587" s="4"/>
      <c r="AD587" s="20"/>
    </row>
    <row r="588" spans="14:30" x14ac:dyDescent="0.35">
      <c r="N588" s="9"/>
      <c r="P588" s="33"/>
      <c r="Q588" s="4"/>
      <c r="R588" s="4"/>
      <c r="S588" s="4"/>
      <c r="T588" s="4"/>
      <c r="U588" s="4"/>
      <c r="V588" s="4"/>
      <c r="X588" s="4"/>
      <c r="Y588" s="4"/>
      <c r="AA588" s="4"/>
      <c r="AB588" s="4"/>
      <c r="AC588" s="4"/>
      <c r="AD588" s="20"/>
    </row>
    <row r="589" spans="14:30" x14ac:dyDescent="0.35">
      <c r="N589" s="9"/>
      <c r="P589" s="33"/>
      <c r="Q589" s="4"/>
      <c r="R589" s="4"/>
      <c r="S589" s="4"/>
      <c r="T589" s="4"/>
      <c r="U589" s="4"/>
      <c r="V589" s="4"/>
      <c r="X589" s="4"/>
      <c r="Y589" s="4"/>
      <c r="AA589" s="4"/>
      <c r="AB589" s="4"/>
      <c r="AC589" s="4"/>
      <c r="AD589" s="20"/>
    </row>
    <row r="590" spans="14:30" x14ac:dyDescent="0.35">
      <c r="N590" s="9"/>
      <c r="P590" s="33"/>
      <c r="Q590" s="4"/>
      <c r="R590" s="4"/>
      <c r="S590" s="4"/>
      <c r="T590" s="4"/>
      <c r="U590" s="4"/>
      <c r="V590" s="4"/>
      <c r="X590" s="4"/>
      <c r="Y590" s="4"/>
      <c r="AA590" s="4"/>
      <c r="AB590" s="4"/>
      <c r="AC590" s="4"/>
      <c r="AD590" s="20"/>
    </row>
    <row r="591" spans="14:30" x14ac:dyDescent="0.35">
      <c r="N591" s="9"/>
      <c r="P591" s="33"/>
      <c r="Q591" s="4"/>
      <c r="R591" s="4"/>
      <c r="S591" s="4"/>
      <c r="T591" s="4"/>
      <c r="U591" s="4"/>
      <c r="V591" s="4"/>
      <c r="X591" s="4"/>
      <c r="Y591" s="4"/>
      <c r="AA591" s="4"/>
      <c r="AB591" s="4"/>
      <c r="AC591" s="4"/>
      <c r="AD591" s="20"/>
    </row>
    <row r="592" spans="14:30" x14ac:dyDescent="0.35">
      <c r="N592" s="9"/>
      <c r="P592" s="33"/>
      <c r="Q592" s="4"/>
      <c r="R592" s="4"/>
      <c r="S592" s="4"/>
      <c r="T592" s="4"/>
      <c r="U592" s="4"/>
      <c r="V592" s="4"/>
      <c r="X592" s="4"/>
      <c r="Y592" s="4"/>
      <c r="AA592" s="4"/>
      <c r="AB592" s="4"/>
      <c r="AC592" s="4"/>
      <c r="AD592" s="20"/>
    </row>
    <row r="593" spans="14:30" x14ac:dyDescent="0.35">
      <c r="N593" s="9"/>
      <c r="P593" s="33"/>
      <c r="Q593" s="4"/>
      <c r="R593" s="4"/>
      <c r="S593" s="4"/>
      <c r="T593" s="4"/>
      <c r="U593" s="4"/>
      <c r="V593" s="4"/>
      <c r="X593" s="4"/>
      <c r="Y593" s="4"/>
      <c r="AA593" s="4"/>
      <c r="AB593" s="4"/>
      <c r="AC593" s="4"/>
      <c r="AD593" s="20"/>
    </row>
    <row r="594" spans="14:30" x14ac:dyDescent="0.35">
      <c r="N594" s="9"/>
      <c r="P594" s="33"/>
      <c r="Q594" s="4"/>
      <c r="R594" s="4"/>
      <c r="S594" s="4"/>
      <c r="T594" s="4"/>
      <c r="U594" s="4"/>
      <c r="V594" s="4"/>
      <c r="X594" s="4"/>
      <c r="Y594" s="4"/>
      <c r="AA594" s="4"/>
      <c r="AB594" s="4"/>
      <c r="AC594" s="4"/>
      <c r="AD594" s="20"/>
    </row>
    <row r="595" spans="14:30" x14ac:dyDescent="0.35">
      <c r="N595" s="9"/>
      <c r="P595" s="33"/>
      <c r="Q595" s="4"/>
      <c r="R595" s="4"/>
      <c r="S595" s="4"/>
      <c r="T595" s="4"/>
      <c r="U595" s="4"/>
      <c r="V595" s="4"/>
      <c r="X595" s="4"/>
      <c r="Y595" s="4"/>
      <c r="AA595" s="4"/>
      <c r="AB595" s="4"/>
      <c r="AC595" s="4"/>
      <c r="AD595" s="20"/>
    </row>
    <row r="596" spans="14:30" x14ac:dyDescent="0.35">
      <c r="N596" s="9"/>
      <c r="P596" s="33"/>
      <c r="Q596" s="4"/>
      <c r="R596" s="4"/>
      <c r="S596" s="4"/>
      <c r="T596" s="4"/>
      <c r="U596" s="4"/>
      <c r="V596" s="4"/>
      <c r="X596" s="4"/>
      <c r="Y596" s="4"/>
      <c r="AA596" s="4"/>
      <c r="AB596" s="4"/>
      <c r="AC596" s="4"/>
      <c r="AD596" s="20"/>
    </row>
    <row r="597" spans="14:30" x14ac:dyDescent="0.35">
      <c r="N597" s="9"/>
      <c r="P597" s="33"/>
      <c r="Q597" s="4"/>
      <c r="R597" s="4"/>
      <c r="S597" s="4"/>
      <c r="T597" s="4"/>
      <c r="U597" s="4"/>
      <c r="V597" s="4"/>
      <c r="X597" s="4"/>
      <c r="Y597" s="4"/>
      <c r="AA597" s="4"/>
      <c r="AB597" s="4"/>
      <c r="AC597" s="4"/>
      <c r="AD597" s="20"/>
    </row>
    <row r="598" spans="14:30" x14ac:dyDescent="0.35">
      <c r="N598" s="9"/>
      <c r="P598" s="33"/>
      <c r="Q598" s="4"/>
      <c r="R598" s="4"/>
      <c r="S598" s="4"/>
      <c r="T598" s="4"/>
      <c r="U598" s="4"/>
      <c r="V598" s="4"/>
      <c r="X598" s="4"/>
      <c r="Y598" s="4"/>
      <c r="AA598" s="4"/>
      <c r="AB598" s="4"/>
      <c r="AC598" s="4"/>
      <c r="AD598" s="20"/>
    </row>
    <row r="599" spans="14:30" x14ac:dyDescent="0.35">
      <c r="N599" s="9"/>
      <c r="P599" s="33"/>
      <c r="Q599" s="4"/>
      <c r="R599" s="4"/>
      <c r="S599" s="4"/>
      <c r="T599" s="4"/>
      <c r="U599" s="4"/>
      <c r="V599" s="4"/>
      <c r="X599" s="4"/>
      <c r="Y599" s="4"/>
      <c r="AA599" s="4"/>
      <c r="AB599" s="4"/>
      <c r="AC599" s="4"/>
      <c r="AD599" s="20"/>
    </row>
    <row r="600" spans="14:30" x14ac:dyDescent="0.35">
      <c r="N600" s="9"/>
      <c r="P600" s="33"/>
      <c r="Q600" s="4"/>
      <c r="R600" s="4"/>
      <c r="S600" s="4"/>
      <c r="T600" s="4"/>
      <c r="U600" s="4"/>
      <c r="V600" s="4"/>
      <c r="X600" s="4"/>
      <c r="Y600" s="4"/>
      <c r="AA600" s="4"/>
      <c r="AB600" s="4"/>
      <c r="AC600" s="4"/>
      <c r="AD600" s="20"/>
    </row>
    <row r="601" spans="14:30" x14ac:dyDescent="0.35">
      <c r="N601" s="9"/>
      <c r="P601" s="33"/>
      <c r="Q601" s="4"/>
      <c r="R601" s="4"/>
      <c r="S601" s="4"/>
      <c r="T601" s="4"/>
      <c r="U601" s="4"/>
      <c r="V601" s="4"/>
      <c r="X601" s="4"/>
      <c r="Y601" s="4"/>
      <c r="AA601" s="4"/>
      <c r="AB601" s="4"/>
      <c r="AC601" s="4"/>
      <c r="AD601" s="20"/>
    </row>
    <row r="602" spans="14:30" x14ac:dyDescent="0.35">
      <c r="N602" s="9"/>
      <c r="P602" s="33"/>
      <c r="Q602" s="4"/>
      <c r="R602" s="4"/>
      <c r="S602" s="4"/>
      <c r="T602" s="4"/>
      <c r="U602" s="4"/>
      <c r="V602" s="4"/>
      <c r="X602" s="4"/>
      <c r="Y602" s="4"/>
      <c r="AA602" s="4"/>
      <c r="AB602" s="4"/>
      <c r="AC602" s="4"/>
      <c r="AD602" s="20"/>
    </row>
    <row r="603" spans="14:30" x14ac:dyDescent="0.35">
      <c r="N603" s="9"/>
      <c r="P603" s="33"/>
      <c r="Q603" s="4"/>
      <c r="R603" s="4"/>
      <c r="S603" s="4"/>
      <c r="T603" s="4"/>
      <c r="U603" s="4"/>
      <c r="V603" s="4"/>
      <c r="X603" s="4"/>
      <c r="Y603" s="4"/>
      <c r="AA603" s="4"/>
      <c r="AB603" s="4"/>
      <c r="AC603" s="4"/>
      <c r="AD603" s="20"/>
    </row>
    <row r="604" spans="14:30" x14ac:dyDescent="0.35">
      <c r="N604" s="9"/>
      <c r="P604" s="33"/>
      <c r="Q604" s="4"/>
      <c r="R604" s="4"/>
      <c r="S604" s="4"/>
      <c r="T604" s="4"/>
      <c r="U604" s="4"/>
      <c r="V604" s="4"/>
      <c r="X604" s="4"/>
      <c r="Y604" s="4"/>
      <c r="AA604" s="4"/>
      <c r="AB604" s="4"/>
      <c r="AC604" s="4"/>
      <c r="AD604" s="20"/>
    </row>
    <row r="605" spans="14:30" x14ac:dyDescent="0.35">
      <c r="N605" s="9"/>
      <c r="P605" s="33"/>
      <c r="Q605" s="4"/>
      <c r="R605" s="4"/>
      <c r="S605" s="4"/>
      <c r="T605" s="4"/>
      <c r="U605" s="4"/>
      <c r="V605" s="4"/>
      <c r="X605" s="4"/>
      <c r="Y605" s="4"/>
      <c r="AA605" s="4"/>
      <c r="AB605" s="4"/>
      <c r="AC605" s="4"/>
      <c r="AD605" s="20"/>
    </row>
    <row r="606" spans="14:30" x14ac:dyDescent="0.35">
      <c r="N606" s="9"/>
      <c r="P606" s="33"/>
      <c r="Q606" s="4"/>
      <c r="R606" s="4"/>
      <c r="S606" s="4"/>
      <c r="T606" s="4"/>
      <c r="U606" s="4"/>
      <c r="V606" s="4"/>
      <c r="X606" s="4"/>
      <c r="Y606" s="4"/>
      <c r="AA606" s="4"/>
      <c r="AB606" s="4"/>
      <c r="AC606" s="4"/>
      <c r="AD606" s="20"/>
    </row>
    <row r="607" spans="14:30" x14ac:dyDescent="0.35">
      <c r="N607" s="9"/>
      <c r="P607" s="33"/>
      <c r="Q607" s="4"/>
      <c r="R607" s="4"/>
      <c r="S607" s="4"/>
      <c r="T607" s="4"/>
      <c r="U607" s="4"/>
      <c r="V607" s="4"/>
      <c r="X607" s="4"/>
      <c r="Y607" s="4"/>
      <c r="AA607" s="4"/>
      <c r="AB607" s="4"/>
      <c r="AC607" s="4"/>
      <c r="AD607" s="20"/>
    </row>
    <row r="608" spans="14:30" x14ac:dyDescent="0.35">
      <c r="N608" s="9"/>
      <c r="P608" s="33"/>
      <c r="Q608" s="4"/>
      <c r="R608" s="4"/>
      <c r="S608" s="4"/>
      <c r="T608" s="4"/>
      <c r="U608" s="4"/>
      <c r="V608" s="4"/>
      <c r="X608" s="4"/>
      <c r="Y608" s="4"/>
      <c r="AA608" s="4"/>
      <c r="AB608" s="4"/>
      <c r="AC608" s="4"/>
      <c r="AD608" s="20"/>
    </row>
    <row r="609" spans="14:30" x14ac:dyDescent="0.35">
      <c r="N609" s="9"/>
      <c r="P609" s="33"/>
      <c r="Q609" s="4"/>
      <c r="R609" s="4"/>
      <c r="S609" s="4"/>
      <c r="T609" s="4"/>
      <c r="U609" s="4"/>
      <c r="V609" s="4"/>
      <c r="X609" s="4"/>
      <c r="Y609" s="4"/>
      <c r="AA609" s="4"/>
      <c r="AB609" s="4"/>
      <c r="AC609" s="4"/>
      <c r="AD609" s="20"/>
    </row>
    <row r="610" spans="14:30" x14ac:dyDescent="0.35">
      <c r="N610" s="9"/>
      <c r="P610" s="33"/>
      <c r="Q610" s="4"/>
      <c r="R610" s="4"/>
      <c r="S610" s="4"/>
      <c r="T610" s="4"/>
      <c r="U610" s="4"/>
      <c r="V610" s="4"/>
      <c r="X610" s="4"/>
      <c r="Y610" s="4"/>
      <c r="AA610" s="4"/>
      <c r="AB610" s="4"/>
      <c r="AC610" s="4"/>
      <c r="AD610" s="20"/>
    </row>
    <row r="611" spans="14:30" x14ac:dyDescent="0.35">
      <c r="N611" s="9"/>
      <c r="P611" s="33"/>
      <c r="Q611" s="4"/>
      <c r="R611" s="4"/>
      <c r="S611" s="4"/>
      <c r="T611" s="4"/>
      <c r="U611" s="4"/>
      <c r="V611" s="4"/>
      <c r="X611" s="4"/>
      <c r="Y611" s="4"/>
      <c r="AA611" s="4"/>
      <c r="AB611" s="4"/>
      <c r="AC611" s="4"/>
      <c r="AD611" s="20"/>
    </row>
    <row r="612" spans="14:30" x14ac:dyDescent="0.35">
      <c r="N612" s="9"/>
      <c r="P612" s="33"/>
      <c r="Q612" s="4"/>
      <c r="R612" s="4"/>
      <c r="S612" s="4"/>
      <c r="T612" s="4"/>
      <c r="U612" s="4"/>
      <c r="V612" s="4"/>
      <c r="X612" s="4"/>
      <c r="Y612" s="4"/>
      <c r="AA612" s="4"/>
      <c r="AB612" s="4"/>
      <c r="AC612" s="4"/>
      <c r="AD612" s="20"/>
    </row>
    <row r="613" spans="14:30" x14ac:dyDescent="0.35">
      <c r="N613" s="9"/>
      <c r="P613" s="33"/>
      <c r="Q613" s="4"/>
      <c r="R613" s="4"/>
      <c r="S613" s="4"/>
      <c r="T613" s="4"/>
      <c r="U613" s="4"/>
      <c r="V613" s="4"/>
      <c r="X613" s="4"/>
      <c r="Y613" s="4"/>
      <c r="AA613" s="4"/>
      <c r="AB613" s="4"/>
      <c r="AC613" s="4"/>
      <c r="AD613" s="20"/>
    </row>
    <row r="614" spans="14:30" x14ac:dyDescent="0.35">
      <c r="N614" s="9"/>
      <c r="P614" s="33"/>
      <c r="Q614" s="4"/>
      <c r="R614" s="4"/>
      <c r="S614" s="4"/>
      <c r="T614" s="4"/>
      <c r="U614" s="4"/>
      <c r="V614" s="4"/>
      <c r="X614" s="4"/>
      <c r="Y614" s="4"/>
      <c r="AA614" s="4"/>
      <c r="AB614" s="4"/>
      <c r="AC614" s="4"/>
      <c r="AD614" s="20"/>
    </row>
    <row r="615" spans="14:30" x14ac:dyDescent="0.35">
      <c r="N615" s="9"/>
      <c r="P615" s="33"/>
      <c r="Q615" s="4"/>
      <c r="R615" s="4"/>
      <c r="S615" s="4"/>
      <c r="T615" s="4"/>
      <c r="U615" s="4"/>
      <c r="V615" s="4"/>
      <c r="X615" s="4"/>
      <c r="Y615" s="4"/>
      <c r="AA615" s="4"/>
      <c r="AB615" s="4"/>
      <c r="AC615" s="4"/>
      <c r="AD615" s="20"/>
    </row>
    <row r="616" spans="14:30" x14ac:dyDescent="0.35">
      <c r="N616" s="9"/>
      <c r="P616" s="33"/>
      <c r="Q616" s="4"/>
      <c r="R616" s="4"/>
      <c r="S616" s="4"/>
      <c r="T616" s="4"/>
      <c r="U616" s="4"/>
      <c r="V616" s="4"/>
      <c r="X616" s="4"/>
      <c r="Y616" s="4"/>
      <c r="AA616" s="4"/>
      <c r="AB616" s="4"/>
      <c r="AC616" s="4"/>
      <c r="AD616" s="20"/>
    </row>
    <row r="617" spans="14:30" x14ac:dyDescent="0.35">
      <c r="N617" s="9"/>
      <c r="P617" s="33"/>
      <c r="Q617" s="4"/>
      <c r="R617" s="4"/>
      <c r="S617" s="4"/>
      <c r="T617" s="4"/>
      <c r="U617" s="4"/>
      <c r="V617" s="4"/>
      <c r="X617" s="4"/>
      <c r="Y617" s="4"/>
      <c r="AA617" s="4"/>
      <c r="AB617" s="4"/>
      <c r="AC617" s="4"/>
      <c r="AD617" s="20"/>
    </row>
    <row r="618" spans="14:30" x14ac:dyDescent="0.35">
      <c r="N618" s="9"/>
      <c r="P618" s="33"/>
      <c r="Q618" s="4"/>
      <c r="R618" s="4"/>
      <c r="S618" s="4"/>
      <c r="T618" s="4"/>
      <c r="U618" s="4"/>
      <c r="V618" s="4"/>
      <c r="X618" s="4"/>
      <c r="Y618" s="4"/>
      <c r="AA618" s="4"/>
      <c r="AB618" s="4"/>
      <c r="AC618" s="4"/>
      <c r="AD618" s="20"/>
    </row>
    <row r="619" spans="14:30" x14ac:dyDescent="0.35">
      <c r="N619" s="9"/>
      <c r="P619" s="33"/>
      <c r="Q619" s="4"/>
      <c r="R619" s="4"/>
      <c r="S619" s="4"/>
      <c r="T619" s="4"/>
      <c r="U619" s="4"/>
      <c r="V619" s="4"/>
      <c r="X619" s="4"/>
      <c r="Y619" s="4"/>
      <c r="AA619" s="4"/>
      <c r="AB619" s="4"/>
      <c r="AC619" s="4"/>
      <c r="AD619" s="20"/>
    </row>
    <row r="620" spans="14:30" x14ac:dyDescent="0.35">
      <c r="N620" s="9"/>
      <c r="P620" s="33"/>
      <c r="Q620" s="4"/>
      <c r="R620" s="4"/>
      <c r="S620" s="4"/>
      <c r="T620" s="4"/>
      <c r="U620" s="4"/>
      <c r="V620" s="4"/>
      <c r="X620" s="4"/>
      <c r="Y620" s="4"/>
      <c r="AA620" s="4"/>
      <c r="AB620" s="4"/>
      <c r="AC620" s="4"/>
      <c r="AD620" s="20"/>
    </row>
    <row r="621" spans="14:30" x14ac:dyDescent="0.35">
      <c r="N621" s="9"/>
      <c r="P621" s="33"/>
      <c r="Q621" s="4"/>
      <c r="R621" s="4"/>
      <c r="S621" s="4"/>
      <c r="T621" s="4"/>
      <c r="U621" s="4"/>
      <c r="V621" s="4"/>
      <c r="X621" s="4"/>
      <c r="Y621" s="4"/>
      <c r="AA621" s="4"/>
      <c r="AB621" s="4"/>
      <c r="AC621" s="4"/>
      <c r="AD621" s="20"/>
    </row>
    <row r="622" spans="14:30" x14ac:dyDescent="0.35">
      <c r="N622" s="9"/>
      <c r="P622" s="33"/>
      <c r="Q622" s="4"/>
      <c r="R622" s="4"/>
      <c r="S622" s="4"/>
      <c r="T622" s="4"/>
      <c r="U622" s="4"/>
      <c r="V622" s="4"/>
      <c r="X622" s="4"/>
      <c r="Y622" s="4"/>
      <c r="AA622" s="4"/>
      <c r="AB622" s="4"/>
      <c r="AC622" s="4"/>
      <c r="AD622" s="20"/>
    </row>
    <row r="623" spans="14:30" x14ac:dyDescent="0.35">
      <c r="N623" s="9"/>
      <c r="P623" s="33"/>
      <c r="Q623" s="4"/>
      <c r="R623" s="4"/>
      <c r="S623" s="4"/>
      <c r="T623" s="4"/>
      <c r="U623" s="4"/>
      <c r="V623" s="4"/>
      <c r="X623" s="4"/>
      <c r="Y623" s="4"/>
      <c r="AA623" s="4"/>
      <c r="AB623" s="4"/>
      <c r="AC623" s="4"/>
      <c r="AD623" s="20"/>
    </row>
    <row r="624" spans="14:30" x14ac:dyDescent="0.35">
      <c r="N624" s="9"/>
      <c r="P624" s="33"/>
      <c r="Q624" s="4"/>
      <c r="R624" s="4"/>
      <c r="S624" s="4"/>
      <c r="T624" s="4"/>
      <c r="U624" s="4"/>
      <c r="V624" s="4"/>
      <c r="X624" s="4"/>
      <c r="Y624" s="4"/>
      <c r="AA624" s="4"/>
      <c r="AB624" s="4"/>
      <c r="AC624" s="4"/>
      <c r="AD624" s="20"/>
    </row>
    <row r="625" spans="14:30" x14ac:dyDescent="0.35">
      <c r="N625" s="9"/>
      <c r="P625" s="33"/>
      <c r="Q625" s="4"/>
      <c r="R625" s="4"/>
      <c r="S625" s="4"/>
      <c r="T625" s="4"/>
      <c r="U625" s="4"/>
      <c r="V625" s="4"/>
      <c r="X625" s="4"/>
      <c r="Y625" s="4"/>
      <c r="AA625" s="4"/>
      <c r="AB625" s="4"/>
      <c r="AC625" s="4"/>
      <c r="AD625" s="20"/>
    </row>
    <row r="626" spans="14:30" x14ac:dyDescent="0.35">
      <c r="N626" s="9"/>
      <c r="P626" s="33"/>
      <c r="Q626" s="4"/>
      <c r="R626" s="4"/>
      <c r="S626" s="4"/>
      <c r="T626" s="4"/>
      <c r="U626" s="4"/>
      <c r="V626" s="4"/>
      <c r="X626" s="4"/>
      <c r="Y626" s="4"/>
      <c r="AA626" s="4"/>
      <c r="AB626" s="4"/>
      <c r="AC626" s="4"/>
      <c r="AD626" s="20"/>
    </row>
    <row r="627" spans="14:30" x14ac:dyDescent="0.35">
      <c r="N627" s="9"/>
      <c r="P627" s="33"/>
      <c r="Q627" s="4"/>
      <c r="R627" s="4"/>
      <c r="S627" s="4"/>
      <c r="T627" s="4"/>
      <c r="U627" s="4"/>
      <c r="V627" s="4"/>
      <c r="X627" s="4"/>
      <c r="Y627" s="4"/>
      <c r="AA627" s="4"/>
      <c r="AB627" s="4"/>
      <c r="AC627" s="4"/>
      <c r="AD627" s="20"/>
    </row>
    <row r="628" spans="14:30" x14ac:dyDescent="0.35">
      <c r="N628" s="9"/>
      <c r="P628" s="33"/>
      <c r="Q628" s="4"/>
      <c r="R628" s="4"/>
      <c r="S628" s="4"/>
      <c r="T628" s="4"/>
      <c r="U628" s="4"/>
      <c r="V628" s="4"/>
      <c r="X628" s="4"/>
      <c r="Y628" s="4"/>
      <c r="AA628" s="4"/>
      <c r="AB628" s="4"/>
      <c r="AC628" s="4"/>
      <c r="AD628" s="20"/>
    </row>
    <row r="629" spans="14:30" x14ac:dyDescent="0.35">
      <c r="N629" s="9"/>
      <c r="P629" s="33"/>
      <c r="Q629" s="4"/>
      <c r="R629" s="4"/>
      <c r="S629" s="4"/>
      <c r="T629" s="4"/>
      <c r="U629" s="4"/>
      <c r="V629" s="4"/>
      <c r="X629" s="4"/>
      <c r="Y629" s="4"/>
      <c r="AA629" s="4"/>
      <c r="AB629" s="4"/>
      <c r="AC629" s="4"/>
      <c r="AD629" s="20"/>
    </row>
    <row r="630" spans="14:30" x14ac:dyDescent="0.35">
      <c r="N630" s="9"/>
      <c r="P630" s="33"/>
      <c r="Q630" s="4"/>
      <c r="R630" s="4"/>
      <c r="S630" s="4"/>
      <c r="T630" s="4"/>
      <c r="U630" s="4"/>
      <c r="V630" s="4"/>
      <c r="X630" s="4"/>
      <c r="Y630" s="4"/>
      <c r="AA630" s="4"/>
      <c r="AB630" s="4"/>
      <c r="AC630" s="4"/>
      <c r="AD630" s="20"/>
    </row>
    <row r="631" spans="14:30" x14ac:dyDescent="0.35">
      <c r="N631" s="9"/>
      <c r="P631" s="33"/>
      <c r="Q631" s="4"/>
      <c r="R631" s="4"/>
      <c r="S631" s="4"/>
      <c r="T631" s="4"/>
      <c r="U631" s="4"/>
      <c r="V631" s="4"/>
      <c r="X631" s="4"/>
      <c r="Y631" s="4"/>
      <c r="AA631" s="4"/>
      <c r="AB631" s="4"/>
      <c r="AC631" s="4"/>
      <c r="AD631" s="20"/>
    </row>
    <row r="632" spans="14:30" x14ac:dyDescent="0.35">
      <c r="N632" s="9"/>
      <c r="P632" s="33"/>
      <c r="Q632" s="4"/>
      <c r="R632" s="4"/>
      <c r="S632" s="4"/>
      <c r="T632" s="4"/>
      <c r="U632" s="4"/>
      <c r="V632" s="4"/>
      <c r="X632" s="4"/>
      <c r="Y632" s="4"/>
      <c r="AA632" s="4"/>
      <c r="AB632" s="4"/>
      <c r="AC632" s="4"/>
      <c r="AD632" s="20"/>
    </row>
    <row r="633" spans="14:30" x14ac:dyDescent="0.35">
      <c r="N633" s="9"/>
      <c r="P633" s="33"/>
      <c r="Q633" s="4"/>
      <c r="R633" s="4"/>
      <c r="S633" s="4"/>
      <c r="T633" s="4"/>
      <c r="U633" s="4"/>
      <c r="V633" s="4"/>
      <c r="X633" s="4"/>
      <c r="Y633" s="4"/>
      <c r="AA633" s="4"/>
      <c r="AB633" s="4"/>
      <c r="AC633" s="4"/>
      <c r="AD633" s="20"/>
    </row>
    <row r="634" spans="14:30" x14ac:dyDescent="0.35">
      <c r="N634" s="9"/>
      <c r="P634" s="33"/>
      <c r="Q634" s="4"/>
      <c r="R634" s="4"/>
      <c r="S634" s="4"/>
      <c r="T634" s="4"/>
      <c r="U634" s="4"/>
      <c r="V634" s="4"/>
      <c r="X634" s="4"/>
      <c r="Y634" s="4"/>
      <c r="AA634" s="4"/>
      <c r="AB634" s="4"/>
      <c r="AC634" s="4"/>
      <c r="AD634" s="20"/>
    </row>
    <row r="635" spans="14:30" x14ac:dyDescent="0.35">
      <c r="N635" s="9"/>
      <c r="P635" s="33"/>
      <c r="Q635" s="4"/>
      <c r="R635" s="4"/>
      <c r="S635" s="4"/>
      <c r="T635" s="4"/>
      <c r="U635" s="4"/>
      <c r="V635" s="4"/>
      <c r="X635" s="4"/>
      <c r="Y635" s="4"/>
      <c r="AA635" s="4"/>
      <c r="AB635" s="4"/>
      <c r="AC635" s="4"/>
      <c r="AD635" s="20"/>
    </row>
    <row r="636" spans="14:30" x14ac:dyDescent="0.35">
      <c r="N636" s="9"/>
      <c r="P636" s="33"/>
      <c r="Q636" s="4"/>
      <c r="R636" s="4"/>
      <c r="S636" s="4"/>
      <c r="T636" s="4"/>
      <c r="U636" s="4"/>
      <c r="V636" s="4"/>
      <c r="X636" s="4"/>
      <c r="Y636" s="4"/>
      <c r="AA636" s="4"/>
      <c r="AB636" s="4"/>
      <c r="AC636" s="4"/>
      <c r="AD636" s="20"/>
    </row>
    <row r="637" spans="14:30" x14ac:dyDescent="0.35">
      <c r="N637" s="9"/>
      <c r="P637" s="33"/>
      <c r="Q637" s="4"/>
      <c r="R637" s="4"/>
      <c r="S637" s="4"/>
      <c r="T637" s="4"/>
      <c r="U637" s="4"/>
      <c r="V637" s="4"/>
      <c r="X637" s="4"/>
      <c r="Y637" s="4"/>
      <c r="AA637" s="4"/>
      <c r="AB637" s="4"/>
      <c r="AC637" s="4"/>
      <c r="AD637" s="20"/>
    </row>
    <row r="638" spans="14:30" x14ac:dyDescent="0.35">
      <c r="N638" s="9"/>
      <c r="P638" s="33"/>
      <c r="Q638" s="4"/>
      <c r="R638" s="4"/>
      <c r="S638" s="4"/>
      <c r="T638" s="4"/>
      <c r="U638" s="4"/>
      <c r="V638" s="4"/>
      <c r="X638" s="4"/>
      <c r="Y638" s="4"/>
      <c r="AA638" s="4"/>
      <c r="AB638" s="4"/>
      <c r="AC638" s="4"/>
      <c r="AD638" s="20"/>
    </row>
    <row r="639" spans="14:30" x14ac:dyDescent="0.35">
      <c r="N639" s="9"/>
      <c r="P639" s="33"/>
      <c r="Q639" s="4"/>
      <c r="R639" s="4"/>
      <c r="S639" s="4"/>
      <c r="T639" s="4"/>
      <c r="U639" s="4"/>
      <c r="V639" s="4"/>
      <c r="X639" s="4"/>
      <c r="Y639" s="4"/>
      <c r="AA639" s="4"/>
      <c r="AB639" s="4"/>
      <c r="AC639" s="4"/>
      <c r="AD639" s="20"/>
    </row>
    <row r="640" spans="14:30" x14ac:dyDescent="0.35">
      <c r="N640" s="9"/>
      <c r="P640" s="33"/>
      <c r="Q640" s="4"/>
      <c r="R640" s="4"/>
      <c r="S640" s="4"/>
      <c r="T640" s="4"/>
      <c r="U640" s="4"/>
      <c r="V640" s="4"/>
      <c r="X640" s="4"/>
      <c r="Y640" s="4"/>
      <c r="AA640" s="4"/>
      <c r="AB640" s="4"/>
      <c r="AC640" s="4"/>
      <c r="AD640" s="20"/>
    </row>
    <row r="641" spans="14:30" x14ac:dyDescent="0.35">
      <c r="N641" s="9"/>
      <c r="P641" s="33"/>
      <c r="Q641" s="4"/>
      <c r="R641" s="4"/>
      <c r="S641" s="4"/>
      <c r="T641" s="4"/>
      <c r="U641" s="4"/>
      <c r="V641" s="4"/>
      <c r="X641" s="4"/>
      <c r="Y641" s="4"/>
      <c r="AA641" s="4"/>
      <c r="AB641" s="4"/>
      <c r="AC641" s="4"/>
      <c r="AD641" s="20"/>
    </row>
    <row r="642" spans="14:30" x14ac:dyDescent="0.35">
      <c r="N642" s="9"/>
      <c r="P642" s="33"/>
      <c r="Q642" s="4"/>
      <c r="R642" s="4"/>
      <c r="S642" s="4"/>
      <c r="T642" s="4"/>
      <c r="U642" s="4"/>
      <c r="V642" s="4"/>
      <c r="X642" s="4"/>
      <c r="Y642" s="4"/>
      <c r="AA642" s="4"/>
      <c r="AB642" s="4"/>
      <c r="AC642" s="4"/>
      <c r="AD642" s="20"/>
    </row>
    <row r="643" spans="14:30" x14ac:dyDescent="0.35">
      <c r="N643" s="9"/>
      <c r="P643" s="33"/>
      <c r="Q643" s="4"/>
      <c r="R643" s="4"/>
      <c r="S643" s="4"/>
      <c r="T643" s="4"/>
      <c r="U643" s="4"/>
      <c r="V643" s="4"/>
      <c r="X643" s="4"/>
      <c r="Y643" s="4"/>
      <c r="AA643" s="4"/>
      <c r="AB643" s="4"/>
      <c r="AC643" s="4"/>
      <c r="AD643" s="20"/>
    </row>
    <row r="644" spans="14:30" x14ac:dyDescent="0.35">
      <c r="N644" s="9"/>
      <c r="P644" s="33"/>
      <c r="Q644" s="4"/>
      <c r="R644" s="4"/>
      <c r="S644" s="4"/>
      <c r="T644" s="4"/>
      <c r="U644" s="4"/>
      <c r="V644" s="4"/>
      <c r="X644" s="4"/>
      <c r="Y644" s="4"/>
      <c r="AA644" s="4"/>
      <c r="AB644" s="4"/>
      <c r="AC644" s="4"/>
      <c r="AD644" s="20"/>
    </row>
    <row r="645" spans="14:30" x14ac:dyDescent="0.35">
      <c r="N645" s="9"/>
      <c r="P645" s="33"/>
      <c r="Q645" s="4"/>
      <c r="R645" s="4"/>
      <c r="S645" s="4"/>
      <c r="T645" s="4"/>
      <c r="U645" s="4"/>
      <c r="V645" s="4"/>
      <c r="X645" s="4"/>
      <c r="Y645" s="4"/>
      <c r="AA645" s="4"/>
      <c r="AB645" s="4"/>
      <c r="AC645" s="4"/>
      <c r="AD645" s="20"/>
    </row>
    <row r="646" spans="14:30" x14ac:dyDescent="0.35">
      <c r="N646" s="9"/>
      <c r="P646" s="33"/>
      <c r="Q646" s="4"/>
      <c r="R646" s="4"/>
      <c r="S646" s="4"/>
      <c r="T646" s="4"/>
      <c r="U646" s="4"/>
      <c r="V646" s="4"/>
      <c r="X646" s="4"/>
      <c r="Y646" s="4"/>
      <c r="AA646" s="4"/>
      <c r="AB646" s="4"/>
      <c r="AC646" s="4"/>
      <c r="AD646" s="20"/>
    </row>
    <row r="647" spans="14:30" x14ac:dyDescent="0.35">
      <c r="N647" s="9"/>
      <c r="P647" s="33"/>
      <c r="Q647" s="4"/>
      <c r="R647" s="4"/>
      <c r="S647" s="4"/>
      <c r="T647" s="4"/>
      <c r="U647" s="4"/>
      <c r="V647" s="4"/>
      <c r="X647" s="4"/>
      <c r="Y647" s="4"/>
      <c r="AA647" s="4"/>
      <c r="AB647" s="4"/>
      <c r="AC647" s="4"/>
      <c r="AD647" s="20"/>
    </row>
    <row r="648" spans="14:30" x14ac:dyDescent="0.35">
      <c r="N648" s="9"/>
      <c r="P648" s="33"/>
      <c r="Q648" s="4"/>
      <c r="R648" s="4"/>
      <c r="S648" s="4"/>
      <c r="T648" s="4"/>
      <c r="U648" s="4"/>
      <c r="V648" s="4"/>
      <c r="X648" s="4"/>
      <c r="Y648" s="4"/>
      <c r="AA648" s="4"/>
      <c r="AB648" s="4"/>
      <c r="AC648" s="4"/>
      <c r="AD648" s="20"/>
    </row>
    <row r="649" spans="14:30" x14ac:dyDescent="0.35">
      <c r="N649" s="9"/>
      <c r="P649" s="33"/>
      <c r="Q649" s="4"/>
      <c r="R649" s="4"/>
      <c r="S649" s="4"/>
      <c r="T649" s="4"/>
      <c r="U649" s="4"/>
      <c r="V649" s="4"/>
      <c r="X649" s="4"/>
      <c r="Y649" s="4"/>
      <c r="AA649" s="4"/>
      <c r="AB649" s="4"/>
      <c r="AC649" s="4"/>
      <c r="AD649" s="20"/>
    </row>
    <row r="650" spans="14:30" x14ac:dyDescent="0.35">
      <c r="N650" s="9"/>
      <c r="P650" s="33"/>
      <c r="Q650" s="4"/>
      <c r="R650" s="4"/>
      <c r="S650" s="4"/>
      <c r="T650" s="4"/>
      <c r="U650" s="4"/>
      <c r="V650" s="4"/>
      <c r="X650" s="4"/>
      <c r="Y650" s="4"/>
      <c r="AA650" s="4"/>
      <c r="AB650" s="4"/>
      <c r="AC650" s="4"/>
      <c r="AD650" s="20"/>
    </row>
    <row r="651" spans="14:30" x14ac:dyDescent="0.35">
      <c r="N651" s="9"/>
      <c r="P651" s="33"/>
      <c r="Q651" s="4"/>
      <c r="R651" s="4"/>
      <c r="S651" s="4"/>
      <c r="T651" s="4"/>
      <c r="U651" s="4"/>
      <c r="V651" s="4"/>
      <c r="X651" s="4"/>
      <c r="Y651" s="4"/>
      <c r="AA651" s="4"/>
      <c r="AB651" s="4"/>
      <c r="AC651" s="4"/>
      <c r="AD651" s="20"/>
    </row>
    <row r="652" spans="14:30" x14ac:dyDescent="0.35">
      <c r="N652" s="9"/>
      <c r="P652" s="33"/>
      <c r="Q652" s="4"/>
      <c r="R652" s="4"/>
      <c r="S652" s="4"/>
      <c r="T652" s="4"/>
      <c r="U652" s="4"/>
      <c r="V652" s="4"/>
      <c r="X652" s="4"/>
      <c r="Y652" s="4"/>
      <c r="AA652" s="4"/>
      <c r="AB652" s="4"/>
      <c r="AC652" s="4"/>
      <c r="AD652" s="20"/>
    </row>
    <row r="653" spans="14:30" x14ac:dyDescent="0.35">
      <c r="N653" s="9"/>
      <c r="P653" s="33"/>
      <c r="Q653" s="4"/>
      <c r="R653" s="4"/>
      <c r="S653" s="4"/>
      <c r="T653" s="4"/>
      <c r="U653" s="4"/>
      <c r="V653" s="4"/>
      <c r="X653" s="4"/>
      <c r="Y653" s="4"/>
      <c r="AA653" s="4"/>
      <c r="AB653" s="4"/>
      <c r="AC653" s="4"/>
      <c r="AD653" s="20"/>
    </row>
    <row r="654" spans="14:30" x14ac:dyDescent="0.35">
      <c r="N654" s="9"/>
      <c r="P654" s="33"/>
      <c r="Q654" s="4"/>
      <c r="R654" s="4"/>
      <c r="S654" s="4"/>
      <c r="T654" s="4"/>
      <c r="U654" s="4"/>
      <c r="V654" s="4"/>
      <c r="X654" s="4"/>
      <c r="Y654" s="4"/>
      <c r="AA654" s="4"/>
      <c r="AB654" s="4"/>
      <c r="AC654" s="4"/>
      <c r="AD654" s="20"/>
    </row>
    <row r="655" spans="14:30" x14ac:dyDescent="0.35">
      <c r="N655" s="9"/>
      <c r="P655" s="33"/>
      <c r="Q655" s="4"/>
      <c r="R655" s="4"/>
      <c r="S655" s="4"/>
      <c r="T655" s="4"/>
      <c r="U655" s="4"/>
      <c r="V655" s="4"/>
      <c r="X655" s="4"/>
      <c r="Y655" s="4"/>
      <c r="AA655" s="4"/>
      <c r="AB655" s="4"/>
      <c r="AC655" s="4"/>
      <c r="AD655" s="20"/>
    </row>
    <row r="656" spans="14:30" x14ac:dyDescent="0.35">
      <c r="N656" s="9"/>
      <c r="P656" s="33"/>
      <c r="Q656" s="4"/>
      <c r="R656" s="4"/>
      <c r="S656" s="4"/>
      <c r="T656" s="4"/>
      <c r="U656" s="4"/>
      <c r="V656" s="4"/>
      <c r="X656" s="4"/>
      <c r="Y656" s="4"/>
      <c r="AA656" s="4"/>
      <c r="AB656" s="4"/>
      <c r="AC656" s="4"/>
      <c r="AD656" s="20"/>
    </row>
    <row r="657" spans="14:30" x14ac:dyDescent="0.35">
      <c r="N657" s="9"/>
      <c r="P657" s="33"/>
      <c r="Q657" s="4"/>
      <c r="R657" s="4"/>
      <c r="S657" s="4"/>
      <c r="T657" s="4"/>
      <c r="U657" s="4"/>
      <c r="V657" s="4"/>
      <c r="X657" s="4"/>
      <c r="Y657" s="4"/>
      <c r="AA657" s="4"/>
      <c r="AB657" s="4"/>
      <c r="AC657" s="4"/>
      <c r="AD657" s="20"/>
    </row>
    <row r="658" spans="14:30" x14ac:dyDescent="0.35">
      <c r="N658" s="9"/>
      <c r="P658" s="33"/>
      <c r="Q658" s="4"/>
      <c r="R658" s="4"/>
      <c r="S658" s="4"/>
      <c r="T658" s="4"/>
      <c r="U658" s="4"/>
      <c r="V658" s="4"/>
      <c r="X658" s="4"/>
      <c r="Y658" s="4"/>
      <c r="AA658" s="4"/>
      <c r="AB658" s="4"/>
      <c r="AC658" s="4"/>
      <c r="AD658" s="20"/>
    </row>
    <row r="659" spans="14:30" x14ac:dyDescent="0.35">
      <c r="N659" s="9"/>
      <c r="P659" s="33"/>
      <c r="Q659" s="4"/>
      <c r="R659" s="4"/>
      <c r="S659" s="4"/>
      <c r="T659" s="4"/>
      <c r="U659" s="4"/>
      <c r="V659" s="4"/>
      <c r="X659" s="4"/>
      <c r="Y659" s="4"/>
      <c r="AA659" s="4"/>
      <c r="AB659" s="4"/>
      <c r="AC659" s="4"/>
      <c r="AD659" s="20"/>
    </row>
    <row r="660" spans="14:30" x14ac:dyDescent="0.35">
      <c r="N660" s="9"/>
      <c r="P660" s="33"/>
      <c r="Q660" s="4"/>
      <c r="R660" s="4"/>
      <c r="S660" s="4"/>
      <c r="T660" s="4"/>
      <c r="U660" s="4"/>
      <c r="V660" s="4"/>
      <c r="X660" s="4"/>
      <c r="Y660" s="4"/>
      <c r="AA660" s="4"/>
      <c r="AB660" s="4"/>
      <c r="AC660" s="4"/>
      <c r="AD660" s="20"/>
    </row>
    <row r="661" spans="14:30" x14ac:dyDescent="0.35">
      <c r="N661" s="9"/>
      <c r="P661" s="33"/>
      <c r="Q661" s="4"/>
      <c r="R661" s="4"/>
      <c r="S661" s="4"/>
      <c r="T661" s="4"/>
      <c r="U661" s="4"/>
      <c r="V661" s="4"/>
      <c r="X661" s="4"/>
      <c r="Y661" s="4"/>
      <c r="AA661" s="4"/>
      <c r="AB661" s="4"/>
      <c r="AC661" s="4"/>
      <c r="AD661" s="20"/>
    </row>
    <row r="662" spans="14:30" x14ac:dyDescent="0.35">
      <c r="N662" s="9"/>
      <c r="P662" s="33"/>
      <c r="Q662" s="4"/>
      <c r="R662" s="4"/>
      <c r="S662" s="4"/>
      <c r="T662" s="4"/>
      <c r="U662" s="4"/>
      <c r="V662" s="4"/>
      <c r="X662" s="4"/>
      <c r="Y662" s="4"/>
      <c r="AA662" s="4"/>
      <c r="AB662" s="4"/>
      <c r="AC662" s="4"/>
      <c r="AD662" s="20"/>
    </row>
    <row r="663" spans="14:30" x14ac:dyDescent="0.35">
      <c r="N663" s="9"/>
      <c r="P663" s="33"/>
      <c r="Q663" s="4"/>
      <c r="R663" s="4"/>
      <c r="S663" s="4"/>
      <c r="T663" s="4"/>
      <c r="U663" s="4"/>
      <c r="V663" s="4"/>
      <c r="X663" s="4"/>
      <c r="Y663" s="4"/>
      <c r="AA663" s="4"/>
      <c r="AB663" s="4"/>
      <c r="AC663" s="4"/>
      <c r="AD663" s="20"/>
    </row>
    <row r="664" spans="14:30" x14ac:dyDescent="0.35">
      <c r="N664" s="9"/>
      <c r="P664" s="33"/>
      <c r="Q664" s="4"/>
      <c r="R664" s="4"/>
      <c r="S664" s="4"/>
      <c r="T664" s="4"/>
      <c r="U664" s="4"/>
      <c r="V664" s="4"/>
      <c r="X664" s="4"/>
      <c r="Y664" s="4"/>
      <c r="AA664" s="4"/>
      <c r="AB664" s="4"/>
      <c r="AC664" s="4"/>
      <c r="AD664" s="20"/>
    </row>
    <row r="665" spans="14:30" x14ac:dyDescent="0.35">
      <c r="N665" s="9"/>
      <c r="P665" s="33"/>
      <c r="Q665" s="4"/>
      <c r="R665" s="4"/>
      <c r="S665" s="4"/>
      <c r="T665" s="4"/>
      <c r="U665" s="4"/>
      <c r="V665" s="4"/>
      <c r="X665" s="4"/>
      <c r="Y665" s="4"/>
      <c r="AA665" s="4"/>
      <c r="AB665" s="4"/>
      <c r="AC665" s="4"/>
      <c r="AD665" s="20"/>
    </row>
    <row r="666" spans="14:30" x14ac:dyDescent="0.35">
      <c r="N666" s="9"/>
      <c r="P666" s="33"/>
      <c r="Q666" s="4"/>
      <c r="R666" s="4"/>
      <c r="S666" s="4"/>
      <c r="T666" s="4"/>
      <c r="U666" s="4"/>
      <c r="V666" s="4"/>
      <c r="X666" s="4"/>
      <c r="Y666" s="4"/>
      <c r="AA666" s="4"/>
      <c r="AB666" s="4"/>
      <c r="AC666" s="4"/>
      <c r="AD666" s="20"/>
    </row>
    <row r="667" spans="14:30" x14ac:dyDescent="0.35">
      <c r="N667" s="9"/>
      <c r="P667" s="33"/>
      <c r="Q667" s="4"/>
      <c r="R667" s="4"/>
      <c r="S667" s="4"/>
      <c r="T667" s="4"/>
      <c r="U667" s="4"/>
      <c r="V667" s="4"/>
      <c r="X667" s="4"/>
      <c r="Y667" s="4"/>
      <c r="AA667" s="4"/>
      <c r="AB667" s="4"/>
      <c r="AC667" s="4"/>
      <c r="AD667" s="20"/>
    </row>
    <row r="668" spans="14:30" x14ac:dyDescent="0.35">
      <c r="N668" s="9"/>
      <c r="P668" s="33"/>
      <c r="Q668" s="4"/>
      <c r="R668" s="4"/>
      <c r="S668" s="4"/>
      <c r="T668" s="4"/>
      <c r="U668" s="4"/>
      <c r="V668" s="4"/>
      <c r="X668" s="4"/>
      <c r="Y668" s="4"/>
      <c r="AA668" s="4"/>
      <c r="AB668" s="4"/>
      <c r="AC668" s="4"/>
      <c r="AD668" s="20"/>
    </row>
    <row r="669" spans="14:30" x14ac:dyDescent="0.35">
      <c r="N669" s="9"/>
      <c r="P669" s="33"/>
      <c r="Q669" s="4"/>
      <c r="R669" s="4"/>
      <c r="S669" s="4"/>
      <c r="T669" s="4"/>
      <c r="U669" s="4"/>
      <c r="V669" s="4"/>
      <c r="X669" s="4"/>
      <c r="Y669" s="4"/>
      <c r="AA669" s="4"/>
      <c r="AB669" s="4"/>
      <c r="AC669" s="4"/>
      <c r="AD669" s="20"/>
    </row>
    <row r="670" spans="14:30" x14ac:dyDescent="0.35">
      <c r="N670" s="9"/>
      <c r="P670" s="33"/>
      <c r="Q670" s="4"/>
      <c r="R670" s="4"/>
      <c r="S670" s="4"/>
      <c r="T670" s="4"/>
      <c r="U670" s="4"/>
      <c r="V670" s="4"/>
      <c r="X670" s="4"/>
      <c r="Y670" s="4"/>
      <c r="AA670" s="4"/>
      <c r="AB670" s="4"/>
      <c r="AC670" s="4"/>
      <c r="AD670" s="20"/>
    </row>
    <row r="671" spans="14:30" x14ac:dyDescent="0.35">
      <c r="N671" s="9"/>
      <c r="P671" s="33"/>
      <c r="Q671" s="4"/>
      <c r="R671" s="4"/>
      <c r="S671" s="4"/>
      <c r="T671" s="4"/>
      <c r="U671" s="4"/>
      <c r="V671" s="4"/>
      <c r="X671" s="4"/>
      <c r="Y671" s="4"/>
      <c r="AA671" s="4"/>
      <c r="AB671" s="4"/>
      <c r="AC671" s="4"/>
      <c r="AD671" s="20"/>
    </row>
    <row r="672" spans="14:30" x14ac:dyDescent="0.35">
      <c r="N672" s="9"/>
      <c r="P672" s="33"/>
      <c r="Q672" s="4"/>
      <c r="R672" s="4"/>
      <c r="S672" s="4"/>
      <c r="T672" s="4"/>
      <c r="U672" s="4"/>
      <c r="V672" s="4"/>
      <c r="X672" s="4"/>
      <c r="Y672" s="4"/>
      <c r="AA672" s="4"/>
      <c r="AB672" s="4"/>
      <c r="AC672" s="4"/>
      <c r="AD672" s="20"/>
    </row>
    <row r="673" spans="14:30" x14ac:dyDescent="0.35">
      <c r="N673" s="9"/>
      <c r="P673" s="33"/>
      <c r="Q673" s="4"/>
      <c r="R673" s="4"/>
      <c r="S673" s="4"/>
      <c r="T673" s="4"/>
      <c r="U673" s="4"/>
      <c r="V673" s="4"/>
      <c r="X673" s="4"/>
      <c r="Y673" s="4"/>
      <c r="AA673" s="4"/>
      <c r="AB673" s="4"/>
      <c r="AC673" s="4"/>
      <c r="AD673" s="20"/>
    </row>
    <row r="674" spans="14:30" x14ac:dyDescent="0.35">
      <c r="N674" s="9"/>
      <c r="P674" s="33"/>
      <c r="Q674" s="4"/>
      <c r="R674" s="4"/>
      <c r="S674" s="4"/>
      <c r="T674" s="4"/>
      <c r="U674" s="4"/>
      <c r="V674" s="4"/>
      <c r="X674" s="4"/>
      <c r="Y674" s="4"/>
      <c r="AA674" s="4"/>
      <c r="AB674" s="4"/>
      <c r="AC674" s="4"/>
      <c r="AD674" s="20"/>
    </row>
    <row r="675" spans="14:30" x14ac:dyDescent="0.35">
      <c r="N675" s="9"/>
      <c r="P675" s="33"/>
      <c r="Q675" s="4"/>
      <c r="R675" s="4"/>
      <c r="S675" s="4"/>
      <c r="T675" s="4"/>
      <c r="U675" s="4"/>
      <c r="V675" s="4"/>
      <c r="X675" s="4"/>
      <c r="Y675" s="4"/>
      <c r="AA675" s="4"/>
      <c r="AB675" s="4"/>
      <c r="AC675" s="4"/>
      <c r="AD675" s="20"/>
    </row>
    <row r="676" spans="14:30" x14ac:dyDescent="0.35">
      <c r="N676" s="9"/>
      <c r="P676" s="33"/>
      <c r="Q676" s="4"/>
      <c r="R676" s="4"/>
      <c r="S676" s="4"/>
      <c r="T676" s="4"/>
      <c r="U676" s="4"/>
      <c r="V676" s="4"/>
      <c r="X676" s="4"/>
      <c r="Y676" s="4"/>
      <c r="AA676" s="4"/>
      <c r="AB676" s="4"/>
      <c r="AC676" s="4"/>
      <c r="AD676" s="20"/>
    </row>
    <row r="677" spans="14:30" x14ac:dyDescent="0.35">
      <c r="N677" s="9"/>
      <c r="P677" s="33"/>
      <c r="Q677" s="4"/>
      <c r="R677" s="4"/>
      <c r="S677" s="4"/>
      <c r="T677" s="4"/>
      <c r="U677" s="4"/>
      <c r="V677" s="4"/>
      <c r="X677" s="4"/>
      <c r="Y677" s="4"/>
      <c r="AA677" s="4"/>
      <c r="AB677" s="4"/>
      <c r="AC677" s="4"/>
      <c r="AD677" s="20"/>
    </row>
    <row r="678" spans="14:30" x14ac:dyDescent="0.35">
      <c r="N678" s="9"/>
      <c r="P678" s="33"/>
      <c r="Q678" s="4"/>
      <c r="R678" s="4"/>
      <c r="S678" s="4"/>
      <c r="T678" s="4"/>
      <c r="U678" s="4"/>
      <c r="V678" s="4"/>
      <c r="X678" s="4"/>
      <c r="Y678" s="4"/>
      <c r="AA678" s="4"/>
      <c r="AB678" s="4"/>
      <c r="AC678" s="4"/>
      <c r="AD678" s="20"/>
    </row>
    <row r="679" spans="14:30" x14ac:dyDescent="0.35">
      <c r="N679" s="9"/>
      <c r="P679" s="33"/>
      <c r="Q679" s="4"/>
      <c r="R679" s="4"/>
      <c r="S679" s="4"/>
      <c r="T679" s="4"/>
      <c r="U679" s="4"/>
      <c r="V679" s="4"/>
      <c r="X679" s="4"/>
      <c r="Y679" s="4"/>
      <c r="AA679" s="4"/>
      <c r="AB679" s="4"/>
      <c r="AC679" s="4"/>
      <c r="AD679" s="20"/>
    </row>
    <row r="680" spans="14:30" x14ac:dyDescent="0.35">
      <c r="N680" s="9"/>
      <c r="P680" s="33"/>
      <c r="Q680" s="4"/>
      <c r="R680" s="4"/>
      <c r="S680" s="4"/>
      <c r="T680" s="4"/>
      <c r="U680" s="4"/>
      <c r="V680" s="4"/>
      <c r="X680" s="4"/>
      <c r="Y680" s="4"/>
      <c r="AA680" s="4"/>
      <c r="AB680" s="4"/>
      <c r="AC680" s="4"/>
      <c r="AD680" s="20"/>
    </row>
    <row r="681" spans="14:30" x14ac:dyDescent="0.35">
      <c r="N681" s="9"/>
      <c r="P681" s="33"/>
      <c r="Q681" s="4"/>
      <c r="R681" s="4"/>
      <c r="S681" s="4"/>
      <c r="T681" s="4"/>
      <c r="U681" s="4"/>
      <c r="V681" s="4"/>
      <c r="X681" s="4"/>
      <c r="Y681" s="4"/>
      <c r="AA681" s="4"/>
      <c r="AB681" s="4"/>
      <c r="AC681" s="4"/>
      <c r="AD681" s="20"/>
    </row>
    <row r="682" spans="14:30" x14ac:dyDescent="0.35">
      <c r="N682" s="9"/>
      <c r="P682" s="33"/>
      <c r="Q682" s="4"/>
      <c r="R682" s="4"/>
      <c r="S682" s="4"/>
      <c r="T682" s="4"/>
      <c r="U682" s="4"/>
      <c r="V682" s="4"/>
      <c r="X682" s="4"/>
      <c r="Y682" s="4"/>
      <c r="AA682" s="4"/>
      <c r="AB682" s="4"/>
      <c r="AC682" s="4"/>
      <c r="AD682" s="20"/>
    </row>
    <row r="683" spans="14:30" x14ac:dyDescent="0.35">
      <c r="N683" s="9"/>
      <c r="P683" s="33"/>
      <c r="Q683" s="4"/>
      <c r="R683" s="4"/>
      <c r="S683" s="4"/>
      <c r="T683" s="4"/>
      <c r="U683" s="4"/>
      <c r="V683" s="4"/>
      <c r="X683" s="4"/>
      <c r="Y683" s="4"/>
      <c r="AA683" s="4"/>
      <c r="AB683" s="4"/>
      <c r="AC683" s="4"/>
      <c r="AD683" s="20"/>
    </row>
    <row r="684" spans="14:30" x14ac:dyDescent="0.35">
      <c r="N684" s="9"/>
      <c r="P684" s="33"/>
      <c r="Q684" s="4"/>
      <c r="R684" s="4"/>
      <c r="S684" s="4"/>
      <c r="T684" s="4"/>
      <c r="U684" s="4"/>
      <c r="V684" s="4"/>
      <c r="X684" s="4"/>
      <c r="Y684" s="4"/>
      <c r="AA684" s="4"/>
      <c r="AB684" s="4"/>
      <c r="AC684" s="4"/>
      <c r="AD684" s="20"/>
    </row>
    <row r="685" spans="14:30" x14ac:dyDescent="0.35">
      <c r="N685" s="9"/>
      <c r="P685" s="33"/>
      <c r="Q685" s="4"/>
      <c r="R685" s="4"/>
      <c r="S685" s="4"/>
      <c r="T685" s="4"/>
      <c r="U685" s="4"/>
      <c r="V685" s="4"/>
      <c r="X685" s="4"/>
      <c r="Y685" s="4"/>
      <c r="AA685" s="4"/>
      <c r="AB685" s="4"/>
      <c r="AC685" s="4"/>
      <c r="AD685" s="20"/>
    </row>
    <row r="686" spans="14:30" x14ac:dyDescent="0.35">
      <c r="N686" s="9"/>
      <c r="P686" s="33"/>
      <c r="Q686" s="4"/>
      <c r="R686" s="4"/>
      <c r="S686" s="4"/>
      <c r="T686" s="4"/>
      <c r="U686" s="4"/>
      <c r="V686" s="4"/>
      <c r="X686" s="4"/>
      <c r="Y686" s="4"/>
      <c r="AA686" s="4"/>
      <c r="AB686" s="4"/>
      <c r="AC686" s="4"/>
      <c r="AD686" s="20"/>
    </row>
    <row r="687" spans="14:30" x14ac:dyDescent="0.35">
      <c r="N687" s="9"/>
      <c r="P687" s="33"/>
      <c r="Q687" s="4"/>
      <c r="R687" s="4"/>
      <c r="S687" s="4"/>
      <c r="T687" s="4"/>
      <c r="U687" s="4"/>
      <c r="V687" s="4"/>
      <c r="X687" s="4"/>
      <c r="Y687" s="4"/>
      <c r="AA687" s="4"/>
      <c r="AB687" s="4"/>
      <c r="AC687" s="4"/>
      <c r="AD687" s="20"/>
    </row>
    <row r="688" spans="14:30" x14ac:dyDescent="0.35">
      <c r="N688" s="9"/>
      <c r="P688" s="33"/>
      <c r="Q688" s="4"/>
      <c r="R688" s="4"/>
      <c r="S688" s="4"/>
      <c r="T688" s="4"/>
      <c r="U688" s="4"/>
      <c r="V688" s="4"/>
      <c r="X688" s="4"/>
      <c r="Y688" s="4"/>
      <c r="AA688" s="4"/>
      <c r="AB688" s="4"/>
      <c r="AC688" s="4"/>
      <c r="AD688" s="20"/>
    </row>
    <row r="689" spans="14:30" x14ac:dyDescent="0.35">
      <c r="N689" s="9"/>
      <c r="P689" s="33"/>
      <c r="Q689" s="4"/>
      <c r="R689" s="4"/>
      <c r="S689" s="4"/>
      <c r="T689" s="4"/>
      <c r="U689" s="4"/>
      <c r="V689" s="4"/>
      <c r="X689" s="4"/>
      <c r="Y689" s="4"/>
      <c r="AA689" s="4"/>
      <c r="AB689" s="4"/>
      <c r="AC689" s="4"/>
      <c r="AD689" s="20"/>
    </row>
    <row r="690" spans="14:30" x14ac:dyDescent="0.35">
      <c r="N690" s="9"/>
      <c r="P690" s="33"/>
      <c r="Q690" s="4"/>
      <c r="R690" s="4"/>
      <c r="S690" s="4"/>
      <c r="T690" s="4"/>
      <c r="U690" s="4"/>
      <c r="V690" s="4"/>
      <c r="X690" s="4"/>
      <c r="Y690" s="4"/>
      <c r="AA690" s="4"/>
      <c r="AB690" s="4"/>
      <c r="AC690" s="4"/>
      <c r="AD690" s="20"/>
    </row>
    <row r="691" spans="14:30" x14ac:dyDescent="0.35">
      <c r="N691" s="9"/>
      <c r="P691" s="33"/>
      <c r="Q691" s="4"/>
      <c r="R691" s="4"/>
      <c r="S691" s="4"/>
      <c r="T691" s="4"/>
      <c r="U691" s="4"/>
      <c r="V691" s="4"/>
      <c r="X691" s="4"/>
      <c r="Y691" s="4"/>
      <c r="AA691" s="4"/>
      <c r="AB691" s="4"/>
      <c r="AC691" s="4"/>
      <c r="AD691" s="20"/>
    </row>
    <row r="692" spans="14:30" x14ac:dyDescent="0.35">
      <c r="N692" s="9"/>
      <c r="P692" s="33"/>
      <c r="Q692" s="4"/>
      <c r="R692" s="4"/>
      <c r="S692" s="4"/>
      <c r="T692" s="4"/>
      <c r="U692" s="4"/>
      <c r="V692" s="4"/>
      <c r="X692" s="4"/>
      <c r="Y692" s="4"/>
      <c r="AA692" s="4"/>
      <c r="AB692" s="4"/>
      <c r="AC692" s="4"/>
      <c r="AD692" s="20"/>
    </row>
    <row r="693" spans="14:30" x14ac:dyDescent="0.35">
      <c r="N693" s="9"/>
      <c r="P693" s="33"/>
      <c r="Q693" s="4"/>
      <c r="R693" s="4"/>
      <c r="S693" s="4"/>
      <c r="T693" s="4"/>
      <c r="U693" s="4"/>
      <c r="V693" s="4"/>
      <c r="X693" s="4"/>
      <c r="Y693" s="4"/>
      <c r="AA693" s="4"/>
      <c r="AB693" s="4"/>
      <c r="AC693" s="4"/>
      <c r="AD693" s="20"/>
    </row>
    <row r="694" spans="14:30" x14ac:dyDescent="0.35">
      <c r="N694" s="9"/>
      <c r="P694" s="33"/>
      <c r="Q694" s="4"/>
      <c r="R694" s="4"/>
      <c r="S694" s="4"/>
      <c r="T694" s="4"/>
      <c r="U694" s="4"/>
      <c r="V694" s="4"/>
      <c r="X694" s="4"/>
      <c r="Y694" s="4"/>
      <c r="AA694" s="4"/>
      <c r="AB694" s="4"/>
      <c r="AC694" s="4"/>
      <c r="AD694" s="20"/>
    </row>
    <row r="695" spans="14:30" x14ac:dyDescent="0.35">
      <c r="N695" s="9"/>
      <c r="P695" s="33"/>
      <c r="Q695" s="4"/>
      <c r="R695" s="4"/>
      <c r="S695" s="4"/>
      <c r="T695" s="4"/>
      <c r="U695" s="4"/>
      <c r="V695" s="4"/>
      <c r="X695" s="4"/>
      <c r="Y695" s="4"/>
      <c r="AA695" s="4"/>
      <c r="AB695" s="4"/>
      <c r="AC695" s="4"/>
      <c r="AD695" s="20"/>
    </row>
    <row r="696" spans="14:30" x14ac:dyDescent="0.35">
      <c r="N696" s="9"/>
      <c r="P696" s="33"/>
      <c r="Q696" s="4"/>
      <c r="R696" s="4"/>
      <c r="S696" s="4"/>
      <c r="T696" s="4"/>
      <c r="U696" s="4"/>
      <c r="V696" s="4"/>
      <c r="X696" s="4"/>
      <c r="Y696" s="4"/>
      <c r="AA696" s="4"/>
      <c r="AB696" s="4"/>
      <c r="AC696" s="4"/>
      <c r="AD696" s="20"/>
    </row>
    <row r="697" spans="14:30" x14ac:dyDescent="0.35">
      <c r="N697" s="9"/>
      <c r="P697" s="33"/>
      <c r="Q697" s="4"/>
      <c r="R697" s="4"/>
      <c r="S697" s="4"/>
      <c r="T697" s="4"/>
      <c r="U697" s="4"/>
      <c r="V697" s="4"/>
      <c r="X697" s="4"/>
      <c r="Y697" s="4"/>
      <c r="AA697" s="4"/>
      <c r="AB697" s="4"/>
      <c r="AC697" s="4"/>
      <c r="AD697" s="20"/>
    </row>
    <row r="698" spans="14:30" x14ac:dyDescent="0.35">
      <c r="N698" s="9"/>
      <c r="P698" s="33"/>
      <c r="Q698" s="4"/>
      <c r="R698" s="4"/>
      <c r="S698" s="4"/>
      <c r="T698" s="4"/>
      <c r="U698" s="4"/>
      <c r="V698" s="4"/>
      <c r="X698" s="4"/>
      <c r="Y698" s="4"/>
      <c r="AA698" s="4"/>
      <c r="AB698" s="4"/>
      <c r="AC698" s="4"/>
      <c r="AD698" s="20"/>
    </row>
    <row r="699" spans="14:30" x14ac:dyDescent="0.35">
      <c r="N699" s="9"/>
      <c r="P699" s="33"/>
      <c r="Q699" s="4"/>
      <c r="R699" s="4"/>
      <c r="S699" s="4"/>
      <c r="T699" s="4"/>
      <c r="U699" s="4"/>
      <c r="V699" s="4"/>
      <c r="X699" s="4"/>
      <c r="Y699" s="4"/>
      <c r="AA699" s="4"/>
      <c r="AB699" s="4"/>
      <c r="AC699" s="4"/>
      <c r="AD699" s="20"/>
    </row>
    <row r="700" spans="14:30" x14ac:dyDescent="0.35">
      <c r="N700" s="9"/>
      <c r="P700" s="33"/>
      <c r="Q700" s="4"/>
      <c r="R700" s="4"/>
      <c r="S700" s="4"/>
      <c r="T700" s="4"/>
      <c r="U700" s="4"/>
      <c r="V700" s="4"/>
      <c r="X700" s="4"/>
      <c r="Y700" s="4"/>
      <c r="AA700" s="4"/>
      <c r="AB700" s="4"/>
      <c r="AC700" s="4"/>
      <c r="AD700" s="20"/>
    </row>
    <row r="701" spans="14:30" x14ac:dyDescent="0.35">
      <c r="N701" s="9"/>
      <c r="P701" s="33"/>
      <c r="Q701" s="4"/>
      <c r="R701" s="4"/>
      <c r="S701" s="4"/>
      <c r="T701" s="4"/>
      <c r="U701" s="4"/>
      <c r="V701" s="4"/>
      <c r="X701" s="4"/>
      <c r="Y701" s="4"/>
      <c r="AA701" s="4"/>
      <c r="AB701" s="4"/>
      <c r="AC701" s="4"/>
      <c r="AD701" s="20"/>
    </row>
    <row r="702" spans="14:30" x14ac:dyDescent="0.35">
      <c r="N702" s="9"/>
      <c r="P702" s="33"/>
      <c r="Q702" s="4"/>
      <c r="R702" s="4"/>
      <c r="S702" s="4"/>
      <c r="T702" s="4"/>
      <c r="U702" s="4"/>
      <c r="V702" s="4"/>
      <c r="X702" s="4"/>
      <c r="Y702" s="4"/>
      <c r="AA702" s="4"/>
      <c r="AB702" s="4"/>
      <c r="AC702" s="4"/>
      <c r="AD702" s="20"/>
    </row>
    <row r="703" spans="14:30" x14ac:dyDescent="0.35">
      <c r="N703" s="9"/>
      <c r="P703" s="33"/>
      <c r="Q703" s="4"/>
      <c r="R703" s="4"/>
      <c r="S703" s="4"/>
      <c r="T703" s="4"/>
      <c r="U703" s="4"/>
      <c r="V703" s="4"/>
      <c r="X703" s="4"/>
      <c r="Y703" s="4"/>
      <c r="AA703" s="4"/>
      <c r="AB703" s="4"/>
      <c r="AC703" s="4"/>
      <c r="AD703" s="20"/>
    </row>
    <row r="704" spans="14:30" x14ac:dyDescent="0.35">
      <c r="N704" s="9"/>
      <c r="P704" s="33"/>
      <c r="Q704" s="4"/>
      <c r="R704" s="4"/>
      <c r="S704" s="4"/>
      <c r="T704" s="4"/>
      <c r="U704" s="4"/>
      <c r="V704" s="4"/>
      <c r="X704" s="4"/>
      <c r="Y704" s="4"/>
      <c r="AA704" s="4"/>
      <c r="AB704" s="4"/>
      <c r="AC704" s="4"/>
      <c r="AD704" s="20"/>
    </row>
    <row r="705" spans="14:30" x14ac:dyDescent="0.35">
      <c r="N705" s="9"/>
      <c r="P705" s="33"/>
      <c r="Q705" s="4"/>
      <c r="R705" s="4"/>
      <c r="S705" s="4"/>
      <c r="T705" s="4"/>
      <c r="U705" s="4"/>
      <c r="V705" s="4"/>
      <c r="X705" s="4"/>
      <c r="Y705" s="4"/>
      <c r="AA705" s="4"/>
      <c r="AB705" s="4"/>
      <c r="AC705" s="4"/>
      <c r="AD705" s="20"/>
    </row>
    <row r="706" spans="14:30" x14ac:dyDescent="0.35">
      <c r="N706" s="9"/>
      <c r="P706" s="33"/>
      <c r="Q706" s="4"/>
      <c r="R706" s="4"/>
      <c r="S706" s="4"/>
      <c r="T706" s="4"/>
      <c r="U706" s="4"/>
      <c r="V706" s="4"/>
      <c r="X706" s="4"/>
      <c r="Y706" s="4"/>
      <c r="AA706" s="4"/>
      <c r="AB706" s="4"/>
      <c r="AC706" s="4"/>
      <c r="AD706" s="20"/>
    </row>
    <row r="707" spans="14:30" x14ac:dyDescent="0.35">
      <c r="N707" s="9"/>
      <c r="P707" s="33"/>
      <c r="Q707" s="4"/>
      <c r="R707" s="4"/>
      <c r="S707" s="4"/>
      <c r="T707" s="4"/>
      <c r="U707" s="4"/>
      <c r="V707" s="4"/>
      <c r="X707" s="4"/>
      <c r="Y707" s="4"/>
      <c r="AA707" s="4"/>
      <c r="AB707" s="4"/>
      <c r="AC707" s="4"/>
      <c r="AD707" s="20"/>
    </row>
    <row r="708" spans="14:30" x14ac:dyDescent="0.35">
      <c r="N708" s="9"/>
      <c r="P708" s="33"/>
      <c r="Q708" s="4"/>
      <c r="R708" s="4"/>
      <c r="S708" s="4"/>
      <c r="T708" s="4"/>
      <c r="U708" s="4"/>
      <c r="V708" s="4"/>
      <c r="X708" s="4"/>
      <c r="Y708" s="4"/>
      <c r="AA708" s="4"/>
      <c r="AB708" s="4"/>
      <c r="AC708" s="4"/>
      <c r="AD708" s="20"/>
    </row>
  </sheetData>
  <mergeCells count="46">
    <mergeCell ref="AF4:AR4"/>
    <mergeCell ref="BL16:BM16"/>
    <mergeCell ref="BI16:BK16"/>
    <mergeCell ref="BI17:BK17"/>
    <mergeCell ref="BI4:BK4"/>
    <mergeCell ref="BI5:BK5"/>
    <mergeCell ref="BF5:BH5"/>
    <mergeCell ref="AG5:AI5"/>
    <mergeCell ref="AJ5:AL5"/>
    <mergeCell ref="AM5:AO5"/>
    <mergeCell ref="AP5:AR5"/>
    <mergeCell ref="BC17:BE17"/>
    <mergeCell ref="BF16:BH16"/>
    <mergeCell ref="BF17:BH17"/>
    <mergeCell ref="AT17:AV17"/>
    <mergeCell ref="AW17:AY17"/>
    <mergeCell ref="A1:M1"/>
    <mergeCell ref="N1:X1"/>
    <mergeCell ref="P4:AE4"/>
    <mergeCell ref="BL5:BM5"/>
    <mergeCell ref="BL4:BM4"/>
    <mergeCell ref="AS4:BE4"/>
    <mergeCell ref="BF4:BH4"/>
    <mergeCell ref="Q5:S5"/>
    <mergeCell ref="T5:V5"/>
    <mergeCell ref="W5:Y5"/>
    <mergeCell ref="Z5:AB5"/>
    <mergeCell ref="AC5:AE5"/>
    <mergeCell ref="AT5:AV5"/>
    <mergeCell ref="AW5:AY5"/>
    <mergeCell ref="AZ5:BB5"/>
    <mergeCell ref="BC5:BE5"/>
    <mergeCell ref="E6:K6"/>
    <mergeCell ref="Q17:S17"/>
    <mergeCell ref="T17:V17"/>
    <mergeCell ref="W17:Y17"/>
    <mergeCell ref="P16:AE16"/>
    <mergeCell ref="Z17:AB17"/>
    <mergeCell ref="AC17:AE17"/>
    <mergeCell ref="AZ17:BB17"/>
    <mergeCell ref="AS16:BE16"/>
    <mergeCell ref="AF16:AR16"/>
    <mergeCell ref="AG17:AI17"/>
    <mergeCell ref="AJ17:AL17"/>
    <mergeCell ref="AM17:AO17"/>
    <mergeCell ref="AP17:AR17"/>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topLeftCell="A16" zoomScale="85" zoomScaleNormal="85" workbookViewId="0">
      <selection activeCell="K29" sqref="K29"/>
    </sheetView>
  </sheetViews>
  <sheetFormatPr defaultRowHeight="14.5" x14ac:dyDescent="0.35"/>
  <cols>
    <col min="1" max="1" width="26.90625" customWidth="1"/>
    <col min="2" max="2" width="25.54296875" customWidth="1"/>
    <col min="3" max="3" width="10.08984375" customWidth="1"/>
  </cols>
  <sheetData>
    <row r="1" spans="1:9" ht="28" x14ac:dyDescent="0.6">
      <c r="A1" s="213" t="s">
        <v>75</v>
      </c>
      <c r="B1" s="213"/>
      <c r="C1" s="213"/>
      <c r="D1" s="213"/>
      <c r="E1" s="213"/>
      <c r="F1" s="213"/>
      <c r="G1" s="213"/>
      <c r="H1" s="213"/>
      <c r="I1" s="213"/>
    </row>
    <row r="2" spans="1:9" x14ac:dyDescent="0.35">
      <c r="A2" s="5"/>
      <c r="B2" s="5" t="s">
        <v>16</v>
      </c>
      <c r="C2" s="6"/>
      <c r="D2" s="4"/>
      <c r="E2" s="5"/>
      <c r="F2" s="5"/>
      <c r="G2" s="5"/>
      <c r="H2" s="5"/>
      <c r="I2" s="5"/>
    </row>
    <row r="3" spans="1:9" x14ac:dyDescent="0.35">
      <c r="A3" s="5"/>
      <c r="B3" s="5" t="s">
        <v>17</v>
      </c>
      <c r="C3" s="7"/>
      <c r="D3" s="4"/>
      <c r="E3" s="5"/>
      <c r="F3" s="5"/>
      <c r="G3" s="5"/>
      <c r="H3" s="5"/>
      <c r="I3" s="5"/>
    </row>
    <row r="4" spans="1:9" x14ac:dyDescent="0.35">
      <c r="A4" s="5"/>
      <c r="B4" s="5" t="s">
        <v>18</v>
      </c>
      <c r="C4" s="8"/>
      <c r="D4" s="4"/>
      <c r="E4" s="5"/>
      <c r="F4" s="5"/>
      <c r="G4" s="5"/>
      <c r="H4" s="5"/>
      <c r="I4" s="5"/>
    </row>
    <row r="5" spans="1:9" x14ac:dyDescent="0.35">
      <c r="A5" s="9" t="s">
        <v>19</v>
      </c>
      <c r="B5" s="9" t="s">
        <v>20</v>
      </c>
      <c r="C5" s="9" t="s">
        <v>21</v>
      </c>
      <c r="D5" s="4"/>
      <c r="E5" s="214" t="s">
        <v>22</v>
      </c>
      <c r="F5" s="214"/>
      <c r="G5" s="214"/>
      <c r="H5" s="214"/>
      <c r="I5" s="9"/>
    </row>
    <row r="6" spans="1:9" x14ac:dyDescent="0.35">
      <c r="A6" s="9"/>
      <c r="B6" s="9"/>
      <c r="C6" s="9"/>
      <c r="D6" s="4"/>
      <c r="E6" s="5"/>
      <c r="F6" s="5"/>
      <c r="G6" s="5"/>
      <c r="H6" s="5"/>
      <c r="I6" s="9"/>
    </row>
    <row r="7" spans="1:9" x14ac:dyDescent="0.35">
      <c r="A7" s="9" t="s">
        <v>55</v>
      </c>
      <c r="B7" s="9"/>
      <c r="C7" s="9"/>
      <c r="D7" s="4"/>
      <c r="E7" s="5"/>
      <c r="F7" s="5"/>
      <c r="G7" s="5"/>
      <c r="H7" s="5"/>
      <c r="I7" s="9"/>
    </row>
    <row r="8" spans="1:9" x14ac:dyDescent="0.35">
      <c r="A8" s="9"/>
      <c r="B8" s="9"/>
      <c r="C8" s="9"/>
      <c r="D8" s="4"/>
      <c r="E8" s="5"/>
      <c r="F8" s="5"/>
      <c r="G8" s="5"/>
      <c r="H8" s="5"/>
      <c r="I8" s="9"/>
    </row>
    <row r="9" spans="1:9" x14ac:dyDescent="0.35">
      <c r="A9" t="s">
        <v>44</v>
      </c>
      <c r="B9" s="12">
        <v>0.8</v>
      </c>
      <c r="D9" t="s">
        <v>47</v>
      </c>
    </row>
    <row r="10" spans="1:9" x14ac:dyDescent="0.35">
      <c r="A10" t="s">
        <v>48</v>
      </c>
      <c r="B10" s="13">
        <f>(1-B9)/(2.2*10^6)</f>
        <v>9.0909090909090888E-8</v>
      </c>
      <c r="C10" t="s">
        <v>51</v>
      </c>
      <c r="D10" t="s">
        <v>54</v>
      </c>
    </row>
    <row r="11" spans="1:9" x14ac:dyDescent="0.35">
      <c r="A11" t="s">
        <v>45</v>
      </c>
      <c r="B11" s="12">
        <v>0.85</v>
      </c>
      <c r="D11" t="s">
        <v>47</v>
      </c>
    </row>
    <row r="12" spans="1:9" x14ac:dyDescent="0.35">
      <c r="A12" t="s">
        <v>49</v>
      </c>
      <c r="B12" s="13">
        <f>(1-B11)/(2.2*10^6)</f>
        <v>6.8181818181818186E-8</v>
      </c>
      <c r="C12" t="s">
        <v>51</v>
      </c>
      <c r="D12" t="s">
        <v>53</v>
      </c>
    </row>
    <row r="13" spans="1:9" x14ac:dyDescent="0.35">
      <c r="A13" t="s">
        <v>46</v>
      </c>
      <c r="B13" s="12">
        <v>0.9</v>
      </c>
      <c r="D13" t="s">
        <v>47</v>
      </c>
    </row>
    <row r="14" spans="1:9" x14ac:dyDescent="0.35">
      <c r="A14" t="s">
        <v>50</v>
      </c>
      <c r="B14" s="13">
        <f>(1-B13)/(2.2*10^6)</f>
        <v>4.5454545454545444E-8</v>
      </c>
      <c r="C14" t="s">
        <v>51</v>
      </c>
      <c r="D14" t="s">
        <v>52</v>
      </c>
    </row>
    <row r="16" spans="1:9" x14ac:dyDescent="0.35">
      <c r="A16" t="s">
        <v>56</v>
      </c>
      <c r="B16" s="12">
        <v>0.9</v>
      </c>
      <c r="D16" t="s">
        <v>62</v>
      </c>
    </row>
    <row r="17" spans="1:8" x14ac:dyDescent="0.35">
      <c r="A17" t="s">
        <v>57</v>
      </c>
      <c r="B17" s="12">
        <v>0.93</v>
      </c>
      <c r="D17" t="s">
        <v>59</v>
      </c>
    </row>
    <row r="18" spans="1:8" x14ac:dyDescent="0.35">
      <c r="A18" t="s">
        <v>58</v>
      </c>
      <c r="B18" s="12">
        <v>0.96</v>
      </c>
      <c r="D18" t="s">
        <v>63</v>
      </c>
    </row>
    <row r="19" spans="1:8" x14ac:dyDescent="0.35">
      <c r="B19">
        <f>IF(((1-D_limit_min)/Constants!B12)&lt;Fsw,2,1)</f>
        <v>1</v>
      </c>
      <c r="D19" t="s">
        <v>438</v>
      </c>
    </row>
    <row r="20" spans="1:8" x14ac:dyDescent="0.35">
      <c r="A20" t="s">
        <v>73</v>
      </c>
      <c r="B20" s="1">
        <f>CHOOSE(B19,D_limit_min,(1-Constants!B10*Fsw))</f>
        <v>0.9</v>
      </c>
      <c r="D20" t="s">
        <v>74</v>
      </c>
    </row>
    <row r="22" spans="1:8" x14ac:dyDescent="0.35">
      <c r="A22" t="s">
        <v>80</v>
      </c>
      <c r="B22" s="12">
        <f>50*10^-9</f>
        <v>5.0000000000000004E-8</v>
      </c>
      <c r="C22" t="s">
        <v>51</v>
      </c>
      <c r="D22" t="s">
        <v>81</v>
      </c>
    </row>
    <row r="24" spans="1:8" x14ac:dyDescent="0.35">
      <c r="A24" t="s">
        <v>590</v>
      </c>
      <c r="B24" s="12">
        <f>20*10^-9</f>
        <v>2E-8</v>
      </c>
      <c r="C24" t="s">
        <v>51</v>
      </c>
      <c r="D24" t="s">
        <v>589</v>
      </c>
    </row>
    <row r="25" spans="1:8" ht="15.5" x14ac:dyDescent="0.35">
      <c r="A25" s="27" t="s">
        <v>141</v>
      </c>
    </row>
    <row r="26" spans="1:8" x14ac:dyDescent="0.35">
      <c r="A26" t="s">
        <v>127</v>
      </c>
      <c r="B26" s="12">
        <f>30*10^-6</f>
        <v>2.9999999999999997E-5</v>
      </c>
      <c r="C26" t="s">
        <v>11</v>
      </c>
      <c r="D26" t="s">
        <v>128</v>
      </c>
    </row>
    <row r="27" spans="1:8" x14ac:dyDescent="0.35">
      <c r="A27" t="s">
        <v>129</v>
      </c>
      <c r="B27" s="12">
        <v>3000</v>
      </c>
      <c r="C27" s="2" t="s">
        <v>36</v>
      </c>
      <c r="D27" t="s">
        <v>130</v>
      </c>
      <c r="H27" s="31"/>
    </row>
    <row r="28" spans="1:8" x14ac:dyDescent="0.35">
      <c r="A28" t="s">
        <v>491</v>
      </c>
      <c r="B28" s="12">
        <v>4.4999999999999998E-2</v>
      </c>
      <c r="C28" s="2"/>
    </row>
    <row r="29" spans="1:8" x14ac:dyDescent="0.35">
      <c r="C29" s="2"/>
    </row>
    <row r="30" spans="1:8" x14ac:dyDescent="0.35">
      <c r="A30" t="s">
        <v>132</v>
      </c>
      <c r="B30" s="12">
        <v>0.06</v>
      </c>
      <c r="C30" s="2" t="s">
        <v>10</v>
      </c>
      <c r="D30" t="s">
        <v>133</v>
      </c>
    </row>
    <row r="32" spans="1:8" x14ac:dyDescent="0.35">
      <c r="A32" t="s">
        <v>201</v>
      </c>
      <c r="B32" s="12">
        <v>1</v>
      </c>
      <c r="C32" t="s">
        <v>150</v>
      </c>
      <c r="D32" t="s">
        <v>203</v>
      </c>
    </row>
    <row r="33" spans="1:4" x14ac:dyDescent="0.35">
      <c r="A33" t="s">
        <v>205</v>
      </c>
      <c r="B33" s="12">
        <v>10</v>
      </c>
      <c r="C33" t="s">
        <v>150</v>
      </c>
      <c r="D33" t="s">
        <v>206</v>
      </c>
    </row>
    <row r="35" spans="1:4" x14ac:dyDescent="0.35">
      <c r="A35" s="31" t="s">
        <v>225</v>
      </c>
    </row>
    <row r="36" spans="1:4" x14ac:dyDescent="0.35">
      <c r="A36" t="s">
        <v>244</v>
      </c>
      <c r="B36">
        <v>1</v>
      </c>
      <c r="C36" t="s">
        <v>10</v>
      </c>
      <c r="D36" t="s">
        <v>245</v>
      </c>
    </row>
    <row r="37" spans="1:4" x14ac:dyDescent="0.35">
      <c r="A37" t="s">
        <v>228</v>
      </c>
      <c r="B37">
        <f>(1*10^-3)/1</f>
        <v>1E-3</v>
      </c>
      <c r="C37" t="s">
        <v>230</v>
      </c>
      <c r="D37" t="s">
        <v>229</v>
      </c>
    </row>
    <row r="38" spans="1:4" x14ac:dyDescent="0.35">
      <c r="A38" t="s">
        <v>552</v>
      </c>
      <c r="B38">
        <v>20</v>
      </c>
      <c r="C38" t="s">
        <v>150</v>
      </c>
    </row>
    <row r="39" spans="1:4" x14ac:dyDescent="0.35">
      <c r="A39" t="s">
        <v>553</v>
      </c>
      <c r="B39">
        <v>60</v>
      </c>
      <c r="C39" t="s">
        <v>150</v>
      </c>
    </row>
    <row r="40" spans="1:4" x14ac:dyDescent="0.35">
      <c r="A40" t="s">
        <v>554</v>
      </c>
      <c r="B40">
        <v>100000</v>
      </c>
      <c r="C40" t="s">
        <v>469</v>
      </c>
    </row>
    <row r="41" spans="1:4" x14ac:dyDescent="0.35">
      <c r="A41" t="s">
        <v>555</v>
      </c>
      <c r="B41">
        <v>35000</v>
      </c>
      <c r="C41" t="s">
        <v>469</v>
      </c>
    </row>
    <row r="42" spans="1:4" x14ac:dyDescent="0.35">
      <c r="A42" t="s">
        <v>556</v>
      </c>
      <c r="B42">
        <v>75000</v>
      </c>
      <c r="C42" t="s">
        <v>469</v>
      </c>
    </row>
    <row r="43" spans="1:4" x14ac:dyDescent="0.35">
      <c r="A43" t="s">
        <v>557</v>
      </c>
      <c r="B43">
        <v>20000</v>
      </c>
      <c r="C43" t="s">
        <v>469</v>
      </c>
    </row>
    <row r="46" spans="1:4" x14ac:dyDescent="0.35">
      <c r="A46" s="31" t="s">
        <v>277</v>
      </c>
    </row>
    <row r="47" spans="1:4" x14ac:dyDescent="0.35">
      <c r="A47" t="s">
        <v>278</v>
      </c>
      <c r="B47">
        <f>20*10^-6</f>
        <v>1.9999999999999998E-5</v>
      </c>
      <c r="C47" t="s">
        <v>11</v>
      </c>
      <c r="D47" t="s">
        <v>279</v>
      </c>
    </row>
    <row r="49" spans="1:10" x14ac:dyDescent="0.35">
      <c r="A49" s="31" t="s">
        <v>297</v>
      </c>
    </row>
    <row r="50" spans="1:10" x14ac:dyDescent="0.35">
      <c r="A50" t="s">
        <v>298</v>
      </c>
      <c r="B50">
        <v>1.1000000000000001</v>
      </c>
      <c r="C50" t="s">
        <v>10</v>
      </c>
      <c r="D50" t="s">
        <v>301</v>
      </c>
      <c r="J50" s="31"/>
    </row>
    <row r="51" spans="1:10" x14ac:dyDescent="0.35">
      <c r="A51" t="s">
        <v>299</v>
      </c>
      <c r="B51">
        <v>1.075</v>
      </c>
      <c r="C51" t="s">
        <v>10</v>
      </c>
      <c r="D51" t="s">
        <v>300</v>
      </c>
      <c r="J51" s="31"/>
    </row>
    <row r="52" spans="1:10" x14ac:dyDescent="0.35">
      <c r="A52" t="s">
        <v>304</v>
      </c>
      <c r="B52">
        <f>10*10^-6</f>
        <v>9.9999999999999991E-6</v>
      </c>
      <c r="C52" t="s">
        <v>11</v>
      </c>
      <c r="D52" t="s">
        <v>305</v>
      </c>
      <c r="J52" s="31"/>
    </row>
    <row r="54" spans="1:10" x14ac:dyDescent="0.35">
      <c r="A54" s="31" t="s">
        <v>355</v>
      </c>
    </row>
    <row r="55" spans="1:10" x14ac:dyDescent="0.35">
      <c r="A55" t="s">
        <v>356</v>
      </c>
      <c r="B55">
        <v>5</v>
      </c>
      <c r="C55" t="s">
        <v>10</v>
      </c>
      <c r="D55" t="s">
        <v>357</v>
      </c>
    </row>
    <row r="57" spans="1:10" x14ac:dyDescent="0.35">
      <c r="A57" s="31" t="s">
        <v>373</v>
      </c>
    </row>
    <row r="58" spans="1:10" x14ac:dyDescent="0.35">
      <c r="A58" t="s">
        <v>374</v>
      </c>
      <c r="B58">
        <f>3.3*(10^-6)</f>
        <v>3.2999999999999997E-6</v>
      </c>
      <c r="C58" t="s">
        <v>11</v>
      </c>
      <c r="D58" t="s">
        <v>375</v>
      </c>
    </row>
    <row r="60" spans="1:10" x14ac:dyDescent="0.35">
      <c r="A60" t="s">
        <v>409</v>
      </c>
    </row>
    <row r="61" spans="1:10" x14ac:dyDescent="0.35">
      <c r="A61" t="s">
        <v>410</v>
      </c>
      <c r="B61">
        <v>1.5</v>
      </c>
      <c r="C61" t="s">
        <v>10</v>
      </c>
      <c r="D61" t="s">
        <v>411</v>
      </c>
    </row>
    <row r="62" spans="1:10" x14ac:dyDescent="0.35">
      <c r="A62" t="s">
        <v>413</v>
      </c>
      <c r="B62">
        <v>45</v>
      </c>
      <c r="D62" t="s">
        <v>412</v>
      </c>
    </row>
  </sheetData>
  <mergeCells count="2">
    <mergeCell ref="A1:I1"/>
    <mergeCell ref="E5:H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B3"/>
  <sheetViews>
    <sheetView topLeftCell="B1" zoomScale="70" zoomScaleNormal="70" workbookViewId="0">
      <selection activeCell="P22" sqref="P22"/>
    </sheetView>
  </sheetViews>
  <sheetFormatPr defaultRowHeight="14.5" x14ac:dyDescent="0.35"/>
  <cols>
    <col min="3" max="3" width="144.90625" customWidth="1"/>
  </cols>
  <sheetData>
    <row r="2" spans="2:2" x14ac:dyDescent="0.35">
      <c r="B2" t="str">
        <f>"Eff_vs_IOUT"</f>
        <v>Eff_vs_IOUT</v>
      </c>
    </row>
    <row r="3" spans="2:2" ht="379.65" customHeight="1"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7"/>
  <sheetViews>
    <sheetView topLeftCell="A4" workbookViewId="0">
      <selection activeCell="B7" sqref="B7"/>
    </sheetView>
  </sheetViews>
  <sheetFormatPr defaultRowHeight="14.5" x14ac:dyDescent="0.35"/>
  <cols>
    <col min="1" max="1" width="27.1796875" customWidth="1"/>
    <col min="2" max="2" width="77.08984375" customWidth="1"/>
  </cols>
  <sheetData>
    <row r="1" spans="1:8" x14ac:dyDescent="0.35">
      <c r="A1" s="111" t="str">
        <f>IF('Design Converter'!H12= "SKIP", "SCH_1", IF('Design Converter'!H12 = "DEM", "SCH_2", IF('Design Converter'!H12 = "FPWM","SCH_3", "")))</f>
        <v>SCH_2</v>
      </c>
      <c r="F1" t="s">
        <v>604</v>
      </c>
      <c r="G1" t="s">
        <v>605</v>
      </c>
      <c r="H1" t="s">
        <v>606</v>
      </c>
    </row>
    <row r="2" spans="1:8" ht="214.75" customHeight="1" x14ac:dyDescent="0.35">
      <c r="B2" t="s">
        <v>603</v>
      </c>
    </row>
    <row r="5" spans="1:8" ht="214.25" customHeight="1" x14ac:dyDescent="0.35"/>
    <row r="6" spans="1:8" ht="15" customHeight="1" x14ac:dyDescent="0.35"/>
    <row r="7" spans="1:8" ht="213.65" customHeight="1" x14ac:dyDescent="0.35"/>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10242" r:id="rId4">
          <objectPr defaultSize="0" r:id="rId5">
            <anchor moveWithCells="1">
              <from>
                <xdr:col>1</xdr:col>
                <xdr:colOff>0</xdr:colOff>
                <xdr:row>1</xdr:row>
                <xdr:rowOff>0</xdr:rowOff>
              </from>
              <to>
                <xdr:col>2</xdr:col>
                <xdr:colOff>31750</xdr:colOff>
                <xdr:row>2</xdr:row>
                <xdr:rowOff>0</xdr:rowOff>
              </to>
            </anchor>
          </objectPr>
        </oleObject>
      </mc:Choice>
      <mc:Fallback>
        <oleObject progId="Visio.Drawing.15" shapeId="10242" r:id="rId4"/>
      </mc:Fallback>
    </mc:AlternateContent>
    <mc:AlternateContent xmlns:mc="http://schemas.openxmlformats.org/markup-compatibility/2006">
      <mc:Choice Requires="x14">
        <oleObject progId="Visio.Drawing.15" shapeId="10243" r:id="rId6">
          <objectPr defaultSize="0" r:id="rId7">
            <anchor moveWithCells="1">
              <from>
                <xdr:col>1</xdr:col>
                <xdr:colOff>0</xdr:colOff>
                <xdr:row>4</xdr:row>
                <xdr:rowOff>0</xdr:rowOff>
              </from>
              <to>
                <xdr:col>2</xdr:col>
                <xdr:colOff>31750</xdr:colOff>
                <xdr:row>5</xdr:row>
                <xdr:rowOff>6350</xdr:rowOff>
              </to>
            </anchor>
          </objectPr>
        </oleObject>
      </mc:Choice>
      <mc:Fallback>
        <oleObject progId="Visio.Drawing.15" shapeId="10243" r:id="rId6"/>
      </mc:Fallback>
    </mc:AlternateContent>
    <mc:AlternateContent xmlns:mc="http://schemas.openxmlformats.org/markup-compatibility/2006">
      <mc:Choice Requires="x14">
        <oleObject progId="Visio.Drawing.15" shapeId="10246" r:id="rId8">
          <objectPr defaultSize="0" r:id="rId9">
            <anchor moveWithCells="1">
              <from>
                <xdr:col>1</xdr:col>
                <xdr:colOff>0</xdr:colOff>
                <xdr:row>6</xdr:row>
                <xdr:rowOff>0</xdr:rowOff>
              </from>
              <to>
                <xdr:col>2</xdr:col>
                <xdr:colOff>31750</xdr:colOff>
                <xdr:row>7</xdr:row>
                <xdr:rowOff>6350</xdr:rowOff>
              </to>
            </anchor>
          </objectPr>
        </oleObject>
      </mc:Choice>
      <mc:Fallback>
        <oleObject progId="Visio.Drawing.15" shapeId="10246" r:id="rId8"/>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F5"/>
  <sheetViews>
    <sheetView workbookViewId="0">
      <selection activeCell="F3" sqref="F3"/>
    </sheetView>
  </sheetViews>
  <sheetFormatPr defaultRowHeight="14.5" x14ac:dyDescent="0.35"/>
  <sheetData>
    <row r="2" spans="1:6" x14ac:dyDescent="0.35">
      <c r="A2" t="s">
        <v>389</v>
      </c>
    </row>
    <row r="3" spans="1:6" x14ac:dyDescent="0.35">
      <c r="B3">
        <f>VIN_min</f>
        <v>3</v>
      </c>
      <c r="F3" t="str">
        <f>"SKIP"</f>
        <v>SKIP</v>
      </c>
    </row>
    <row r="4" spans="1:6" x14ac:dyDescent="0.35">
      <c r="B4">
        <f>VIN_nom</f>
        <v>5</v>
      </c>
      <c r="D4">
        <v>2.5</v>
      </c>
      <c r="F4" t="str">
        <f>"DEM"</f>
        <v>DEM</v>
      </c>
    </row>
    <row r="5" spans="1:6" x14ac:dyDescent="0.35">
      <c r="B5">
        <f>VIN_max</f>
        <v>48</v>
      </c>
      <c r="F5" t="str">
        <f>"FPWM"</f>
        <v>FPWM</v>
      </c>
    </row>
  </sheetData>
  <dataValidations count="3">
    <dataValidation type="list" allowBlank="1" showInputMessage="1" showErrorMessage="1" sqref="D4" xr:uid="{00000000-0002-0000-0700-000000000000}">
      <formula1>$B$3:$B$5</formula1>
    </dataValidation>
    <dataValidation type="decimal" allowBlank="1" showInputMessage="1" showErrorMessage="1" sqref="F4" xr:uid="{00000000-0002-0000-0700-000001000000}">
      <formula1>B3</formula1>
      <formula2>B5</formula2>
    </dataValidation>
    <dataValidation type="list" showDropDown="1" showInputMessage="1" showErrorMessage="1" sqref="I15" xr:uid="{00000000-0002-0000-0700-000002000000}">
      <formula1>$B$3:$B$5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workbookViewId="0">
      <selection activeCell="C31" sqref="C31"/>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155</vt:i4>
      </vt:variant>
    </vt:vector>
  </HeadingPairs>
  <TitlesOfParts>
    <vt:vector size="164" baseType="lpstr">
      <vt:lpstr>Design Converter</vt:lpstr>
      <vt:lpstr>Variable_Management</vt:lpstr>
      <vt:lpstr>Eff_vs_IOUT</vt:lpstr>
      <vt:lpstr>Loop_Modeling</vt:lpstr>
      <vt:lpstr>Constants</vt:lpstr>
      <vt:lpstr>Plot_Management_Eff</vt:lpstr>
      <vt:lpstr>Plot_Management_Sch</vt:lpstr>
      <vt:lpstr>Lists</vt:lpstr>
      <vt:lpstr>Sheet1</vt:lpstr>
      <vt:lpstr>Acs</vt:lpstr>
      <vt:lpstr>Adc</vt:lpstr>
      <vt:lpstr>Adc_ea</vt:lpstr>
      <vt:lpstr>ADC_VINmin</vt:lpstr>
      <vt:lpstr>'Design Converter'!Area_stampa</vt:lpstr>
      <vt:lpstr>CCOMP</vt:lpstr>
      <vt:lpstr>CCOMP_Calc</vt:lpstr>
      <vt:lpstr>CCOMP_calc_CCM</vt:lpstr>
      <vt:lpstr>CCOMP_CALC_DCM</vt:lpstr>
      <vt:lpstr>CHF</vt:lpstr>
      <vt:lpstr>CHF_calc</vt:lpstr>
      <vt:lpstr>CHF_CALC_CCM</vt:lpstr>
      <vt:lpstr>CHF_CALC_DCM</vt:lpstr>
      <vt:lpstr>Comp_calc_CCM</vt:lpstr>
      <vt:lpstr>Cout</vt:lpstr>
      <vt:lpstr>Cout_min</vt:lpstr>
      <vt:lpstr>D_limit_max</vt:lpstr>
      <vt:lpstr>D_limit_min</vt:lpstr>
      <vt:lpstr>D_limit_nom</vt:lpstr>
      <vt:lpstr>DC_DCM_max</vt:lpstr>
      <vt:lpstr>Dc_max_IC</vt:lpstr>
      <vt:lpstr>Dc_max_ideal</vt:lpstr>
      <vt:lpstr>DC_rip</vt:lpstr>
      <vt:lpstr>Dc_rip_max</vt:lpstr>
      <vt:lpstr>Dc_VIN_max</vt:lpstr>
      <vt:lpstr>Dc_VIN_min</vt:lpstr>
      <vt:lpstr>Dc_VIN_nom</vt:lpstr>
      <vt:lpstr>DC_VIN_var_DCM</vt:lpstr>
      <vt:lpstr>EFF_est</vt:lpstr>
      <vt:lpstr>Eff_vs_IOUT</vt:lpstr>
      <vt:lpstr>fcross</vt:lpstr>
      <vt:lpstr>fcross_est</vt:lpstr>
      <vt:lpstr>fp_ea_est</vt:lpstr>
      <vt:lpstr>Fsw</vt:lpstr>
      <vt:lpstr>fz_ea_est</vt:lpstr>
      <vt:lpstr>fz_rhp</vt:lpstr>
      <vt:lpstr>Gcomp</vt:lpstr>
      <vt:lpstr>gfs</vt:lpstr>
      <vt:lpstr>gm_ea</vt:lpstr>
      <vt:lpstr>Gplant_fc_dB</vt:lpstr>
      <vt:lpstr>IIN_33</vt:lpstr>
      <vt:lpstr>IL_avg_VIN_max</vt:lpstr>
      <vt:lpstr>IL_avg_VIN_min</vt:lpstr>
      <vt:lpstr>IL_avg_VIN_nom</vt:lpstr>
      <vt:lpstr>IL_pk</vt:lpstr>
      <vt:lpstr>IL_pk_max</vt:lpstr>
      <vt:lpstr>ILp_VINmax</vt:lpstr>
      <vt:lpstr>ILp_VINmin</vt:lpstr>
      <vt:lpstr>ILp_VINnom</vt:lpstr>
      <vt:lpstr>ILrip</vt:lpstr>
      <vt:lpstr>ILrip_VINmax</vt:lpstr>
      <vt:lpstr>ILrip_VINmin</vt:lpstr>
      <vt:lpstr>ILrip_VINnom</vt:lpstr>
      <vt:lpstr>IOUT</vt:lpstr>
      <vt:lpstr>IOUT_VAR</vt:lpstr>
      <vt:lpstr>Ipk_margin</vt:lpstr>
      <vt:lpstr>Ipk_selected</vt:lpstr>
      <vt:lpstr>IQ</vt:lpstr>
      <vt:lpstr>IRMS_COUT</vt:lpstr>
      <vt:lpstr>Isl</vt:lpstr>
      <vt:lpstr>Iss</vt:lpstr>
      <vt:lpstr>Kd</vt:lpstr>
      <vt:lpstr>Kd_VINmin</vt:lpstr>
      <vt:lpstr>Kex</vt:lpstr>
      <vt:lpstr>Kex_VINmin</vt:lpstr>
      <vt:lpstr>Kfb</vt:lpstr>
      <vt:lpstr>Kfb_high</vt:lpstr>
      <vt:lpstr>Kfb_low</vt:lpstr>
      <vt:lpstr>Km</vt:lpstr>
      <vt:lpstr>Km_VINmin</vt:lpstr>
      <vt:lpstr>Lm</vt:lpstr>
      <vt:lpstr>Lopt_2</vt:lpstr>
      <vt:lpstr>M_L_DCM</vt:lpstr>
      <vt:lpstr>Np</vt:lpstr>
      <vt:lpstr>POUT</vt:lpstr>
      <vt:lpstr>Q</vt:lpstr>
      <vt:lpstr>Q_VINmin</vt:lpstr>
      <vt:lpstr>Qg_tot</vt:lpstr>
      <vt:lpstr>Qg_tot_HS</vt:lpstr>
      <vt:lpstr>Qgd</vt:lpstr>
      <vt:lpstr>Qgs</vt:lpstr>
      <vt:lpstr>Qrr</vt:lpstr>
      <vt:lpstr>R_cs</vt:lpstr>
      <vt:lpstr>R_sl</vt:lpstr>
      <vt:lpstr>RCOMP</vt:lpstr>
      <vt:lpstr>RCOMP_Calc</vt:lpstr>
      <vt:lpstr>Rcomp_calc_CCM</vt:lpstr>
      <vt:lpstr>RCOMP_CALC_DCM</vt:lpstr>
      <vt:lpstr>Rcs_max</vt:lpstr>
      <vt:lpstr>Rcs_wo_sl</vt:lpstr>
      <vt:lpstr>Rdcr</vt:lpstr>
      <vt:lpstr>RDS_on</vt:lpstr>
      <vt:lpstr>RDS_on_HS</vt:lpstr>
      <vt:lpstr>Resr</vt:lpstr>
      <vt:lpstr>RFBB</vt:lpstr>
      <vt:lpstr>RFBB_calc</vt:lpstr>
      <vt:lpstr>RFBT</vt:lpstr>
      <vt:lpstr>Rgate</vt:lpstr>
      <vt:lpstr>Rmax</vt:lpstr>
      <vt:lpstr>Rmax_high</vt:lpstr>
      <vt:lpstr>Rmax_low</vt:lpstr>
      <vt:lpstr>Rmin</vt:lpstr>
      <vt:lpstr>Rmin_high</vt:lpstr>
      <vt:lpstr>Rmin_low</vt:lpstr>
      <vt:lpstr>ROUT</vt:lpstr>
      <vt:lpstr>Rsl_int</vt:lpstr>
      <vt:lpstr>RT</vt:lpstr>
      <vt:lpstr>Ruvlo_bottom_calc</vt:lpstr>
      <vt:lpstr>Ruvlo_top</vt:lpstr>
      <vt:lpstr>Ruvlo_top_calc</vt:lpstr>
      <vt:lpstr>SCH_1</vt:lpstr>
      <vt:lpstr>SCH_2</vt:lpstr>
      <vt:lpstr>SCH_3</vt:lpstr>
      <vt:lpstr>Se_VINmin</vt:lpstr>
      <vt:lpstr>Sn_VINmin</vt:lpstr>
      <vt:lpstr>t_dead</vt:lpstr>
      <vt:lpstr>tf_sw</vt:lpstr>
      <vt:lpstr>tr_sw</vt:lpstr>
      <vt:lpstr>tss</vt:lpstr>
      <vt:lpstr>UV_fall</vt:lpstr>
      <vt:lpstr>UV_I_hyst</vt:lpstr>
      <vt:lpstr>UV_rise</vt:lpstr>
      <vt:lpstr>Vcc</vt:lpstr>
      <vt:lpstr>Vcl</vt:lpstr>
      <vt:lpstr>Vd_rect</vt:lpstr>
      <vt:lpstr>VIN_33</vt:lpstr>
      <vt:lpstr>VIN_max</vt:lpstr>
      <vt:lpstr>VIN_min</vt:lpstr>
      <vt:lpstr>VIN_nom</vt:lpstr>
      <vt:lpstr>VIN_op_max</vt:lpstr>
      <vt:lpstr>VIN_op_min</vt:lpstr>
      <vt:lpstr>VIN_var</vt:lpstr>
      <vt:lpstr>VOUT</vt:lpstr>
      <vt:lpstr>VOUT_range</vt:lpstr>
      <vt:lpstr>Vout_rip_sel</vt:lpstr>
      <vt:lpstr>Vref</vt:lpstr>
      <vt:lpstr>Vsl</vt:lpstr>
      <vt:lpstr>Vth</vt:lpstr>
      <vt:lpstr>VTRK</vt:lpstr>
      <vt:lpstr>Vuvlo_off</vt:lpstr>
      <vt:lpstr>Vuvlo_on</vt:lpstr>
      <vt:lpstr>wp_lf</vt:lpstr>
      <vt:lpstr>wp_lf_DCM</vt:lpstr>
      <vt:lpstr>wp_lf_VINmin</vt:lpstr>
      <vt:lpstr>wp0_ea</vt:lpstr>
      <vt:lpstr>wp1_ea</vt:lpstr>
      <vt:lpstr>wsl</vt:lpstr>
      <vt:lpstr>wsl_VINmin</vt:lpstr>
      <vt:lpstr>wz_ea</vt:lpstr>
      <vt:lpstr>wz_esr</vt:lpstr>
      <vt:lpstr>wz_esr_VINmin</vt:lpstr>
      <vt:lpstr>wz_rhp</vt:lpstr>
      <vt:lpstr>wz_RHP_VINmin</vt:lpstr>
      <vt:lpstr>wz1_dcm</vt:lpstr>
      <vt:lpstr>wz2_dcm</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BMC-BCS</dc:creator>
  <cp:lastModifiedBy>Angelo Ruotolo</cp:lastModifiedBy>
  <cp:lastPrinted>2018-08-09T07:13:51Z</cp:lastPrinted>
  <dcterms:created xsi:type="dcterms:W3CDTF">2018-06-26T09:13:29Z</dcterms:created>
  <dcterms:modified xsi:type="dcterms:W3CDTF">2025-12-11T16:42:14Z</dcterms:modified>
</cp:coreProperties>
</file>