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20131520\Desktop\"/>
    </mc:Choice>
  </mc:AlternateContent>
  <bookViews>
    <workbookView xWindow="0" yWindow="0" windowWidth="19200" windowHeight="10410"/>
  </bookViews>
  <sheets>
    <sheet name="Buck Regulator_5V-3A" sheetId="1" r:id="rId1"/>
    <sheet name="Bill of Materials" sheetId="4" r:id="rId2"/>
  </sheets>
  <externalReferences>
    <externalReference r:id="rId3"/>
    <externalReference r:id="rId4"/>
    <externalReference r:id="rId5"/>
  </externalReferences>
  <definedNames>
    <definedName name="_1_Dmin">'[1]LM25118 High level Calculation'!#REF!</definedName>
    <definedName name="_xlnm._FilterDatabase" localSheetId="1" hidden="1">'Bill of Materials'!$A$8:$Q$9</definedName>
    <definedName name="_Rfb1">'[1]LM25118 High level Calculation'!$E$64</definedName>
    <definedName name="_Rfb2">'[1]LM25118 High level Calculation'!$E$65</definedName>
    <definedName name="_Ruv1">'[1]LM25118 High level Calculation'!$E$90</definedName>
    <definedName name="_Ruv2">'[1]LM25118 High level Calculation'!$E$92</definedName>
    <definedName name="A">10</definedName>
    <definedName name="BuckBoostMode">'[1]LM25118 High level Calculation'!$E$13</definedName>
    <definedName name="BuckMode">'[1]LM25118 High level Calculation'!$E$12</definedName>
    <definedName name="Chb">'[1]LM25118 High level Calculation'!$E$70</definedName>
    <definedName name="Cin">'[1]LM25118 High level Calculation'!$E$61</definedName>
    <definedName name="Cout">'[1]LM25118 High level Calculation'!$E$52</definedName>
    <definedName name="Coutesr">'[1]LM25118 High level Calculation'!$E$51</definedName>
    <definedName name="Cpole">'[1]LM25118 High level Calculation'!$E$81</definedName>
    <definedName name="Cr">'[1]LM25118 High level Calculation'!$E$95</definedName>
    <definedName name="Cramp">'[1]LM25118 High level Calculation'!$E$43</definedName>
    <definedName name="Css">'[1]LM25118 High level Calculation'!$E$86</definedName>
    <definedName name="Cvcc">'[1]LM25118 High level Calculation'!$E$71</definedName>
    <definedName name="Czero">'[1]LM25118 High level Calculation'!$E$82</definedName>
    <definedName name="DeltaVout">'[1]LM25118 High level Calculation'!$E$47</definedName>
    <definedName name="Dmax_Buck">IF(Vinmin&gt;BuckMode, Vout/Vinmin,Vout/BuckMode)</definedName>
    <definedName name="Dmax_BuckBoost">Vout/(Vinmin+Vout)</definedName>
    <definedName name="DMaximumAll">IF(Dmax_Buck&gt;Dmax_BuckBoost,Dmax_Buck,Dmax_BuckBoost)</definedName>
    <definedName name="Dmin">Vout/(Vinmin+Vout)</definedName>
    <definedName name="Dominate_Pole">(1+Dmin)*1000000/(Rout*Cout*2*3.14)</definedName>
    <definedName name="Dpole">(1+Dmin)*1000000/(Rout*Cout*2*3.14)</definedName>
    <definedName name="Dviolate">1-'[1]LM25118 High level Calculation'!$E$19*400*10^-6</definedName>
    <definedName name="ErrorAmpGain_Cross">-'[1]LM25118 High level Calculation'!$E$77</definedName>
    <definedName name="Fmax">(1-DMaximumAll)/(400*10^-6)</definedName>
    <definedName name="Fsw">'[1]LM25118 High level Calculation'!$E$19</definedName>
    <definedName name="Gmmod">1/(Rs*A)</definedName>
    <definedName name="Ilimit">'[2]LM5116 Calculator'!$E$12</definedName>
    <definedName name="Iout">'[1]LM25118 High level Calculation'!$E$9</definedName>
    <definedName name="IpeakBB">'[1]LM25118 High level Calculation'!$E$32</definedName>
    <definedName name="IrippleBB">'[1]LM25118 High level Calculation'!$E$30</definedName>
    <definedName name="IrippleBuck">'[1]LM25118 High level Calculation'!$E$28</definedName>
    <definedName name="L">'[1]LM25118 High level Calculation'!$E$25</definedName>
    <definedName name="ModCrossFreq">(Dpole/1000)*SQRT((Rout*Vinmin/10*Rs/1000*(Vinmin+2*Vout)))^2-1</definedName>
    <definedName name="_xlnm.Print_Area" localSheetId="1">'Bill of Materials'!$A$1:$K$27</definedName>
    <definedName name="_xlnm.Print_Area" localSheetId="0">'Buck Regulator_5V-3A'!$B$1:$G$249</definedName>
    <definedName name="Rcomp">'[1]LM25118 High level Calculation'!$E$80</definedName>
    <definedName name="Ripple">'[1]LM25118 High level Calculation'!$E$10</definedName>
    <definedName name="RLmin">Vout/Ilimit</definedName>
    <definedName name="Rout">Vout/Iout</definedName>
    <definedName name="Rramp">'[1]LM25118 High level Calculation'!$E$44</definedName>
    <definedName name="Rs">'[1]LM25118 High level Calculation'!$E$36</definedName>
    <definedName name="Rt">'[1]LM25118 High level Calculation'!$E$20</definedName>
    <definedName name="UVLOdesired">'[3]LM5116 Calculator'!$E$34</definedName>
    <definedName name="Vin_nominal">'[1]LM25118 High level Calculation'!#REF!</definedName>
    <definedName name="Vinmax">'[1]LM25118 High level Calculation'!$E$8</definedName>
    <definedName name="Vinmin">'[1]LM25118 High level Calculation'!$E$7</definedName>
    <definedName name="Vout">'[1]LM25118 High level Calculation'!$E$6</definedName>
    <definedName name="Vref">1.23</definedName>
    <definedName name="Z_26D0BF9E_0066_4ECE_A72C_84DA06E7E543_.wvu.FilterData" localSheetId="1" hidden="1">'Bill of Materials'!$A$8:$Q$9</definedName>
    <definedName name="Z_26D0BF9E_0066_4ECE_A72C_84DA06E7E543_.wvu.PrintArea" localSheetId="1" hidden="1">'Bill of Materials'!$A$1:$Q$27</definedName>
    <definedName name="Z_A16559B9_B381_4066_9DF2_C7052A3365CB_.wvu.FilterData" localSheetId="1" hidden="1">'Bill of Materials'!$A$8:$Q$9</definedName>
    <definedName name="Z_A16559B9_B381_4066_9DF2_C7052A3365CB_.wvu.PrintArea" localSheetId="1" hidden="1">'Bill of Materials'!$A$1:$Q$27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7" i="1" l="1"/>
  <c r="D112" i="1"/>
  <c r="G197" i="1" l="1"/>
  <c r="G196" i="1"/>
  <c r="G198" i="1" s="1"/>
  <c r="D194" i="1"/>
  <c r="D192" i="1"/>
  <c r="D193" i="1" s="1"/>
  <c r="D191" i="1"/>
  <c r="D116" i="1"/>
  <c r="D152" i="1" l="1"/>
  <c r="D133" i="1"/>
  <c r="D134" i="1"/>
  <c r="P25" i="4" l="1"/>
  <c r="P22" i="4"/>
  <c r="P21" i="4"/>
  <c r="P20" i="4"/>
  <c r="P19" i="4"/>
  <c r="P18" i="4"/>
  <c r="P17" i="4"/>
  <c r="P15" i="4"/>
  <c r="P13" i="4"/>
  <c r="P12" i="4"/>
  <c r="P11" i="4"/>
  <c r="P10" i="4"/>
  <c r="P27" i="4" s="1"/>
  <c r="A10" i="4"/>
  <c r="A11" i="4" s="1"/>
  <c r="A12" i="4" s="1"/>
  <c r="A13" i="4" s="1"/>
  <c r="A15" i="4" s="1"/>
  <c r="A17" i="4" s="1"/>
  <c r="A18" i="4" s="1"/>
  <c r="A19" i="4" s="1"/>
  <c r="A20" i="4" s="1"/>
  <c r="A21" i="4" s="1"/>
  <c r="A22" i="4" s="1"/>
  <c r="A25" i="4" s="1"/>
  <c r="A26" i="4" s="1"/>
  <c r="D109" i="1" l="1"/>
  <c r="D100" i="1"/>
  <c r="D54" i="1" l="1"/>
  <c r="D228" i="1" l="1"/>
  <c r="D137" i="1"/>
  <c r="D169" i="1" l="1"/>
  <c r="D139" i="1" l="1"/>
  <c r="D151" i="1"/>
  <c r="D154" i="1" s="1"/>
  <c r="D132" i="1" l="1"/>
  <c r="D176" i="1"/>
  <c r="D84" i="1"/>
  <c r="D85" i="1" s="1"/>
  <c r="D88" i="1" s="1"/>
  <c r="D82" i="1"/>
  <c r="D174" i="1" l="1"/>
  <c r="D171" i="1"/>
  <c r="D91" i="1"/>
  <c r="D108" i="1" l="1"/>
  <c r="D99" i="1" l="1"/>
  <c r="D90" i="1" s="1"/>
  <c r="D86" i="1"/>
  <c r="D89" i="1" s="1"/>
  <c r="D110" i="1"/>
  <c r="D101" i="1" l="1"/>
  <c r="D92" i="1" s="1"/>
  <c r="D58" i="1"/>
  <c r="D59" i="1" s="1"/>
  <c r="D229" i="1" l="1"/>
  <c r="D61" i="1" l="1"/>
  <c r="D136" i="1" s="1"/>
  <c r="D125" i="1"/>
  <c r="D128" i="1" l="1"/>
  <c r="D130" i="1" s="1"/>
  <c r="D63" i="1"/>
  <c r="D65" i="1" s="1"/>
  <c r="D62" i="1"/>
  <c r="D67" i="1"/>
  <c r="D114" i="1"/>
  <c r="D230" i="1"/>
  <c r="D231" i="1" s="1"/>
  <c r="D234" i="1" s="1"/>
  <c r="D236" i="1" s="1"/>
  <c r="D76" i="1" l="1"/>
  <c r="D238" i="1" s="1"/>
  <c r="D66" i="1"/>
  <c r="D212" i="1"/>
  <c r="D210" i="1"/>
  <c r="D208" i="1" l="1"/>
  <c r="D39" i="1" l="1"/>
  <c r="D239" i="1" s="1"/>
  <c r="D240" i="1" s="1"/>
  <c r="D241" i="1" s="1"/>
</calcChain>
</file>

<file path=xl/comments1.xml><?xml version="1.0" encoding="utf-8"?>
<comments xmlns="http://schemas.openxmlformats.org/spreadsheetml/2006/main">
  <authors>
    <author>Pooja Mathur</author>
    <author>KGS</author>
    <author>PM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Indicate the initials of the person who prepared the BOM for this particular module
</t>
        </r>
      </text>
    </comment>
    <comment ref="F1" authorId="0" shapeId="0">
      <text>
        <r>
          <rPr>
            <b/>
            <sz val="8"/>
            <color indexed="81"/>
            <rFont val="Tahoma"/>
            <family val="2"/>
          </rPr>
          <t>Indicate the initials of the person who reviewed the BOM of this particular module</t>
        </r>
      </text>
    </comment>
    <comment ref="A8" authorId="0" shapeId="0">
      <text>
        <r>
          <rPr>
            <b/>
            <sz val="8"/>
            <color indexed="81"/>
            <rFont val="Tahoma"/>
            <family val="2"/>
          </rPr>
          <t>Indicate the running serial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</rPr>
          <t xml:space="preserve">Indicate the location of the component in the circuit diagram
</t>
        </r>
        <r>
          <rPr>
            <sz val="8"/>
            <color indexed="81"/>
            <rFont val="Tahoma"/>
            <family val="2"/>
          </rPr>
          <t>(Optional)</t>
        </r>
      </text>
    </comment>
    <comment ref="C8" authorId="1" shapeId="0">
      <text>
        <r>
          <rPr>
            <b/>
            <sz val="8"/>
            <color indexed="81"/>
            <rFont val="Tahoma"/>
            <family val="2"/>
          </rPr>
          <t>Indicate the Component label used  in the Schematic to uniquely identify a component  For example, R1, C1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1" shapeId="0">
      <text>
        <r>
          <rPr>
            <b/>
            <sz val="8"/>
            <color indexed="81"/>
            <rFont val="Tahoma"/>
            <family val="2"/>
          </rPr>
          <t>Indicate the Component label used  in the Schematic to uniquely identify a component  For example, R1, C1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" authorId="1" shapeId="0">
      <text>
        <r>
          <rPr>
            <b/>
            <sz val="8"/>
            <color indexed="81"/>
            <rFont val="Tahoma"/>
            <family val="2"/>
          </rPr>
          <t xml:space="preserve">Name of the part giving all the relevant details including operating temperature.
 For example  :
Cap/Electrolytic/2.2UF/50V/20%/Radial/10mm Pitch/55°C </t>
        </r>
      </text>
    </comment>
    <comment ref="F8" authorId="1" shapeId="0">
      <text>
        <r>
          <rPr>
            <b/>
            <sz val="8"/>
            <color indexed="81"/>
            <rFont val="Tahoma"/>
            <family val="2"/>
          </rPr>
          <t>Indicates the hierarchy of the component in the Bill of Material as given below :
1 - for Top level
2 - for 2nd level
3 - for 3rd level &amp; so on….
 For example : PWA if considered as Level 1, the Component that goes into the PWA becomes a level 2 part</t>
        </r>
      </text>
    </comment>
    <comment ref="G8" authorId="1" shapeId="0">
      <text>
        <r>
          <rPr>
            <b/>
            <sz val="8"/>
            <color indexed="81"/>
            <rFont val="Tahoma"/>
            <family val="2"/>
          </rPr>
          <t>UNIT OF MEASUREMENT
01-  Numbers
02-  Pairs
73 - Kilograms
25 - Meters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>Indicate the quantity required in numbers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8" authorId="1" shapeId="0">
      <text>
        <r>
          <rPr>
            <b/>
            <sz val="8"/>
            <color indexed="81"/>
            <rFont val="Tahoma"/>
            <family val="2"/>
          </rPr>
          <t>For standard bought out parts -  Indicate the suppliers part no. / Ref. Drawing no. giving all the information like  package details, ordering information etc. In addition, as an option, a link may be provided  to the component data sheet.
For Custom specific parts - indicate the  Assembly or component drawing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8" authorId="2" shapeId="0">
      <text>
        <r>
          <rPr>
            <b/>
            <sz val="8"/>
            <color indexed="81"/>
            <rFont val="Tahoma"/>
            <family val="2"/>
          </rPr>
          <t>Name the Supplier or Manufacturer of the component.</t>
        </r>
      </text>
    </comment>
    <comment ref="K8" authorId="1" shapeId="0">
      <text>
        <r>
          <rPr>
            <b/>
            <sz val="8"/>
            <color indexed="81"/>
            <rFont val="Tahoma"/>
            <family val="2"/>
          </rPr>
          <t>For standard bought out parts -  Indicate the alternate suppliers part no. / Ref. Drawing no. giving all the information like  package details, ordering information etc. In addition, as an option, a link may be provided  to the component data sheet.
For Custom specific parts - indicate the  Assembly or component drawing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8" authorId="2" shapeId="0">
      <text>
        <r>
          <rPr>
            <b/>
            <sz val="8"/>
            <color indexed="81"/>
            <rFont val="Tahoma"/>
            <family val="2"/>
          </rPr>
          <t>Name the alternate Supplier or Manufacturer of the component.</t>
        </r>
      </text>
    </comment>
    <comment ref="M8" authorId="0" shapeId="0">
      <text>
        <r>
          <rPr>
            <b/>
            <sz val="8"/>
            <color indexed="81"/>
            <rFont val="Tahoma"/>
            <family val="2"/>
          </rPr>
          <t>Indicate the customer's  part number wherever applicable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8" authorId="2" shapeId="0">
      <text>
        <r>
          <rPr>
            <b/>
            <sz val="8"/>
            <color indexed="81"/>
            <rFont val="Tahoma"/>
            <family val="2"/>
          </rPr>
          <t>This column can have the data abbr. no. For ex. if data sheet name is 74hc00.PDF, it can be renamed as A1_7hc00.PDF and in the data sheet ref column A1 can be mentioned. We can  search for A1_xx in the datasheet directory.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1" shapeId="0">
      <text>
        <r>
          <rPr>
            <b/>
            <sz val="8"/>
            <color indexed="81"/>
            <rFont val="Tahoma"/>
            <family val="2"/>
          </rPr>
          <t>Indicate remarks on Critical design issues (on sourcing, DFM, DFT etc.) &amp; information on Shelf life of parts, where applicable. For example,
a) This component shall be procured only from manufacturer 'A'          
b) This component has a shelf life of 6 months in storage  
c) This component shall not be wave soldered etc.</t>
        </r>
      </text>
    </comment>
    <comment ref="O9" authorId="0" shapeId="0">
      <text>
        <r>
          <rPr>
            <b/>
            <sz val="8"/>
            <color indexed="81"/>
            <rFont val="Tahoma"/>
            <family val="2"/>
          </rPr>
          <t>Procurement Cost of the part (optional ). Ensure that the cost of the part is not getting duplicated in various levels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9" authorId="0" shapeId="0">
      <text>
        <r>
          <rPr>
            <b/>
            <sz val="8"/>
            <color indexed="81"/>
            <rFont val="Tahoma"/>
            <family val="2"/>
          </rPr>
          <t>Extended Cost = Cost per unit X Quantity required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<sst xmlns="http://schemas.openxmlformats.org/spreadsheetml/2006/main" count="669" uniqueCount="439">
  <si>
    <t>Requirements</t>
  </si>
  <si>
    <t>Type of Source</t>
  </si>
  <si>
    <t>Voltage Range</t>
  </si>
  <si>
    <t>Reference Schematic</t>
  </si>
  <si>
    <t>Parameter</t>
  </si>
  <si>
    <t>Value</t>
  </si>
  <si>
    <t>UOM</t>
  </si>
  <si>
    <t>Formulae</t>
  </si>
  <si>
    <t>Remarks</t>
  </si>
  <si>
    <t>W</t>
  </si>
  <si>
    <t>Notation</t>
  </si>
  <si>
    <t>Vout</t>
  </si>
  <si>
    <t>V</t>
  </si>
  <si>
    <t>Iout</t>
  </si>
  <si>
    <t>A</t>
  </si>
  <si>
    <t>Pout</t>
  </si>
  <si>
    <t>Vin_Min</t>
  </si>
  <si>
    <t>VDC</t>
  </si>
  <si>
    <t>Vin_Max</t>
  </si>
  <si>
    <t>DCR</t>
  </si>
  <si>
    <t>Ω</t>
  </si>
  <si>
    <t>RDSon</t>
  </si>
  <si>
    <t>Tonmin</t>
  </si>
  <si>
    <t>nsec</t>
  </si>
  <si>
    <t>Maximum Switching frequency of operation</t>
  </si>
  <si>
    <t>Fswmax</t>
  </si>
  <si>
    <t>Hz</t>
  </si>
  <si>
    <t>KΩ</t>
  </si>
  <si>
    <t>Reference Designator</t>
  </si>
  <si>
    <t>Part Number</t>
  </si>
  <si>
    <t>Description</t>
  </si>
  <si>
    <t>Output Voltage Set point Calculation</t>
  </si>
  <si>
    <t>Vref_min</t>
  </si>
  <si>
    <t>Vref_max</t>
  </si>
  <si>
    <t>Tolerance of selected Top resistor</t>
  </si>
  <si>
    <t>Output Voltage Minimum with tolerance</t>
  </si>
  <si>
    <t>Vo_min</t>
  </si>
  <si>
    <t xml:space="preserve">Output Voltage nominal </t>
  </si>
  <si>
    <t>Vo_nom</t>
  </si>
  <si>
    <t>Output Voltage Maximum with tolerance</t>
  </si>
  <si>
    <t>Vo_max</t>
  </si>
  <si>
    <t>Input Capacitor Calculation</t>
  </si>
  <si>
    <t>Input RMS current</t>
  </si>
  <si>
    <t>∆Vin</t>
  </si>
  <si>
    <t>Cin</t>
  </si>
  <si>
    <t>µF</t>
  </si>
  <si>
    <t>Inductor  Calculation</t>
  </si>
  <si>
    <t>Lmin</t>
  </si>
  <si>
    <t>µH</t>
  </si>
  <si>
    <t>RMS value of Inductor current</t>
  </si>
  <si>
    <t>RMS rating for Inductor selected</t>
  </si>
  <si>
    <t>Irms</t>
  </si>
  <si>
    <t>Saturation rating</t>
  </si>
  <si>
    <t>Isat</t>
  </si>
  <si>
    <t>DC Resistance</t>
  </si>
  <si>
    <t>Power dissipation</t>
  </si>
  <si>
    <t>Output Capacitor Calculation</t>
  </si>
  <si>
    <r>
      <rPr>
        <sz val="11"/>
        <color indexed="8"/>
        <rFont val="Times New Roman"/>
        <family val="1"/>
      </rPr>
      <t>µF</t>
    </r>
  </si>
  <si>
    <t>pF</t>
  </si>
  <si>
    <t xml:space="preserve">Conduction loss </t>
  </si>
  <si>
    <t>Ambient Temperature</t>
  </si>
  <si>
    <t>Ta</t>
  </si>
  <si>
    <r>
      <rPr>
        <sz val="11"/>
        <color indexed="8"/>
        <rFont val="Times New Roman"/>
        <family val="1"/>
      </rPr>
      <t>˚</t>
    </r>
    <r>
      <rPr>
        <sz val="11"/>
        <color theme="1"/>
        <rFont val="Times New Roman"/>
        <family val="2"/>
      </rPr>
      <t>C</t>
    </r>
  </si>
  <si>
    <t>Tj</t>
  </si>
  <si>
    <t>Tj (Max)</t>
  </si>
  <si>
    <t>Issavg</t>
  </si>
  <si>
    <t>Tss</t>
  </si>
  <si>
    <t>msec</t>
  </si>
  <si>
    <t>Iss</t>
  </si>
  <si>
    <r>
      <rPr>
        <sz val="11"/>
        <color indexed="8"/>
        <rFont val="Times New Roman"/>
        <family val="1"/>
      </rPr>
      <t>µA</t>
    </r>
  </si>
  <si>
    <t>Reference Voltage</t>
  </si>
  <si>
    <t>Css</t>
  </si>
  <si>
    <t>nF</t>
  </si>
  <si>
    <t>Bootstrap Capacitance</t>
  </si>
  <si>
    <t>Cross over frequency</t>
  </si>
  <si>
    <t>Zero compensating resistor</t>
  </si>
  <si>
    <t>Capacitor for compensating zero</t>
  </si>
  <si>
    <t>Capacitor for compensating pole</t>
  </si>
  <si>
    <t xml:space="preserve">C0603C330J5GACTU </t>
  </si>
  <si>
    <t>Power loss calculations</t>
  </si>
  <si>
    <t>Pcon</t>
  </si>
  <si>
    <t>Switching loss</t>
  </si>
  <si>
    <t>Psw</t>
  </si>
  <si>
    <t>Total power dissipation on IC</t>
  </si>
  <si>
    <t>C</t>
  </si>
  <si>
    <t>Efficiency Re-Calculation</t>
  </si>
  <si>
    <t xml:space="preserve">Total Power Dissipation </t>
  </si>
  <si>
    <t>Pd</t>
  </si>
  <si>
    <t>Input Power</t>
  </si>
  <si>
    <t>References</t>
  </si>
  <si>
    <t>B540C-13F</t>
  </si>
  <si>
    <t>Switch resistance(Internal MOSFET)</t>
  </si>
  <si>
    <t>BOOT-PH = 6 V, VIN = 12 V</t>
  </si>
  <si>
    <t>Buck Boost Maximum Output</t>
  </si>
  <si>
    <t>The switching frequency for the TPS54331 device is fixed at 570 kHz.</t>
  </si>
  <si>
    <t>Rfbb</t>
  </si>
  <si>
    <t>Rfbt</t>
  </si>
  <si>
    <t>Tolerance of selected Bottom resistor</t>
  </si>
  <si>
    <t>R top_min</t>
  </si>
  <si>
    <t>R top_nom</t>
  </si>
  <si>
    <t>R top_max</t>
  </si>
  <si>
    <t>R bottom_min</t>
  </si>
  <si>
    <t>R bottom_nom</t>
  </si>
  <si>
    <t>R bottom_max</t>
  </si>
  <si>
    <t>Rfbt_min</t>
  </si>
  <si>
    <t>Rfbt_nom</t>
  </si>
  <si>
    <t>Rfbt_max</t>
  </si>
  <si>
    <t>Rfbb_min</t>
  </si>
  <si>
    <t>Rfbb_nom</t>
  </si>
  <si>
    <t>Rfbb_max</t>
  </si>
  <si>
    <t>Cout</t>
  </si>
  <si>
    <t>Ico(RMS)</t>
  </si>
  <si>
    <t>Cboot</t>
  </si>
  <si>
    <t>Vref min</t>
  </si>
  <si>
    <t>Fco</t>
  </si>
  <si>
    <t>CRCW040252K3FKED</t>
  </si>
  <si>
    <t xml:space="preserve"> RES SMD 52.3K OHM 1% 1/16W 0402 </t>
  </si>
  <si>
    <t>CC0805KRX7R9BB102</t>
  </si>
  <si>
    <t xml:space="preserve">CAP CER 1000PF 50V X7R 0805 </t>
  </si>
  <si>
    <t xml:space="preserve">  CAP CER 33PF 50V C0G/NP0 0603 </t>
  </si>
  <si>
    <t>Gate charge loss</t>
  </si>
  <si>
    <t>Pgc</t>
  </si>
  <si>
    <t>Quiescent current loss</t>
  </si>
  <si>
    <t>Pq</t>
  </si>
  <si>
    <t xml:space="preserve">From datasheet </t>
  </si>
  <si>
    <t>Pin</t>
  </si>
  <si>
    <t>Pin = Pout + P loss</t>
  </si>
  <si>
    <t>Manufacturer</t>
  </si>
  <si>
    <t>VRRM</t>
  </si>
  <si>
    <t>From Buck-Boost output</t>
  </si>
  <si>
    <t xml:space="preserve">Buck Boost Minimum Output </t>
  </si>
  <si>
    <t>Maximum allowable junction temperature</t>
  </si>
  <si>
    <t>From datasheet</t>
  </si>
  <si>
    <t>Mode of Operation</t>
  </si>
  <si>
    <t>Necessary Parameters of the Power Stage</t>
  </si>
  <si>
    <t>η</t>
  </si>
  <si>
    <t>%</t>
  </si>
  <si>
    <t xml:space="preserve">Estimated </t>
  </si>
  <si>
    <t>Maximum Duty Cycle</t>
  </si>
  <si>
    <t>Dmax</t>
  </si>
  <si>
    <t>Lout</t>
  </si>
  <si>
    <t>For 40°C rise</t>
  </si>
  <si>
    <r>
      <t>Operating temperature is -40</t>
    </r>
    <r>
      <rPr>
        <sz val="11"/>
        <color indexed="8"/>
        <rFont val="Calibri"/>
        <family val="2"/>
      </rPr>
      <t>⁰</t>
    </r>
    <r>
      <rPr>
        <sz val="11"/>
        <color indexed="8"/>
        <rFont val="Times New Roman"/>
        <family val="1"/>
      </rPr>
      <t>C to 125</t>
    </r>
    <r>
      <rPr>
        <sz val="11"/>
        <color indexed="8"/>
        <rFont val="Calibri"/>
        <family val="2"/>
      </rPr>
      <t>⁰</t>
    </r>
    <r>
      <rPr>
        <sz val="11"/>
        <color indexed="8"/>
        <rFont val="Times New Roman"/>
        <family val="1"/>
      </rPr>
      <t>C</t>
    </r>
  </si>
  <si>
    <t>ILpk</t>
  </si>
  <si>
    <t>Duty Cycle &amp; Switching Frequency Calculation</t>
  </si>
  <si>
    <t>Imax out</t>
  </si>
  <si>
    <t>Selected Inductor shall have RMS current rating greater than the calculated RMS current</t>
  </si>
  <si>
    <t xml:space="preserve">I Lim(Min) </t>
  </si>
  <si>
    <t>At Vin=12V</t>
  </si>
  <si>
    <t>Estimated inductor ripple current</t>
  </si>
  <si>
    <t>ΔIL</t>
  </si>
  <si>
    <t>Selected IC Parameters (TPS54331)</t>
  </si>
  <si>
    <t>ILrms</t>
  </si>
  <si>
    <t>ILpk-pk</t>
  </si>
  <si>
    <t>Inductor ripple current (ΔIL)</t>
  </si>
  <si>
    <t>Peak inductor current or Maximum switching current</t>
  </si>
  <si>
    <t>Minimum input voltage</t>
  </si>
  <si>
    <t>Maximum input voltage</t>
  </si>
  <si>
    <t>Output voltage</t>
  </si>
  <si>
    <t>Output current</t>
  </si>
  <si>
    <t>Maximum output power</t>
  </si>
  <si>
    <t>Efficiency of the converter</t>
  </si>
  <si>
    <t>Operating junction temperature</t>
  </si>
  <si>
    <t>-40 to150</t>
  </si>
  <si>
    <t>°C</t>
  </si>
  <si>
    <t>Operating Input Voltage on (VIN pin)</t>
  </si>
  <si>
    <t>Vin</t>
  </si>
  <si>
    <t>3.5 to 28</t>
  </si>
  <si>
    <t>Junction-to-ambient thermal resistance</t>
  </si>
  <si>
    <t>RθJA</t>
  </si>
  <si>
    <t>°C/W</t>
  </si>
  <si>
    <t>Vref Min</t>
  </si>
  <si>
    <t>Vref Nom</t>
  </si>
  <si>
    <t>Vref Max</t>
  </si>
  <si>
    <t>Vref_Min</t>
  </si>
  <si>
    <t>Vref_Nom</t>
  </si>
  <si>
    <t>Vref_Max</t>
  </si>
  <si>
    <t>Current-limit threshold</t>
  </si>
  <si>
    <t>Maximum controllable duty ratio</t>
  </si>
  <si>
    <t>Typical minimum controllable on time</t>
  </si>
  <si>
    <t>BOOT-PH = 6 V</t>
  </si>
  <si>
    <t>D</t>
  </si>
  <si>
    <t>Average forward current of the rectifier diode</t>
  </si>
  <si>
    <t>IF</t>
  </si>
  <si>
    <t>For the selected diode, the forward current rating shall be greater than or equal to maximum inductor current</t>
  </si>
  <si>
    <t>IF_req</t>
  </si>
  <si>
    <t>Forward current</t>
  </si>
  <si>
    <t>Forward voltage drop</t>
  </si>
  <si>
    <t>VRRM_req</t>
  </si>
  <si>
    <t>Peak Repetitive Reverse Voltage</t>
  </si>
  <si>
    <t>˚C/W</t>
  </si>
  <si>
    <t>Vf</t>
  </si>
  <si>
    <t>uA</t>
  </si>
  <si>
    <t>Current through the resistive divider to GND</t>
  </si>
  <si>
    <t>Power dissipation of bottom resistor</t>
  </si>
  <si>
    <t>Pd_Rfbb</t>
  </si>
  <si>
    <t>mW</t>
  </si>
  <si>
    <t>Iin rms</t>
  </si>
  <si>
    <t>Power dissipation of top resistor</t>
  </si>
  <si>
    <t>Continuous conduction mode (CCM) of operation is considered for design, since the Converter will operate in Pulse skip mode of operation in case of lower load conditions for better efficiency.</t>
  </si>
  <si>
    <t>SO Power PAD  (DDA)</t>
  </si>
  <si>
    <t>keeping the closed-loop crossover frequency at less than 1/5 of the switching frequency is desired. With high switching frequencies such as the 570-kHz frequency of this design, internal circuit limitations of the TPS54331 device limit the practical maximum crossover frequency to about 25 kHz.</t>
  </si>
  <si>
    <t>Output Power</t>
  </si>
  <si>
    <t>Minimum required value of output inductor</t>
  </si>
  <si>
    <t>Selected output inductor</t>
  </si>
  <si>
    <t>Coefficient represents the Inductance ripple wrt Max output current</t>
  </si>
  <si>
    <t>Kind</t>
  </si>
  <si>
    <t>Considered ripple is 30% of output current</t>
  </si>
  <si>
    <t>A good estimation for the inductor ripple current is 20% to 40% of the output current, or 0.2&lt; Kind &lt; 0.4</t>
  </si>
  <si>
    <t>Pd(Lout)</t>
  </si>
  <si>
    <t>Coil craft</t>
  </si>
  <si>
    <t>The maximum output current that the selected IC can deliver</t>
  </si>
  <si>
    <t>Required forward current rating</t>
  </si>
  <si>
    <t>Considered derating factor for current</t>
  </si>
  <si>
    <t>Recommended value in datasheet for this design</t>
  </si>
  <si>
    <t>Diode power dissipation</t>
  </si>
  <si>
    <t>Calculated junction Temperature</t>
  </si>
  <si>
    <t>Temperature margin</t>
  </si>
  <si>
    <t>Tmargin</t>
  </si>
  <si>
    <t>20˚C Margin is reccomended</t>
  </si>
  <si>
    <t>I Rfb</t>
  </si>
  <si>
    <t>Required power rating for bottom resistor</t>
  </si>
  <si>
    <t>P_req Rfbb</t>
  </si>
  <si>
    <t>Pd_Rfbt</t>
  </si>
  <si>
    <t>Panasonic Electronic Components</t>
  </si>
  <si>
    <t>P_req Rfbt</t>
  </si>
  <si>
    <t xml:space="preserve">ERJ-3EKF1961V </t>
  </si>
  <si>
    <t xml:space="preserve">RES SMD 1.96K OHM 1% 1/10W 0603 </t>
  </si>
  <si>
    <t xml:space="preserve">ERJ-3EKF1022V </t>
  </si>
  <si>
    <t xml:space="preserve">RES SMD 10.2K OHM 1% 1/10W 0603 </t>
  </si>
  <si>
    <t>Selected bootstrap capacitor</t>
  </si>
  <si>
    <t>The recommended value of Cboot is 0.1 μF to 0.47 μF, and should be a good quality, low ESR, ceramic capacitor.</t>
  </si>
  <si>
    <t>Murata Electronics</t>
  </si>
  <si>
    <t>Required reverse voltage rating</t>
  </si>
  <si>
    <t>Considered derating factor for power rating</t>
  </si>
  <si>
    <t>Required power rating for top resistor</t>
  </si>
  <si>
    <t>Considered derating factor for voltage rating</t>
  </si>
  <si>
    <t xml:space="preserve">Considered derating factor for voltage rating </t>
  </si>
  <si>
    <t>Required voltage rating for the input capacitor</t>
  </si>
  <si>
    <t>V rating_req</t>
  </si>
  <si>
    <t xml:space="preserve">Recommended value of input capacitor in datasheet </t>
  </si>
  <si>
    <t>Selected value of input capacitor</t>
  </si>
  <si>
    <t xml:space="preserve">GCM31CR71E475KA55L </t>
  </si>
  <si>
    <t xml:space="preserve">CAP CER 4.7UF 25V X7R 1206 </t>
  </si>
  <si>
    <t xml:space="preserve">GRM188R71E103KA01D </t>
  </si>
  <si>
    <t>Maximum allowable input voltage ripple</t>
  </si>
  <si>
    <t>∆Iout</t>
  </si>
  <si>
    <t>Transitioning from no load to a full load</t>
  </si>
  <si>
    <t>Change in load current or output current</t>
  </si>
  <si>
    <t>The transient load response is specified as a 4% change in Vout for a load step from no load to full load</t>
  </si>
  <si>
    <t>Cout _min</t>
  </si>
  <si>
    <t>∆Vout</t>
  </si>
  <si>
    <t>mV</t>
  </si>
  <si>
    <t>Estimated</t>
  </si>
  <si>
    <t>Selected value of output capacitor</t>
  </si>
  <si>
    <t>Required voltage rating for the output capacitor</t>
  </si>
  <si>
    <t>ESRmax</t>
  </si>
  <si>
    <t>Required minimum value of input capacitor</t>
  </si>
  <si>
    <t>Required minimum value of output capacitor</t>
  </si>
  <si>
    <t>Desired allowable input voltage ripple</t>
  </si>
  <si>
    <t>Maximum RMS ripple current of the output capacitor</t>
  </si>
  <si>
    <t>Nc is the number of output capacitors in parallel</t>
  </si>
  <si>
    <t xml:space="preserve">GRM188R71A474KA61D </t>
  </si>
  <si>
    <t>CAP CER 0.47UF 10V X7R 0603</t>
  </si>
  <si>
    <t xml:space="preserve">CAP CER 0.1UF 16V X7R 0603  </t>
  </si>
  <si>
    <t xml:space="preserve"> </t>
  </si>
  <si>
    <t>GRM188R71C104KA01D</t>
  </si>
  <si>
    <t>Average slow-start current to charge the output capacitor up to Vout</t>
  </si>
  <si>
    <t>Issavg = RMS ripple current of the output capacitor(Ico(RMS))</t>
  </si>
  <si>
    <t>Minimum slow-start time necessary to charge the output capacitor</t>
  </si>
  <si>
    <t>Required value of external slow-start capacitor</t>
  </si>
  <si>
    <t>Selected value of external slow-start capacitor</t>
  </si>
  <si>
    <t>The slow-start time should be set between 1 ms to 10 ms to ensure good startup behavior</t>
  </si>
  <si>
    <t>The value of the slow-start capacitor should not exceed 27 nF</t>
  </si>
  <si>
    <t xml:space="preserve">GRM188R71C103KA01D </t>
  </si>
  <si>
    <t xml:space="preserve">CAP CER 10000PF 16V X7R 0603  </t>
  </si>
  <si>
    <t>Enable pin threshold voltage</t>
  </si>
  <si>
    <t>Ven</t>
  </si>
  <si>
    <t>Enable and Under Voltage Lockout Resistor Calculation</t>
  </si>
  <si>
    <t>Vstart</t>
  </si>
  <si>
    <t>Vstop</t>
  </si>
  <si>
    <t>The Vstop threshold should always be greater than 3.5 V</t>
  </si>
  <si>
    <t>Input start threshold voltage considered</t>
  </si>
  <si>
    <t>Input stop threshold voltage considered</t>
  </si>
  <si>
    <t>The supply should turn ON and start switching once the input voltage increases above Vstart</t>
  </si>
  <si>
    <t>The supply should turn OFF and stop switching once the input voltage falls below Vstop</t>
  </si>
  <si>
    <t>Ren1</t>
  </si>
  <si>
    <t>Required enable pin top resistance</t>
  </si>
  <si>
    <t>Selected enable pin top resistor</t>
  </si>
  <si>
    <t>Required enable pin bottom resistance</t>
  </si>
  <si>
    <t>Ren2</t>
  </si>
  <si>
    <t>Selected enable pin bottom resistor</t>
  </si>
  <si>
    <t xml:space="preserve">ERJ-3EKF3323V </t>
  </si>
  <si>
    <t xml:space="preserve">RES SMD 332K OHM 1% 1/10W 0603 </t>
  </si>
  <si>
    <t>Selected voltage sense top resistor</t>
  </si>
  <si>
    <t>Required voltage sense bottom resistor</t>
  </si>
  <si>
    <t>Selected voltage sense bottom resistor</t>
  </si>
  <si>
    <t>Reference voltage_nominal</t>
  </si>
  <si>
    <t>Vref_nom</t>
  </si>
  <si>
    <t>Reference voltage_minimum</t>
  </si>
  <si>
    <t>Reference voltage_maximum</t>
  </si>
  <si>
    <t>Output Diode Calculation</t>
  </si>
  <si>
    <t>Reverse voltage rating shall be greater than or equal to maximum input voltage plus some margin</t>
  </si>
  <si>
    <t>Diodes Incorporated</t>
  </si>
  <si>
    <t xml:space="preserve">         </t>
  </si>
  <si>
    <t>Pd total</t>
  </si>
  <si>
    <t>Ambient temperature</t>
  </si>
  <si>
    <t>Calculated junction temperature</t>
  </si>
  <si>
    <t>Expected efficiency</t>
  </si>
  <si>
    <t>Design Calculation of 5V Buck Regulator using TPS54331</t>
  </si>
  <si>
    <t>Required RMS current rating for the inductor</t>
  </si>
  <si>
    <t>ILrms_req</t>
  </si>
  <si>
    <t>ILsat_req</t>
  </si>
  <si>
    <t>XAL7030-682MEC</t>
  </si>
  <si>
    <t xml:space="preserve"> 6.8 uH ±20%  6.8 A </t>
  </si>
  <si>
    <t>Selected Inductor (Lout)</t>
  </si>
  <si>
    <t>L6</t>
  </si>
  <si>
    <t>Selected Top Resistor (Rfbt)</t>
  </si>
  <si>
    <t>R60</t>
  </si>
  <si>
    <t>Selected Bottom Resistor (Rfbb)</t>
  </si>
  <si>
    <t>R63</t>
  </si>
  <si>
    <t>Selected Output Diode (Dout)</t>
  </si>
  <si>
    <t>D5</t>
  </si>
  <si>
    <t>Selected Output Capacitor (Cout 1&amp;2)</t>
  </si>
  <si>
    <t>Selected Output Capacitor to Reduce High Frequency Noise (Coutx)</t>
  </si>
  <si>
    <t>C54</t>
  </si>
  <si>
    <t>Selected Slow Start Capacitor (Css)</t>
  </si>
  <si>
    <t>C57</t>
  </si>
  <si>
    <t>Rzero</t>
  </si>
  <si>
    <t>Czero</t>
  </si>
  <si>
    <t>Cpole</t>
  </si>
  <si>
    <t>Selected Parallel Capacitor (Cpole)</t>
  </si>
  <si>
    <t>Selected Compensation resistor(Rzero)</t>
  </si>
  <si>
    <t>Selected series Capacitor (Czero)</t>
  </si>
  <si>
    <t>R59</t>
  </si>
  <si>
    <t>C56</t>
  </si>
  <si>
    <t>Selected Bootstrap Capacitor (Cboot)</t>
  </si>
  <si>
    <t>C42</t>
  </si>
  <si>
    <t>Selected Input Capacitor (Cin 1,2)</t>
  </si>
  <si>
    <t>C43,C44</t>
  </si>
  <si>
    <t>Selected Input Capacitor to Reduce High Frequency Noise (Cinx)</t>
  </si>
  <si>
    <t>C46</t>
  </si>
  <si>
    <t>Selected UVLO  Top Resistor (Ren1)</t>
  </si>
  <si>
    <t>R54</t>
  </si>
  <si>
    <t>Selected UVLO Bottom Resistor (Ren2)</t>
  </si>
  <si>
    <t>R58</t>
  </si>
  <si>
    <t xml:space="preserve">  CAP CER 0.01UF 25V X7R 0603 </t>
  </si>
  <si>
    <t>Change voltage rating</t>
  </si>
  <si>
    <t>Prepared By:</t>
  </si>
  <si>
    <t xml:space="preserve">Muhammed Thaha </t>
  </si>
  <si>
    <t>Reviewed By:</t>
  </si>
  <si>
    <t>Current Version of :</t>
  </si>
  <si>
    <t>Version No.</t>
  </si>
  <si>
    <t>Modification Details</t>
  </si>
  <si>
    <t>Initial release</t>
  </si>
  <si>
    <t xml:space="preserve">Bill of Material </t>
  </si>
  <si>
    <t>Buck converter - TPS54331</t>
  </si>
  <si>
    <t>Sl. No.</t>
  </si>
  <si>
    <t>Zone (Optional)</t>
  </si>
  <si>
    <t xml:space="preserve">Part Description </t>
  </si>
  <si>
    <t>Level</t>
  </si>
  <si>
    <t>Quantity required</t>
  </si>
  <si>
    <t>Suppliers part no. / Ref Drawing No.</t>
  </si>
  <si>
    <t>Supplier / Vendor Name</t>
  </si>
  <si>
    <t>Suppliers part no. / Ref Drawing No. for alternatives (if any)</t>
  </si>
  <si>
    <t>Supplier / Vendor Name for alternatives (if any)</t>
  </si>
  <si>
    <t>Customer's Part Number (If any)</t>
  </si>
  <si>
    <t>Data Sheet Reference</t>
  </si>
  <si>
    <t>Cost Details in Rs.(Optional)</t>
  </si>
  <si>
    <t>Remarks (Indicate Critical design issues &amp; Shelf life of parts), as applicable</t>
  </si>
  <si>
    <t xml:space="preserve">Per unit  </t>
  </si>
  <si>
    <t xml:space="preserve">Extended </t>
  </si>
  <si>
    <t xml:space="preserve">CAP CER 0.1UF 16V X7R 0603 </t>
  </si>
  <si>
    <t>Ccomp</t>
  </si>
  <si>
    <t xml:space="preserve">CAP CER 1000PF 50V X7R 0603 </t>
  </si>
  <si>
    <t>GRM188R71H102KA01D</t>
  </si>
  <si>
    <t>Ccomp2</t>
  </si>
  <si>
    <t>C55</t>
  </si>
  <si>
    <t xml:space="preserve">  CAP CER 47PF 50V X7R 0603 </t>
  </si>
  <si>
    <t xml:space="preserve">C0603C470K5RACAUTO </t>
  </si>
  <si>
    <t>Kemet</t>
  </si>
  <si>
    <t>C43,C45,C44</t>
  </si>
  <si>
    <t>CAP CER 4.7UF 25V X7R 1206</t>
  </si>
  <si>
    <t>Cinx</t>
  </si>
  <si>
    <t xml:space="preserve">  CAP CER 0.01UF 25V X7R 0603</t>
  </si>
  <si>
    <t xml:space="preserve">GRM188R71E103KA01D  </t>
  </si>
  <si>
    <t>C51,C52,C53</t>
  </si>
  <si>
    <t xml:space="preserve">CAP CER 47UF 10V X7R 1210 </t>
  </si>
  <si>
    <t xml:space="preserve">  GRM32ER71A476KE15L</t>
  </si>
  <si>
    <t>Coutx</t>
  </si>
  <si>
    <t xml:space="preserve">CAP CER 10000PF 16V X7R 0603 </t>
  </si>
  <si>
    <t>Dout</t>
  </si>
  <si>
    <t>DIODE SCHOTTKY 40V 5A SMC</t>
  </si>
  <si>
    <t xml:space="preserve">Fixed Inductors  6.8 uH ±20%  6.8 A </t>
  </si>
  <si>
    <t>Rcomp</t>
  </si>
  <si>
    <t xml:space="preserve">RES SMD 29.4K OHM 1% 1/10W 0603 </t>
  </si>
  <si>
    <t>ERJ-3EKF2942V</t>
  </si>
  <si>
    <t>Panasonic</t>
  </si>
  <si>
    <t>RES SMD 1.96K OHM 1% 1/10W 0603</t>
  </si>
  <si>
    <t>ERJ-3EKF1961V</t>
  </si>
  <si>
    <t>ERJ-3EKF1022V</t>
  </si>
  <si>
    <t>RES SMD 52.3K OHM 1% 1/10W 0603</t>
  </si>
  <si>
    <t>ERJ-3EKF5232V</t>
  </si>
  <si>
    <t>Buck</t>
  </si>
  <si>
    <t>U10</t>
  </si>
  <si>
    <t xml:space="preserve">IC REG BUCK ADJ 3A 8SOPWRPAD </t>
  </si>
  <si>
    <t>TPS54331DDAR</t>
  </si>
  <si>
    <t>Texas Instruments</t>
  </si>
  <si>
    <t>Total Cost of the Assembly in USD.</t>
  </si>
  <si>
    <t>Required saturation current rating for the inductor</t>
  </si>
  <si>
    <t>Desired maximum peak-to-peak output ripple or change in output voltage during load transient</t>
  </si>
  <si>
    <t>Maximum allowable ESR of the output capacitor</t>
  </si>
  <si>
    <t>Soft Start Pin Capacitance Calculation</t>
  </si>
  <si>
    <t>Internal pullup slow start current to charge the external slow-start capacitor</t>
  </si>
  <si>
    <t xml:space="preserve">C3225X7R1H106M250AC </t>
  </si>
  <si>
    <t xml:space="preserve">  CAP CER 10UF 50V X7R 1210 </t>
  </si>
  <si>
    <t>TDK Corporation</t>
  </si>
  <si>
    <t>Need to revisist after thermal testing</t>
  </si>
  <si>
    <t>3 x 47uF in parallel</t>
  </si>
  <si>
    <t>CAP CER 0.1UF 10V X7R 0603</t>
  </si>
  <si>
    <t>Two 10uF in parallel</t>
  </si>
  <si>
    <t xml:space="preserve">Selected Capacitor value </t>
  </si>
  <si>
    <t>Selected resistor value</t>
  </si>
  <si>
    <t xml:space="preserve">Compensation- Need to update the calculation </t>
  </si>
  <si>
    <t xml:space="preserve">CGA9N3X7R1E476M230KB </t>
  </si>
  <si>
    <t xml:space="preserve">  CAP CER 47UF 25V X7R 2220</t>
  </si>
  <si>
    <t xml:space="preserve">DIODE SCHOTTKY 40V 5A PMDTM </t>
  </si>
  <si>
    <t>Rohm Semiconductor</t>
  </si>
  <si>
    <t>RBR5LAM40ATR</t>
  </si>
  <si>
    <t>at IF = 3.0A, Ta = +125°C</t>
  </si>
  <si>
    <t>Rtop</t>
  </si>
  <si>
    <t>Rbot</t>
  </si>
  <si>
    <t>V aceross enable</t>
  </si>
  <si>
    <t>Two 165K  in series</t>
  </si>
  <si>
    <t>Two 102K in parallel</t>
  </si>
  <si>
    <t xml:space="preserve">RES SMD 102K OHM 1% 1/10W 0402   </t>
  </si>
  <si>
    <t xml:space="preserve">ERJ-2RKF1023X </t>
  </si>
  <si>
    <t xml:space="preserve">RES SMD 165K OHM 1% 1/10W 0402  </t>
  </si>
  <si>
    <t xml:space="preserve">ERJ-2RKF1653X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</si>
</sst>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"/>
    <numFmt numFmtId="166" formatCode="0.0%"/>
    <numFmt numFmtId="169" formatCode="&quot;$&quot;#,##0.000"/>
    <numFmt numFmtId="170" formatCode="0.00;[Red]0.00"/>
    <numFmt numFmtId="171" formatCode="&quot;$&quot;#,##0.00;[Red]&quot;$&quot;#,##0.00"/>
  </numFmts>
  <fonts count="20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0"/>
      <name val="Times New Roman"/>
      <family val="1"/>
    </font>
    <font>
      <b/>
      <sz val="11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0" borderId="0"/>
    <xf numFmtId="0" fontId="2" fillId="0" borderId="0"/>
    <xf numFmtId="0" fontId="1" fillId="0" borderId="0"/>
  </cellStyleXfs>
  <cellXfs count="187">
    <xf numFmtId="0" fontId="0" fillId="0" borderId="0" xfId="0"/>
    <xf numFmtId="0" fontId="6" fillId="0" borderId="0" xfId="0" applyFont="1" applyAlignment="1">
      <alignment vertical="center"/>
    </xf>
    <xf numFmtId="0" fontId="7" fillId="4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left" vertical="center" wrapText="1"/>
    </xf>
    <xf numFmtId="165" fontId="6" fillId="10" borderId="3" xfId="0" applyNumberFormat="1" applyFont="1" applyFill="1" applyBorder="1" applyAlignment="1">
      <alignment horizontal="center" vertical="center" wrapText="1"/>
    </xf>
    <xf numFmtId="9" fontId="6" fillId="10" borderId="3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 wrapText="1"/>
    </xf>
    <xf numFmtId="164" fontId="6" fillId="10" borderId="3" xfId="0" applyNumberFormat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3" xfId="0" quotePrefix="1" applyFont="1" applyFill="1" applyBorder="1" applyAlignment="1">
      <alignment horizontal="center" vertical="center" wrapText="1"/>
    </xf>
    <xf numFmtId="2" fontId="6" fillId="10" borderId="3" xfId="0" applyNumberFormat="1" applyFont="1" applyFill="1" applyBorder="1" applyAlignment="1">
      <alignment horizontal="center" vertical="center" wrapText="1"/>
    </xf>
    <xf numFmtId="2" fontId="6" fillId="10" borderId="3" xfId="0" applyNumberFormat="1" applyFont="1" applyFill="1" applyBorder="1" applyAlignment="1">
      <alignment horizontal="right" vertical="center" wrapText="1"/>
    </xf>
    <xf numFmtId="164" fontId="6" fillId="10" borderId="3" xfId="0" applyNumberFormat="1" applyFont="1" applyFill="1" applyBorder="1" applyAlignment="1">
      <alignment vertical="center" wrapText="1"/>
    </xf>
    <xf numFmtId="0" fontId="0" fillId="10" borderId="3" xfId="0" applyFill="1" applyBorder="1" applyAlignment="1">
      <alignment vertical="center"/>
    </xf>
    <xf numFmtId="9" fontId="0" fillId="10" borderId="3" xfId="0" applyNumberFormat="1" applyFill="1" applyBorder="1" applyAlignment="1">
      <alignment horizontal="center" vertical="center"/>
    </xf>
    <xf numFmtId="0" fontId="0" fillId="10" borderId="17" xfId="0" applyFill="1" applyBorder="1" applyAlignment="1">
      <alignment vertical="center"/>
    </xf>
    <xf numFmtId="0" fontId="6" fillId="11" borderId="3" xfId="0" applyFont="1" applyFill="1" applyBorder="1" applyAlignment="1">
      <alignment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center" vertical="center" wrapText="1"/>
    </xf>
    <xf numFmtId="2" fontId="6" fillId="11" borderId="3" xfId="0" applyNumberFormat="1" applyFont="1" applyFill="1" applyBorder="1" applyAlignment="1">
      <alignment horizontal="right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1" fontId="6" fillId="11" borderId="3" xfId="0" applyNumberFormat="1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vertical="center" wrapText="1"/>
    </xf>
    <xf numFmtId="0" fontId="11" fillId="10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right" vertical="center" wrapText="1"/>
    </xf>
    <xf numFmtId="0" fontId="11" fillId="10" borderId="3" xfId="0" applyFont="1" applyFill="1" applyBorder="1" applyAlignment="1">
      <alignment horizontal="left" vertical="center" wrapText="1"/>
    </xf>
    <xf numFmtId="0" fontId="0" fillId="10" borderId="0" xfId="0" applyFill="1" applyAlignment="1">
      <alignment wrapText="1"/>
    </xf>
    <xf numFmtId="0" fontId="11" fillId="0" borderId="3" xfId="0" applyFont="1" applyFill="1" applyBorder="1" applyAlignment="1">
      <alignment vertical="center" wrapText="1"/>
    </xf>
    <xf numFmtId="0" fontId="8" fillId="11" borderId="3" xfId="0" applyFont="1" applyFill="1" applyBorder="1" applyAlignment="1">
      <alignment horizontal="center" vertical="center" wrapText="1"/>
    </xf>
    <xf numFmtId="2" fontId="6" fillId="11" borderId="3" xfId="0" applyNumberFormat="1" applyFont="1" applyFill="1" applyBorder="1" applyAlignment="1">
      <alignment vertical="center" wrapText="1"/>
    </xf>
    <xf numFmtId="165" fontId="6" fillId="11" borderId="3" xfId="0" applyNumberFormat="1" applyFont="1" applyFill="1" applyBorder="1" applyAlignment="1">
      <alignment horizontal="center" vertical="center" wrapText="1"/>
    </xf>
    <xf numFmtId="166" fontId="6" fillId="7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0" borderId="0" xfId="3" applyFont="1" applyAlignment="1">
      <alignment horizontal="center" wrapText="1"/>
    </xf>
    <xf numFmtId="0" fontId="13" fillId="0" borderId="0" xfId="3" applyFont="1" applyAlignment="1">
      <alignment horizontal="center" wrapText="1"/>
    </xf>
    <xf numFmtId="0" fontId="13" fillId="0" borderId="0" xfId="3" applyFont="1" applyBorder="1" applyAlignment="1">
      <alignment horizontal="center" wrapText="1"/>
    </xf>
    <xf numFmtId="0" fontId="14" fillId="13" borderId="0" xfId="3" applyFont="1" applyFill="1" applyBorder="1" applyAlignment="1">
      <alignment horizontal="center" wrapText="1"/>
    </xf>
    <xf numFmtId="0" fontId="14" fillId="2" borderId="3" xfId="3" applyFont="1" applyFill="1" applyBorder="1" applyAlignment="1">
      <alignment horizontal="center" vertical="center" wrapText="1"/>
    </xf>
    <xf numFmtId="0" fontId="13" fillId="0" borderId="3" xfId="3" applyFont="1" applyBorder="1" applyAlignment="1">
      <alignment horizontal="center" wrapText="1"/>
    </xf>
    <xf numFmtId="0" fontId="6" fillId="0" borderId="3" xfId="5" applyFont="1" applyFill="1" applyBorder="1" applyAlignment="1">
      <alignment horizontal="center" vertical="center"/>
    </xf>
    <xf numFmtId="0" fontId="6" fillId="14" borderId="3" xfId="5" applyFont="1" applyFill="1" applyBorder="1" applyAlignment="1">
      <alignment horizontal="center" vertical="center"/>
    </xf>
    <xf numFmtId="0" fontId="13" fillId="0" borderId="3" xfId="3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/>
    </xf>
    <xf numFmtId="12" fontId="13" fillId="0" borderId="3" xfId="3" applyNumberFormat="1" applyFont="1" applyBorder="1" applyAlignment="1">
      <alignment horizontal="center" wrapText="1"/>
    </xf>
    <xf numFmtId="12" fontId="13" fillId="0" borderId="19" xfId="3" applyNumberFormat="1" applyFont="1" applyBorder="1" applyAlignment="1">
      <alignment horizontal="center" wrapText="1"/>
    </xf>
    <xf numFmtId="169" fontId="6" fillId="0" borderId="3" xfId="5" applyNumberFormat="1" applyFont="1" applyBorder="1" applyAlignment="1">
      <alignment horizontal="center" vertical="center"/>
    </xf>
    <xf numFmtId="0" fontId="13" fillId="0" borderId="19" xfId="3" applyFont="1" applyBorder="1" applyAlignment="1">
      <alignment horizontal="center" wrapText="1"/>
    </xf>
    <xf numFmtId="0" fontId="6" fillId="14" borderId="3" xfId="5" applyFont="1" applyFill="1" applyBorder="1" applyAlignment="1">
      <alignment horizontal="center" vertical="center" wrapText="1"/>
    </xf>
    <xf numFmtId="170" fontId="13" fillId="0" borderId="3" xfId="3" applyNumberFormat="1" applyFont="1" applyBorder="1" applyAlignment="1">
      <alignment horizontal="center" wrapText="1"/>
    </xf>
    <xf numFmtId="0" fontId="13" fillId="0" borderId="0" xfId="3" applyFont="1" applyAlignment="1">
      <alignment horizontal="left" wrapText="1"/>
    </xf>
    <xf numFmtId="169" fontId="13" fillId="0" borderId="3" xfId="3" applyNumberFormat="1" applyFont="1" applyBorder="1" applyAlignment="1">
      <alignment horizontal="center" wrapText="1"/>
    </xf>
    <xf numFmtId="171" fontId="14" fillId="2" borderId="3" xfId="3" applyNumberFormat="1" applyFont="1" applyFill="1" applyBorder="1" applyAlignment="1">
      <alignment horizontal="center" vertical="center" wrapText="1"/>
    </xf>
    <xf numFmtId="2" fontId="13" fillId="0" borderId="0" xfId="3" applyNumberFormat="1" applyFont="1" applyAlignment="1">
      <alignment horizontal="center" wrapText="1"/>
    </xf>
    <xf numFmtId="0" fontId="15" fillId="0" borderId="0" xfId="3" applyAlignment="1">
      <alignment wrapText="1"/>
    </xf>
    <xf numFmtId="0" fontId="6" fillId="7" borderId="3" xfId="0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10" borderId="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10" borderId="3" xfId="0" applyFont="1" applyFill="1" applyBorder="1" applyAlignment="1">
      <alignment horizontal="right" vertical="center" wrapText="1"/>
    </xf>
    <xf numFmtId="0" fontId="6" fillId="9" borderId="3" xfId="0" applyFont="1" applyFill="1" applyBorder="1" applyAlignment="1">
      <alignment vertical="center" wrapText="1"/>
    </xf>
    <xf numFmtId="0" fontId="6" fillId="11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14" fillId="2" borderId="12" xfId="3" applyFont="1" applyFill="1" applyBorder="1" applyAlignment="1">
      <alignment horizontal="center" vertical="center" wrapText="1"/>
    </xf>
    <xf numFmtId="0" fontId="14" fillId="2" borderId="13" xfId="3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4" fillId="2" borderId="19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2" borderId="17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165" fontId="14" fillId="10" borderId="1" xfId="3" applyNumberFormat="1" applyFont="1" applyFill="1" applyBorder="1" applyAlignment="1">
      <alignment horizontal="center" vertical="center" wrapText="1"/>
    </xf>
    <xf numFmtId="165" fontId="14" fillId="10" borderId="17" xfId="3" applyNumberFormat="1" applyFont="1" applyFill="1" applyBorder="1" applyAlignment="1">
      <alignment horizontal="center" vertical="center" wrapText="1"/>
    </xf>
    <xf numFmtId="165" fontId="14" fillId="10" borderId="2" xfId="3" applyNumberFormat="1" applyFont="1" applyFill="1" applyBorder="1" applyAlignment="1">
      <alignment horizontal="center" vertical="center" wrapText="1"/>
    </xf>
    <xf numFmtId="0" fontId="14" fillId="10" borderId="1" xfId="3" applyFont="1" applyFill="1" applyBorder="1" applyAlignment="1">
      <alignment horizontal="center" vertical="center" wrapText="1"/>
    </xf>
    <xf numFmtId="0" fontId="14" fillId="10" borderId="17" xfId="3" applyFont="1" applyFill="1" applyBorder="1" applyAlignment="1">
      <alignment horizontal="center" vertical="center" wrapText="1"/>
    </xf>
    <xf numFmtId="0" fontId="14" fillId="1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7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2" fontId="14" fillId="10" borderId="1" xfId="3" applyNumberFormat="1" applyFont="1" applyFill="1" applyBorder="1" applyAlignment="1">
      <alignment horizontal="center" vertical="center" wrapText="1"/>
    </xf>
    <xf numFmtId="2" fontId="14" fillId="10" borderId="17" xfId="3" applyNumberFormat="1" applyFont="1" applyFill="1" applyBorder="1" applyAlignment="1">
      <alignment horizontal="center" vertical="center" wrapText="1"/>
    </xf>
    <xf numFmtId="2" fontId="14" fillId="10" borderId="2" xfId="3" applyNumberFormat="1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17" xfId="3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center" vertical="center"/>
    </xf>
  </cellXfs>
  <cellStyles count="6">
    <cellStyle name="Hyperlink 2" xfId="1"/>
    <cellStyle name="Normal" xfId="0" builtinId="0"/>
    <cellStyle name="Normal 2" xfId="2"/>
    <cellStyle name="Normal 2 2" xfId="3"/>
    <cellStyle name="Normal 3" xfId="4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26" Type="http://schemas.openxmlformats.org/officeDocument/2006/relationships/image" Target="../media/image28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34" Type="http://schemas.openxmlformats.org/officeDocument/2006/relationships/image" Target="../media/image36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5" Type="http://schemas.openxmlformats.org/officeDocument/2006/relationships/image" Target="../media/image27.png"/><Relationship Id="rId33" Type="http://schemas.openxmlformats.org/officeDocument/2006/relationships/image" Target="../media/image35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29" Type="http://schemas.openxmlformats.org/officeDocument/2006/relationships/image" Target="../media/image31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24" Type="http://schemas.openxmlformats.org/officeDocument/2006/relationships/image" Target="../media/image26.png"/><Relationship Id="rId32" Type="http://schemas.openxmlformats.org/officeDocument/2006/relationships/image" Target="../media/image34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5.png"/><Relationship Id="rId28" Type="http://schemas.openxmlformats.org/officeDocument/2006/relationships/image" Target="../media/image30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31" Type="http://schemas.openxmlformats.org/officeDocument/2006/relationships/image" Target="../media/image33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png"/><Relationship Id="rId27" Type="http://schemas.openxmlformats.org/officeDocument/2006/relationships/image" Target="../media/image29.png"/><Relationship Id="rId30" Type="http://schemas.openxmlformats.org/officeDocument/2006/relationships/image" Target="../media/image32.png"/><Relationship Id="rId35" Type="http://schemas.openxmlformats.org/officeDocument/2006/relationships/image" Target="../media/image3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151</xdr:row>
      <xdr:rowOff>28575</xdr:rowOff>
    </xdr:from>
    <xdr:to>
      <xdr:col>5</xdr:col>
      <xdr:colOff>2038350</xdr:colOff>
      <xdr:row>151</xdr:row>
      <xdr:rowOff>466725</xdr:rowOff>
    </xdr:to>
    <xdr:pic>
      <xdr:nvPicPr>
        <xdr:cNvPr id="12" name="Picture 1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41043225"/>
          <a:ext cx="20193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62</xdr:row>
      <xdr:rowOff>38100</xdr:rowOff>
    </xdr:from>
    <xdr:to>
      <xdr:col>5</xdr:col>
      <xdr:colOff>2390481</xdr:colOff>
      <xdr:row>62</xdr:row>
      <xdr:rowOff>533338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5925" y="14144625"/>
          <a:ext cx="2352381" cy="49523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207</xdr:row>
      <xdr:rowOff>381000</xdr:rowOff>
    </xdr:from>
    <xdr:to>
      <xdr:col>5</xdr:col>
      <xdr:colOff>2686050</xdr:colOff>
      <xdr:row>207</xdr:row>
      <xdr:rowOff>837269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10200" y="39214425"/>
          <a:ext cx="2638425" cy="456269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207</xdr:row>
      <xdr:rowOff>66675</xdr:rowOff>
    </xdr:from>
    <xdr:to>
      <xdr:col>6</xdr:col>
      <xdr:colOff>2248340</xdr:colOff>
      <xdr:row>207</xdr:row>
      <xdr:rowOff>1190624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29600" y="50206275"/>
          <a:ext cx="2143565" cy="1123949"/>
        </a:xfrm>
        <a:prstGeom prst="rect">
          <a:avLst/>
        </a:prstGeom>
      </xdr:spPr>
    </xdr:pic>
    <xdr:clientData/>
  </xdr:twoCellAnchor>
  <xdr:twoCellAnchor editAs="oneCell">
    <xdr:from>
      <xdr:col>5</xdr:col>
      <xdr:colOff>66676</xdr:colOff>
      <xdr:row>209</xdr:row>
      <xdr:rowOff>57150</xdr:rowOff>
    </xdr:from>
    <xdr:to>
      <xdr:col>5</xdr:col>
      <xdr:colOff>1895476</xdr:colOff>
      <xdr:row>209</xdr:row>
      <xdr:rowOff>628168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29251" y="40281225"/>
          <a:ext cx="1828800" cy="571018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209</xdr:row>
      <xdr:rowOff>95250</xdr:rowOff>
    </xdr:from>
    <xdr:to>
      <xdr:col>6</xdr:col>
      <xdr:colOff>1857171</xdr:colOff>
      <xdr:row>209</xdr:row>
      <xdr:rowOff>466679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629650" y="36918900"/>
          <a:ext cx="1628571" cy="37142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211</xdr:row>
      <xdr:rowOff>66675</xdr:rowOff>
    </xdr:from>
    <xdr:to>
      <xdr:col>5</xdr:col>
      <xdr:colOff>1828800</xdr:colOff>
      <xdr:row>211</xdr:row>
      <xdr:rowOff>613172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10200" y="41138475"/>
          <a:ext cx="1781175" cy="546497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211</xdr:row>
      <xdr:rowOff>247650</xdr:rowOff>
    </xdr:from>
    <xdr:to>
      <xdr:col>6</xdr:col>
      <xdr:colOff>1952401</xdr:colOff>
      <xdr:row>211</xdr:row>
      <xdr:rowOff>571460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410825" y="41205150"/>
          <a:ext cx="1790476" cy="32381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226</xdr:row>
      <xdr:rowOff>104775</xdr:rowOff>
    </xdr:from>
    <xdr:to>
      <xdr:col>5</xdr:col>
      <xdr:colOff>2590801</xdr:colOff>
      <xdr:row>226</xdr:row>
      <xdr:rowOff>346531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91176" y="40347900"/>
          <a:ext cx="2495550" cy="241756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227</xdr:row>
      <xdr:rowOff>47626</xdr:rowOff>
    </xdr:from>
    <xdr:to>
      <xdr:col>5</xdr:col>
      <xdr:colOff>2619375</xdr:colOff>
      <xdr:row>227</xdr:row>
      <xdr:rowOff>310764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581650" y="40795576"/>
          <a:ext cx="2533650" cy="263138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228</xdr:row>
      <xdr:rowOff>28575</xdr:rowOff>
    </xdr:from>
    <xdr:to>
      <xdr:col>5</xdr:col>
      <xdr:colOff>2095500</xdr:colOff>
      <xdr:row>228</xdr:row>
      <xdr:rowOff>312445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524500" y="41195625"/>
          <a:ext cx="2066925" cy="28387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229</xdr:row>
      <xdr:rowOff>76200</xdr:rowOff>
    </xdr:from>
    <xdr:to>
      <xdr:col>5</xdr:col>
      <xdr:colOff>1914525</xdr:colOff>
      <xdr:row>229</xdr:row>
      <xdr:rowOff>316357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467350" y="56892825"/>
          <a:ext cx="1809750" cy="240157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226</xdr:row>
      <xdr:rowOff>447675</xdr:rowOff>
    </xdr:from>
    <xdr:to>
      <xdr:col>6</xdr:col>
      <xdr:colOff>3451576</xdr:colOff>
      <xdr:row>229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153400" y="55959375"/>
          <a:ext cx="3423001" cy="8572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242</xdr:row>
          <xdr:rowOff>161925</xdr:rowOff>
        </xdr:from>
        <xdr:to>
          <xdr:col>1</xdr:col>
          <xdr:colOff>971550</xdr:colOff>
          <xdr:row>246</xdr:row>
          <xdr:rowOff>85725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1362075</xdr:colOff>
          <xdr:row>242</xdr:row>
          <xdr:rowOff>171450</xdr:rowOff>
        </xdr:from>
        <xdr:to>
          <xdr:col>1</xdr:col>
          <xdr:colOff>2276475</xdr:colOff>
          <xdr:row>246</xdr:row>
          <xdr:rowOff>95250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66675</xdr:colOff>
      <xdr:row>61</xdr:row>
      <xdr:rowOff>19050</xdr:rowOff>
    </xdr:from>
    <xdr:to>
      <xdr:col>5</xdr:col>
      <xdr:colOff>2552700</xdr:colOff>
      <xdr:row>61</xdr:row>
      <xdr:rowOff>521194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24500" y="13582650"/>
          <a:ext cx="2486025" cy="50214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28576</xdr:colOff>
      <xdr:row>58</xdr:row>
      <xdr:rowOff>38101</xdr:rowOff>
    </xdr:from>
    <xdr:to>
      <xdr:col>5</xdr:col>
      <xdr:colOff>2105026</xdr:colOff>
      <xdr:row>58</xdr:row>
      <xdr:rowOff>583269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67351" y="14963776"/>
          <a:ext cx="2076450" cy="54516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47624</xdr:colOff>
      <xdr:row>60</xdr:row>
      <xdr:rowOff>66675</xdr:rowOff>
    </xdr:from>
    <xdr:to>
      <xdr:col>5</xdr:col>
      <xdr:colOff>2095499</xdr:colOff>
      <xdr:row>60</xdr:row>
      <xdr:rowOff>535699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505449" y="13068300"/>
          <a:ext cx="2047875" cy="469024"/>
        </a:xfrm>
        <a:prstGeom prst="rect">
          <a:avLst/>
        </a:prstGeom>
      </xdr:spPr>
    </xdr:pic>
    <xdr:clientData/>
  </xdr:twoCellAnchor>
  <xdr:twoCellAnchor editAs="oneCell">
    <xdr:from>
      <xdr:col>5</xdr:col>
      <xdr:colOff>57151</xdr:colOff>
      <xdr:row>66</xdr:row>
      <xdr:rowOff>19051</xdr:rowOff>
    </xdr:from>
    <xdr:to>
      <xdr:col>5</xdr:col>
      <xdr:colOff>1847850</xdr:colOff>
      <xdr:row>66</xdr:row>
      <xdr:rowOff>462900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495926" y="18583276"/>
          <a:ext cx="1790699" cy="44384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57</xdr:row>
      <xdr:rowOff>57150</xdr:rowOff>
    </xdr:from>
    <xdr:to>
      <xdr:col>5</xdr:col>
      <xdr:colOff>2219326</xdr:colOff>
      <xdr:row>57</xdr:row>
      <xdr:rowOff>313130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505451" y="11830050"/>
          <a:ext cx="2171700" cy="25598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111</xdr:row>
      <xdr:rowOff>38100</xdr:rowOff>
    </xdr:from>
    <xdr:to>
      <xdr:col>5</xdr:col>
      <xdr:colOff>1904769</xdr:colOff>
      <xdr:row>111</xdr:row>
      <xdr:rowOff>371433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514975" y="20516850"/>
          <a:ext cx="1847619" cy="33333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168</xdr:row>
      <xdr:rowOff>28575</xdr:rowOff>
    </xdr:from>
    <xdr:to>
      <xdr:col>6</xdr:col>
      <xdr:colOff>504825</xdr:colOff>
      <xdr:row>168</xdr:row>
      <xdr:rowOff>506901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391150" y="29689425"/>
          <a:ext cx="3238500" cy="478326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81</xdr:row>
      <xdr:rowOff>47625</xdr:rowOff>
    </xdr:from>
    <xdr:to>
      <xdr:col>5</xdr:col>
      <xdr:colOff>2409825</xdr:colOff>
      <xdr:row>81</xdr:row>
      <xdr:rowOff>444159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495925" y="23174325"/>
          <a:ext cx="2371725" cy="396534"/>
        </a:xfrm>
        <a:prstGeom prst="rect">
          <a:avLst/>
        </a:prstGeom>
      </xdr:spPr>
    </xdr:pic>
    <xdr:clientData/>
  </xdr:twoCellAnchor>
  <xdr:twoCellAnchor editAs="oneCell">
    <xdr:from>
      <xdr:col>5</xdr:col>
      <xdr:colOff>76199</xdr:colOff>
      <xdr:row>89</xdr:row>
      <xdr:rowOff>38101</xdr:rowOff>
    </xdr:from>
    <xdr:to>
      <xdr:col>5</xdr:col>
      <xdr:colOff>2247900</xdr:colOff>
      <xdr:row>91</xdr:row>
      <xdr:rowOff>148022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534024" y="25460326"/>
          <a:ext cx="2171701" cy="490921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173</xdr:row>
      <xdr:rowOff>38100</xdr:rowOff>
    </xdr:from>
    <xdr:to>
      <xdr:col>5</xdr:col>
      <xdr:colOff>1733550</xdr:colOff>
      <xdr:row>173</xdr:row>
      <xdr:rowOff>459581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410200" y="35814000"/>
          <a:ext cx="1685925" cy="421481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133</xdr:row>
      <xdr:rowOff>38100</xdr:rowOff>
    </xdr:from>
    <xdr:to>
      <xdr:col>5</xdr:col>
      <xdr:colOff>1485900</xdr:colOff>
      <xdr:row>133</xdr:row>
      <xdr:rowOff>413471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600700" y="34156650"/>
          <a:ext cx="1457325" cy="375371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170</xdr:row>
      <xdr:rowOff>38101</xdr:rowOff>
    </xdr:from>
    <xdr:to>
      <xdr:col>5</xdr:col>
      <xdr:colOff>1228725</xdr:colOff>
      <xdr:row>170</xdr:row>
      <xdr:rowOff>505033</xdr:rowOff>
    </xdr:to>
    <xdr:pic>
      <xdr:nvPicPr>
        <xdr:cNvPr id="43" name="Picture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32442151"/>
          <a:ext cx="1171575" cy="466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28576</xdr:colOff>
      <xdr:row>135</xdr:row>
      <xdr:rowOff>28575</xdr:rowOff>
    </xdr:from>
    <xdr:to>
      <xdr:col>5</xdr:col>
      <xdr:colOff>1473202</xdr:colOff>
      <xdr:row>135</xdr:row>
      <xdr:rowOff>428625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305426" y="36242625"/>
          <a:ext cx="1444626" cy="40005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28576</xdr:colOff>
      <xdr:row>136</xdr:row>
      <xdr:rowOff>38100</xdr:rowOff>
    </xdr:from>
    <xdr:to>
      <xdr:col>5</xdr:col>
      <xdr:colOff>2733675</xdr:colOff>
      <xdr:row>136</xdr:row>
      <xdr:rowOff>473470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5391151" y="31013400"/>
          <a:ext cx="2705099" cy="43537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85726</xdr:colOff>
      <xdr:row>153</xdr:row>
      <xdr:rowOff>76201</xdr:rowOff>
    </xdr:from>
    <xdr:to>
      <xdr:col>5</xdr:col>
      <xdr:colOff>2333626</xdr:colOff>
      <xdr:row>153</xdr:row>
      <xdr:rowOff>546881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5362576" y="41776651"/>
          <a:ext cx="2247900" cy="47068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190</xdr:row>
      <xdr:rowOff>38100</xdr:rowOff>
    </xdr:from>
    <xdr:to>
      <xdr:col>5</xdr:col>
      <xdr:colOff>1704975</xdr:colOff>
      <xdr:row>190</xdr:row>
      <xdr:rowOff>476339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314950" y="45186600"/>
          <a:ext cx="1666875" cy="438239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192</xdr:row>
      <xdr:rowOff>28575</xdr:rowOff>
    </xdr:from>
    <xdr:to>
      <xdr:col>5</xdr:col>
      <xdr:colOff>1800996</xdr:colOff>
      <xdr:row>192</xdr:row>
      <xdr:rowOff>542925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305425" y="45881925"/>
          <a:ext cx="1772421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84</xdr:row>
      <xdr:rowOff>76200</xdr:rowOff>
    </xdr:from>
    <xdr:to>
      <xdr:col>5</xdr:col>
      <xdr:colOff>1019055</xdr:colOff>
      <xdr:row>85</xdr:row>
      <xdr:rowOff>190457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5419725" y="19316700"/>
          <a:ext cx="961905" cy="3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127</xdr:row>
      <xdr:rowOff>38100</xdr:rowOff>
    </xdr:from>
    <xdr:to>
      <xdr:col>5</xdr:col>
      <xdr:colOff>1676400</xdr:colOff>
      <xdr:row>127</xdr:row>
      <xdr:rowOff>365352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429250" y="28355925"/>
          <a:ext cx="1609725" cy="327252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124</xdr:row>
      <xdr:rowOff>28575</xdr:rowOff>
    </xdr:from>
    <xdr:to>
      <xdr:col>5</xdr:col>
      <xdr:colOff>1138669</xdr:colOff>
      <xdr:row>124</xdr:row>
      <xdr:rowOff>323850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5400675" y="27622500"/>
          <a:ext cx="1100569" cy="29527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233</xdr:row>
      <xdr:rowOff>28575</xdr:rowOff>
    </xdr:from>
    <xdr:to>
      <xdr:col>5</xdr:col>
      <xdr:colOff>1647825</xdr:colOff>
      <xdr:row>233</xdr:row>
      <xdr:rowOff>355827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400675" y="57835800"/>
          <a:ext cx="1609725" cy="327252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53</xdr:row>
      <xdr:rowOff>57150</xdr:rowOff>
    </xdr:from>
    <xdr:to>
      <xdr:col>5</xdr:col>
      <xdr:colOff>1228725</xdr:colOff>
      <xdr:row>53</xdr:row>
      <xdr:rowOff>434301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5419725" y="10391775"/>
          <a:ext cx="1171575" cy="37715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5</xdr:row>
      <xdr:rowOff>85725</xdr:rowOff>
    </xdr:from>
    <xdr:to>
      <xdr:col>6</xdr:col>
      <xdr:colOff>3382864</xdr:colOff>
      <xdr:row>27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04774" y="1085850"/>
          <a:ext cx="11402915" cy="4200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IMBLE\2.%20ACME%20Homologation\4.%20Hardware%20Design%20Calculation\Power%20Supply%20Unit\1.%20Buck-Boost%20Controller\ACME%20_%20PSU%20_%20Buck-Boost%20(LM25118)High%20Level%20Design%20Calc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mcsc.INTERFACE/My%20Documents/PROJECTS/Buck-Boost/LM5116/LM5116_quicksta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mcsc.INTERFACE/My%20Documents/PROJECTS/Buck-Boost/LM5116/LM5116_quickstart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M25118 High level Calculation"/>
      <sheetName val="Bill of Materials"/>
      <sheetName val="EVM Schematic &amp; BOM"/>
      <sheetName val="Bode Plots"/>
      <sheetName val="Worksheet"/>
      <sheetName val="Graph"/>
    </sheetNames>
    <sheetDataSet>
      <sheetData sheetId="0"/>
      <sheetData sheetId="1">
        <row r="6">
          <cell r="E6">
            <v>12</v>
          </cell>
        </row>
        <row r="7">
          <cell r="E7">
            <v>5</v>
          </cell>
        </row>
        <row r="8">
          <cell r="E8">
            <v>40</v>
          </cell>
        </row>
        <row r="9">
          <cell r="E9">
            <v>3</v>
          </cell>
        </row>
        <row r="10">
          <cell r="E10">
            <v>0.4</v>
          </cell>
        </row>
        <row r="12">
          <cell r="E12">
            <v>15.96</v>
          </cell>
        </row>
        <row r="13">
          <cell r="E13" t="str">
            <v>YES</v>
          </cell>
        </row>
        <row r="19">
          <cell r="E19">
            <v>300</v>
          </cell>
        </row>
        <row r="20">
          <cell r="E20">
            <v>18.313333333333333</v>
          </cell>
        </row>
        <row r="25">
          <cell r="E25">
            <v>10</v>
          </cell>
        </row>
        <row r="28">
          <cell r="E28">
            <v>2</v>
          </cell>
        </row>
        <row r="30">
          <cell r="E30">
            <v>1.1764705882352939</v>
          </cell>
        </row>
        <row r="32">
          <cell r="E32">
            <v>10.788235294117646</v>
          </cell>
        </row>
        <row r="36">
          <cell r="E36">
            <v>18.538713195201744</v>
          </cell>
        </row>
        <row r="43">
          <cell r="E43">
            <v>277.77777777777777</v>
          </cell>
        </row>
        <row r="44">
          <cell r="E44" t="str">
            <v>NA</v>
          </cell>
        </row>
        <row r="47">
          <cell r="E47">
            <v>50</v>
          </cell>
        </row>
        <row r="51">
          <cell r="E51">
            <v>4.634678298800436</v>
          </cell>
        </row>
        <row r="52">
          <cell r="E52">
            <v>550</v>
          </cell>
        </row>
        <row r="61">
          <cell r="E61">
            <v>50</v>
          </cell>
        </row>
        <row r="64">
          <cell r="E64">
            <v>1200</v>
          </cell>
        </row>
        <row r="65">
          <cell r="E65">
            <v>10507.317073170732</v>
          </cell>
        </row>
        <row r="70">
          <cell r="E70">
            <v>0.1</v>
          </cell>
        </row>
        <row r="71">
          <cell r="E71">
            <v>1</v>
          </cell>
        </row>
        <row r="77">
          <cell r="E77">
            <v>-12.801025225655625</v>
          </cell>
        </row>
        <row r="80">
          <cell r="E80">
            <v>49571.265679138167</v>
          </cell>
        </row>
        <row r="81">
          <cell r="E81">
            <v>9.8038190101369035E-2</v>
          </cell>
        </row>
        <row r="82">
          <cell r="E82">
            <v>1.1707282830796111</v>
          </cell>
        </row>
        <row r="86">
          <cell r="E86">
            <v>9.7560975609756113</v>
          </cell>
        </row>
        <row r="90">
          <cell r="E90">
            <v>75</v>
          </cell>
        </row>
        <row r="92">
          <cell r="E92">
            <v>29.332273449920507</v>
          </cell>
        </row>
        <row r="95">
          <cell r="E95">
            <v>0.10458248990122081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M5116 Calculator"/>
      <sheetName val="Frequency Compensation Graphs"/>
      <sheetName val="Bill of Materials"/>
    </sheetNames>
    <sheetDataSet>
      <sheetData sheetId="0">
        <row r="12">
          <cell r="E12">
            <v>2.2999999999999998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M5116 Calculator"/>
      <sheetName val="Frequency Compensation Graphs"/>
      <sheetName val="Bill of Materials"/>
    </sheetNames>
    <sheetDataSet>
      <sheetData sheetId="0">
        <row r="34">
          <cell r="E34" t="str">
            <v>Yes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47"/>
  <sheetViews>
    <sheetView showGridLines="0" tabSelected="1" view="pageBreakPreview" zoomScaleNormal="100" zoomScaleSheetLayoutView="100" workbookViewId="0">
      <selection activeCell="F207" sqref="F207"/>
    </sheetView>
  </sheetViews>
  <sheetFormatPr defaultRowHeight="15" x14ac:dyDescent="0.25"/>
  <cols>
    <col min="1" max="1" width="1.140625" style="1" customWidth="1"/>
    <col min="2" max="2" width="42.85546875" style="1" customWidth="1"/>
    <col min="3" max="3" width="12.140625" style="10" customWidth="1"/>
    <col min="4" max="5" width="12.140625" style="1" customWidth="1"/>
    <col min="6" max="6" width="41.42578125" style="11" customWidth="1"/>
    <col min="7" max="7" width="53.28515625" style="1" customWidth="1"/>
    <col min="8" max="16384" width="9.140625" style="1"/>
  </cols>
  <sheetData>
    <row r="1" spans="2:11" ht="18.75" x14ac:dyDescent="0.25">
      <c r="B1" s="159" t="s">
        <v>309</v>
      </c>
      <c r="C1" s="159"/>
      <c r="D1" s="159"/>
      <c r="E1" s="159"/>
      <c r="F1" s="159"/>
      <c r="G1" s="160"/>
    </row>
    <row r="2" spans="2:11" x14ac:dyDescent="0.25">
      <c r="B2" s="135" t="s">
        <v>0</v>
      </c>
      <c r="C2" s="135"/>
      <c r="D2" s="135"/>
      <c r="E2" s="135"/>
      <c r="F2" s="135"/>
      <c r="G2" s="135"/>
    </row>
    <row r="3" spans="2:11" x14ac:dyDescent="0.25">
      <c r="B3" s="2" t="s">
        <v>1</v>
      </c>
      <c r="C3" s="136" t="s">
        <v>2</v>
      </c>
      <c r="D3" s="136"/>
      <c r="E3" s="136"/>
      <c r="F3" s="136"/>
      <c r="G3" s="136"/>
    </row>
    <row r="4" spans="2:11" x14ac:dyDescent="0.25">
      <c r="B4" s="3" t="s">
        <v>129</v>
      </c>
      <c r="C4" s="137">
        <v>12</v>
      </c>
      <c r="D4" s="137"/>
      <c r="E4" s="137"/>
      <c r="F4" s="137"/>
      <c r="G4" s="137"/>
    </row>
    <row r="5" spans="2:11" x14ac:dyDescent="0.25">
      <c r="B5" s="135" t="s">
        <v>3</v>
      </c>
      <c r="C5" s="135"/>
      <c r="D5" s="135"/>
      <c r="E5" s="135"/>
      <c r="F5" s="135"/>
      <c r="G5" s="135"/>
    </row>
    <row r="6" spans="2:11" x14ac:dyDescent="0.25">
      <c r="B6" s="37"/>
      <c r="C6" s="32"/>
      <c r="D6" s="31"/>
      <c r="E6" s="31"/>
      <c r="F6" s="31"/>
      <c r="G6" s="38"/>
    </row>
    <row r="7" spans="2:11" x14ac:dyDescent="0.25">
      <c r="B7" s="39"/>
      <c r="C7" s="6"/>
      <c r="D7" s="6"/>
      <c r="E7" s="6"/>
      <c r="F7" s="5"/>
      <c r="G7" s="40"/>
      <c r="H7" s="5"/>
      <c r="I7" s="5"/>
      <c r="J7" s="5"/>
      <c r="K7" s="5"/>
    </row>
    <row r="8" spans="2:11" x14ac:dyDescent="0.25">
      <c r="B8" s="39"/>
      <c r="C8" s="6"/>
      <c r="D8" s="6"/>
      <c r="E8" s="6"/>
      <c r="F8" s="5"/>
      <c r="G8" s="40"/>
      <c r="H8" s="5"/>
      <c r="I8" s="5"/>
      <c r="J8" s="5"/>
      <c r="K8" s="5"/>
    </row>
    <row r="9" spans="2:11" x14ac:dyDescent="0.25">
      <c r="B9" s="39"/>
      <c r="C9" s="6"/>
      <c r="D9" s="6"/>
      <c r="E9" s="6"/>
      <c r="F9" s="5"/>
      <c r="G9" s="41"/>
      <c r="H9" s="5"/>
      <c r="I9" s="5"/>
      <c r="J9" s="5"/>
      <c r="K9" s="5"/>
    </row>
    <row r="10" spans="2:11" x14ac:dyDescent="0.25">
      <c r="B10" s="42"/>
      <c r="C10" s="4"/>
      <c r="D10" s="6"/>
      <c r="E10" s="7"/>
      <c r="F10" s="7"/>
      <c r="G10" s="41"/>
      <c r="H10" s="138"/>
      <c r="I10" s="138"/>
      <c r="J10" s="138"/>
      <c r="K10" s="138"/>
    </row>
    <row r="11" spans="2:11" x14ac:dyDescent="0.25">
      <c r="B11" s="42"/>
      <c r="C11" s="4"/>
      <c r="D11" s="6"/>
      <c r="E11" s="7"/>
      <c r="F11" s="7"/>
      <c r="G11" s="41"/>
      <c r="H11" s="5"/>
      <c r="I11" s="5"/>
      <c r="J11" s="5"/>
      <c r="K11" s="5"/>
    </row>
    <row r="12" spans="2:11" x14ac:dyDescent="0.25">
      <c r="B12" s="42"/>
      <c r="C12" s="4"/>
      <c r="D12" s="6"/>
      <c r="E12" s="7"/>
      <c r="F12" s="7"/>
      <c r="G12" s="41"/>
      <c r="H12" s="5"/>
      <c r="I12" s="5"/>
      <c r="J12" s="5"/>
      <c r="K12" s="5"/>
    </row>
    <row r="13" spans="2:11" x14ac:dyDescent="0.25">
      <c r="B13" s="42"/>
      <c r="C13" s="4"/>
      <c r="D13" s="6"/>
      <c r="E13" s="8"/>
      <c r="F13" s="7"/>
      <c r="G13" s="41"/>
      <c r="H13" s="5"/>
      <c r="I13" s="5"/>
      <c r="J13" s="5"/>
      <c r="K13" s="5"/>
    </row>
    <row r="14" spans="2:11" x14ac:dyDescent="0.25">
      <c r="B14" s="42"/>
      <c r="C14" s="4"/>
      <c r="D14" s="6"/>
      <c r="E14" s="8"/>
      <c r="F14" s="7"/>
      <c r="G14" s="41"/>
      <c r="H14" s="5"/>
      <c r="I14" s="5"/>
      <c r="J14" s="5"/>
      <c r="K14" s="5"/>
    </row>
    <row r="15" spans="2:11" x14ac:dyDescent="0.25">
      <c r="B15" s="42"/>
      <c r="C15" s="4"/>
      <c r="D15" s="6"/>
      <c r="E15" s="8"/>
      <c r="F15" s="7"/>
      <c r="G15" s="41"/>
      <c r="H15" s="5"/>
      <c r="I15" s="5"/>
      <c r="J15" s="5"/>
      <c r="K15" s="5"/>
    </row>
    <row r="16" spans="2:11" x14ac:dyDescent="0.25">
      <c r="B16" s="42"/>
      <c r="C16" s="4"/>
      <c r="D16" s="6"/>
      <c r="E16" s="8"/>
      <c r="F16" s="7"/>
      <c r="G16" s="41"/>
      <c r="H16" s="5"/>
      <c r="I16" s="5"/>
      <c r="J16" s="5"/>
      <c r="K16" s="5"/>
    </row>
    <row r="17" spans="2:11" x14ac:dyDescent="0.25">
      <c r="B17" s="42"/>
      <c r="C17" s="4"/>
      <c r="D17" s="6"/>
      <c r="E17" s="8"/>
      <c r="F17" s="7"/>
      <c r="G17" s="41"/>
      <c r="H17" s="5"/>
      <c r="I17" s="5"/>
      <c r="J17" s="5"/>
      <c r="K17" s="5"/>
    </row>
    <row r="18" spans="2:11" x14ac:dyDescent="0.25">
      <c r="B18" s="42"/>
      <c r="C18" s="4"/>
      <c r="D18" s="6"/>
      <c r="E18" s="8"/>
      <c r="F18" s="7"/>
      <c r="G18" s="41"/>
      <c r="H18" s="5"/>
      <c r="I18" s="5"/>
      <c r="J18" s="5"/>
      <c r="K18" s="5"/>
    </row>
    <row r="19" spans="2:11" x14ac:dyDescent="0.25">
      <c r="B19" s="42"/>
      <c r="C19" s="4"/>
      <c r="D19" s="6"/>
      <c r="E19" s="8"/>
      <c r="F19" s="7"/>
      <c r="G19" s="41"/>
      <c r="H19" s="5"/>
      <c r="I19" s="5"/>
      <c r="J19" s="5"/>
      <c r="K19" s="5"/>
    </row>
    <row r="20" spans="2:11" x14ac:dyDescent="0.25">
      <c r="B20" s="42"/>
      <c r="C20" s="4"/>
      <c r="D20" s="6"/>
      <c r="E20" s="8"/>
      <c r="F20" s="7"/>
      <c r="G20" s="41"/>
      <c r="H20" s="5"/>
      <c r="I20" s="5"/>
      <c r="J20" s="5"/>
      <c r="K20" s="5"/>
    </row>
    <row r="21" spans="2:11" x14ac:dyDescent="0.25">
      <c r="B21" s="42"/>
      <c r="C21" s="4"/>
      <c r="D21" s="6"/>
      <c r="E21" s="7"/>
      <c r="F21" s="7"/>
      <c r="G21" s="43"/>
      <c r="H21" s="138"/>
      <c r="I21" s="138"/>
      <c r="J21" s="138"/>
      <c r="K21" s="138"/>
    </row>
    <row r="22" spans="2:11" x14ac:dyDescent="0.25">
      <c r="B22" s="42"/>
      <c r="C22" s="4"/>
      <c r="D22" s="6"/>
      <c r="E22" s="7"/>
      <c r="F22" s="7"/>
      <c r="G22" s="41"/>
      <c r="H22" s="138"/>
      <c r="I22" s="138"/>
      <c r="J22" s="138"/>
      <c r="K22" s="138"/>
    </row>
    <row r="23" spans="2:11" x14ac:dyDescent="0.25">
      <c r="B23" s="42"/>
      <c r="C23" s="4"/>
      <c r="D23" s="6"/>
      <c r="E23" s="7"/>
      <c r="F23" s="7"/>
      <c r="G23" s="41"/>
      <c r="H23" s="5"/>
      <c r="I23" s="5"/>
      <c r="J23" s="5"/>
      <c r="K23" s="5"/>
    </row>
    <row r="24" spans="2:11" x14ac:dyDescent="0.25">
      <c r="B24" s="42"/>
      <c r="C24" s="4"/>
      <c r="D24" s="6"/>
      <c r="E24" s="7"/>
      <c r="F24" s="7"/>
      <c r="G24" s="41"/>
      <c r="H24" s="5"/>
      <c r="I24" s="5"/>
      <c r="J24" s="5"/>
      <c r="K24" s="5"/>
    </row>
    <row r="25" spans="2:11" x14ac:dyDescent="0.25">
      <c r="B25" s="42"/>
      <c r="C25" s="4"/>
      <c r="D25" s="6"/>
      <c r="E25" s="7"/>
      <c r="F25" s="7"/>
      <c r="G25" s="41"/>
      <c r="H25" s="5"/>
      <c r="I25" s="5"/>
      <c r="J25" s="5"/>
      <c r="K25" s="5"/>
    </row>
    <row r="26" spans="2:11" x14ac:dyDescent="0.25">
      <c r="B26" s="42"/>
      <c r="C26" s="4"/>
      <c r="D26" s="6"/>
      <c r="E26" s="7"/>
      <c r="F26" s="7"/>
      <c r="G26" s="41"/>
      <c r="H26" s="5"/>
      <c r="I26" s="5"/>
      <c r="J26" s="5"/>
      <c r="K26" s="5"/>
    </row>
    <row r="27" spans="2:11" x14ac:dyDescent="0.25">
      <c r="B27" s="42"/>
      <c r="C27" s="4"/>
      <c r="D27" s="6"/>
      <c r="E27" s="7"/>
      <c r="F27" s="7"/>
      <c r="G27" s="41"/>
      <c r="H27" s="5"/>
      <c r="I27" s="5"/>
      <c r="J27" s="5"/>
      <c r="K27" s="5"/>
    </row>
    <row r="28" spans="2:11" x14ac:dyDescent="0.25">
      <c r="B28" s="42"/>
      <c r="C28" s="4"/>
      <c r="D28" s="6"/>
      <c r="E28" s="8"/>
      <c r="F28" s="7"/>
      <c r="G28" s="41"/>
      <c r="H28" s="5"/>
      <c r="I28" s="5"/>
      <c r="J28" s="5"/>
      <c r="K28" s="5"/>
    </row>
    <row r="29" spans="2:11" x14ac:dyDescent="0.25">
      <c r="B29" s="42"/>
      <c r="C29" s="4"/>
      <c r="D29" s="6"/>
      <c r="E29" s="8"/>
      <c r="F29" s="7"/>
      <c r="G29" s="41"/>
      <c r="H29" s="5"/>
      <c r="I29" s="5"/>
      <c r="J29" s="5"/>
      <c r="K29" s="5"/>
    </row>
    <row r="30" spans="2:11" x14ac:dyDescent="0.25">
      <c r="B30" s="44"/>
      <c r="C30" s="33"/>
      <c r="D30" s="34"/>
      <c r="E30" s="35"/>
      <c r="F30" s="36"/>
      <c r="G30" s="45"/>
      <c r="H30" s="5"/>
      <c r="I30" s="5"/>
      <c r="J30" s="5"/>
      <c r="K30" s="5"/>
    </row>
    <row r="31" spans="2:11" x14ac:dyDescent="0.25">
      <c r="B31" s="140" t="s">
        <v>133</v>
      </c>
      <c r="C31" s="140"/>
      <c r="D31" s="140"/>
      <c r="E31" s="140"/>
      <c r="F31" s="140"/>
      <c r="G31" s="140"/>
    </row>
    <row r="32" spans="2:11" x14ac:dyDescent="0.25">
      <c r="B32" s="141" t="s">
        <v>199</v>
      </c>
      <c r="C32" s="141"/>
      <c r="D32" s="141"/>
      <c r="E32" s="141"/>
      <c r="F32" s="141"/>
      <c r="G32" s="141"/>
    </row>
    <row r="33" spans="2:7" x14ac:dyDescent="0.25">
      <c r="B33" s="140" t="s">
        <v>134</v>
      </c>
      <c r="C33" s="140"/>
      <c r="D33" s="140"/>
      <c r="E33" s="140"/>
      <c r="F33" s="140"/>
      <c r="G33" s="140"/>
    </row>
    <row r="34" spans="2:7" s="29" customFormat="1" x14ac:dyDescent="0.25">
      <c r="B34" s="27" t="s">
        <v>4</v>
      </c>
      <c r="C34" s="27" t="s">
        <v>10</v>
      </c>
      <c r="D34" s="30" t="s">
        <v>5</v>
      </c>
      <c r="E34" s="27" t="s">
        <v>6</v>
      </c>
      <c r="F34" s="27" t="s">
        <v>7</v>
      </c>
      <c r="G34" s="27" t="s">
        <v>8</v>
      </c>
    </row>
    <row r="35" spans="2:7" x14ac:dyDescent="0.25">
      <c r="B35" s="47" t="s">
        <v>156</v>
      </c>
      <c r="C35" s="48" t="s">
        <v>16</v>
      </c>
      <c r="D35" s="49">
        <v>9</v>
      </c>
      <c r="E35" s="47" t="s">
        <v>17</v>
      </c>
      <c r="F35" s="47"/>
      <c r="G35" s="47" t="s">
        <v>130</v>
      </c>
    </row>
    <row r="36" spans="2:7" x14ac:dyDescent="0.25">
      <c r="B36" s="47" t="s">
        <v>157</v>
      </c>
      <c r="C36" s="48" t="s">
        <v>18</v>
      </c>
      <c r="D36" s="49">
        <v>15</v>
      </c>
      <c r="E36" s="47" t="s">
        <v>17</v>
      </c>
      <c r="F36" s="47"/>
      <c r="G36" s="47" t="s">
        <v>93</v>
      </c>
    </row>
    <row r="37" spans="2:7" x14ac:dyDescent="0.25">
      <c r="B37" s="47" t="s">
        <v>158</v>
      </c>
      <c r="C37" s="48" t="s">
        <v>11</v>
      </c>
      <c r="D37" s="49">
        <v>5</v>
      </c>
      <c r="E37" s="47" t="s">
        <v>12</v>
      </c>
      <c r="F37" s="47"/>
      <c r="G37" s="47"/>
    </row>
    <row r="38" spans="2:7" x14ac:dyDescent="0.25">
      <c r="B38" s="47" t="s">
        <v>159</v>
      </c>
      <c r="C38" s="48" t="s">
        <v>13</v>
      </c>
      <c r="D38" s="49">
        <v>3</v>
      </c>
      <c r="E38" s="47" t="s">
        <v>14</v>
      </c>
      <c r="F38" s="47"/>
      <c r="G38" s="47"/>
    </row>
    <row r="39" spans="2:7" x14ac:dyDescent="0.25">
      <c r="B39" s="47" t="s">
        <v>160</v>
      </c>
      <c r="C39" s="48" t="s">
        <v>15</v>
      </c>
      <c r="D39" s="49">
        <f>D37*D38</f>
        <v>15</v>
      </c>
      <c r="E39" s="47" t="s">
        <v>9</v>
      </c>
      <c r="F39" s="47"/>
      <c r="G39" s="47"/>
    </row>
    <row r="40" spans="2:7" x14ac:dyDescent="0.25">
      <c r="B40" s="47" t="s">
        <v>161</v>
      </c>
      <c r="C40" s="47" t="s">
        <v>135</v>
      </c>
      <c r="D40" s="50">
        <v>0.85</v>
      </c>
      <c r="E40" s="47" t="s">
        <v>136</v>
      </c>
      <c r="F40" s="47"/>
      <c r="G40" s="47" t="s">
        <v>137</v>
      </c>
    </row>
    <row r="41" spans="2:7" x14ac:dyDescent="0.25">
      <c r="B41" s="140" t="s">
        <v>151</v>
      </c>
      <c r="C41" s="140"/>
      <c r="D41" s="140"/>
      <c r="E41" s="140"/>
      <c r="F41" s="140"/>
      <c r="G41" s="140"/>
    </row>
    <row r="42" spans="2:7" x14ac:dyDescent="0.25">
      <c r="B42" s="47" t="s">
        <v>165</v>
      </c>
      <c r="C42" s="48" t="s">
        <v>166</v>
      </c>
      <c r="D42" s="50" t="s">
        <v>167</v>
      </c>
      <c r="E42" s="47" t="s">
        <v>12</v>
      </c>
      <c r="F42" s="47"/>
      <c r="G42" s="47"/>
    </row>
    <row r="43" spans="2:7" ht="30" x14ac:dyDescent="0.25">
      <c r="B43" s="47" t="s">
        <v>24</v>
      </c>
      <c r="C43" s="48" t="s">
        <v>25</v>
      </c>
      <c r="D43" s="51">
        <v>570000</v>
      </c>
      <c r="E43" s="47" t="s">
        <v>26</v>
      </c>
      <c r="F43" s="47"/>
      <c r="G43" s="47" t="s">
        <v>94</v>
      </c>
    </row>
    <row r="44" spans="2:7" x14ac:dyDescent="0.25">
      <c r="B44" s="47" t="s">
        <v>91</v>
      </c>
      <c r="C44" s="48" t="s">
        <v>21</v>
      </c>
      <c r="D44" s="52">
        <v>0.15</v>
      </c>
      <c r="E44" s="47" t="s">
        <v>20</v>
      </c>
      <c r="F44" s="47"/>
      <c r="G44" s="47" t="s">
        <v>92</v>
      </c>
    </row>
    <row r="45" spans="2:7" x14ac:dyDescent="0.25">
      <c r="B45" s="47" t="s">
        <v>177</v>
      </c>
      <c r="C45" s="48" t="s">
        <v>147</v>
      </c>
      <c r="D45" s="52">
        <v>3.5</v>
      </c>
      <c r="E45" s="47" t="s">
        <v>14</v>
      </c>
      <c r="F45" s="48"/>
      <c r="G45" s="48" t="s">
        <v>148</v>
      </c>
    </row>
    <row r="46" spans="2:7" x14ac:dyDescent="0.25">
      <c r="B46" s="48" t="s">
        <v>171</v>
      </c>
      <c r="C46" s="48" t="s">
        <v>174</v>
      </c>
      <c r="D46" s="53">
        <v>0.77200000000000002</v>
      </c>
      <c r="E46" s="48" t="s">
        <v>12</v>
      </c>
      <c r="F46" s="47"/>
      <c r="G46" s="47"/>
    </row>
    <row r="47" spans="2:7" x14ac:dyDescent="0.25">
      <c r="B47" s="48" t="s">
        <v>172</v>
      </c>
      <c r="C47" s="48" t="s">
        <v>175</v>
      </c>
      <c r="D47" s="52">
        <v>0.8</v>
      </c>
      <c r="E47" s="48" t="s">
        <v>12</v>
      </c>
      <c r="F47" s="47"/>
      <c r="G47" s="47"/>
    </row>
    <row r="48" spans="2:7" x14ac:dyDescent="0.25">
      <c r="B48" s="48" t="s">
        <v>173</v>
      </c>
      <c r="C48" s="48" t="s">
        <v>176</v>
      </c>
      <c r="D48" s="53">
        <v>0.82799999999999996</v>
      </c>
      <c r="E48" s="48" t="s">
        <v>12</v>
      </c>
      <c r="F48" s="47"/>
      <c r="G48" s="47"/>
    </row>
    <row r="49" spans="2:7" x14ac:dyDescent="0.25">
      <c r="B49" s="48" t="s">
        <v>179</v>
      </c>
      <c r="C49" s="48" t="s">
        <v>22</v>
      </c>
      <c r="D49" s="53">
        <v>130</v>
      </c>
      <c r="E49" s="48" t="s">
        <v>23</v>
      </c>
      <c r="F49" s="47"/>
      <c r="G49" s="47"/>
    </row>
    <row r="50" spans="2:7" x14ac:dyDescent="0.25">
      <c r="B50" s="47" t="s">
        <v>178</v>
      </c>
      <c r="C50" s="48" t="s">
        <v>181</v>
      </c>
      <c r="D50" s="50">
        <v>0.93</v>
      </c>
      <c r="E50" s="47"/>
      <c r="F50" s="47"/>
      <c r="G50" s="47" t="s">
        <v>180</v>
      </c>
    </row>
    <row r="51" spans="2:7" x14ac:dyDescent="0.25">
      <c r="B51" s="47" t="s">
        <v>168</v>
      </c>
      <c r="C51" s="48" t="s">
        <v>169</v>
      </c>
      <c r="D51" s="49">
        <v>48.7</v>
      </c>
      <c r="E51" s="47" t="s">
        <v>170</v>
      </c>
      <c r="F51" s="47"/>
      <c r="G51" s="47" t="s">
        <v>200</v>
      </c>
    </row>
    <row r="52" spans="2:7" x14ac:dyDescent="0.25">
      <c r="B52" s="47" t="s">
        <v>162</v>
      </c>
      <c r="C52" s="48" t="s">
        <v>63</v>
      </c>
      <c r="D52" s="54" t="s">
        <v>163</v>
      </c>
      <c r="E52" s="47" t="s">
        <v>164</v>
      </c>
      <c r="F52" s="47"/>
      <c r="G52" s="47"/>
    </row>
    <row r="53" spans="2:7" x14ac:dyDescent="0.25">
      <c r="B53" s="140" t="s">
        <v>144</v>
      </c>
      <c r="C53" s="140"/>
      <c r="D53" s="140"/>
      <c r="E53" s="140"/>
      <c r="F53" s="140"/>
      <c r="G53" s="140"/>
    </row>
    <row r="54" spans="2:7" ht="38.25" customHeight="1" x14ac:dyDescent="0.25">
      <c r="B54" s="47" t="s">
        <v>138</v>
      </c>
      <c r="C54" s="48" t="s">
        <v>139</v>
      </c>
      <c r="D54" s="50">
        <f>D37/D36</f>
        <v>0.33333333333333331</v>
      </c>
      <c r="E54" s="47"/>
      <c r="F54" s="47"/>
      <c r="G54" s="47"/>
    </row>
    <row r="55" spans="2:7" ht="30" x14ac:dyDescent="0.25">
      <c r="B55" s="47" t="s">
        <v>24</v>
      </c>
      <c r="C55" s="48" t="s">
        <v>25</v>
      </c>
      <c r="D55" s="51">
        <v>570000</v>
      </c>
      <c r="E55" s="47" t="s">
        <v>26</v>
      </c>
      <c r="F55" s="47"/>
      <c r="G55" s="47" t="s">
        <v>94</v>
      </c>
    </row>
    <row r="56" spans="2:7" x14ac:dyDescent="0.25">
      <c r="B56" s="132" t="s">
        <v>46</v>
      </c>
      <c r="C56" s="133"/>
      <c r="D56" s="133"/>
      <c r="E56" s="133"/>
      <c r="F56" s="133"/>
      <c r="G56" s="133"/>
    </row>
    <row r="57" spans="2:7" ht="30" x14ac:dyDescent="0.25">
      <c r="B57" s="47" t="s">
        <v>205</v>
      </c>
      <c r="C57" s="48" t="s">
        <v>206</v>
      </c>
      <c r="D57" s="49">
        <v>0.3</v>
      </c>
      <c r="E57" s="47"/>
      <c r="F57" s="47" t="s">
        <v>207</v>
      </c>
      <c r="G57" s="47" t="s">
        <v>208</v>
      </c>
    </row>
    <row r="58" spans="2:7" ht="26.25" customHeight="1" x14ac:dyDescent="0.25">
      <c r="B58" s="47" t="s">
        <v>149</v>
      </c>
      <c r="C58" s="48" t="s">
        <v>150</v>
      </c>
      <c r="D58" s="49">
        <f>D57*D38</f>
        <v>0.89999999999999991</v>
      </c>
      <c r="E58" s="47" t="s">
        <v>14</v>
      </c>
      <c r="F58" s="47"/>
      <c r="G58" s="47"/>
    </row>
    <row r="59" spans="2:7" ht="48.75" customHeight="1" x14ac:dyDescent="0.25">
      <c r="B59" s="47" t="s">
        <v>203</v>
      </c>
      <c r="C59" s="48" t="s">
        <v>47</v>
      </c>
      <c r="D59" s="55">
        <f>((D37*(D36-D37))/(D58*D55*D36))*10^6</f>
        <v>6.4977257959714105</v>
      </c>
      <c r="E59" s="47" t="s">
        <v>48</v>
      </c>
      <c r="F59" s="47"/>
      <c r="G59" s="56"/>
    </row>
    <row r="60" spans="2:7" x14ac:dyDescent="0.25">
      <c r="B60" s="61" t="s">
        <v>204</v>
      </c>
      <c r="C60" s="62" t="s">
        <v>140</v>
      </c>
      <c r="D60" s="63">
        <v>6.8</v>
      </c>
      <c r="E60" s="61" t="s">
        <v>48</v>
      </c>
      <c r="F60" s="61"/>
      <c r="G60" s="64"/>
    </row>
    <row r="61" spans="2:7" ht="44.25" customHeight="1" x14ac:dyDescent="0.25">
      <c r="B61" s="47" t="s">
        <v>154</v>
      </c>
      <c r="C61" s="48" t="s">
        <v>153</v>
      </c>
      <c r="D61" s="55">
        <f>((D36-D37)*D54)/(D55*D60*(10^-6))</f>
        <v>0.85999312005503947</v>
      </c>
      <c r="E61" s="47" t="s">
        <v>14</v>
      </c>
      <c r="F61" s="47"/>
      <c r="G61" s="57"/>
    </row>
    <row r="62" spans="2:7" ht="42.75" customHeight="1" x14ac:dyDescent="0.25">
      <c r="B62" s="47" t="s">
        <v>49</v>
      </c>
      <c r="C62" s="48" t="s">
        <v>152</v>
      </c>
      <c r="D62" s="55">
        <f>SQRT((D38^2)+(1/12)*(D61^2))</f>
        <v>3.0102545319643377</v>
      </c>
      <c r="E62" s="47" t="s">
        <v>14</v>
      </c>
      <c r="F62" s="47"/>
      <c r="G62" s="57" t="s">
        <v>146</v>
      </c>
    </row>
    <row r="63" spans="2:7" ht="45.75" customHeight="1" x14ac:dyDescent="0.25">
      <c r="B63" s="47" t="s">
        <v>155</v>
      </c>
      <c r="C63" s="48" t="s">
        <v>143</v>
      </c>
      <c r="D63" s="55">
        <f>D38+(D61/2)</f>
        <v>3.4299965600275195</v>
      </c>
      <c r="E63" s="47" t="s">
        <v>14</v>
      </c>
      <c r="F63" s="47"/>
      <c r="G63" s="57"/>
    </row>
    <row r="64" spans="2:7" x14ac:dyDescent="0.25">
      <c r="B64" s="47" t="s">
        <v>213</v>
      </c>
      <c r="C64" s="58"/>
      <c r="D64" s="59">
        <v>0.5</v>
      </c>
      <c r="E64" s="60"/>
      <c r="F64" s="47"/>
      <c r="G64" s="57"/>
    </row>
    <row r="65" spans="2:7" ht="30" x14ac:dyDescent="0.25">
      <c r="B65" s="47" t="s">
        <v>409</v>
      </c>
      <c r="C65" s="48" t="s">
        <v>312</v>
      </c>
      <c r="D65" s="55">
        <f>D63/D64</f>
        <v>6.859993120055039</v>
      </c>
      <c r="E65" s="47" t="s">
        <v>14</v>
      </c>
      <c r="F65" s="53"/>
      <c r="G65" s="57"/>
    </row>
    <row r="66" spans="2:7" ht="21" customHeight="1" x14ac:dyDescent="0.25">
      <c r="B66" s="47" t="s">
        <v>310</v>
      </c>
      <c r="C66" s="48" t="s">
        <v>311</v>
      </c>
      <c r="D66" s="55">
        <f>D62/D64</f>
        <v>6.0205090639286754</v>
      </c>
      <c r="E66" s="47" t="s">
        <v>14</v>
      </c>
      <c r="F66" s="85"/>
      <c r="G66" s="86"/>
    </row>
    <row r="67" spans="2:7" ht="39" customHeight="1" x14ac:dyDescent="0.25">
      <c r="B67" s="47" t="s">
        <v>211</v>
      </c>
      <c r="C67" s="48" t="s">
        <v>145</v>
      </c>
      <c r="D67" s="49">
        <f>D45-(D61/2)</f>
        <v>3.0700034399724805</v>
      </c>
      <c r="E67" s="47" t="s">
        <v>14</v>
      </c>
      <c r="F67" s="53"/>
      <c r="G67" s="47"/>
    </row>
    <row r="68" spans="2:7" x14ac:dyDescent="0.25">
      <c r="B68" s="134" t="s">
        <v>315</v>
      </c>
      <c r="C68" s="134"/>
      <c r="D68" s="134"/>
      <c r="E68" s="134"/>
      <c r="F68" s="9"/>
      <c r="G68" s="9"/>
    </row>
    <row r="69" spans="2:7" x14ac:dyDescent="0.25">
      <c r="B69" s="20" t="s">
        <v>28</v>
      </c>
      <c r="C69" s="142" t="s">
        <v>316</v>
      </c>
      <c r="D69" s="143"/>
      <c r="E69" s="144"/>
      <c r="F69" s="13"/>
      <c r="G69" s="13"/>
    </row>
    <row r="70" spans="2:7" ht="15" customHeight="1" x14ac:dyDescent="0.25">
      <c r="B70" s="20" t="s">
        <v>29</v>
      </c>
      <c r="C70" s="145" t="s">
        <v>313</v>
      </c>
      <c r="D70" s="146"/>
      <c r="E70" s="147"/>
      <c r="F70" s="13"/>
      <c r="G70" s="13"/>
    </row>
    <row r="71" spans="2:7" x14ac:dyDescent="0.25">
      <c r="B71" s="20" t="s">
        <v>127</v>
      </c>
      <c r="C71" s="124" t="s">
        <v>210</v>
      </c>
      <c r="D71" s="124"/>
      <c r="E71" s="124"/>
      <c r="F71" s="13"/>
      <c r="G71" s="13"/>
    </row>
    <row r="72" spans="2:7" ht="15" customHeight="1" x14ac:dyDescent="0.25">
      <c r="B72" s="20" t="s">
        <v>30</v>
      </c>
      <c r="C72" s="148" t="s">
        <v>314</v>
      </c>
      <c r="D72" s="149"/>
      <c r="E72" s="150"/>
      <c r="F72" s="13"/>
      <c r="G72" s="13"/>
    </row>
    <row r="73" spans="2:7" x14ac:dyDescent="0.25">
      <c r="B73" s="20" t="s">
        <v>50</v>
      </c>
      <c r="C73" s="14" t="s">
        <v>51</v>
      </c>
      <c r="D73" s="46">
        <v>6.8</v>
      </c>
      <c r="E73" s="13" t="s">
        <v>14</v>
      </c>
      <c r="F73" s="13" t="s">
        <v>141</v>
      </c>
      <c r="G73" s="13"/>
    </row>
    <row r="74" spans="2:7" x14ac:dyDescent="0.25">
      <c r="B74" s="20" t="s">
        <v>52</v>
      </c>
      <c r="C74" s="14" t="s">
        <v>53</v>
      </c>
      <c r="D74" s="15">
        <v>8.6999999999999993</v>
      </c>
      <c r="E74" s="13" t="s">
        <v>14</v>
      </c>
      <c r="F74" s="13" t="s">
        <v>142</v>
      </c>
      <c r="G74" s="13"/>
    </row>
    <row r="75" spans="2:7" x14ac:dyDescent="0.25">
      <c r="B75" s="20" t="s">
        <v>54</v>
      </c>
      <c r="C75" s="14" t="s">
        <v>19</v>
      </c>
      <c r="D75" s="65">
        <v>5.1749999999999997E-2</v>
      </c>
      <c r="E75" s="13" t="s">
        <v>20</v>
      </c>
      <c r="F75" s="13"/>
      <c r="G75" s="13"/>
    </row>
    <row r="76" spans="2:7" x14ac:dyDescent="0.25">
      <c r="B76" s="20" t="s">
        <v>55</v>
      </c>
      <c r="C76" s="14" t="s">
        <v>209</v>
      </c>
      <c r="D76" s="65">
        <f>D62*D62*D75</f>
        <v>0.46893947396821239</v>
      </c>
      <c r="E76" s="13" t="s">
        <v>9</v>
      </c>
      <c r="F76" s="13"/>
      <c r="G76" s="13"/>
    </row>
    <row r="77" spans="2:7" x14ac:dyDescent="0.25">
      <c r="B77" s="132" t="s">
        <v>31</v>
      </c>
      <c r="C77" s="133"/>
      <c r="D77" s="133"/>
      <c r="E77" s="133"/>
      <c r="F77" s="133"/>
      <c r="G77" s="133"/>
    </row>
    <row r="78" spans="2:7" x14ac:dyDescent="0.25">
      <c r="B78" s="13" t="s">
        <v>297</v>
      </c>
      <c r="C78" s="14" t="s">
        <v>298</v>
      </c>
      <c r="D78" s="65">
        <v>0.8</v>
      </c>
      <c r="E78" s="13" t="s">
        <v>12</v>
      </c>
      <c r="F78" s="71"/>
      <c r="G78" s="13" t="s">
        <v>132</v>
      </c>
    </row>
    <row r="79" spans="2:7" x14ac:dyDescent="0.25">
      <c r="B79" s="14" t="s">
        <v>299</v>
      </c>
      <c r="C79" s="14" t="s">
        <v>32</v>
      </c>
      <c r="D79" s="65">
        <v>0.77200000000000002</v>
      </c>
      <c r="E79" s="14" t="s">
        <v>12</v>
      </c>
      <c r="F79" s="13"/>
      <c r="G79" s="13"/>
    </row>
    <row r="80" spans="2:7" x14ac:dyDescent="0.25">
      <c r="B80" s="14" t="s">
        <v>300</v>
      </c>
      <c r="C80" s="14" t="s">
        <v>33</v>
      </c>
      <c r="D80" s="65">
        <v>0.82799999999999996</v>
      </c>
      <c r="E80" s="14" t="s">
        <v>12</v>
      </c>
      <c r="F80" s="13"/>
      <c r="G80" s="13"/>
    </row>
    <row r="81" spans="2:7" x14ac:dyDescent="0.25">
      <c r="B81" s="61" t="s">
        <v>294</v>
      </c>
      <c r="C81" s="62" t="s">
        <v>96</v>
      </c>
      <c r="D81" s="63">
        <v>10.199999999999999</v>
      </c>
      <c r="E81" s="61" t="s">
        <v>27</v>
      </c>
      <c r="F81" s="61"/>
      <c r="G81" s="61" t="s">
        <v>214</v>
      </c>
    </row>
    <row r="82" spans="2:7" ht="36.75" customHeight="1" x14ac:dyDescent="0.25">
      <c r="B82" s="13" t="s">
        <v>295</v>
      </c>
      <c r="C82" s="14" t="s">
        <v>95</v>
      </c>
      <c r="D82" s="72">
        <f>(D81*1000)*(D78/(D37-D78))</f>
        <v>1942.8571428571427</v>
      </c>
      <c r="E82" s="13" t="s">
        <v>20</v>
      </c>
      <c r="F82" s="13"/>
      <c r="G82" s="13"/>
    </row>
    <row r="83" spans="2:7" ht="18" customHeight="1" x14ac:dyDescent="0.25">
      <c r="B83" s="61" t="s">
        <v>296</v>
      </c>
      <c r="C83" s="62" t="s">
        <v>95</v>
      </c>
      <c r="D83" s="63">
        <v>1.96</v>
      </c>
      <c r="E83" s="61" t="s">
        <v>27</v>
      </c>
      <c r="F83" s="61"/>
      <c r="G83" s="61" t="s">
        <v>214</v>
      </c>
    </row>
    <row r="84" spans="2:7" ht="18" customHeight="1" x14ac:dyDescent="0.25">
      <c r="B84" s="13" t="s">
        <v>193</v>
      </c>
      <c r="C84" s="14" t="s">
        <v>220</v>
      </c>
      <c r="D84" s="15">
        <f>(D37/((D81+D83)*1000))*10^6</f>
        <v>411.18421052631578</v>
      </c>
      <c r="E84" s="13" t="s">
        <v>192</v>
      </c>
      <c r="F84" s="13"/>
      <c r="G84" s="13"/>
    </row>
    <row r="85" spans="2:7" ht="18" customHeight="1" x14ac:dyDescent="0.25">
      <c r="B85" s="13" t="s">
        <v>198</v>
      </c>
      <c r="C85" s="14" t="s">
        <v>223</v>
      </c>
      <c r="D85" s="65">
        <f>((D84*10^-6)^2*D81*1000)*1000</f>
        <v>1.7245390408587253</v>
      </c>
      <c r="E85" s="13" t="s">
        <v>196</v>
      </c>
      <c r="F85" s="122"/>
      <c r="G85" s="13"/>
    </row>
    <row r="86" spans="2:7" ht="18" customHeight="1" x14ac:dyDescent="0.25">
      <c r="B86" s="13" t="s">
        <v>194</v>
      </c>
      <c r="C86" s="14" t="s">
        <v>195</v>
      </c>
      <c r="D86" s="65">
        <f>((D84*10^-6)^2*D83*1000)*1000</f>
        <v>0.33138201177285309</v>
      </c>
      <c r="E86" s="13" t="s">
        <v>196</v>
      </c>
      <c r="F86" s="123"/>
      <c r="G86" s="13"/>
    </row>
    <row r="87" spans="2:7" x14ac:dyDescent="0.25">
      <c r="B87" s="13" t="s">
        <v>234</v>
      </c>
      <c r="C87" s="14"/>
      <c r="D87" s="66">
        <v>0.5</v>
      </c>
      <c r="E87" s="13"/>
      <c r="F87" s="13"/>
      <c r="G87" s="13"/>
    </row>
    <row r="88" spans="2:7" ht="18" customHeight="1" x14ac:dyDescent="0.25">
      <c r="B88" s="13" t="s">
        <v>235</v>
      </c>
      <c r="C88" s="14" t="s">
        <v>225</v>
      </c>
      <c r="D88" s="65">
        <f>D85/D87</f>
        <v>3.4490780817174507</v>
      </c>
      <c r="E88" s="13" t="s">
        <v>196</v>
      </c>
      <c r="F88" s="13"/>
      <c r="G88" s="13"/>
    </row>
    <row r="89" spans="2:7" ht="18" customHeight="1" x14ac:dyDescent="0.25">
      <c r="B89" s="13" t="s">
        <v>221</v>
      </c>
      <c r="C89" s="14" t="s">
        <v>222</v>
      </c>
      <c r="D89" s="65">
        <f>D86/D87</f>
        <v>0.66276402354570618</v>
      </c>
      <c r="E89" s="13" t="s">
        <v>196</v>
      </c>
      <c r="F89" s="13"/>
      <c r="G89" s="13"/>
    </row>
    <row r="90" spans="2:7" x14ac:dyDescent="0.25">
      <c r="B90" s="14" t="s">
        <v>35</v>
      </c>
      <c r="C90" s="14" t="s">
        <v>36</v>
      </c>
      <c r="D90" s="19">
        <f xml:space="preserve"> D79*((D99/D108)+1)</f>
        <v>4.7895510204081635</v>
      </c>
      <c r="E90" s="13" t="s">
        <v>12</v>
      </c>
      <c r="F90" s="122"/>
      <c r="G90" s="13"/>
    </row>
    <row r="91" spans="2:7" x14ac:dyDescent="0.25">
      <c r="B91" s="14" t="s">
        <v>37</v>
      </c>
      <c r="C91" s="14" t="s">
        <v>38</v>
      </c>
      <c r="D91" s="19">
        <f xml:space="preserve"> D78*((D100/D109)+1)</f>
        <v>4.963265306122449</v>
      </c>
      <c r="E91" s="13" t="s">
        <v>12</v>
      </c>
      <c r="F91" s="163"/>
      <c r="G91" s="13"/>
    </row>
    <row r="92" spans="2:7" x14ac:dyDescent="0.25">
      <c r="B92" s="14" t="s">
        <v>39</v>
      </c>
      <c r="C92" s="14" t="s">
        <v>40</v>
      </c>
      <c r="D92" s="19">
        <f xml:space="preserve"> D80*((D101/D110)+1)</f>
        <v>5.1369795918367354</v>
      </c>
      <c r="E92" s="13" t="s">
        <v>12</v>
      </c>
      <c r="F92" s="123"/>
      <c r="G92" s="13"/>
    </row>
    <row r="93" spans="2:7" x14ac:dyDescent="0.25">
      <c r="B93" s="134" t="s">
        <v>317</v>
      </c>
      <c r="C93" s="134"/>
      <c r="D93" s="134"/>
      <c r="E93" s="134"/>
      <c r="F93" s="9"/>
      <c r="G93" s="9"/>
    </row>
    <row r="94" spans="2:7" x14ac:dyDescent="0.25">
      <c r="B94" s="20" t="s">
        <v>28</v>
      </c>
      <c r="C94" s="139" t="s">
        <v>318</v>
      </c>
      <c r="D94" s="139"/>
      <c r="E94" s="139"/>
      <c r="F94" s="13"/>
      <c r="G94" s="13"/>
    </row>
    <row r="95" spans="2:7" x14ac:dyDescent="0.25">
      <c r="B95" s="20" t="s">
        <v>29</v>
      </c>
      <c r="C95" s="130" t="s">
        <v>228</v>
      </c>
      <c r="D95" s="130"/>
      <c r="E95" s="130"/>
      <c r="F95" s="13"/>
      <c r="G95" s="13"/>
    </row>
    <row r="96" spans="2:7" x14ac:dyDescent="0.25">
      <c r="B96" s="20" t="s">
        <v>127</v>
      </c>
      <c r="C96" s="124" t="s">
        <v>224</v>
      </c>
      <c r="D96" s="124"/>
      <c r="E96" s="124"/>
      <c r="F96" s="13"/>
      <c r="G96" s="13"/>
    </row>
    <row r="97" spans="2:7" x14ac:dyDescent="0.25">
      <c r="B97" s="20" t="s">
        <v>30</v>
      </c>
      <c r="C97" s="124" t="s">
        <v>229</v>
      </c>
      <c r="D97" s="124"/>
      <c r="E97" s="124"/>
      <c r="F97" s="13"/>
      <c r="G97" s="13"/>
    </row>
    <row r="98" spans="2:7" x14ac:dyDescent="0.25">
      <c r="B98" s="14" t="s">
        <v>34</v>
      </c>
      <c r="C98" s="14"/>
      <c r="D98" s="73">
        <v>0.01</v>
      </c>
      <c r="E98" s="46"/>
      <c r="F98" s="13"/>
      <c r="G98" s="13"/>
    </row>
    <row r="99" spans="2:7" x14ac:dyDescent="0.25">
      <c r="B99" s="14" t="s">
        <v>98</v>
      </c>
      <c r="C99" s="14" t="s">
        <v>104</v>
      </c>
      <c r="D99" s="15">
        <f>D100-(D100*D98)</f>
        <v>10098</v>
      </c>
      <c r="E99" s="13" t="s">
        <v>20</v>
      </c>
      <c r="F99" s="13"/>
      <c r="G99" s="13"/>
    </row>
    <row r="100" spans="2:7" x14ac:dyDescent="0.25">
      <c r="B100" s="14" t="s">
        <v>99</v>
      </c>
      <c r="C100" s="14" t="s">
        <v>105</v>
      </c>
      <c r="D100" s="15">
        <f>D81*1000</f>
        <v>10200</v>
      </c>
      <c r="E100" s="13" t="s">
        <v>20</v>
      </c>
      <c r="F100" s="13"/>
      <c r="G100" s="13"/>
    </row>
    <row r="101" spans="2:7" x14ac:dyDescent="0.25">
      <c r="B101" s="14" t="s">
        <v>100</v>
      </c>
      <c r="C101" s="14" t="s">
        <v>106</v>
      </c>
      <c r="D101" s="15">
        <f>(D100+D98*D100)</f>
        <v>10302</v>
      </c>
      <c r="E101" s="13" t="s">
        <v>20</v>
      </c>
      <c r="F101" s="13"/>
      <c r="G101" s="13"/>
    </row>
    <row r="102" spans="2:7" x14ac:dyDescent="0.25">
      <c r="B102" s="126" t="s">
        <v>319</v>
      </c>
      <c r="C102" s="127"/>
      <c r="D102" s="127"/>
      <c r="E102" s="128"/>
      <c r="F102" s="9"/>
      <c r="G102" s="9"/>
    </row>
    <row r="103" spans="2:7" x14ac:dyDescent="0.25">
      <c r="B103" s="20" t="s">
        <v>28</v>
      </c>
      <c r="C103" s="139" t="s">
        <v>320</v>
      </c>
      <c r="D103" s="139"/>
      <c r="E103" s="139"/>
      <c r="F103" s="13"/>
      <c r="G103" s="13"/>
    </row>
    <row r="104" spans="2:7" x14ac:dyDescent="0.25">
      <c r="B104" s="20" t="s">
        <v>29</v>
      </c>
      <c r="C104" s="130" t="s">
        <v>226</v>
      </c>
      <c r="D104" s="130"/>
      <c r="E104" s="130"/>
      <c r="F104" s="13"/>
      <c r="G104" s="13"/>
    </row>
    <row r="105" spans="2:7" x14ac:dyDescent="0.25">
      <c r="B105" s="20" t="s">
        <v>127</v>
      </c>
      <c r="C105" s="124" t="s">
        <v>224</v>
      </c>
      <c r="D105" s="124"/>
      <c r="E105" s="124"/>
      <c r="F105" s="13"/>
      <c r="G105" s="13"/>
    </row>
    <row r="106" spans="2:7" x14ac:dyDescent="0.25">
      <c r="B106" s="20" t="s">
        <v>30</v>
      </c>
      <c r="C106" s="124" t="s">
        <v>227</v>
      </c>
      <c r="D106" s="124"/>
      <c r="E106" s="124"/>
      <c r="F106" s="13"/>
      <c r="G106" s="13"/>
    </row>
    <row r="107" spans="2:7" x14ac:dyDescent="0.25">
      <c r="B107" s="14" t="s">
        <v>97</v>
      </c>
      <c r="C107" s="14"/>
      <c r="D107" s="73">
        <v>0.01</v>
      </c>
      <c r="E107" s="46"/>
      <c r="F107" s="13"/>
      <c r="G107" s="13"/>
    </row>
    <row r="108" spans="2:7" x14ac:dyDescent="0.25">
      <c r="B108" s="14" t="s">
        <v>101</v>
      </c>
      <c r="C108" s="14" t="s">
        <v>107</v>
      </c>
      <c r="D108" s="19">
        <f>D109-(D109*D107)</f>
        <v>1940.4</v>
      </c>
      <c r="E108" s="13" t="s">
        <v>20</v>
      </c>
      <c r="F108" s="13"/>
      <c r="G108" s="13"/>
    </row>
    <row r="109" spans="2:7" x14ac:dyDescent="0.25">
      <c r="B109" s="14" t="s">
        <v>102</v>
      </c>
      <c r="C109" s="14" t="s">
        <v>108</v>
      </c>
      <c r="D109" s="72">
        <f>D83*1000</f>
        <v>1960</v>
      </c>
      <c r="E109" s="13" t="s">
        <v>20</v>
      </c>
      <c r="F109" s="13"/>
      <c r="G109" s="13"/>
    </row>
    <row r="110" spans="2:7" x14ac:dyDescent="0.25">
      <c r="B110" s="14" t="s">
        <v>103</v>
      </c>
      <c r="C110" s="14" t="s">
        <v>109</v>
      </c>
      <c r="D110" s="19">
        <f>D109+(D107*D109)</f>
        <v>1979.6</v>
      </c>
      <c r="E110" s="13" t="s">
        <v>20</v>
      </c>
      <c r="F110" s="13"/>
      <c r="G110" s="13"/>
    </row>
    <row r="111" spans="2:7" x14ac:dyDescent="0.25">
      <c r="B111" s="132" t="s">
        <v>301</v>
      </c>
      <c r="C111" s="133"/>
      <c r="D111" s="133"/>
      <c r="E111" s="133"/>
      <c r="F111" s="133"/>
      <c r="G111" s="133"/>
    </row>
    <row r="112" spans="2:7" ht="30.75" customHeight="1" x14ac:dyDescent="0.25">
      <c r="B112" s="13" t="s">
        <v>182</v>
      </c>
      <c r="C112" s="14" t="s">
        <v>183</v>
      </c>
      <c r="D112" s="65">
        <f>D38*(1-D54)</f>
        <v>2</v>
      </c>
      <c r="E112" s="13" t="s">
        <v>14</v>
      </c>
      <c r="F112" s="13"/>
      <c r="G112" s="13"/>
    </row>
    <row r="113" spans="2:7" x14ac:dyDescent="0.25">
      <c r="B113" s="13" t="s">
        <v>213</v>
      </c>
      <c r="C113" s="14"/>
      <c r="D113" s="66">
        <v>0.5</v>
      </c>
      <c r="E113" s="13"/>
      <c r="F113" s="13"/>
      <c r="G113" s="13"/>
    </row>
    <row r="114" spans="2:7" ht="30" x14ac:dyDescent="0.25">
      <c r="B114" s="13" t="s">
        <v>212</v>
      </c>
      <c r="C114" s="14" t="s">
        <v>185</v>
      </c>
      <c r="D114" s="65">
        <f>D112/D113</f>
        <v>4</v>
      </c>
      <c r="E114" s="13" t="s">
        <v>14</v>
      </c>
      <c r="F114" s="13"/>
      <c r="G114" s="13" t="s">
        <v>184</v>
      </c>
    </row>
    <row r="115" spans="2:7" x14ac:dyDescent="0.25">
      <c r="B115" s="13" t="s">
        <v>236</v>
      </c>
      <c r="C115" s="14"/>
      <c r="D115" s="66">
        <v>0.5</v>
      </c>
      <c r="E115" s="13"/>
      <c r="F115" s="13"/>
      <c r="G115" s="13"/>
    </row>
    <row r="116" spans="2:7" ht="30" x14ac:dyDescent="0.25">
      <c r="B116" s="13" t="s">
        <v>233</v>
      </c>
      <c r="C116" s="14" t="s">
        <v>188</v>
      </c>
      <c r="D116" s="19">
        <f>D36/D115</f>
        <v>30</v>
      </c>
      <c r="E116" s="13" t="s">
        <v>12</v>
      </c>
      <c r="F116" s="13"/>
      <c r="G116" s="13" t="s">
        <v>302</v>
      </c>
    </row>
    <row r="117" spans="2:7" ht="17.25" customHeight="1" x14ac:dyDescent="0.25">
      <c r="B117" s="134" t="s">
        <v>321</v>
      </c>
      <c r="C117" s="134"/>
      <c r="D117" s="134"/>
      <c r="E117" s="134"/>
      <c r="F117" s="9"/>
      <c r="G117" s="9"/>
    </row>
    <row r="118" spans="2:7" ht="17.25" customHeight="1" x14ac:dyDescent="0.25">
      <c r="B118" s="20" t="s">
        <v>28</v>
      </c>
      <c r="C118" s="139" t="s">
        <v>322</v>
      </c>
      <c r="D118" s="139"/>
      <c r="E118" s="139"/>
      <c r="F118" s="13"/>
      <c r="G118" s="13"/>
    </row>
    <row r="119" spans="2:7" ht="17.25" customHeight="1" x14ac:dyDescent="0.25">
      <c r="B119" s="20" t="s">
        <v>29</v>
      </c>
      <c r="C119" s="130" t="s">
        <v>428</v>
      </c>
      <c r="D119" s="130"/>
      <c r="E119" s="130"/>
      <c r="F119" s="13"/>
      <c r="G119" s="13"/>
    </row>
    <row r="120" spans="2:7" x14ac:dyDescent="0.25">
      <c r="B120" s="20" t="s">
        <v>127</v>
      </c>
      <c r="C120" s="124" t="s">
        <v>427</v>
      </c>
      <c r="D120" s="124"/>
      <c r="E120" s="124"/>
      <c r="F120" s="13"/>
      <c r="G120" s="13"/>
    </row>
    <row r="121" spans="2:7" ht="17.25" customHeight="1" x14ac:dyDescent="0.25">
      <c r="B121" s="20" t="s">
        <v>30</v>
      </c>
      <c r="C121" s="124" t="s">
        <v>426</v>
      </c>
      <c r="D121" s="124"/>
      <c r="E121" s="124"/>
      <c r="F121" s="13"/>
      <c r="G121" s="13"/>
    </row>
    <row r="122" spans="2:7" ht="17.25" customHeight="1" x14ac:dyDescent="0.25">
      <c r="B122" s="20" t="s">
        <v>189</v>
      </c>
      <c r="C122" s="14" t="s">
        <v>128</v>
      </c>
      <c r="D122" s="46">
        <v>40</v>
      </c>
      <c r="E122" s="14" t="s">
        <v>12</v>
      </c>
      <c r="F122" s="13"/>
      <c r="G122" s="13"/>
    </row>
    <row r="123" spans="2:7" ht="17.25" customHeight="1" x14ac:dyDescent="0.25">
      <c r="B123" s="20" t="s">
        <v>186</v>
      </c>
      <c r="C123" s="14" t="s">
        <v>183</v>
      </c>
      <c r="D123" s="46">
        <v>5</v>
      </c>
      <c r="E123" s="14" t="s">
        <v>14</v>
      </c>
      <c r="F123" s="13"/>
      <c r="G123" s="13"/>
    </row>
    <row r="124" spans="2:7" x14ac:dyDescent="0.25">
      <c r="B124" s="20" t="s">
        <v>187</v>
      </c>
      <c r="C124" s="14" t="s">
        <v>191</v>
      </c>
      <c r="D124" s="46">
        <v>0.28000000000000003</v>
      </c>
      <c r="E124" s="13" t="s">
        <v>12</v>
      </c>
      <c r="F124" s="13"/>
      <c r="G124" s="13" t="s">
        <v>429</v>
      </c>
    </row>
    <row r="125" spans="2:7" ht="27" customHeight="1" x14ac:dyDescent="0.25">
      <c r="B125" s="13" t="s">
        <v>215</v>
      </c>
      <c r="C125" s="14" t="s">
        <v>87</v>
      </c>
      <c r="D125" s="19">
        <f>D124*D112</f>
        <v>0.56000000000000005</v>
      </c>
      <c r="E125" s="13" t="s">
        <v>9</v>
      </c>
      <c r="F125" s="13"/>
      <c r="G125" s="13"/>
    </row>
    <row r="126" spans="2:7" x14ac:dyDescent="0.25">
      <c r="B126" s="13" t="s">
        <v>168</v>
      </c>
      <c r="C126" s="14" t="s">
        <v>169</v>
      </c>
      <c r="D126" s="46">
        <v>61</v>
      </c>
      <c r="E126" s="13" t="s">
        <v>190</v>
      </c>
      <c r="F126" s="13"/>
      <c r="G126" s="13" t="s">
        <v>132</v>
      </c>
    </row>
    <row r="127" spans="2:7" x14ac:dyDescent="0.25">
      <c r="B127" s="67" t="s">
        <v>60</v>
      </c>
      <c r="C127" s="68" t="s">
        <v>61</v>
      </c>
      <c r="D127" s="69">
        <v>70</v>
      </c>
      <c r="E127" s="13" t="s">
        <v>62</v>
      </c>
      <c r="F127" s="67"/>
      <c r="G127" s="13"/>
    </row>
    <row r="128" spans="2:7" ht="30" customHeight="1" x14ac:dyDescent="0.25">
      <c r="B128" s="67" t="s">
        <v>216</v>
      </c>
      <c r="C128" s="68" t="s">
        <v>63</v>
      </c>
      <c r="D128" s="70">
        <f>D127+(D126*D125)</f>
        <v>104.16</v>
      </c>
      <c r="E128" s="13" t="s">
        <v>62</v>
      </c>
      <c r="F128" s="67" t="s">
        <v>304</v>
      </c>
      <c r="G128" s="110" t="s">
        <v>417</v>
      </c>
    </row>
    <row r="129" spans="2:7" x14ac:dyDescent="0.25">
      <c r="B129" s="67" t="s">
        <v>131</v>
      </c>
      <c r="C129" s="68" t="s">
        <v>64</v>
      </c>
      <c r="D129" s="70">
        <v>150</v>
      </c>
      <c r="E129" s="13" t="s">
        <v>62</v>
      </c>
      <c r="F129" s="67"/>
      <c r="G129" s="13" t="s">
        <v>132</v>
      </c>
    </row>
    <row r="130" spans="2:7" x14ac:dyDescent="0.25">
      <c r="B130" s="13" t="s">
        <v>217</v>
      </c>
      <c r="C130" s="14" t="s">
        <v>218</v>
      </c>
      <c r="D130" s="15">
        <f>D129-D128</f>
        <v>45.84</v>
      </c>
      <c r="E130" s="13" t="s">
        <v>62</v>
      </c>
      <c r="F130" s="46"/>
      <c r="G130" s="13" t="s">
        <v>219</v>
      </c>
    </row>
    <row r="131" spans="2:7" x14ac:dyDescent="0.25">
      <c r="B131" s="132" t="s">
        <v>56</v>
      </c>
      <c r="C131" s="133"/>
      <c r="D131" s="133"/>
      <c r="E131" s="133"/>
      <c r="F131" s="133"/>
      <c r="G131" s="133"/>
    </row>
    <row r="132" spans="2:7" x14ac:dyDescent="0.25">
      <c r="B132" s="47" t="s">
        <v>248</v>
      </c>
      <c r="C132" s="78" t="s">
        <v>246</v>
      </c>
      <c r="D132" s="49">
        <f>D38-0</f>
        <v>3</v>
      </c>
      <c r="E132" s="47" t="s">
        <v>14</v>
      </c>
      <c r="F132" s="28"/>
      <c r="G132" s="47" t="s">
        <v>247</v>
      </c>
    </row>
    <row r="133" spans="2:7" ht="30" x14ac:dyDescent="0.25">
      <c r="B133" s="47" t="s">
        <v>410</v>
      </c>
      <c r="C133" s="78" t="s">
        <v>251</v>
      </c>
      <c r="D133" s="53">
        <f>D37*0.02</f>
        <v>0.1</v>
      </c>
      <c r="E133" s="47" t="s">
        <v>12</v>
      </c>
      <c r="F133" s="47"/>
      <c r="G133" s="47" t="s">
        <v>249</v>
      </c>
    </row>
    <row r="134" spans="2:7" ht="33.75" customHeight="1" x14ac:dyDescent="0.25">
      <c r="B134" s="47" t="s">
        <v>258</v>
      </c>
      <c r="C134" s="48" t="s">
        <v>250</v>
      </c>
      <c r="D134" s="55">
        <f>((2*D132)/(D55*D133))*10^6</f>
        <v>105.26315789473685</v>
      </c>
      <c r="E134" s="47" t="s">
        <v>57</v>
      </c>
      <c r="F134" s="47"/>
      <c r="G134" s="47"/>
    </row>
    <row r="135" spans="2:7" ht="19.5" customHeight="1" x14ac:dyDescent="0.25">
      <c r="B135" s="61" t="s">
        <v>254</v>
      </c>
      <c r="C135" s="62" t="s">
        <v>110</v>
      </c>
      <c r="D135" s="63">
        <v>141</v>
      </c>
      <c r="E135" s="61" t="s">
        <v>57</v>
      </c>
      <c r="F135" s="61"/>
      <c r="G135" s="61" t="s">
        <v>418</v>
      </c>
    </row>
    <row r="136" spans="2:7" ht="36" customHeight="1" x14ac:dyDescent="0.25">
      <c r="B136" s="47" t="s">
        <v>411</v>
      </c>
      <c r="C136" s="48" t="s">
        <v>256</v>
      </c>
      <c r="D136" s="52">
        <f>D133/D61</f>
        <v>0.11628000000000002</v>
      </c>
      <c r="E136" s="47" t="s">
        <v>20</v>
      </c>
      <c r="F136" s="47"/>
      <c r="G136" s="47"/>
    </row>
    <row r="137" spans="2:7" ht="40.5" customHeight="1" x14ac:dyDescent="0.25">
      <c r="B137" s="47" t="s">
        <v>260</v>
      </c>
      <c r="C137" s="48" t="s">
        <v>111</v>
      </c>
      <c r="D137" s="52">
        <f>(D37*(D36-D37))/(SQRT(12)*D36*D60*10^-6*D55*2)</f>
        <v>0.12412931484125082</v>
      </c>
      <c r="E137" s="47" t="s">
        <v>14</v>
      </c>
      <c r="F137" s="47"/>
      <c r="G137" s="47" t="s">
        <v>261</v>
      </c>
    </row>
    <row r="138" spans="2:7" x14ac:dyDescent="0.25">
      <c r="B138" s="47" t="s">
        <v>237</v>
      </c>
      <c r="C138" s="48"/>
      <c r="D138" s="59">
        <v>0.5</v>
      </c>
      <c r="E138" s="76"/>
      <c r="F138" s="47"/>
      <c r="G138" s="47"/>
    </row>
    <row r="139" spans="2:7" x14ac:dyDescent="0.25">
      <c r="B139" s="47" t="s">
        <v>255</v>
      </c>
      <c r="C139" s="48" t="s">
        <v>239</v>
      </c>
      <c r="D139" s="49">
        <f>D37/D138</f>
        <v>10</v>
      </c>
      <c r="E139" s="76" t="s">
        <v>12</v>
      </c>
      <c r="F139" s="47"/>
      <c r="G139" s="47"/>
    </row>
    <row r="140" spans="2:7" x14ac:dyDescent="0.25">
      <c r="B140" s="134" t="s">
        <v>323</v>
      </c>
      <c r="C140" s="134"/>
      <c r="D140" s="134"/>
      <c r="E140" s="134"/>
      <c r="F140" s="9"/>
      <c r="G140" s="9"/>
    </row>
    <row r="141" spans="2:7" x14ac:dyDescent="0.25">
      <c r="B141" s="77" t="s">
        <v>28</v>
      </c>
      <c r="C141" s="129" t="s">
        <v>386</v>
      </c>
      <c r="D141" s="129"/>
      <c r="E141" s="129"/>
      <c r="F141" s="47"/>
      <c r="G141" s="47"/>
    </row>
    <row r="142" spans="2:7" ht="15" customHeight="1" x14ac:dyDescent="0.25">
      <c r="B142" s="77" t="s">
        <v>29</v>
      </c>
      <c r="C142" s="130" t="s">
        <v>424</v>
      </c>
      <c r="D142" s="130"/>
      <c r="E142" s="130"/>
      <c r="F142" s="47"/>
      <c r="G142" s="47"/>
    </row>
    <row r="143" spans="2:7" ht="15" customHeight="1" x14ac:dyDescent="0.25">
      <c r="B143" s="77" t="s">
        <v>127</v>
      </c>
      <c r="C143" s="131" t="s">
        <v>232</v>
      </c>
      <c r="D143" s="131"/>
      <c r="E143" s="131"/>
      <c r="F143" s="47"/>
      <c r="G143" s="47"/>
    </row>
    <row r="144" spans="2:7" ht="15" customHeight="1" x14ac:dyDescent="0.25">
      <c r="B144" s="77" t="s">
        <v>30</v>
      </c>
      <c r="C144" s="131" t="s">
        <v>425</v>
      </c>
      <c r="D144" s="131"/>
      <c r="E144" s="131"/>
      <c r="F144" s="47"/>
      <c r="G144" s="47"/>
    </row>
    <row r="145" spans="2:7" x14ac:dyDescent="0.25">
      <c r="B145" s="134" t="s">
        <v>324</v>
      </c>
      <c r="C145" s="134"/>
      <c r="D145" s="134"/>
      <c r="E145" s="134"/>
      <c r="F145" s="9"/>
      <c r="G145" s="9"/>
    </row>
    <row r="146" spans="2:7" x14ac:dyDescent="0.25">
      <c r="B146" s="77" t="s">
        <v>28</v>
      </c>
      <c r="C146" s="129" t="s">
        <v>325</v>
      </c>
      <c r="D146" s="129"/>
      <c r="E146" s="129"/>
      <c r="F146" s="47"/>
      <c r="G146" s="47"/>
    </row>
    <row r="147" spans="2:7" x14ac:dyDescent="0.25">
      <c r="B147" s="77" t="s">
        <v>29</v>
      </c>
      <c r="C147" s="130" t="s">
        <v>262</v>
      </c>
      <c r="D147" s="130"/>
      <c r="E147" s="130"/>
      <c r="F147" s="47"/>
      <c r="G147" s="47"/>
    </row>
    <row r="148" spans="2:7" ht="15" customHeight="1" x14ac:dyDescent="0.25">
      <c r="B148" s="77" t="s">
        <v>127</v>
      </c>
      <c r="C148" s="131" t="s">
        <v>232</v>
      </c>
      <c r="D148" s="131"/>
      <c r="E148" s="131"/>
      <c r="F148" s="47"/>
      <c r="G148" s="47"/>
    </row>
    <row r="149" spans="2:7" x14ac:dyDescent="0.25">
      <c r="B149" s="77" t="s">
        <v>30</v>
      </c>
      <c r="C149" s="131" t="s">
        <v>419</v>
      </c>
      <c r="D149" s="131"/>
      <c r="E149" s="131"/>
      <c r="F149" s="79"/>
      <c r="G149" s="47"/>
    </row>
    <row r="150" spans="2:7" x14ac:dyDescent="0.25">
      <c r="B150" s="132" t="s">
        <v>412</v>
      </c>
      <c r="C150" s="133"/>
      <c r="D150" s="133"/>
      <c r="E150" s="133"/>
      <c r="F150" s="133"/>
      <c r="G150" s="133"/>
    </row>
    <row r="151" spans="2:7" ht="30" x14ac:dyDescent="0.25">
      <c r="B151" s="47" t="s">
        <v>267</v>
      </c>
      <c r="C151" s="48" t="s">
        <v>65</v>
      </c>
      <c r="D151" s="52">
        <f>D137</f>
        <v>0.12412931484125082</v>
      </c>
      <c r="E151" s="76" t="s">
        <v>14</v>
      </c>
      <c r="F151" s="47" t="s">
        <v>268</v>
      </c>
      <c r="G151" s="47"/>
    </row>
    <row r="152" spans="2:7" ht="39" customHeight="1" x14ac:dyDescent="0.25">
      <c r="B152" s="47" t="s">
        <v>269</v>
      </c>
      <c r="C152" s="48" t="s">
        <v>66</v>
      </c>
      <c r="D152" s="49">
        <f>((D135*10^-6*D37*0.8)/(D151))*1000</f>
        <v>4.543648699916699</v>
      </c>
      <c r="E152" s="47" t="s">
        <v>67</v>
      </c>
      <c r="F152" s="47"/>
      <c r="G152" s="47" t="s">
        <v>272</v>
      </c>
    </row>
    <row r="153" spans="2:7" ht="30" x14ac:dyDescent="0.25">
      <c r="B153" s="47" t="s">
        <v>413</v>
      </c>
      <c r="C153" s="48" t="s">
        <v>68</v>
      </c>
      <c r="D153" s="53">
        <v>2</v>
      </c>
      <c r="E153" s="47" t="s">
        <v>69</v>
      </c>
      <c r="F153" s="47"/>
      <c r="G153" s="47" t="s">
        <v>132</v>
      </c>
    </row>
    <row r="154" spans="2:7" ht="44.25" customHeight="1" x14ac:dyDescent="0.25">
      <c r="B154" s="47" t="s">
        <v>270</v>
      </c>
      <c r="C154" s="48" t="s">
        <v>71</v>
      </c>
      <c r="D154" s="55">
        <f>(D152*D153)/(D47*0.8)</f>
        <v>14.198902187239682</v>
      </c>
      <c r="E154" s="47" t="s">
        <v>72</v>
      </c>
      <c r="F154" s="47"/>
      <c r="G154" s="47" t="s">
        <v>273</v>
      </c>
    </row>
    <row r="155" spans="2:7" x14ac:dyDescent="0.25">
      <c r="B155" s="61" t="s">
        <v>271</v>
      </c>
      <c r="C155" s="62" t="s">
        <v>71</v>
      </c>
      <c r="D155" s="74">
        <v>10</v>
      </c>
      <c r="E155" s="61" t="s">
        <v>72</v>
      </c>
      <c r="F155" s="61"/>
      <c r="G155" s="61"/>
    </row>
    <row r="156" spans="2:7" x14ac:dyDescent="0.25">
      <c r="B156" s="134" t="s">
        <v>326</v>
      </c>
      <c r="C156" s="134"/>
      <c r="D156" s="134"/>
      <c r="E156" s="134"/>
      <c r="F156" s="9"/>
      <c r="G156" s="9"/>
    </row>
    <row r="157" spans="2:7" x14ac:dyDescent="0.25">
      <c r="B157" s="77" t="s">
        <v>28</v>
      </c>
      <c r="C157" s="129" t="s">
        <v>327</v>
      </c>
      <c r="D157" s="129"/>
      <c r="E157" s="129"/>
      <c r="F157" s="47"/>
      <c r="G157" s="47"/>
    </row>
    <row r="158" spans="2:7" x14ac:dyDescent="0.25">
      <c r="B158" s="77" t="s">
        <v>29</v>
      </c>
      <c r="C158" s="130" t="s">
        <v>274</v>
      </c>
      <c r="D158" s="130"/>
      <c r="E158" s="130"/>
      <c r="F158" s="47"/>
      <c r="G158" s="47"/>
    </row>
    <row r="159" spans="2:7" ht="15" customHeight="1" x14ac:dyDescent="0.25">
      <c r="B159" s="77" t="s">
        <v>127</v>
      </c>
      <c r="C159" s="131" t="s">
        <v>232</v>
      </c>
      <c r="D159" s="131"/>
      <c r="E159" s="131"/>
      <c r="F159" s="47"/>
      <c r="G159" s="47"/>
    </row>
    <row r="160" spans="2:7" x14ac:dyDescent="0.25">
      <c r="B160" s="77" t="s">
        <v>30</v>
      </c>
      <c r="C160" s="131" t="s">
        <v>275</v>
      </c>
      <c r="D160" s="131"/>
      <c r="E160" s="131"/>
      <c r="F160" s="47"/>
      <c r="G160" s="47"/>
    </row>
    <row r="161" spans="2:7" x14ac:dyDescent="0.25">
      <c r="B161" s="132" t="s">
        <v>73</v>
      </c>
      <c r="C161" s="133"/>
      <c r="D161" s="133"/>
      <c r="E161" s="133"/>
      <c r="F161" s="133"/>
      <c r="G161" s="133"/>
    </row>
    <row r="162" spans="2:7" ht="45" x14ac:dyDescent="0.25">
      <c r="B162" s="61" t="s">
        <v>230</v>
      </c>
      <c r="C162" s="62" t="s">
        <v>112</v>
      </c>
      <c r="D162" s="63">
        <v>0.1</v>
      </c>
      <c r="E162" s="75" t="s">
        <v>45</v>
      </c>
      <c r="F162" s="61" t="s">
        <v>231</v>
      </c>
      <c r="G162" s="61" t="s">
        <v>214</v>
      </c>
    </row>
    <row r="163" spans="2:7" x14ac:dyDescent="0.25">
      <c r="B163" s="134" t="s">
        <v>336</v>
      </c>
      <c r="C163" s="134"/>
      <c r="D163" s="134"/>
      <c r="E163" s="134"/>
      <c r="F163" s="9"/>
      <c r="G163" s="9"/>
    </row>
    <row r="164" spans="2:7" x14ac:dyDescent="0.25">
      <c r="B164" s="77" t="s">
        <v>28</v>
      </c>
      <c r="C164" s="129" t="s">
        <v>337</v>
      </c>
      <c r="D164" s="129"/>
      <c r="E164" s="129"/>
      <c r="F164" s="47"/>
      <c r="G164" s="47"/>
    </row>
    <row r="165" spans="2:7" ht="15" customHeight="1" x14ac:dyDescent="0.25">
      <c r="B165" s="77" t="s">
        <v>29</v>
      </c>
      <c r="C165" s="130" t="s">
        <v>266</v>
      </c>
      <c r="D165" s="130"/>
      <c r="E165" s="130"/>
      <c r="F165" s="47" t="s">
        <v>347</v>
      </c>
      <c r="G165" s="47"/>
    </row>
    <row r="166" spans="2:7" ht="15" customHeight="1" x14ac:dyDescent="0.25">
      <c r="B166" s="77" t="s">
        <v>127</v>
      </c>
      <c r="C166" s="131" t="s">
        <v>232</v>
      </c>
      <c r="D166" s="131"/>
      <c r="E166" s="131"/>
      <c r="F166" s="47"/>
      <c r="G166" s="47"/>
    </row>
    <row r="167" spans="2:7" ht="15" customHeight="1" x14ac:dyDescent="0.25">
      <c r="B167" s="77" t="s">
        <v>30</v>
      </c>
      <c r="C167" s="131" t="s">
        <v>264</v>
      </c>
      <c r="D167" s="131"/>
      <c r="E167" s="131"/>
      <c r="F167" s="47"/>
      <c r="G167" s="47"/>
    </row>
    <row r="168" spans="2:7" x14ac:dyDescent="0.25">
      <c r="B168" s="132" t="s">
        <v>41</v>
      </c>
      <c r="C168" s="133"/>
      <c r="D168" s="133"/>
      <c r="E168" s="133"/>
      <c r="F168" s="133"/>
      <c r="G168" s="133"/>
    </row>
    <row r="169" spans="2:7" ht="41.25" customHeight="1" x14ac:dyDescent="0.25">
      <c r="B169" s="47" t="s">
        <v>42</v>
      </c>
      <c r="C169" s="48" t="s">
        <v>197</v>
      </c>
      <c r="D169" s="52">
        <f>D38*SQRT((D37*(D35-D37))/(D35^2))</f>
        <v>1.4907119849998598</v>
      </c>
      <c r="E169" s="47" t="s">
        <v>14</v>
      </c>
      <c r="F169" s="47"/>
      <c r="G169" s="47"/>
    </row>
    <row r="170" spans="2:7" x14ac:dyDescent="0.25">
      <c r="B170" s="47" t="s">
        <v>259</v>
      </c>
      <c r="C170" s="48" t="s">
        <v>43</v>
      </c>
      <c r="D170" s="72">
        <v>400</v>
      </c>
      <c r="E170" s="13" t="s">
        <v>252</v>
      </c>
      <c r="F170" s="13"/>
      <c r="G170" s="47" t="s">
        <v>253</v>
      </c>
    </row>
    <row r="171" spans="2:7" ht="41.25" customHeight="1" x14ac:dyDescent="0.25">
      <c r="B171" s="47" t="s">
        <v>257</v>
      </c>
      <c r="C171" s="48" t="s">
        <v>44</v>
      </c>
      <c r="D171" s="19">
        <f>((D38*D169)/(D55*D170*10^-3))*(10^6)</f>
        <v>19.614631381577102</v>
      </c>
      <c r="E171" s="80" t="s">
        <v>45</v>
      </c>
      <c r="F171" s="13"/>
      <c r="G171" s="47"/>
    </row>
    <row r="172" spans="2:7" ht="30" x14ac:dyDescent="0.25">
      <c r="B172" s="47" t="s">
        <v>240</v>
      </c>
      <c r="C172" s="48" t="s">
        <v>44</v>
      </c>
      <c r="D172" s="46">
        <v>10</v>
      </c>
      <c r="E172" s="80" t="s">
        <v>45</v>
      </c>
      <c r="F172" s="13"/>
      <c r="G172" s="47"/>
    </row>
    <row r="173" spans="2:7" x14ac:dyDescent="0.25">
      <c r="B173" s="61" t="s">
        <v>241</v>
      </c>
      <c r="C173" s="62" t="s">
        <v>44</v>
      </c>
      <c r="D173" s="63">
        <v>20</v>
      </c>
      <c r="E173" s="75" t="s">
        <v>45</v>
      </c>
      <c r="F173" s="61" t="s">
        <v>420</v>
      </c>
      <c r="G173" s="61"/>
    </row>
    <row r="174" spans="2:7" ht="39.75" customHeight="1" x14ac:dyDescent="0.25">
      <c r="B174" s="47" t="s">
        <v>245</v>
      </c>
      <c r="C174" s="48" t="s">
        <v>43</v>
      </c>
      <c r="D174" s="65">
        <f>(D38*D169)/(D55*D173*10^-6)</f>
        <v>0.39229262763154205</v>
      </c>
      <c r="E174" s="13" t="s">
        <v>12</v>
      </c>
      <c r="F174" s="13"/>
      <c r="G174" s="47"/>
    </row>
    <row r="175" spans="2:7" x14ac:dyDescent="0.25">
      <c r="B175" s="47" t="s">
        <v>237</v>
      </c>
      <c r="C175" s="48"/>
      <c r="D175" s="66">
        <v>0.7</v>
      </c>
      <c r="E175" s="80"/>
      <c r="F175" s="13"/>
      <c r="G175" s="47"/>
    </row>
    <row r="176" spans="2:7" x14ac:dyDescent="0.25">
      <c r="B176" s="47" t="s">
        <v>238</v>
      </c>
      <c r="C176" s="48" t="s">
        <v>239</v>
      </c>
      <c r="D176" s="55">
        <f>D36/D175</f>
        <v>21.428571428571431</v>
      </c>
      <c r="E176" s="76" t="s">
        <v>12</v>
      </c>
      <c r="F176" s="47"/>
      <c r="G176" s="47"/>
    </row>
    <row r="177" spans="2:7" x14ac:dyDescent="0.25">
      <c r="B177" s="134" t="s">
        <v>338</v>
      </c>
      <c r="C177" s="134"/>
      <c r="D177" s="134"/>
      <c r="E177" s="134"/>
      <c r="F177" s="111"/>
      <c r="G177" s="9"/>
    </row>
    <row r="178" spans="2:7" x14ac:dyDescent="0.25">
      <c r="B178" s="77" t="s">
        <v>28</v>
      </c>
      <c r="C178" s="129" t="s">
        <v>339</v>
      </c>
      <c r="D178" s="129"/>
      <c r="E178" s="129"/>
      <c r="F178" s="112"/>
      <c r="G178" s="47"/>
    </row>
    <row r="179" spans="2:7" ht="15" customHeight="1" x14ac:dyDescent="0.25">
      <c r="B179" s="77" t="s">
        <v>29</v>
      </c>
      <c r="C179" s="145" t="s">
        <v>414</v>
      </c>
      <c r="D179" s="146"/>
      <c r="E179" s="147"/>
      <c r="F179" s="113" t="s">
        <v>242</v>
      </c>
      <c r="G179" s="47"/>
    </row>
    <row r="180" spans="2:7" ht="15" customHeight="1" x14ac:dyDescent="0.25">
      <c r="B180" s="77" t="s">
        <v>127</v>
      </c>
      <c r="C180" s="151" t="s">
        <v>416</v>
      </c>
      <c r="D180" s="152"/>
      <c r="E180" s="153"/>
      <c r="F180" s="114" t="s">
        <v>232</v>
      </c>
      <c r="G180" s="47"/>
    </row>
    <row r="181" spans="2:7" ht="15" customHeight="1" x14ac:dyDescent="0.25">
      <c r="B181" s="77" t="s">
        <v>30</v>
      </c>
      <c r="C181" s="151" t="s">
        <v>415</v>
      </c>
      <c r="D181" s="152"/>
      <c r="E181" s="153"/>
      <c r="F181" s="115" t="s">
        <v>243</v>
      </c>
      <c r="G181" s="47"/>
    </row>
    <row r="182" spans="2:7" x14ac:dyDescent="0.25">
      <c r="B182" s="134" t="s">
        <v>340</v>
      </c>
      <c r="C182" s="134"/>
      <c r="D182" s="134"/>
      <c r="E182" s="134"/>
      <c r="F182" s="111"/>
      <c r="G182" s="9"/>
    </row>
    <row r="183" spans="2:7" x14ac:dyDescent="0.25">
      <c r="B183" s="77" t="s">
        <v>28</v>
      </c>
      <c r="C183" s="129" t="s">
        <v>341</v>
      </c>
      <c r="D183" s="129"/>
      <c r="E183" s="129"/>
      <c r="F183" s="47"/>
      <c r="G183" s="47"/>
    </row>
    <row r="184" spans="2:7" x14ac:dyDescent="0.25">
      <c r="B184" s="77" t="s">
        <v>29</v>
      </c>
      <c r="C184" s="130" t="s">
        <v>244</v>
      </c>
      <c r="D184" s="130"/>
      <c r="E184" s="130"/>
      <c r="F184" s="47"/>
      <c r="G184" s="47"/>
    </row>
    <row r="185" spans="2:7" ht="15" customHeight="1" x14ac:dyDescent="0.25">
      <c r="B185" s="77" t="s">
        <v>127</v>
      </c>
      <c r="C185" s="131" t="s">
        <v>232</v>
      </c>
      <c r="D185" s="131"/>
      <c r="E185" s="131"/>
      <c r="F185" s="47"/>
      <c r="G185" s="47"/>
    </row>
    <row r="186" spans="2:7" x14ac:dyDescent="0.25">
      <c r="B186" s="77" t="s">
        <v>30</v>
      </c>
      <c r="C186" s="131" t="s">
        <v>346</v>
      </c>
      <c r="D186" s="131"/>
      <c r="E186" s="131"/>
      <c r="F186" s="47"/>
      <c r="G186" s="47"/>
    </row>
    <row r="187" spans="2:7" x14ac:dyDescent="0.25">
      <c r="B187" s="132" t="s">
        <v>278</v>
      </c>
      <c r="C187" s="133"/>
      <c r="D187" s="133"/>
      <c r="E187" s="133"/>
      <c r="F187" s="133"/>
      <c r="G187" s="133"/>
    </row>
    <row r="188" spans="2:7" x14ac:dyDescent="0.25">
      <c r="B188" s="47" t="s">
        <v>276</v>
      </c>
      <c r="C188" s="48" t="s">
        <v>277</v>
      </c>
      <c r="D188" s="55">
        <v>1.25</v>
      </c>
      <c r="E188" s="47" t="s">
        <v>12</v>
      </c>
      <c r="F188" s="47"/>
      <c r="G188" s="47"/>
    </row>
    <row r="189" spans="2:7" ht="30" x14ac:dyDescent="0.25">
      <c r="B189" s="47" t="s">
        <v>282</v>
      </c>
      <c r="C189" s="48" t="s">
        <v>279</v>
      </c>
      <c r="D189" s="55">
        <v>9</v>
      </c>
      <c r="E189" s="47" t="s">
        <v>12</v>
      </c>
      <c r="F189" s="47" t="s">
        <v>284</v>
      </c>
      <c r="G189" s="47"/>
    </row>
    <row r="190" spans="2:7" ht="30" x14ac:dyDescent="0.25">
      <c r="B190" s="47" t="s">
        <v>283</v>
      </c>
      <c r="C190" s="48" t="s">
        <v>280</v>
      </c>
      <c r="D190" s="55">
        <v>8</v>
      </c>
      <c r="E190" s="47" t="s">
        <v>12</v>
      </c>
      <c r="F190" s="47" t="s">
        <v>285</v>
      </c>
      <c r="G190" s="47" t="s">
        <v>281</v>
      </c>
    </row>
    <row r="191" spans="2:7" ht="40.5" customHeight="1" x14ac:dyDescent="0.25">
      <c r="B191" s="48" t="s">
        <v>287</v>
      </c>
      <c r="C191" s="48" t="s">
        <v>286</v>
      </c>
      <c r="D191" s="49">
        <f>(D189-D190)/(3*10^-6)/1000</f>
        <v>333.33333333333331</v>
      </c>
      <c r="E191" s="48" t="s">
        <v>27</v>
      </c>
      <c r="F191" s="47"/>
      <c r="G191" s="47"/>
    </row>
    <row r="192" spans="2:7" x14ac:dyDescent="0.25">
      <c r="B192" s="62" t="s">
        <v>288</v>
      </c>
      <c r="C192" s="62" t="s">
        <v>286</v>
      </c>
      <c r="D192" s="83">
        <f>165*2</f>
        <v>330</v>
      </c>
      <c r="E192" s="62" t="s">
        <v>27</v>
      </c>
      <c r="F192" s="61"/>
      <c r="G192" s="61"/>
    </row>
    <row r="193" spans="2:7" ht="46.5" customHeight="1" x14ac:dyDescent="0.25">
      <c r="B193" s="48" t="s">
        <v>289</v>
      </c>
      <c r="C193" s="48" t="s">
        <v>290</v>
      </c>
      <c r="D193" s="49">
        <f>(D188/(((D189-D188)/(D192*1000))+(1*10^-6)))/1000</f>
        <v>51.051980198019805</v>
      </c>
      <c r="E193" s="48" t="s">
        <v>27</v>
      </c>
      <c r="F193" s="47"/>
      <c r="G193" s="47"/>
    </row>
    <row r="194" spans="2:7" x14ac:dyDescent="0.25">
      <c r="B194" s="62" t="s">
        <v>291</v>
      </c>
      <c r="C194" s="62" t="s">
        <v>290</v>
      </c>
      <c r="D194" s="83">
        <f>102/2</f>
        <v>51</v>
      </c>
      <c r="E194" s="62" t="s">
        <v>27</v>
      </c>
      <c r="F194" s="121"/>
      <c r="G194" s="61"/>
    </row>
    <row r="195" spans="2:7" x14ac:dyDescent="0.25">
      <c r="B195" s="126" t="s">
        <v>342</v>
      </c>
      <c r="C195" s="127"/>
      <c r="D195" s="127"/>
      <c r="E195" s="128"/>
      <c r="F195" s="117" t="s">
        <v>166</v>
      </c>
      <c r="G195" s="12">
        <v>12</v>
      </c>
    </row>
    <row r="196" spans="2:7" x14ac:dyDescent="0.25">
      <c r="B196" s="77" t="s">
        <v>28</v>
      </c>
      <c r="C196" s="129" t="s">
        <v>343</v>
      </c>
      <c r="D196" s="129"/>
      <c r="E196" s="129"/>
      <c r="F196" s="118" t="s">
        <v>430</v>
      </c>
      <c r="G196" s="116">
        <f>165*2</f>
        <v>330</v>
      </c>
    </row>
    <row r="197" spans="2:7" x14ac:dyDescent="0.25">
      <c r="B197" s="77" t="s">
        <v>29</v>
      </c>
      <c r="C197" s="130" t="s">
        <v>438</v>
      </c>
      <c r="D197" s="130"/>
      <c r="E197" s="130"/>
      <c r="F197" s="119" t="s">
        <v>431</v>
      </c>
      <c r="G197" s="116">
        <f>102/2</f>
        <v>51</v>
      </c>
    </row>
    <row r="198" spans="2:7" x14ac:dyDescent="0.25">
      <c r="B198" s="77" t="s">
        <v>127</v>
      </c>
      <c r="C198" s="131" t="s">
        <v>224</v>
      </c>
      <c r="D198" s="131"/>
      <c r="E198" s="131"/>
      <c r="F198" s="119" t="s">
        <v>432</v>
      </c>
      <c r="G198" s="55">
        <f>G195*(G197/(G196+G197))</f>
        <v>1.6062992125984255</v>
      </c>
    </row>
    <row r="199" spans="2:7" x14ac:dyDescent="0.25">
      <c r="B199" s="77" t="s">
        <v>30</v>
      </c>
      <c r="C199" s="125" t="s">
        <v>437</v>
      </c>
      <c r="D199" s="125"/>
      <c r="E199" s="125"/>
      <c r="F199" s="120" t="s">
        <v>433</v>
      </c>
      <c r="G199" s="116"/>
    </row>
    <row r="200" spans="2:7" x14ac:dyDescent="0.25">
      <c r="B200" s="126" t="s">
        <v>344</v>
      </c>
      <c r="C200" s="127"/>
      <c r="D200" s="127"/>
      <c r="E200" s="128"/>
      <c r="F200" s="9"/>
      <c r="G200" s="12"/>
    </row>
    <row r="201" spans="2:7" x14ac:dyDescent="0.25">
      <c r="B201" s="77" t="s">
        <v>28</v>
      </c>
      <c r="C201" s="129" t="s">
        <v>345</v>
      </c>
      <c r="D201" s="129"/>
      <c r="E201" s="129"/>
      <c r="G201" s="12"/>
    </row>
    <row r="202" spans="2:7" x14ac:dyDescent="0.25">
      <c r="B202" s="77" t="s">
        <v>29</v>
      </c>
      <c r="C202" s="130" t="s">
        <v>436</v>
      </c>
      <c r="D202" s="130"/>
      <c r="E202" s="130"/>
      <c r="F202" s="9"/>
      <c r="G202" s="116"/>
    </row>
    <row r="203" spans="2:7" x14ac:dyDescent="0.25">
      <c r="B203" s="77" t="s">
        <v>127</v>
      </c>
      <c r="C203" s="131" t="s">
        <v>224</v>
      </c>
      <c r="D203" s="131"/>
      <c r="E203" s="131"/>
      <c r="F203" s="47"/>
      <c r="G203" s="116"/>
    </row>
    <row r="204" spans="2:7" x14ac:dyDescent="0.25">
      <c r="B204" s="77" t="s">
        <v>30</v>
      </c>
      <c r="C204" s="125" t="s">
        <v>435</v>
      </c>
      <c r="D204" s="125"/>
      <c r="E204" s="125"/>
      <c r="F204" s="120" t="s">
        <v>434</v>
      </c>
      <c r="G204" s="55"/>
    </row>
    <row r="205" spans="2:7" x14ac:dyDescent="0.25">
      <c r="B205" s="161" t="s">
        <v>423</v>
      </c>
      <c r="C205" s="162"/>
      <c r="D205" s="162"/>
      <c r="E205" s="162"/>
      <c r="F205" s="162"/>
      <c r="G205" s="162"/>
    </row>
    <row r="206" spans="2:7" x14ac:dyDescent="0.25">
      <c r="B206" s="9" t="s">
        <v>70</v>
      </c>
      <c r="C206" s="16" t="s">
        <v>113</v>
      </c>
      <c r="D206" s="12">
        <v>0.8</v>
      </c>
      <c r="E206" s="9" t="s">
        <v>12</v>
      </c>
      <c r="F206" s="9"/>
      <c r="G206" s="9"/>
    </row>
    <row r="207" spans="2:7" ht="105" x14ac:dyDescent="0.25">
      <c r="B207" s="9" t="s">
        <v>74</v>
      </c>
      <c r="C207" s="16" t="s">
        <v>114</v>
      </c>
      <c r="D207" s="17">
        <v>25000</v>
      </c>
      <c r="E207" s="9" t="s">
        <v>26</v>
      </c>
      <c r="F207" s="9" t="s">
        <v>201</v>
      </c>
      <c r="G207" s="9" t="s">
        <v>265</v>
      </c>
    </row>
    <row r="208" spans="2:7" ht="94.5" customHeight="1" x14ac:dyDescent="0.25">
      <c r="B208" s="13" t="s">
        <v>75</v>
      </c>
      <c r="C208" s="14" t="s">
        <v>328</v>
      </c>
      <c r="D208" s="72">
        <f>((2*3.141*D207*D37*D135*(10^-6)*8000000)/(12*800*0.8))</f>
        <v>115333.59375</v>
      </c>
      <c r="E208" s="13" t="s">
        <v>20</v>
      </c>
      <c r="F208" s="9"/>
      <c r="G208" s="9"/>
    </row>
    <row r="209" spans="2:7" x14ac:dyDescent="0.25">
      <c r="B209" s="61" t="s">
        <v>422</v>
      </c>
      <c r="C209" s="62" t="s">
        <v>328</v>
      </c>
      <c r="D209" s="81">
        <v>29.4</v>
      </c>
      <c r="E209" s="61" t="s">
        <v>27</v>
      </c>
      <c r="F209" s="61"/>
      <c r="G209" s="61"/>
    </row>
    <row r="210" spans="2:7" ht="51.75" customHeight="1" x14ac:dyDescent="0.25">
      <c r="B210" s="13" t="s">
        <v>76</v>
      </c>
      <c r="C210" s="14" t="s">
        <v>329</v>
      </c>
      <c r="D210" s="19">
        <f>1/(2*3.141*5883*D209*1000)*10^9</f>
        <v>0.92035608734584362</v>
      </c>
      <c r="E210" s="13" t="s">
        <v>72</v>
      </c>
      <c r="F210" s="9"/>
      <c r="G210" s="9"/>
    </row>
    <row r="211" spans="2:7" x14ac:dyDescent="0.25">
      <c r="B211" s="61" t="s">
        <v>421</v>
      </c>
      <c r="C211" s="62" t="s">
        <v>329</v>
      </c>
      <c r="D211" s="81">
        <v>1</v>
      </c>
      <c r="E211" s="61" t="s">
        <v>72</v>
      </c>
      <c r="F211" s="61"/>
      <c r="G211" s="61"/>
    </row>
    <row r="212" spans="2:7" ht="52.5" customHeight="1" x14ac:dyDescent="0.25">
      <c r="B212" s="13" t="s">
        <v>77</v>
      </c>
      <c r="C212" s="14" t="s">
        <v>330</v>
      </c>
      <c r="D212" s="19">
        <f>1/(2*3.141*106200*D209*1000)*10^12</f>
        <v>50.983567437435013</v>
      </c>
      <c r="E212" s="13" t="s">
        <v>58</v>
      </c>
      <c r="F212" s="9"/>
      <c r="G212" s="9"/>
    </row>
    <row r="213" spans="2:7" x14ac:dyDescent="0.25">
      <c r="B213" s="61" t="s">
        <v>421</v>
      </c>
      <c r="C213" s="62" t="s">
        <v>330</v>
      </c>
      <c r="D213" s="81">
        <v>33</v>
      </c>
      <c r="E213" s="61" t="s">
        <v>58</v>
      </c>
      <c r="F213" s="82"/>
      <c r="G213" s="63"/>
    </row>
    <row r="214" spans="2:7" x14ac:dyDescent="0.25">
      <c r="B214" s="134" t="s">
        <v>332</v>
      </c>
      <c r="C214" s="134"/>
      <c r="D214" s="134"/>
      <c r="E214" s="134"/>
      <c r="F214" s="9"/>
      <c r="G214" s="9"/>
    </row>
    <row r="215" spans="2:7" x14ac:dyDescent="0.25">
      <c r="B215" s="20" t="s">
        <v>28</v>
      </c>
      <c r="C215" s="139" t="s">
        <v>334</v>
      </c>
      <c r="D215" s="139"/>
      <c r="E215" s="139"/>
      <c r="F215" s="9"/>
      <c r="G215" s="9"/>
    </row>
    <row r="216" spans="2:7" x14ac:dyDescent="0.25">
      <c r="B216" s="20" t="s">
        <v>29</v>
      </c>
      <c r="C216" s="130" t="s">
        <v>115</v>
      </c>
      <c r="D216" s="130"/>
      <c r="E216" s="130"/>
      <c r="F216" s="9"/>
      <c r="G216" s="9"/>
    </row>
    <row r="217" spans="2:7" x14ac:dyDescent="0.25">
      <c r="B217" s="20" t="s">
        <v>30</v>
      </c>
      <c r="C217" s="131" t="s">
        <v>116</v>
      </c>
      <c r="D217" s="131"/>
      <c r="E217" s="131"/>
      <c r="F217" s="9"/>
      <c r="G217" s="9"/>
    </row>
    <row r="218" spans="2:7" x14ac:dyDescent="0.25">
      <c r="B218" s="134" t="s">
        <v>333</v>
      </c>
      <c r="C218" s="134"/>
      <c r="D218" s="134"/>
      <c r="E218" s="134"/>
      <c r="F218" s="9"/>
      <c r="G218" s="9"/>
    </row>
    <row r="219" spans="2:7" x14ac:dyDescent="0.25">
      <c r="B219" s="20" t="s">
        <v>28</v>
      </c>
      <c r="C219" s="139" t="s">
        <v>335</v>
      </c>
      <c r="D219" s="139"/>
      <c r="E219" s="139"/>
      <c r="F219" s="9"/>
      <c r="G219" s="9"/>
    </row>
    <row r="220" spans="2:7" x14ac:dyDescent="0.25">
      <c r="B220" s="20" t="s">
        <v>29</v>
      </c>
      <c r="C220" s="155" t="s">
        <v>117</v>
      </c>
      <c r="D220" s="155"/>
      <c r="E220" s="155"/>
      <c r="F220" s="9"/>
      <c r="G220" s="9"/>
    </row>
    <row r="221" spans="2:7" x14ac:dyDescent="0.25">
      <c r="B221" s="20" t="s">
        <v>30</v>
      </c>
      <c r="C221" s="154" t="s">
        <v>118</v>
      </c>
      <c r="D221" s="154"/>
      <c r="E221" s="154"/>
      <c r="F221" s="9"/>
      <c r="G221" s="9"/>
    </row>
    <row r="222" spans="2:7" x14ac:dyDescent="0.25">
      <c r="B222" s="134" t="s">
        <v>331</v>
      </c>
      <c r="C222" s="134"/>
      <c r="D222" s="134"/>
      <c r="E222" s="134"/>
      <c r="F222" s="9"/>
      <c r="G222" s="12"/>
    </row>
    <row r="223" spans="2:7" x14ac:dyDescent="0.25">
      <c r="B223" s="20" t="s">
        <v>28</v>
      </c>
      <c r="C223" s="139" t="s">
        <v>327</v>
      </c>
      <c r="D223" s="139"/>
      <c r="E223" s="139"/>
      <c r="F223" s="9"/>
      <c r="G223" s="12"/>
    </row>
    <row r="224" spans="2:7" x14ac:dyDescent="0.25">
      <c r="B224" s="20" t="s">
        <v>29</v>
      </c>
      <c r="C224" s="155" t="s">
        <v>78</v>
      </c>
      <c r="D224" s="155"/>
      <c r="E224" s="155"/>
      <c r="F224" s="9"/>
      <c r="G224" s="12"/>
    </row>
    <row r="225" spans="2:7" x14ac:dyDescent="0.25">
      <c r="B225" s="20" t="s">
        <v>30</v>
      </c>
      <c r="C225" s="154" t="s">
        <v>119</v>
      </c>
      <c r="D225" s="154"/>
      <c r="E225" s="154"/>
      <c r="F225" s="9"/>
      <c r="G225" s="12"/>
    </row>
    <row r="226" spans="2:7" x14ac:dyDescent="0.25">
      <c r="B226" s="132" t="s">
        <v>79</v>
      </c>
      <c r="C226" s="133"/>
      <c r="D226" s="133"/>
      <c r="E226" s="133"/>
      <c r="F226" s="133"/>
      <c r="G226" s="133"/>
    </row>
    <row r="227" spans="2:7" ht="39.75" customHeight="1" x14ac:dyDescent="0.25">
      <c r="B227" s="13" t="s">
        <v>59</v>
      </c>
      <c r="C227" s="14" t="s">
        <v>80</v>
      </c>
      <c r="D227" s="65">
        <f>D38^2*D44*(D37/D35)</f>
        <v>0.75</v>
      </c>
      <c r="E227" s="13" t="s">
        <v>9</v>
      </c>
      <c r="F227" s="9"/>
      <c r="G227" s="156"/>
    </row>
    <row r="228" spans="2:7" ht="33" customHeight="1" x14ac:dyDescent="0.25">
      <c r="B228" s="13" t="s">
        <v>81</v>
      </c>
      <c r="C228" s="14" t="s">
        <v>82</v>
      </c>
      <c r="D228" s="65">
        <f>D36^2*D38*0.5*10^-9*D55</f>
        <v>0.19237499999999999</v>
      </c>
      <c r="E228" s="13" t="s">
        <v>9</v>
      </c>
      <c r="F228" s="9"/>
      <c r="G228" s="157"/>
    </row>
    <row r="229" spans="2:7" ht="30" customHeight="1" x14ac:dyDescent="0.25">
      <c r="B229" s="13" t="s">
        <v>120</v>
      </c>
      <c r="C229" s="14" t="s">
        <v>121</v>
      </c>
      <c r="D229" s="65">
        <f>D36*3*10^-9*D55</f>
        <v>2.5650000000000003E-2</v>
      </c>
      <c r="E229" s="13" t="s">
        <v>9</v>
      </c>
      <c r="F229" s="9"/>
      <c r="G229" s="157"/>
    </row>
    <row r="230" spans="2:7" ht="33" customHeight="1" x14ac:dyDescent="0.25">
      <c r="B230" s="13" t="s">
        <v>122</v>
      </c>
      <c r="C230" s="14" t="s">
        <v>123</v>
      </c>
      <c r="D230" s="65">
        <f>0.11*(10^-3)*D36</f>
        <v>1.65E-3</v>
      </c>
      <c r="E230" s="13" t="s">
        <v>9</v>
      </c>
      <c r="F230" s="9"/>
      <c r="G230" s="158"/>
    </row>
    <row r="231" spans="2:7" x14ac:dyDescent="0.25">
      <c r="B231" s="13" t="s">
        <v>83</v>
      </c>
      <c r="C231" s="14" t="s">
        <v>305</v>
      </c>
      <c r="D231" s="65">
        <f>SUM(D227:D230)</f>
        <v>0.96967499999999995</v>
      </c>
      <c r="E231" s="13" t="s">
        <v>9</v>
      </c>
      <c r="F231" s="9"/>
      <c r="G231" s="9"/>
    </row>
    <row r="232" spans="2:7" x14ac:dyDescent="0.25">
      <c r="B232" s="47" t="s">
        <v>168</v>
      </c>
      <c r="C232" s="48" t="s">
        <v>169</v>
      </c>
      <c r="D232" s="49">
        <v>48.7</v>
      </c>
      <c r="E232" s="47" t="s">
        <v>170</v>
      </c>
      <c r="F232" s="47"/>
      <c r="G232" s="47" t="s">
        <v>200</v>
      </c>
    </row>
    <row r="233" spans="2:7" x14ac:dyDescent="0.25">
      <c r="B233" s="67" t="s">
        <v>306</v>
      </c>
      <c r="C233" s="68" t="s">
        <v>61</v>
      </c>
      <c r="D233" s="69">
        <v>70</v>
      </c>
      <c r="E233" s="13" t="s">
        <v>62</v>
      </c>
      <c r="F233" s="67"/>
      <c r="G233" s="13"/>
    </row>
    <row r="234" spans="2:7" ht="29.25" customHeight="1" x14ac:dyDescent="0.25">
      <c r="B234" s="67" t="s">
        <v>307</v>
      </c>
      <c r="C234" s="68" t="s">
        <v>63</v>
      </c>
      <c r="D234" s="19">
        <f>D233+(D232*D231)</f>
        <v>117.2231725</v>
      </c>
      <c r="E234" s="13" t="s">
        <v>84</v>
      </c>
      <c r="F234" s="9"/>
      <c r="G234" s="9"/>
    </row>
    <row r="235" spans="2:7" x14ac:dyDescent="0.25">
      <c r="B235" s="67" t="s">
        <v>131</v>
      </c>
      <c r="C235" s="68" t="s">
        <v>64</v>
      </c>
      <c r="D235" s="19">
        <v>150</v>
      </c>
      <c r="E235" s="13" t="s">
        <v>84</v>
      </c>
      <c r="F235" s="9"/>
      <c r="G235" s="9" t="s">
        <v>124</v>
      </c>
    </row>
    <row r="236" spans="2:7" x14ac:dyDescent="0.25">
      <c r="B236" s="13" t="s">
        <v>217</v>
      </c>
      <c r="C236" s="14" t="s">
        <v>218</v>
      </c>
      <c r="D236" s="15">
        <f>D235-D234</f>
        <v>32.776827499999996</v>
      </c>
      <c r="E236" s="13" t="s">
        <v>62</v>
      </c>
      <c r="F236" s="46"/>
      <c r="G236" s="13" t="s">
        <v>219</v>
      </c>
    </row>
    <row r="237" spans="2:7" x14ac:dyDescent="0.25">
      <c r="B237" s="132" t="s">
        <v>85</v>
      </c>
      <c r="C237" s="133"/>
      <c r="D237" s="133"/>
      <c r="E237" s="133"/>
      <c r="F237" s="133"/>
      <c r="G237" s="133"/>
    </row>
    <row r="238" spans="2:7" x14ac:dyDescent="0.25">
      <c r="B238" s="13" t="s">
        <v>86</v>
      </c>
      <c r="C238" s="14" t="s">
        <v>87</v>
      </c>
      <c r="D238" s="21">
        <f>(D231+D125+(D86*10^-3)+(D85*10^-3)+D76)</f>
        <v>2.000670395020844</v>
      </c>
      <c r="E238" s="13" t="s">
        <v>9</v>
      </c>
      <c r="F238" s="9"/>
      <c r="G238" s="9"/>
    </row>
    <row r="239" spans="2:7" x14ac:dyDescent="0.25">
      <c r="B239" s="13" t="s">
        <v>202</v>
      </c>
      <c r="C239" s="14" t="s">
        <v>15</v>
      </c>
      <c r="D239" s="21">
        <f>D39</f>
        <v>15</v>
      </c>
      <c r="E239" s="13" t="s">
        <v>9</v>
      </c>
      <c r="F239" s="9"/>
      <c r="G239" s="9"/>
    </row>
    <row r="240" spans="2:7" x14ac:dyDescent="0.25">
      <c r="B240" s="13" t="s">
        <v>88</v>
      </c>
      <c r="C240" s="14" t="s">
        <v>125</v>
      </c>
      <c r="D240" s="21">
        <f>D239+D238</f>
        <v>17.000670395020844</v>
      </c>
      <c r="E240" s="13" t="s">
        <v>9</v>
      </c>
      <c r="F240" s="9" t="s">
        <v>126</v>
      </c>
      <c r="G240" s="9"/>
    </row>
    <row r="241" spans="2:7" ht="15.75" thickBot="1" x14ac:dyDescent="0.3">
      <c r="B241" s="22" t="s">
        <v>308</v>
      </c>
      <c r="C241" s="14"/>
      <c r="D241" s="84">
        <f>(D39/D240)</f>
        <v>0.88231814695926347</v>
      </c>
      <c r="E241" s="13"/>
      <c r="F241" s="9"/>
      <c r="G241" s="9"/>
    </row>
    <row r="242" spans="2:7" x14ac:dyDescent="0.25">
      <c r="B242" s="23" t="s">
        <v>89</v>
      </c>
      <c r="C242" s="18"/>
      <c r="D242" s="11"/>
      <c r="E242" s="11"/>
      <c r="G242" s="11"/>
    </row>
    <row r="243" spans="2:7" x14ac:dyDescent="0.25">
      <c r="B243" s="24"/>
    </row>
    <row r="244" spans="2:7" x14ac:dyDescent="0.25">
      <c r="B244" s="25"/>
    </row>
    <row r="245" spans="2:7" x14ac:dyDescent="0.25">
      <c r="B245" s="25"/>
    </row>
    <row r="246" spans="2:7" x14ac:dyDescent="0.25">
      <c r="B246" s="25"/>
    </row>
    <row r="247" spans="2:7" ht="15.75" thickBot="1" x14ac:dyDescent="0.3">
      <c r="B247" s="26"/>
    </row>
  </sheetData>
  <mergeCells count="99">
    <mergeCell ref="C179:E179"/>
    <mergeCell ref="C180:E180"/>
    <mergeCell ref="B1:G1"/>
    <mergeCell ref="B222:E222"/>
    <mergeCell ref="B214:E214"/>
    <mergeCell ref="C215:E215"/>
    <mergeCell ref="C216:E216"/>
    <mergeCell ref="C149:E149"/>
    <mergeCell ref="C217:E217"/>
    <mergeCell ref="C221:E221"/>
    <mergeCell ref="B205:G205"/>
    <mergeCell ref="C157:E157"/>
    <mergeCell ref="B111:G111"/>
    <mergeCell ref="B93:E93"/>
    <mergeCell ref="C94:E94"/>
    <mergeCell ref="F90:F92"/>
    <mergeCell ref="B182:E182"/>
    <mergeCell ref="C183:E183"/>
    <mergeCell ref="C184:E184"/>
    <mergeCell ref="C185:E185"/>
    <mergeCell ref="C186:E186"/>
    <mergeCell ref="B226:G226"/>
    <mergeCell ref="B237:G237"/>
    <mergeCell ref="C225:E225"/>
    <mergeCell ref="B218:E218"/>
    <mergeCell ref="C219:E219"/>
    <mergeCell ref="C220:E220"/>
    <mergeCell ref="C223:E223"/>
    <mergeCell ref="C224:E224"/>
    <mergeCell ref="G227:G230"/>
    <mergeCell ref="C181:E181"/>
    <mergeCell ref="C95:E95"/>
    <mergeCell ref="C96:E96"/>
    <mergeCell ref="C160:E160"/>
    <mergeCell ref="C97:E97"/>
    <mergeCell ref="B168:G168"/>
    <mergeCell ref="B177:E177"/>
    <mergeCell ref="C178:E178"/>
    <mergeCell ref="B102:E102"/>
    <mergeCell ref="C103:E103"/>
    <mergeCell ref="C104:E104"/>
    <mergeCell ref="C105:E105"/>
    <mergeCell ref="C106:E106"/>
    <mergeCell ref="B117:E117"/>
    <mergeCell ref="C121:E121"/>
    <mergeCell ref="B131:G131"/>
    <mergeCell ref="C118:E118"/>
    <mergeCell ref="C119:E119"/>
    <mergeCell ref="H21:K21"/>
    <mergeCell ref="H22:K22"/>
    <mergeCell ref="B77:G77"/>
    <mergeCell ref="B33:G33"/>
    <mergeCell ref="B53:G53"/>
    <mergeCell ref="B31:G31"/>
    <mergeCell ref="B32:G32"/>
    <mergeCell ref="B41:G41"/>
    <mergeCell ref="C69:E69"/>
    <mergeCell ref="C70:E70"/>
    <mergeCell ref="C72:E72"/>
    <mergeCell ref="C71:E71"/>
    <mergeCell ref="B56:G56"/>
    <mergeCell ref="B68:E68"/>
    <mergeCell ref="B2:G2"/>
    <mergeCell ref="C3:G3"/>
    <mergeCell ref="C4:G4"/>
    <mergeCell ref="B5:G5"/>
    <mergeCell ref="H10:K10"/>
    <mergeCell ref="B140:E140"/>
    <mergeCell ref="C141:E141"/>
    <mergeCell ref="C142:E142"/>
    <mergeCell ref="C143:E143"/>
    <mergeCell ref="C144:E144"/>
    <mergeCell ref="C166:E166"/>
    <mergeCell ref="C167:E167"/>
    <mergeCell ref="B150:G150"/>
    <mergeCell ref="B156:E156"/>
    <mergeCell ref="C158:E158"/>
    <mergeCell ref="B161:G161"/>
    <mergeCell ref="C148:E148"/>
    <mergeCell ref="C159:E159"/>
    <mergeCell ref="B163:E163"/>
    <mergeCell ref="C164:E164"/>
    <mergeCell ref="C165:E165"/>
    <mergeCell ref="F85:F86"/>
    <mergeCell ref="C120:E120"/>
    <mergeCell ref="C204:E204"/>
    <mergeCell ref="C199:E199"/>
    <mergeCell ref="B200:E200"/>
    <mergeCell ref="C201:E201"/>
    <mergeCell ref="C202:E202"/>
    <mergeCell ref="C203:E203"/>
    <mergeCell ref="B187:G187"/>
    <mergeCell ref="B195:E195"/>
    <mergeCell ref="C196:E196"/>
    <mergeCell ref="C197:E197"/>
    <mergeCell ref="C198:E198"/>
    <mergeCell ref="B145:E145"/>
    <mergeCell ref="C146:E146"/>
    <mergeCell ref="C147:E147"/>
  </mergeCells>
  <pageMargins left="0.7" right="0.7" top="0.75" bottom="0.75" header="0.3" footer="0.3"/>
  <pageSetup scale="14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027" r:id="rId4">
          <objectPr defaultSize="0" autoPict="0" r:id="rId5">
            <anchor moveWithCells="1">
              <from>
                <xdr:col>1</xdr:col>
                <xdr:colOff>104775</xdr:colOff>
                <xdr:row>242</xdr:row>
                <xdr:rowOff>161925</xdr:rowOff>
              </from>
              <to>
                <xdr:col>1</xdr:col>
                <xdr:colOff>971550</xdr:colOff>
                <xdr:row>246</xdr:row>
                <xdr:rowOff>85725</xdr:rowOff>
              </to>
            </anchor>
          </objectPr>
        </oleObject>
      </mc:Choice>
      <mc:Fallback>
        <oleObject progId="AcroExch.Document.DC" dvAspect="DVASPECT_ICON" shapeId="1027" r:id="rId4"/>
      </mc:Fallback>
    </mc:AlternateContent>
    <mc:AlternateContent xmlns:mc="http://schemas.openxmlformats.org/markup-compatibility/2006">
      <mc:Choice Requires="x14">
        <oleObject progId="AcroExch.Document.DC" dvAspect="DVASPECT_ICON" shapeId="1028" r:id="rId6">
          <objectPr defaultSize="0" r:id="rId7">
            <anchor moveWithCells="1">
              <from>
                <xdr:col>1</xdr:col>
                <xdr:colOff>1362075</xdr:colOff>
                <xdr:row>242</xdr:row>
                <xdr:rowOff>171450</xdr:rowOff>
              </from>
              <to>
                <xdr:col>1</xdr:col>
                <xdr:colOff>2276475</xdr:colOff>
                <xdr:row>246</xdr:row>
                <xdr:rowOff>95250</xdr:rowOff>
              </to>
            </anchor>
          </objectPr>
        </oleObject>
      </mc:Choice>
      <mc:Fallback>
        <oleObject progId="AcroExch.Document.DC" dvAspect="DVASPECT_ICON" shapeId="102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showGridLines="0" zoomScale="85" zoomScaleNormal="85" zoomScaleSheetLayoutView="100" workbookViewId="0">
      <selection sqref="A1:D1"/>
    </sheetView>
  </sheetViews>
  <sheetFormatPr defaultRowHeight="12.75" x14ac:dyDescent="0.2"/>
  <cols>
    <col min="1" max="1" width="7.140625" style="90" customWidth="1"/>
    <col min="2" max="3" width="11.140625" style="90" customWidth="1"/>
    <col min="4" max="4" width="12.42578125" style="90" customWidth="1"/>
    <col min="5" max="5" width="30.85546875" style="90" customWidth="1"/>
    <col min="6" max="7" width="6.85546875" style="90" customWidth="1"/>
    <col min="8" max="8" width="9" style="90" customWidth="1"/>
    <col min="9" max="9" width="24.85546875" style="90" customWidth="1"/>
    <col min="10" max="10" width="20" style="90" customWidth="1"/>
    <col min="11" max="11" width="19.140625" style="90" customWidth="1"/>
    <col min="12" max="12" width="17.5703125" style="90" customWidth="1"/>
    <col min="13" max="13" width="22.42578125" style="90" customWidth="1"/>
    <col min="14" max="16" width="13.140625" style="90" customWidth="1"/>
    <col min="17" max="17" width="22.85546875" style="90" customWidth="1"/>
    <col min="18" max="18" width="15.28515625" style="90" customWidth="1"/>
    <col min="19" max="16384" width="9.140625" style="90"/>
  </cols>
  <sheetData>
    <row r="1" spans="1:18" s="89" customFormat="1" x14ac:dyDescent="0.2">
      <c r="A1" s="171" t="s">
        <v>348</v>
      </c>
      <c r="B1" s="171"/>
      <c r="C1" s="171"/>
      <c r="D1" s="171"/>
      <c r="E1" s="87" t="s">
        <v>349</v>
      </c>
      <c r="F1" s="171" t="s">
        <v>350</v>
      </c>
      <c r="G1" s="171"/>
      <c r="H1" s="178"/>
      <c r="I1" s="179"/>
      <c r="J1" s="179"/>
      <c r="K1" s="179"/>
      <c r="L1" s="180"/>
      <c r="M1" s="88" t="s">
        <v>351</v>
      </c>
      <c r="N1" s="181">
        <v>1</v>
      </c>
      <c r="O1" s="182"/>
      <c r="P1" s="182"/>
      <c r="Q1" s="183"/>
    </row>
    <row r="2" spans="1:18" x14ac:dyDescent="0.2">
      <c r="A2" s="184" t="s">
        <v>352</v>
      </c>
      <c r="B2" s="185"/>
      <c r="C2" s="185"/>
      <c r="D2" s="186"/>
      <c r="E2" s="168" t="s">
        <v>353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70"/>
    </row>
    <row r="3" spans="1:18" x14ac:dyDescent="0.2">
      <c r="A3" s="172">
        <v>1</v>
      </c>
      <c r="B3" s="173"/>
      <c r="C3" s="173"/>
      <c r="D3" s="174"/>
      <c r="E3" s="175" t="s">
        <v>354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91"/>
    </row>
    <row r="4" spans="1:18" s="89" customFormat="1" x14ac:dyDescent="0.2">
      <c r="A4" s="175"/>
      <c r="B4" s="176"/>
      <c r="C4" s="176"/>
      <c r="D4" s="177"/>
      <c r="E4" s="175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92"/>
    </row>
    <row r="5" spans="1:18" x14ac:dyDescent="0.2">
      <c r="A5" s="175"/>
      <c r="B5" s="176"/>
      <c r="C5" s="176"/>
      <c r="D5" s="177"/>
      <c r="E5" s="175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91"/>
    </row>
    <row r="6" spans="1:18" x14ac:dyDescent="0.2">
      <c r="A6" s="168" t="s">
        <v>355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91"/>
    </row>
    <row r="7" spans="1:18" x14ac:dyDescent="0.2">
      <c r="A7" s="168" t="s">
        <v>356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70"/>
      <c r="R7" s="91"/>
    </row>
    <row r="8" spans="1:18" x14ac:dyDescent="0.2">
      <c r="A8" s="166" t="s">
        <v>357</v>
      </c>
      <c r="B8" s="171" t="s">
        <v>358</v>
      </c>
      <c r="C8" s="166" t="s">
        <v>28</v>
      </c>
      <c r="D8" s="166" t="s">
        <v>28</v>
      </c>
      <c r="E8" s="166" t="s">
        <v>359</v>
      </c>
      <c r="F8" s="166" t="s">
        <v>360</v>
      </c>
      <c r="G8" s="166" t="s">
        <v>6</v>
      </c>
      <c r="H8" s="166" t="s">
        <v>361</v>
      </c>
      <c r="I8" s="166" t="s">
        <v>362</v>
      </c>
      <c r="J8" s="166" t="s">
        <v>363</v>
      </c>
      <c r="K8" s="166" t="s">
        <v>364</v>
      </c>
      <c r="L8" s="166" t="s">
        <v>365</v>
      </c>
      <c r="M8" s="166" t="s">
        <v>366</v>
      </c>
      <c r="N8" s="166" t="s">
        <v>367</v>
      </c>
      <c r="O8" s="168" t="s">
        <v>368</v>
      </c>
      <c r="P8" s="170"/>
      <c r="Q8" s="166" t="s">
        <v>369</v>
      </c>
    </row>
    <row r="9" spans="1:18" ht="27" customHeight="1" x14ac:dyDescent="0.2">
      <c r="A9" s="167"/>
      <c r="B9" s="171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93" t="s">
        <v>370</v>
      </c>
      <c r="P9" s="93" t="s">
        <v>371</v>
      </c>
      <c r="Q9" s="167"/>
    </row>
    <row r="10" spans="1:18" ht="15" x14ac:dyDescent="0.2">
      <c r="A10" s="94">
        <f>+A9+1</f>
        <v>1</v>
      </c>
      <c r="B10" s="94"/>
      <c r="C10" s="95" t="s">
        <v>112</v>
      </c>
      <c r="D10" s="96" t="s">
        <v>337</v>
      </c>
      <c r="E10" s="94" t="s">
        <v>372</v>
      </c>
      <c r="F10" s="97">
        <v>1</v>
      </c>
      <c r="G10" s="98">
        <v>1</v>
      </c>
      <c r="H10" s="98">
        <v>1</v>
      </c>
      <c r="I10" s="98" t="s">
        <v>266</v>
      </c>
      <c r="J10" s="98" t="s">
        <v>232</v>
      </c>
      <c r="K10" s="97"/>
      <c r="L10" s="97"/>
      <c r="M10" s="99"/>
      <c r="N10" s="100"/>
      <c r="O10" s="101">
        <v>2.31E-3</v>
      </c>
      <c r="P10" s="101">
        <f>+O10*H10</f>
        <v>2.31E-3</v>
      </c>
      <c r="Q10" s="102"/>
    </row>
    <row r="11" spans="1:18" ht="15" x14ac:dyDescent="0.2">
      <c r="A11" s="94">
        <f t="shared" ref="A11:A26" si="0">+A10+1</f>
        <v>2</v>
      </c>
      <c r="B11" s="94"/>
      <c r="C11" s="95" t="s">
        <v>373</v>
      </c>
      <c r="D11" s="96" t="s">
        <v>335</v>
      </c>
      <c r="E11" s="94" t="s">
        <v>374</v>
      </c>
      <c r="F11" s="97">
        <v>1</v>
      </c>
      <c r="G11" s="98">
        <v>1</v>
      </c>
      <c r="H11" s="98">
        <v>1</v>
      </c>
      <c r="I11" s="98" t="s">
        <v>375</v>
      </c>
      <c r="J11" s="98" t="s">
        <v>232</v>
      </c>
      <c r="K11" s="97"/>
      <c r="L11" s="97"/>
      <c r="M11" s="99"/>
      <c r="N11" s="99"/>
      <c r="O11" s="101">
        <v>3.2169999999999997E-2</v>
      </c>
      <c r="P11" s="101">
        <f t="shared" ref="P11:P25" si="1">+O11*H11</f>
        <v>3.2169999999999997E-2</v>
      </c>
      <c r="Q11" s="94"/>
    </row>
    <row r="12" spans="1:18" ht="15" x14ac:dyDescent="0.2">
      <c r="A12" s="94">
        <f t="shared" si="0"/>
        <v>3</v>
      </c>
      <c r="B12" s="94"/>
      <c r="C12" s="95" t="s">
        <v>376</v>
      </c>
      <c r="D12" s="96" t="s">
        <v>377</v>
      </c>
      <c r="E12" s="94" t="s">
        <v>378</v>
      </c>
      <c r="F12" s="97">
        <v>1</v>
      </c>
      <c r="G12" s="98">
        <v>1</v>
      </c>
      <c r="H12" s="98">
        <v>1</v>
      </c>
      <c r="I12" s="98" t="s">
        <v>379</v>
      </c>
      <c r="J12" s="98" t="s">
        <v>380</v>
      </c>
      <c r="K12" s="97"/>
      <c r="L12" s="97"/>
      <c r="M12" s="99"/>
      <c r="N12" s="99"/>
      <c r="O12" s="101">
        <v>1.316E-2</v>
      </c>
      <c r="P12" s="101">
        <f t="shared" si="1"/>
        <v>1.316E-2</v>
      </c>
      <c r="Q12" s="94"/>
    </row>
    <row r="13" spans="1:18" ht="15" x14ac:dyDescent="0.2">
      <c r="A13" s="94">
        <f t="shared" si="0"/>
        <v>4</v>
      </c>
      <c r="B13" s="94"/>
      <c r="C13" s="95" t="s">
        <v>44</v>
      </c>
      <c r="D13" s="103" t="s">
        <v>381</v>
      </c>
      <c r="E13" s="94" t="s">
        <v>382</v>
      </c>
      <c r="F13" s="97">
        <v>1</v>
      </c>
      <c r="G13" s="98">
        <v>1</v>
      </c>
      <c r="H13" s="98">
        <v>3</v>
      </c>
      <c r="I13" s="98" t="s">
        <v>242</v>
      </c>
      <c r="J13" s="98" t="s">
        <v>232</v>
      </c>
      <c r="K13" s="97"/>
      <c r="L13" s="97"/>
      <c r="M13" s="99"/>
      <c r="N13" s="99"/>
      <c r="O13" s="101">
        <v>0.17765</v>
      </c>
      <c r="P13" s="101">
        <f t="shared" si="1"/>
        <v>0.53295000000000003</v>
      </c>
      <c r="Q13" s="94"/>
    </row>
    <row r="14" spans="1:18" ht="15" x14ac:dyDescent="0.2">
      <c r="A14" s="94"/>
      <c r="B14" s="94"/>
      <c r="C14" s="95" t="s">
        <v>383</v>
      </c>
      <c r="D14" s="96" t="s">
        <v>341</v>
      </c>
      <c r="E14" s="94" t="s">
        <v>384</v>
      </c>
      <c r="F14" s="97">
        <v>1</v>
      </c>
      <c r="G14" s="98">
        <v>1</v>
      </c>
      <c r="H14" s="98">
        <v>1</v>
      </c>
      <c r="I14" s="98" t="s">
        <v>385</v>
      </c>
      <c r="J14" s="98" t="s">
        <v>232</v>
      </c>
      <c r="K14" s="97"/>
      <c r="L14" s="97"/>
      <c r="M14" s="99"/>
      <c r="N14" s="99"/>
      <c r="O14" s="101"/>
      <c r="P14" s="101"/>
      <c r="Q14" s="94"/>
    </row>
    <row r="15" spans="1:18" ht="15" x14ac:dyDescent="0.2">
      <c r="A15" s="94">
        <f>+A13+1</f>
        <v>5</v>
      </c>
      <c r="B15" s="94"/>
      <c r="C15" s="95" t="s">
        <v>110</v>
      </c>
      <c r="D15" s="96" t="s">
        <v>386</v>
      </c>
      <c r="E15" s="94" t="s">
        <v>387</v>
      </c>
      <c r="F15" s="97">
        <v>1</v>
      </c>
      <c r="G15" s="98">
        <v>1</v>
      </c>
      <c r="H15" s="98">
        <v>3</v>
      </c>
      <c r="I15" s="98" t="s">
        <v>388</v>
      </c>
      <c r="J15" s="98" t="s">
        <v>232</v>
      </c>
      <c r="K15" s="97"/>
      <c r="L15" s="97"/>
      <c r="M15" s="99"/>
      <c r="N15" s="99"/>
      <c r="O15" s="101">
        <v>0.16192000000000001</v>
      </c>
      <c r="P15" s="101">
        <f t="shared" si="1"/>
        <v>0.48576000000000003</v>
      </c>
      <c r="Q15" s="94"/>
    </row>
    <row r="16" spans="1:18" ht="15" x14ac:dyDescent="0.2">
      <c r="A16" s="94"/>
      <c r="B16" s="94"/>
      <c r="C16" s="95" t="s">
        <v>389</v>
      </c>
      <c r="D16" s="96" t="s">
        <v>325</v>
      </c>
      <c r="E16" s="94" t="s">
        <v>263</v>
      </c>
      <c r="F16" s="97">
        <v>1</v>
      </c>
      <c r="G16" s="98">
        <v>1</v>
      </c>
      <c r="H16" s="98">
        <v>1</v>
      </c>
      <c r="I16" s="98" t="s">
        <v>262</v>
      </c>
      <c r="J16" s="98" t="s">
        <v>232</v>
      </c>
      <c r="K16" s="97"/>
      <c r="L16" s="97"/>
      <c r="M16" s="99"/>
      <c r="N16" s="99"/>
      <c r="O16" s="101"/>
      <c r="P16" s="101"/>
      <c r="Q16" s="94"/>
    </row>
    <row r="17" spans="1:17" ht="15" x14ac:dyDescent="0.2">
      <c r="A17" s="94">
        <f>+A15+1</f>
        <v>6</v>
      </c>
      <c r="B17" s="94"/>
      <c r="C17" s="95" t="s">
        <v>71</v>
      </c>
      <c r="D17" s="96" t="s">
        <v>327</v>
      </c>
      <c r="E17" s="94" t="s">
        <v>390</v>
      </c>
      <c r="F17" s="97">
        <v>1</v>
      </c>
      <c r="G17" s="98">
        <v>1</v>
      </c>
      <c r="H17" s="98">
        <v>1</v>
      </c>
      <c r="I17" s="98" t="s">
        <v>274</v>
      </c>
      <c r="J17" s="98" t="s">
        <v>232</v>
      </c>
      <c r="K17" s="97"/>
      <c r="L17" s="97"/>
      <c r="M17" s="99"/>
      <c r="N17" s="99"/>
      <c r="O17" s="101">
        <v>0.01</v>
      </c>
      <c r="P17" s="101">
        <f t="shared" si="1"/>
        <v>0.01</v>
      </c>
      <c r="Q17" s="94"/>
    </row>
    <row r="18" spans="1:17" ht="15" x14ac:dyDescent="0.2">
      <c r="A18" s="94">
        <f t="shared" si="0"/>
        <v>7</v>
      </c>
      <c r="B18" s="94"/>
      <c r="C18" s="95" t="s">
        <v>391</v>
      </c>
      <c r="D18" s="96" t="s">
        <v>322</v>
      </c>
      <c r="E18" s="94" t="s">
        <v>392</v>
      </c>
      <c r="F18" s="97">
        <v>1</v>
      </c>
      <c r="G18" s="98">
        <v>1</v>
      </c>
      <c r="H18" s="98">
        <v>1</v>
      </c>
      <c r="I18" s="98" t="s">
        <v>90</v>
      </c>
      <c r="J18" s="98" t="s">
        <v>303</v>
      </c>
      <c r="K18" s="97"/>
      <c r="L18" s="97"/>
      <c r="M18" s="99"/>
      <c r="N18" s="99"/>
      <c r="O18" s="101">
        <v>0.18754999999999999</v>
      </c>
      <c r="P18" s="101">
        <f t="shared" si="1"/>
        <v>0.18754999999999999</v>
      </c>
      <c r="Q18" s="94"/>
    </row>
    <row r="19" spans="1:17" ht="15" x14ac:dyDescent="0.2">
      <c r="A19" s="94">
        <f t="shared" si="0"/>
        <v>8</v>
      </c>
      <c r="B19" s="94"/>
      <c r="C19" s="95" t="s">
        <v>140</v>
      </c>
      <c r="D19" s="96" t="s">
        <v>316</v>
      </c>
      <c r="E19" s="94" t="s">
        <v>393</v>
      </c>
      <c r="F19" s="97">
        <v>1</v>
      </c>
      <c r="G19" s="98">
        <v>1</v>
      </c>
      <c r="H19" s="98">
        <v>1</v>
      </c>
      <c r="I19" s="98" t="s">
        <v>313</v>
      </c>
      <c r="J19" s="98" t="s">
        <v>210</v>
      </c>
      <c r="K19" s="97"/>
      <c r="L19" s="97"/>
      <c r="M19" s="99"/>
      <c r="N19" s="99"/>
      <c r="O19" s="101">
        <v>0.92</v>
      </c>
      <c r="P19" s="101">
        <f t="shared" si="1"/>
        <v>0.92</v>
      </c>
      <c r="Q19" s="94"/>
    </row>
    <row r="20" spans="1:17" ht="25.5" x14ac:dyDescent="0.2">
      <c r="A20" s="94">
        <f t="shared" si="0"/>
        <v>9</v>
      </c>
      <c r="B20" s="94"/>
      <c r="C20" s="95" t="s">
        <v>394</v>
      </c>
      <c r="D20" s="96" t="s">
        <v>334</v>
      </c>
      <c r="E20" s="94" t="s">
        <v>395</v>
      </c>
      <c r="F20" s="97">
        <v>1</v>
      </c>
      <c r="G20" s="98">
        <v>1</v>
      </c>
      <c r="H20" s="98">
        <v>1</v>
      </c>
      <c r="I20" s="98" t="s">
        <v>396</v>
      </c>
      <c r="J20" s="98" t="s">
        <v>397</v>
      </c>
      <c r="K20" s="97"/>
      <c r="L20" s="97"/>
      <c r="M20" s="99"/>
      <c r="N20" s="99"/>
      <c r="O20" s="101">
        <v>3.8E-3</v>
      </c>
      <c r="P20" s="101">
        <f t="shared" si="1"/>
        <v>3.8E-3</v>
      </c>
      <c r="Q20" s="94"/>
    </row>
    <row r="21" spans="1:17" ht="25.5" x14ac:dyDescent="0.2">
      <c r="A21" s="94">
        <f t="shared" si="0"/>
        <v>10</v>
      </c>
      <c r="B21" s="94"/>
      <c r="C21" s="95" t="s">
        <v>95</v>
      </c>
      <c r="D21" s="96" t="s">
        <v>320</v>
      </c>
      <c r="E21" s="94" t="s">
        <v>398</v>
      </c>
      <c r="F21" s="97">
        <v>1</v>
      </c>
      <c r="G21" s="98">
        <v>1</v>
      </c>
      <c r="H21" s="98">
        <v>1</v>
      </c>
      <c r="I21" s="98" t="s">
        <v>399</v>
      </c>
      <c r="J21" s="98" t="s">
        <v>397</v>
      </c>
      <c r="K21" s="97"/>
      <c r="L21" s="97"/>
      <c r="M21" s="99"/>
      <c r="N21" s="99"/>
      <c r="O21" s="101">
        <v>3.5999999999999997E-2</v>
      </c>
      <c r="P21" s="101">
        <f t="shared" si="1"/>
        <v>3.5999999999999997E-2</v>
      </c>
      <c r="Q21" s="104"/>
    </row>
    <row r="22" spans="1:17" ht="25.5" x14ac:dyDescent="0.2">
      <c r="A22" s="94">
        <f t="shared" si="0"/>
        <v>11</v>
      </c>
      <c r="B22" s="94"/>
      <c r="C22" s="95" t="s">
        <v>96</v>
      </c>
      <c r="D22" s="96" t="s">
        <v>318</v>
      </c>
      <c r="E22" s="94" t="s">
        <v>229</v>
      </c>
      <c r="F22" s="97">
        <v>1</v>
      </c>
      <c r="G22" s="98">
        <v>1</v>
      </c>
      <c r="H22" s="98">
        <v>1</v>
      </c>
      <c r="I22" s="98" t="s">
        <v>400</v>
      </c>
      <c r="J22" s="98" t="s">
        <v>397</v>
      </c>
      <c r="K22" s="97"/>
      <c r="L22" s="97"/>
      <c r="M22" s="99"/>
      <c r="N22" s="99"/>
      <c r="O22" s="101">
        <v>3.8E-3</v>
      </c>
      <c r="P22" s="101">
        <f t="shared" si="1"/>
        <v>3.8E-3</v>
      </c>
      <c r="Q22" s="94"/>
    </row>
    <row r="23" spans="1:17" ht="15" x14ac:dyDescent="0.2">
      <c r="A23" s="94"/>
      <c r="B23" s="94"/>
      <c r="C23" s="95" t="s">
        <v>286</v>
      </c>
      <c r="D23" s="96" t="s">
        <v>343</v>
      </c>
      <c r="E23" s="94" t="s">
        <v>293</v>
      </c>
      <c r="F23" s="97">
        <v>1</v>
      </c>
      <c r="G23" s="98">
        <v>1</v>
      </c>
      <c r="H23" s="98">
        <v>1</v>
      </c>
      <c r="I23" s="98" t="s">
        <v>292</v>
      </c>
      <c r="J23" s="98" t="s">
        <v>397</v>
      </c>
      <c r="K23" s="97"/>
      <c r="L23" s="97"/>
      <c r="M23" s="99"/>
      <c r="N23" s="99"/>
      <c r="O23" s="101"/>
      <c r="P23" s="101"/>
      <c r="Q23" s="94"/>
    </row>
    <row r="24" spans="1:17" ht="25.5" x14ac:dyDescent="0.2">
      <c r="A24" s="94"/>
      <c r="B24" s="94"/>
      <c r="C24" s="95" t="s">
        <v>290</v>
      </c>
      <c r="D24" s="96" t="s">
        <v>345</v>
      </c>
      <c r="E24" s="94" t="s">
        <v>401</v>
      </c>
      <c r="F24" s="97">
        <v>1</v>
      </c>
      <c r="G24" s="98">
        <v>1</v>
      </c>
      <c r="H24" s="98">
        <v>1</v>
      </c>
      <c r="I24" s="98" t="s">
        <v>402</v>
      </c>
      <c r="J24" s="98" t="s">
        <v>397</v>
      </c>
      <c r="K24" s="97"/>
      <c r="L24" s="97"/>
      <c r="M24" s="99"/>
      <c r="N24" s="99"/>
      <c r="O24" s="101"/>
      <c r="P24" s="101"/>
      <c r="Q24" s="94"/>
    </row>
    <row r="25" spans="1:17" ht="15" x14ac:dyDescent="0.2">
      <c r="A25" s="94">
        <f>+A22+1</f>
        <v>12</v>
      </c>
      <c r="B25" s="94"/>
      <c r="C25" s="95" t="s">
        <v>403</v>
      </c>
      <c r="D25" s="96" t="s">
        <v>404</v>
      </c>
      <c r="E25" s="94" t="s">
        <v>405</v>
      </c>
      <c r="F25" s="97">
        <v>1</v>
      </c>
      <c r="G25" s="98">
        <v>1</v>
      </c>
      <c r="H25" s="98">
        <v>1</v>
      </c>
      <c r="I25" s="98" t="s">
        <v>406</v>
      </c>
      <c r="J25" s="98" t="s">
        <v>407</v>
      </c>
      <c r="K25" s="97"/>
      <c r="L25" s="97"/>
      <c r="M25" s="99"/>
      <c r="N25" s="99"/>
      <c r="O25" s="101">
        <v>0.65</v>
      </c>
      <c r="P25" s="101">
        <f t="shared" si="1"/>
        <v>0.65</v>
      </c>
      <c r="Q25" s="94"/>
    </row>
    <row r="26" spans="1:17" x14ac:dyDescent="0.2">
      <c r="A26" s="94">
        <f t="shared" si="0"/>
        <v>13</v>
      </c>
      <c r="B26" s="94"/>
      <c r="C26" s="105"/>
      <c r="D26" s="105"/>
      <c r="E26" s="94"/>
      <c r="F26" s="97"/>
      <c r="G26" s="97"/>
      <c r="H26" s="97"/>
      <c r="I26" s="97"/>
      <c r="J26" s="97"/>
      <c r="K26" s="97"/>
      <c r="L26" s="97"/>
      <c r="M26" s="99"/>
      <c r="N26" s="99"/>
      <c r="O26" s="106"/>
      <c r="P26" s="106"/>
      <c r="Q26" s="94"/>
    </row>
    <row r="27" spans="1:17" x14ac:dyDescent="0.2">
      <c r="A27" s="164" t="s">
        <v>408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  <c r="P27" s="107">
        <f>SUM(P10:P26)</f>
        <v>2.8774999999999999</v>
      </c>
      <c r="Q27" s="108"/>
    </row>
    <row r="28" spans="1:17" x14ac:dyDescent="0.2">
      <c r="M28" s="108"/>
      <c r="N28" s="108"/>
      <c r="O28" s="108"/>
      <c r="P28" s="108"/>
    </row>
    <row r="29" spans="1:17" x14ac:dyDescent="0.2">
      <c r="E29" s="109"/>
      <c r="M29" s="108"/>
      <c r="N29" s="108"/>
      <c r="O29" s="108"/>
      <c r="P29" s="108"/>
    </row>
    <row r="30" spans="1:17" x14ac:dyDescent="0.2">
      <c r="M30" s="108"/>
      <c r="N30" s="108"/>
      <c r="O30" s="108"/>
      <c r="P30" s="108"/>
    </row>
    <row r="31" spans="1:17" x14ac:dyDescent="0.2">
      <c r="M31" s="108"/>
      <c r="N31" s="108"/>
      <c r="O31" s="108"/>
      <c r="P31" s="108"/>
    </row>
    <row r="32" spans="1:17" x14ac:dyDescent="0.2">
      <c r="M32" s="108"/>
      <c r="N32" s="108"/>
      <c r="O32" s="108"/>
      <c r="P32" s="108"/>
    </row>
    <row r="33" spans="13:16" x14ac:dyDescent="0.2">
      <c r="M33" s="108"/>
      <c r="N33" s="108"/>
      <c r="O33" s="108"/>
      <c r="P33" s="108"/>
    </row>
    <row r="34" spans="13:16" x14ac:dyDescent="0.2">
      <c r="M34" s="108"/>
      <c r="N34" s="108"/>
      <c r="O34" s="108"/>
      <c r="P34" s="108"/>
    </row>
    <row r="35" spans="13:16" x14ac:dyDescent="0.2">
      <c r="M35" s="108"/>
      <c r="N35" s="108"/>
      <c r="O35" s="108"/>
      <c r="P35" s="108"/>
    </row>
    <row r="36" spans="13:16" x14ac:dyDescent="0.2">
      <c r="M36" s="108"/>
      <c r="N36" s="108"/>
      <c r="O36" s="108"/>
      <c r="P36" s="108"/>
    </row>
    <row r="37" spans="13:16" x14ac:dyDescent="0.2">
      <c r="M37" s="108"/>
      <c r="N37" s="108"/>
      <c r="O37" s="108"/>
      <c r="P37" s="108"/>
    </row>
    <row r="38" spans="13:16" x14ac:dyDescent="0.2">
      <c r="M38" s="108"/>
      <c r="N38" s="108"/>
      <c r="O38" s="108"/>
      <c r="P38" s="108"/>
    </row>
    <row r="39" spans="13:16" x14ac:dyDescent="0.2">
      <c r="M39" s="108"/>
      <c r="N39" s="108"/>
      <c r="O39" s="108"/>
      <c r="P39" s="108"/>
    </row>
    <row r="40" spans="13:16" x14ac:dyDescent="0.2">
      <c r="M40" s="108"/>
      <c r="N40" s="108"/>
      <c r="O40" s="108"/>
      <c r="P40" s="108"/>
    </row>
    <row r="41" spans="13:16" x14ac:dyDescent="0.2">
      <c r="M41" s="108"/>
      <c r="N41" s="108"/>
      <c r="O41" s="108"/>
      <c r="P41" s="108"/>
    </row>
    <row r="42" spans="13:16" x14ac:dyDescent="0.2">
      <c r="M42" s="108"/>
      <c r="N42" s="108"/>
      <c r="O42" s="108"/>
      <c r="P42" s="108"/>
    </row>
    <row r="43" spans="13:16" x14ac:dyDescent="0.2">
      <c r="M43" s="108"/>
      <c r="N43" s="108"/>
      <c r="O43" s="108"/>
      <c r="P43" s="108"/>
    </row>
    <row r="44" spans="13:16" x14ac:dyDescent="0.2">
      <c r="M44" s="108"/>
      <c r="N44" s="108"/>
      <c r="O44" s="108"/>
      <c r="P44" s="108"/>
    </row>
    <row r="45" spans="13:16" x14ac:dyDescent="0.2">
      <c r="M45" s="108"/>
      <c r="N45" s="108"/>
      <c r="O45" s="108"/>
      <c r="P45" s="108"/>
    </row>
    <row r="46" spans="13:16" x14ac:dyDescent="0.2">
      <c r="M46" s="108"/>
      <c r="N46" s="108"/>
      <c r="O46" s="108"/>
      <c r="P46" s="108"/>
    </row>
    <row r="47" spans="13:16" x14ac:dyDescent="0.2">
      <c r="M47" s="108"/>
      <c r="N47" s="108"/>
      <c r="O47" s="108"/>
      <c r="P47" s="108"/>
    </row>
    <row r="48" spans="13:16" x14ac:dyDescent="0.2">
      <c r="M48" s="108"/>
      <c r="N48" s="108"/>
      <c r="O48" s="108"/>
      <c r="P48" s="108"/>
    </row>
    <row r="49" spans="13:16" x14ac:dyDescent="0.2">
      <c r="M49" s="108"/>
      <c r="N49" s="108"/>
      <c r="O49" s="108"/>
      <c r="P49" s="108"/>
    </row>
    <row r="50" spans="13:16" x14ac:dyDescent="0.2">
      <c r="M50" s="108"/>
      <c r="N50" s="108"/>
      <c r="O50" s="108"/>
      <c r="P50" s="108"/>
    </row>
    <row r="51" spans="13:16" x14ac:dyDescent="0.2">
      <c r="M51" s="108"/>
      <c r="N51" s="108"/>
      <c r="O51" s="108"/>
      <c r="P51" s="108"/>
    </row>
    <row r="52" spans="13:16" x14ac:dyDescent="0.2">
      <c r="M52" s="108"/>
      <c r="N52" s="108"/>
      <c r="O52" s="108"/>
      <c r="P52" s="108"/>
    </row>
    <row r="53" spans="13:16" x14ac:dyDescent="0.2">
      <c r="M53" s="108"/>
      <c r="N53" s="108"/>
      <c r="O53" s="108"/>
      <c r="P53" s="108"/>
    </row>
    <row r="54" spans="13:16" x14ac:dyDescent="0.2">
      <c r="M54" s="108"/>
      <c r="N54" s="108"/>
      <c r="O54" s="108"/>
      <c r="P54" s="108"/>
    </row>
    <row r="55" spans="13:16" x14ac:dyDescent="0.2">
      <c r="M55" s="108"/>
      <c r="N55" s="108"/>
      <c r="O55" s="108"/>
      <c r="P55" s="108"/>
    </row>
    <row r="56" spans="13:16" x14ac:dyDescent="0.2">
      <c r="M56" s="108"/>
      <c r="N56" s="108"/>
      <c r="O56" s="108"/>
      <c r="P56" s="108"/>
    </row>
    <row r="57" spans="13:16" x14ac:dyDescent="0.2">
      <c r="M57" s="108"/>
      <c r="N57" s="108"/>
      <c r="O57" s="108"/>
      <c r="P57" s="108"/>
    </row>
    <row r="58" spans="13:16" x14ac:dyDescent="0.2">
      <c r="M58" s="108"/>
      <c r="N58" s="108"/>
      <c r="O58" s="108"/>
      <c r="P58" s="108"/>
    </row>
    <row r="59" spans="13:16" x14ac:dyDescent="0.2">
      <c r="M59" s="108"/>
      <c r="N59" s="108"/>
      <c r="O59" s="108"/>
      <c r="P59" s="108"/>
    </row>
    <row r="60" spans="13:16" x14ac:dyDescent="0.2">
      <c r="M60" s="108"/>
      <c r="N60" s="108"/>
      <c r="O60" s="108"/>
      <c r="P60" s="108"/>
    </row>
    <row r="61" spans="13:16" x14ac:dyDescent="0.2">
      <c r="M61" s="108"/>
      <c r="N61" s="108"/>
      <c r="O61" s="108"/>
      <c r="P61" s="108"/>
    </row>
    <row r="62" spans="13:16" x14ac:dyDescent="0.2">
      <c r="M62" s="108"/>
      <c r="N62" s="108"/>
      <c r="O62" s="108"/>
      <c r="P62" s="108"/>
    </row>
    <row r="63" spans="13:16" x14ac:dyDescent="0.2">
      <c r="M63" s="108"/>
      <c r="N63" s="108"/>
      <c r="O63" s="108"/>
      <c r="P63" s="108"/>
    </row>
    <row r="64" spans="13:16" x14ac:dyDescent="0.2">
      <c r="M64" s="108"/>
      <c r="N64" s="108"/>
      <c r="O64" s="108"/>
      <c r="P64" s="108"/>
    </row>
    <row r="65" spans="13:16" x14ac:dyDescent="0.2">
      <c r="M65" s="108"/>
      <c r="N65" s="108"/>
      <c r="O65" s="108"/>
      <c r="P65" s="108"/>
    </row>
  </sheetData>
  <mergeCells count="31">
    <mergeCell ref="A1:D1"/>
    <mergeCell ref="F1:G1"/>
    <mergeCell ref="H1:L1"/>
    <mergeCell ref="N1:Q1"/>
    <mergeCell ref="A2:D2"/>
    <mergeCell ref="E2:Q2"/>
    <mergeCell ref="A3:D3"/>
    <mergeCell ref="E3:Q3"/>
    <mergeCell ref="A4:D4"/>
    <mergeCell ref="E4:Q4"/>
    <mergeCell ref="A5:D5"/>
    <mergeCell ref="E5:Q5"/>
    <mergeCell ref="A6:Q6"/>
    <mergeCell ref="A7:Q7"/>
    <mergeCell ref="A8:A9"/>
    <mergeCell ref="B8:B9"/>
    <mergeCell ref="C8:C9"/>
    <mergeCell ref="D8:D9"/>
    <mergeCell ref="E8:E9"/>
    <mergeCell ref="F8:F9"/>
    <mergeCell ref="G8:G9"/>
    <mergeCell ref="H8:H9"/>
    <mergeCell ref="O8:P8"/>
    <mergeCell ref="Q8:Q9"/>
    <mergeCell ref="A27:O27"/>
    <mergeCell ref="I8:I9"/>
    <mergeCell ref="J8:J9"/>
    <mergeCell ref="K8:K9"/>
    <mergeCell ref="L8:L9"/>
    <mergeCell ref="M8:M9"/>
    <mergeCell ref="N8:N9"/>
  </mergeCells>
  <printOptions horizontalCentered="1" verticalCentered="1"/>
  <pageMargins left="0.75" right="0.67" top="1.25" bottom="1" header="0.75" footer="0.5"/>
  <pageSetup paperSize="9" scale="8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Buck Regulator_5V-3A</vt:lpstr>
      <vt:lpstr>Bill of Materials</vt:lpstr>
      <vt:lpstr>'Bill of Materials'!Print_Area</vt:lpstr>
      <vt:lpstr>'Buck Regulator_5V-3A'!Print_Area</vt:lpstr>
    </vt:vector>
  </TitlesOfParts>
  <Company>LTTS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 Thaha N C</dc:creator>
  <cp:lastModifiedBy>Muhammed Thaha N C</cp:lastModifiedBy>
  <dcterms:created xsi:type="dcterms:W3CDTF">2017-06-06T10:18:39Z</dcterms:created>
  <dcterms:modified xsi:type="dcterms:W3CDTF">2017-09-26T15:14:32Z</dcterms:modified>
</cp:coreProperties>
</file>