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067"/>
  <workbookPr/>
  <mc:AlternateContent xmlns:mc="http://schemas.openxmlformats.org/markup-compatibility/2006">
    <mc:Choice Requires="x15">
      <x15ac:absPath xmlns:x15ac="http://schemas.microsoft.com/office/spreadsheetml/2010/11/ac" url="D:\TRIMBLE\2. ACME Homologation\5. Hardware Detailed Level Design\2. Power Supply Unit\1. Buck-Boost Controller\"/>
    </mc:Choice>
  </mc:AlternateContent>
  <bookViews>
    <workbookView xWindow="0" yWindow="0" windowWidth="14370" windowHeight="7350"/>
  </bookViews>
  <sheets>
    <sheet name="Buck-Boost 12V3A_LM5118" sheetId="1" r:id="rId1"/>
    <sheet name="Bill of Materials" sheetId="4" r:id="rId2"/>
  </sheets>
  <externalReferences>
    <externalReference r:id="rId3"/>
    <externalReference r:id="rId4"/>
    <externalReference r:id="rId5"/>
  </externalReferences>
  <definedNames>
    <definedName name="_1_Dmin">'[1]LM25118 High level Calculation'!#REF!</definedName>
    <definedName name="_xlnm._FilterDatabase" localSheetId="1" hidden="1">'Bill of Materials'!$A$8:$Q$9</definedName>
    <definedName name="_Rfb1">'[1]LM25118 High level Calculation'!$E$64</definedName>
    <definedName name="_Rfb2">'[1]LM25118 High level Calculation'!$E$65</definedName>
    <definedName name="_Ruv1">'[1]LM25118 High level Calculation'!$E$90</definedName>
    <definedName name="_Ruv2">'[1]LM25118 High level Calculation'!$E$92</definedName>
    <definedName name="A">10</definedName>
    <definedName name="BuckBoostMode">'[1]LM25118 High level Calculation'!$E$13</definedName>
    <definedName name="BuckMode">'[1]LM25118 High level Calculation'!$E$12</definedName>
    <definedName name="Chb">'[1]LM25118 High level Calculation'!$E$70</definedName>
    <definedName name="Cin">'[1]LM25118 High level Calculation'!$E$61</definedName>
    <definedName name="Cout">'[1]LM25118 High level Calculation'!$E$52</definedName>
    <definedName name="Coutesr">'[1]LM25118 High level Calculation'!$E$51</definedName>
    <definedName name="Cpole">'[1]LM25118 High level Calculation'!$E$81</definedName>
    <definedName name="Cr">'[1]LM25118 High level Calculation'!$E$95</definedName>
    <definedName name="Cramp">'[1]LM25118 High level Calculation'!$E$43</definedName>
    <definedName name="Css">'[1]LM25118 High level Calculation'!$E$86</definedName>
    <definedName name="Cvcc">'[1]LM25118 High level Calculation'!$E$71</definedName>
    <definedName name="Czero">'[1]LM25118 High level Calculation'!$E$82</definedName>
    <definedName name="DeltaVout">'[1]LM25118 High level Calculation'!$E$47</definedName>
    <definedName name="Dmax_Buck">IF(Vinmin&gt;BuckMode, Vout/Vinmin,Vout/BuckMode)</definedName>
    <definedName name="Dmax_BuckBoost">Vout/(Vinmin+Vout)</definedName>
    <definedName name="DMaximumAll">IF(Dmax_Buck&gt;Dmax_BuckBoost,Dmax_Buck,Dmax_BuckBoost)</definedName>
    <definedName name="Dmin">Vout/(Vinmin+Vout)</definedName>
    <definedName name="Dominate_Pole">(1+Dmin)*1000000/(Rout*Cout*2*3.14)</definedName>
    <definedName name="Dpole">(1+Dmin)*1000000/(Rout*Cout*2*3.14)</definedName>
    <definedName name="Dviolate">1-'[1]LM25118 High level Calculation'!$E$19*400*10^-6</definedName>
    <definedName name="ErrorAmpGain_Cross">-'[1]LM25118 High level Calculation'!$E$77</definedName>
    <definedName name="Fmax">(1-DMaximumAll)/(400*10^-6)</definedName>
    <definedName name="Fsw">'[1]LM25118 High level Calculation'!$E$19</definedName>
    <definedName name="Gmmod">1/(Rs*A)</definedName>
    <definedName name="Ilimit">'[2]LM5116 Calculator'!$E$12</definedName>
    <definedName name="Iout">'[1]LM25118 High level Calculation'!$E$9</definedName>
    <definedName name="IpeakBB">'[1]LM25118 High level Calculation'!$E$32</definedName>
    <definedName name="IrippleBB">'[1]LM25118 High level Calculation'!$E$30</definedName>
    <definedName name="IrippleBuck">'[1]LM25118 High level Calculation'!$E$28</definedName>
    <definedName name="L">'[1]LM25118 High level Calculation'!$E$25</definedName>
    <definedName name="ModCrossFreq">(Dpole/1000)*SQRT((Rout*Vinmin/10*Rs/1000*(Vinmin+2*Vout)))^2-1</definedName>
    <definedName name="_xlnm.Print_Area" localSheetId="1">'Bill of Materials'!$A$1:$Q$35</definedName>
    <definedName name="_xlnm.Print_Area" localSheetId="0">'Buck-Boost 12V3A_LM5118'!$B$1:$G$393</definedName>
    <definedName name="Rcomp">'[1]LM25118 High level Calculation'!$E$80</definedName>
    <definedName name="Ripple">'[1]LM25118 High level Calculation'!$E$10</definedName>
    <definedName name="RLmin">Vout/Ilimit</definedName>
    <definedName name="Rout">Vout/Iout</definedName>
    <definedName name="Rramp">'[1]LM25118 High level Calculation'!$E$44</definedName>
    <definedName name="Rs">'[1]LM25118 High level Calculation'!$E$36</definedName>
    <definedName name="Rt">'[1]LM25118 High level Calculation'!$E$20</definedName>
    <definedName name="UVLOdesired">'[3]LM5116 Calculator'!$E$34</definedName>
    <definedName name="Vin_nominal">'[1]LM25118 High level Calculation'!#REF!</definedName>
    <definedName name="Vinmax">'[1]LM25118 High level Calculation'!$E$8</definedName>
    <definedName name="Vinmin">'[1]LM25118 High level Calculation'!$E$7</definedName>
    <definedName name="Vout">'[1]LM25118 High level Calculation'!$E$6</definedName>
    <definedName name="Vref">1.23</definedName>
    <definedName name="Z_26D0BF9E_0066_4ECE_A72C_84DA06E7E543_.wvu.FilterData" localSheetId="1" hidden="1">'Bill of Materials'!$A$8:$Q$9</definedName>
    <definedName name="Z_26D0BF9E_0066_4ECE_A72C_84DA06E7E543_.wvu.PrintArea" localSheetId="1" hidden="1">'Bill of Materials'!$A$1:$Q$35</definedName>
    <definedName name="Z_A16559B9_B381_4066_9DF2_C7052A3365CB_.wvu.FilterData" localSheetId="1" hidden="1">'Bill of Materials'!$A$8:$Q$9</definedName>
    <definedName name="Z_A16559B9_B381_4066_9DF2_C7052A3365CB_.wvu.PrintArea" localSheetId="1" hidden="1">'Bill of Materials'!$A$1:$Q$35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3" i="1" l="1"/>
  <c r="D71" i="1"/>
  <c r="G367" i="1" l="1"/>
  <c r="G366" i="1"/>
  <c r="D361" i="1"/>
  <c r="D363" i="1"/>
  <c r="G368" i="1" l="1"/>
  <c r="D175" i="1"/>
  <c r="D164" i="1"/>
  <c r="D155" i="1"/>
  <c r="P34" i="4" l="1"/>
  <c r="P33" i="4"/>
  <c r="P32" i="4"/>
  <c r="P31" i="4"/>
  <c r="P30" i="4"/>
  <c r="P29" i="4"/>
  <c r="P28" i="4"/>
  <c r="P27" i="4"/>
  <c r="P26" i="4"/>
  <c r="P25" i="4"/>
  <c r="P24" i="4"/>
  <c r="P23" i="4"/>
  <c r="P22" i="4"/>
  <c r="P35" i="4" s="1"/>
  <c r="P21" i="4"/>
  <c r="P20" i="4"/>
  <c r="P19" i="4"/>
  <c r="P18" i="4"/>
  <c r="P17" i="4"/>
  <c r="P16" i="4"/>
  <c r="P15" i="4"/>
  <c r="P14" i="4"/>
  <c r="P13" i="4"/>
  <c r="P12" i="4"/>
  <c r="P11" i="4"/>
  <c r="P10" i="4"/>
  <c r="D258" i="1" l="1"/>
  <c r="D120" i="1" l="1"/>
  <c r="D255" i="1" l="1"/>
  <c r="D54" i="1"/>
  <c r="D53" i="1"/>
  <c r="D171" i="1" s="1"/>
  <c r="D184" i="1" s="1"/>
  <c r="D243" i="1" l="1"/>
  <c r="D244" i="1"/>
  <c r="D226" i="1"/>
  <c r="D214" i="1"/>
  <c r="D196" i="1"/>
  <c r="D326" i="1" l="1"/>
  <c r="D57" i="1" l="1"/>
  <c r="D278" i="1" l="1"/>
  <c r="D337" i="1" l="1"/>
  <c r="D122" i="1" l="1"/>
  <c r="D55" i="1" l="1"/>
  <c r="D286" i="1"/>
  <c r="D291" i="1" s="1"/>
  <c r="D292" i="1" s="1"/>
  <c r="D334" i="1" l="1"/>
  <c r="D287" i="1"/>
  <c r="D295" i="1" s="1"/>
  <c r="D299" i="1" s="1"/>
  <c r="D288" i="1"/>
  <c r="D296" i="1" s="1"/>
  <c r="D301" i="1" s="1"/>
  <c r="D289" i="1" l="1"/>
  <c r="D293" i="1" s="1"/>
  <c r="D294" i="1" s="1"/>
  <c r="D297" i="1" s="1"/>
  <c r="D114" i="1" l="1"/>
  <c r="D113" i="1"/>
  <c r="D105" i="1"/>
  <c r="D91" i="1"/>
  <c r="D90" i="1"/>
  <c r="D253" i="1"/>
  <c r="D167" i="1" l="1"/>
  <c r="D169" i="1" s="1"/>
  <c r="D153" i="1"/>
  <c r="D147" i="1" l="1"/>
  <c r="D146" i="1" s="1"/>
  <c r="D138" i="1"/>
  <c r="D137" i="1" s="1"/>
  <c r="D124" i="1"/>
  <c r="D127" i="1" s="1"/>
  <c r="D333" i="1" l="1"/>
  <c r="D187" i="1"/>
  <c r="D189" i="1" s="1"/>
  <c r="D123" i="1"/>
  <c r="D126" i="1" s="1"/>
  <c r="D128" i="1"/>
  <c r="D173" i="1" l="1"/>
  <c r="D66" i="1" l="1"/>
  <c r="D67" i="1" s="1"/>
  <c r="D68" i="1" l="1"/>
  <c r="D94" i="1" l="1"/>
  <c r="D70" i="1"/>
  <c r="D93" i="1" s="1"/>
  <c r="D40" i="1"/>
  <c r="D382" i="1" s="1"/>
  <c r="D74" i="1" l="1"/>
  <c r="D192" i="1" s="1"/>
  <c r="D213" i="1" s="1"/>
  <c r="D72" i="1"/>
  <c r="D96" i="1" l="1"/>
  <c r="D78" i="1"/>
  <c r="D212" i="1"/>
  <c r="D215" i="1" s="1"/>
  <c r="D194" i="1"/>
  <c r="D254" i="1"/>
  <c r="D290" i="1" s="1"/>
  <c r="D75" i="1"/>
  <c r="D98" i="1" l="1"/>
  <c r="D77" i="1"/>
  <c r="D88" i="1"/>
  <c r="D218" i="1"/>
  <c r="D220" i="1" s="1"/>
  <c r="D222" i="1"/>
  <c r="D129" i="1"/>
  <c r="D139" i="1"/>
  <c r="D242" i="1" l="1"/>
  <c r="D245" i="1" s="1"/>
  <c r="D381" i="1" s="1"/>
  <c r="D224" i="1"/>
  <c r="D248" i="1" l="1"/>
  <c r="D250" i="1" s="1"/>
  <c r="D383" i="1"/>
  <c r="D384" i="1" s="1"/>
  <c r="D148" i="1"/>
  <c r="D130" i="1" l="1"/>
</calcChain>
</file>

<file path=xl/comments1.xml><?xml version="1.0" encoding="utf-8"?>
<comments xmlns="http://schemas.openxmlformats.org/spreadsheetml/2006/main">
  <authors>
    <author>Pooja Mathur</author>
    <author>KGS</author>
    <author>PM</author>
  </authors>
  <commentList>
    <comment ref="A1" authorId="0" shapeId="0">
      <text>
        <r>
          <rPr>
            <sz val="8"/>
            <color indexed="81"/>
            <rFont val="Tahoma"/>
            <family val="2"/>
          </rPr>
          <t xml:space="preserve">Indicate the initials of the person who prepared the BOM for this particular module
</t>
        </r>
      </text>
    </comment>
    <comment ref="F1" authorId="0" shapeId="0">
      <text>
        <r>
          <rPr>
            <b/>
            <sz val="8"/>
            <color indexed="81"/>
            <rFont val="Tahoma"/>
            <family val="2"/>
          </rPr>
          <t>Indicate the initials of the person who reviewed the BOM of this particular module</t>
        </r>
      </text>
    </comment>
    <comment ref="A8" authorId="0" shapeId="0">
      <text>
        <r>
          <rPr>
            <b/>
            <sz val="8"/>
            <color indexed="81"/>
            <rFont val="Tahoma"/>
            <family val="2"/>
          </rPr>
          <t>Indicate the running serial number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8" authorId="0" shapeId="0">
      <text>
        <r>
          <rPr>
            <b/>
            <sz val="8"/>
            <color indexed="81"/>
            <rFont val="Tahoma"/>
            <family val="2"/>
          </rPr>
          <t xml:space="preserve">Indicate the location of the component in the circuit diagram
</t>
        </r>
        <r>
          <rPr>
            <sz val="8"/>
            <color indexed="81"/>
            <rFont val="Tahoma"/>
            <family val="2"/>
          </rPr>
          <t>(Optional)</t>
        </r>
      </text>
    </comment>
    <comment ref="C8" authorId="1" shapeId="0">
      <text>
        <r>
          <rPr>
            <b/>
            <sz val="8"/>
            <color indexed="81"/>
            <rFont val="Tahoma"/>
            <family val="2"/>
          </rPr>
          <t>Indicate the Component label used  in the Schematic to uniquely identify a component  For example, R1, C1 etc.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8" authorId="1" shapeId="0">
      <text>
        <r>
          <rPr>
            <b/>
            <sz val="8"/>
            <color indexed="81"/>
            <rFont val="Tahoma"/>
            <family val="2"/>
          </rPr>
          <t>Indicate the Component label used  in the Schematic to uniquely identify a component  For example, R1, C1 etc.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8" authorId="1" shapeId="0">
      <text>
        <r>
          <rPr>
            <b/>
            <sz val="8"/>
            <color indexed="81"/>
            <rFont val="Tahoma"/>
            <family val="2"/>
          </rPr>
          <t xml:space="preserve">Name of the part giving all the relevant details including operating temperature.
 For example  :
Cap/Electrolytic/2.2UF/50V/20%/Radial/10mm Pitch/55°C </t>
        </r>
      </text>
    </comment>
    <comment ref="F8" authorId="1" shapeId="0">
      <text>
        <r>
          <rPr>
            <b/>
            <sz val="8"/>
            <color indexed="81"/>
            <rFont val="Tahoma"/>
            <family val="2"/>
          </rPr>
          <t>Indicates the hierarchy of the component in the Bill of Material as given below :
1 - for Top level
2 - for 2nd level
3 - for 3rd level &amp; so on….
 For example : PWA if considered as Level 1, the Component that goes into the PWA becomes a level 2 part</t>
        </r>
      </text>
    </comment>
    <comment ref="G8" authorId="1" shapeId="0">
      <text>
        <r>
          <rPr>
            <b/>
            <sz val="8"/>
            <color indexed="81"/>
            <rFont val="Tahoma"/>
            <family val="2"/>
          </rPr>
          <t>UNIT OF MEASUREMENT
01-  Numbers
02-  Pairs
73 - Kilograms
25 - Meters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H8" authorId="0" shapeId="0">
      <text>
        <r>
          <rPr>
            <b/>
            <sz val="8"/>
            <color indexed="81"/>
            <rFont val="Tahoma"/>
            <family val="2"/>
          </rPr>
          <t>Indicate the quantity required in numbers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I8" authorId="1" shapeId="0">
      <text>
        <r>
          <rPr>
            <b/>
            <sz val="8"/>
            <color indexed="81"/>
            <rFont val="Tahoma"/>
            <family val="2"/>
          </rPr>
          <t>For standard bought out parts -  Indicate the suppliers part no. / Ref. Drawing no. giving all the information like  package details, ordering information etc. In addition, as an option, a link may be provided  to the component data sheet.
For Custom specific parts - indicate the  Assembly or component drawing number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J8" authorId="2" shapeId="0">
      <text>
        <r>
          <rPr>
            <b/>
            <sz val="8"/>
            <color indexed="81"/>
            <rFont val="Tahoma"/>
            <family val="2"/>
          </rPr>
          <t>Name the Supplier or Manufacturer of the component.</t>
        </r>
      </text>
    </comment>
    <comment ref="K8" authorId="1" shapeId="0">
      <text>
        <r>
          <rPr>
            <b/>
            <sz val="8"/>
            <color indexed="81"/>
            <rFont val="Tahoma"/>
            <family val="2"/>
          </rPr>
          <t>For standard bought out parts -  Indicate the alternate suppliers part no. / Ref. Drawing no. giving all the information like  package details, ordering information etc. In addition, as an option, a link may be provided  to the component data sheet.
For Custom specific parts - indicate the  Assembly or component drawing number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L8" authorId="2" shapeId="0">
      <text>
        <r>
          <rPr>
            <b/>
            <sz val="8"/>
            <color indexed="81"/>
            <rFont val="Tahoma"/>
            <family val="2"/>
          </rPr>
          <t>Name the alternate Supplier or Manufacturer of the component.</t>
        </r>
      </text>
    </comment>
    <comment ref="M8" authorId="0" shapeId="0">
      <text>
        <r>
          <rPr>
            <b/>
            <sz val="8"/>
            <color indexed="81"/>
            <rFont val="Tahoma"/>
            <family val="2"/>
          </rPr>
          <t>Indicate the customer's  part number wherever applicable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8" authorId="2" shapeId="0">
      <text>
        <r>
          <rPr>
            <b/>
            <sz val="8"/>
            <color indexed="81"/>
            <rFont val="Tahoma"/>
            <family val="2"/>
          </rPr>
          <t>This column can have the data abbr. no. For ex. if data sheet name is 74hc00.PDF, it can be renamed as A1_7hc00.PDF and in the data sheet ref column A1 can be mentioned. We can  search for A1_xx in the datasheet directory.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Q8" authorId="1" shapeId="0">
      <text>
        <r>
          <rPr>
            <b/>
            <sz val="8"/>
            <color indexed="81"/>
            <rFont val="Tahoma"/>
            <family val="2"/>
          </rPr>
          <t>Indicate remarks on Critical design issues (on sourcing, DFM, DFT etc.) &amp; information on Shelf life of parts, where applicable. For example,
a) This component shall be procured only from manufacturer 'A'          
b) This component has a shelf life of 6 months in storage  
c) This component shall not be wave soldered etc.</t>
        </r>
      </text>
    </comment>
    <comment ref="O9" authorId="0" shapeId="0">
      <text>
        <r>
          <rPr>
            <b/>
            <sz val="8"/>
            <color indexed="81"/>
            <rFont val="Tahoma"/>
            <family val="2"/>
          </rPr>
          <t>Procurement Cost of the part (optional ). Ensure that the cost of the part is not getting duplicated in various levels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P9" authorId="0" shapeId="0">
      <text>
        <r>
          <rPr>
            <b/>
            <sz val="8"/>
            <color indexed="81"/>
            <rFont val="Tahoma"/>
            <family val="2"/>
          </rPr>
          <t>Extended Cost = Cost per unit X Quantity required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<sst xmlns="http://schemas.openxmlformats.org/spreadsheetml/2006/main" count="1099" uniqueCount="595">
  <si>
    <t>Requirements</t>
  </si>
  <si>
    <t>Type of Source</t>
  </si>
  <si>
    <t>Voltage Range</t>
  </si>
  <si>
    <t>Reference Schematic</t>
  </si>
  <si>
    <t>Parameter</t>
  </si>
  <si>
    <t>Value</t>
  </si>
  <si>
    <t>UOM</t>
  </si>
  <si>
    <t>Formulae</t>
  </si>
  <si>
    <t>Remarks</t>
  </si>
  <si>
    <t>W</t>
  </si>
  <si>
    <t>Notation</t>
  </si>
  <si>
    <t>Vout</t>
  </si>
  <si>
    <t>V</t>
  </si>
  <si>
    <t>Iout</t>
  </si>
  <si>
    <t>A</t>
  </si>
  <si>
    <t>Pout</t>
  </si>
  <si>
    <t>Vin_Min</t>
  </si>
  <si>
    <t>VDC</t>
  </si>
  <si>
    <t>Vin_Max</t>
  </si>
  <si>
    <t>DCR</t>
  </si>
  <si>
    <t>Ω</t>
  </si>
  <si>
    <t>nsec</t>
  </si>
  <si>
    <t>Hz</t>
  </si>
  <si>
    <t>KΩ</t>
  </si>
  <si>
    <t>Reference Designator</t>
  </si>
  <si>
    <t>Part Number</t>
  </si>
  <si>
    <t>Description</t>
  </si>
  <si>
    <t>Reference voltage</t>
  </si>
  <si>
    <t>Vref_min</t>
  </si>
  <si>
    <t>Vref_max</t>
  </si>
  <si>
    <t>Tolerance of selected Top resistor</t>
  </si>
  <si>
    <t>Output Voltage Minimum with tolerance</t>
  </si>
  <si>
    <t>Vo_min</t>
  </si>
  <si>
    <t xml:space="preserve">Output Voltage nominal </t>
  </si>
  <si>
    <t>Vo_nom</t>
  </si>
  <si>
    <t>Output Voltage Maximum with tolerance</t>
  </si>
  <si>
    <t>Vo_max</t>
  </si>
  <si>
    <t>Input Capacitor Calculation</t>
  </si>
  <si>
    <t>Cin</t>
  </si>
  <si>
    <t>µF</t>
  </si>
  <si>
    <t>µH</t>
  </si>
  <si>
    <t>RMS rating for Inductor selected</t>
  </si>
  <si>
    <t>Irms</t>
  </si>
  <si>
    <t>Saturation rating</t>
  </si>
  <si>
    <t>Isat</t>
  </si>
  <si>
    <t>DC Resistance</t>
  </si>
  <si>
    <t>Power dissipation</t>
  </si>
  <si>
    <t>Output Capacitor Calculation</t>
  </si>
  <si>
    <r>
      <rPr>
        <sz val="11"/>
        <color indexed="8"/>
        <rFont val="Times New Roman"/>
        <family val="1"/>
      </rPr>
      <t>∆Vout</t>
    </r>
  </si>
  <si>
    <t>Capacitor RMS current rating</t>
  </si>
  <si>
    <r>
      <rPr>
        <sz val="11"/>
        <color indexed="8"/>
        <rFont val="Times New Roman"/>
        <family val="1"/>
      </rPr>
      <t>µF</t>
    </r>
  </si>
  <si>
    <t>pF</t>
  </si>
  <si>
    <t>Ta</t>
  </si>
  <si>
    <r>
      <rPr>
        <sz val="11"/>
        <color indexed="8"/>
        <rFont val="Times New Roman"/>
        <family val="1"/>
      </rPr>
      <t>˚</t>
    </r>
    <r>
      <rPr>
        <sz val="11"/>
        <color theme="1"/>
        <rFont val="Times New Roman"/>
        <family val="2"/>
      </rPr>
      <t>C</t>
    </r>
  </si>
  <si>
    <t>Tj</t>
  </si>
  <si>
    <t>Tj (Max)</t>
  </si>
  <si>
    <t>Slow start time</t>
  </si>
  <si>
    <t>Tss</t>
  </si>
  <si>
    <t>Iss</t>
  </si>
  <si>
    <r>
      <rPr>
        <sz val="11"/>
        <color indexed="8"/>
        <rFont val="Times New Roman"/>
        <family val="1"/>
      </rPr>
      <t>µA</t>
    </r>
  </si>
  <si>
    <t>Vref</t>
  </si>
  <si>
    <t>Css</t>
  </si>
  <si>
    <t>nF</t>
  </si>
  <si>
    <t>Pd</t>
  </si>
  <si>
    <t>References</t>
  </si>
  <si>
    <t>Rfbb</t>
  </si>
  <si>
    <t>Rfbt</t>
  </si>
  <si>
    <t>Tolerance of selected Bottom resistor</t>
  </si>
  <si>
    <t>R top_min</t>
  </si>
  <si>
    <t>R top_nom</t>
  </si>
  <si>
    <t>R top_max</t>
  </si>
  <si>
    <t>R bottom_min</t>
  </si>
  <si>
    <t>R bottom_nom</t>
  </si>
  <si>
    <t>R bottom_max</t>
  </si>
  <si>
    <t>Rfbt_min</t>
  </si>
  <si>
    <t>Rfbt_nom</t>
  </si>
  <si>
    <t>Rfbt_max</t>
  </si>
  <si>
    <t>Rfbb_min</t>
  </si>
  <si>
    <t>Rfbb_nom</t>
  </si>
  <si>
    <t>Rfbb_max</t>
  </si>
  <si>
    <t>Cout</t>
  </si>
  <si>
    <t>Ico(RMS)</t>
  </si>
  <si>
    <t>Css(nF) = [Tss(ms) x Iss(uA)]/ V Ref</t>
  </si>
  <si>
    <t>Cboot</t>
  </si>
  <si>
    <t>Manufacturer</t>
  </si>
  <si>
    <t>VRRM</t>
  </si>
  <si>
    <t>Maximum allowable junction temperature</t>
  </si>
  <si>
    <t>From datasheet</t>
  </si>
  <si>
    <t>Mode of Operation</t>
  </si>
  <si>
    <t>Necessary Parameters of the Power Stage</t>
  </si>
  <si>
    <t>η</t>
  </si>
  <si>
    <t>%</t>
  </si>
  <si>
    <t>Lout</t>
  </si>
  <si>
    <t>For 40°C rise</t>
  </si>
  <si>
    <r>
      <t>Operating temperature is -40</t>
    </r>
    <r>
      <rPr>
        <sz val="11"/>
        <color indexed="8"/>
        <rFont val="Calibri"/>
        <family val="2"/>
      </rPr>
      <t>⁰</t>
    </r>
    <r>
      <rPr>
        <sz val="11"/>
        <color indexed="8"/>
        <rFont val="Times New Roman"/>
        <family val="1"/>
      </rPr>
      <t>C to 125</t>
    </r>
    <r>
      <rPr>
        <sz val="11"/>
        <color indexed="8"/>
        <rFont val="Calibri"/>
        <family val="2"/>
      </rPr>
      <t>⁰</t>
    </r>
    <r>
      <rPr>
        <sz val="11"/>
        <color indexed="8"/>
        <rFont val="Times New Roman"/>
        <family val="1"/>
      </rPr>
      <t>C</t>
    </r>
  </si>
  <si>
    <t>Duty Cycle &amp; Switching Frequency Calculation</t>
  </si>
  <si>
    <t>Selected Inductor shall have RMS current rating greater than the calculated RMS current</t>
  </si>
  <si>
    <t>Minimum input voltage</t>
  </si>
  <si>
    <t>Maximum input voltage</t>
  </si>
  <si>
    <t>Output voltage</t>
  </si>
  <si>
    <t>Output current</t>
  </si>
  <si>
    <t>Maximum output power</t>
  </si>
  <si>
    <t>Efficiency of the converter</t>
  </si>
  <si>
    <t>Operating junction temperature</t>
  </si>
  <si>
    <t>°C</t>
  </si>
  <si>
    <t>Vin</t>
  </si>
  <si>
    <t>Junction-to-ambient thermal resistance</t>
  </si>
  <si>
    <t>RθJA</t>
  </si>
  <si>
    <t>°C/W</t>
  </si>
  <si>
    <t>Vref Min</t>
  </si>
  <si>
    <t>Vref Nom</t>
  </si>
  <si>
    <t>Vref Max</t>
  </si>
  <si>
    <t>Vref_Min</t>
  </si>
  <si>
    <t>Vref_Nom</t>
  </si>
  <si>
    <t>Vref_Max</t>
  </si>
  <si>
    <t>Maximum controllable duty ratio</t>
  </si>
  <si>
    <t>Typical minimum controllable on time</t>
  </si>
  <si>
    <t>D</t>
  </si>
  <si>
    <t>Average forward current of the rectifier diode</t>
  </si>
  <si>
    <t>IF</t>
  </si>
  <si>
    <t>For the selected diode, the forward current rating shall be greater than or equal to maximum inductor current</t>
  </si>
  <si>
    <t>IF_req</t>
  </si>
  <si>
    <t>Reverse voltage rating shall be greater than or equal to maximum Input voltage</t>
  </si>
  <si>
    <t>VRRM_req</t>
  </si>
  <si>
    <t>Peak Repetitive Reverse Voltage</t>
  </si>
  <si>
    <t>˚C/W</t>
  </si>
  <si>
    <t>Vf</t>
  </si>
  <si>
    <t>Current through the resistive divider to GND</t>
  </si>
  <si>
    <t>Power dissipation of bottom resistor</t>
  </si>
  <si>
    <t>Pd_Rfbb</t>
  </si>
  <si>
    <t>Power dissipation of top resistor</t>
  </si>
  <si>
    <t>Design Calculation of 12V-3A Buck-Boost using LM5118</t>
  </si>
  <si>
    <t>From Battery</t>
  </si>
  <si>
    <t>9V - 36V</t>
  </si>
  <si>
    <t>3V to 75V</t>
  </si>
  <si>
    <t>Fsw</t>
  </si>
  <si>
    <t>-40 to125</t>
  </si>
  <si>
    <t>Minimum duty cycle for buck mode</t>
  </si>
  <si>
    <t>Maximum duty cycle for boost mode</t>
  </si>
  <si>
    <t>Dbuck</t>
  </si>
  <si>
    <t>Dboost</t>
  </si>
  <si>
    <t>When the duty cycle exceeds 75%, the LM5118 controller gradually phases into the Buck-Boost mode</t>
  </si>
  <si>
    <t>HTSSOP (20)</t>
  </si>
  <si>
    <t>50KHz-500KHz</t>
  </si>
  <si>
    <t>An operating frequency of 300 kHz was selected for this design as a reasonable compromise for both component size and efficiency</t>
  </si>
  <si>
    <t xml:space="preserve">Recommended operating frequency range </t>
  </si>
  <si>
    <t>Kind</t>
  </si>
  <si>
    <t>Coefficient represents the Inductance ripple wrt Max output current</t>
  </si>
  <si>
    <t>Lmin_buck</t>
  </si>
  <si>
    <t>Selected switching frequency of operation</t>
  </si>
  <si>
    <t>Lmin_boost</t>
  </si>
  <si>
    <t>A good estimation for the inductor ripple current is 20% to 40% of the output current, or 0.2&lt; Kind &lt; 0.4</t>
  </si>
  <si>
    <t>Iripple</t>
  </si>
  <si>
    <t>Maximum Inductor ripple current for buck mode operation</t>
  </si>
  <si>
    <t>ΔILmax_buck</t>
  </si>
  <si>
    <t>Isw max_buck</t>
  </si>
  <si>
    <t>Maximum Inductor ripple current for boost mode operation</t>
  </si>
  <si>
    <t>Isw max_boost</t>
  </si>
  <si>
    <t>ΔILmax_boost</t>
  </si>
  <si>
    <t>Inductor Calculation</t>
  </si>
  <si>
    <t>Peak inductor current or Maximum switching current for boost mode operation</t>
  </si>
  <si>
    <t>Peak inductor current or Maximum switching current for buck mode operation</t>
  </si>
  <si>
    <t>RMS value of Inductor current  for boost mode operation</t>
  </si>
  <si>
    <t>Pd(Lout)</t>
  </si>
  <si>
    <t xml:space="preserve">ERJ-3EKF3090V </t>
  </si>
  <si>
    <t xml:space="preserve">RES SMD 309 OHM 1% 1/10W 0603 </t>
  </si>
  <si>
    <t xml:space="preserve">  ERJ-3EKF2671V </t>
  </si>
  <si>
    <t>I Rfb</t>
  </si>
  <si>
    <t>Input RMS current for buck mode operation</t>
  </si>
  <si>
    <t>Iin rms_buck</t>
  </si>
  <si>
    <t>Iin rms_boost</t>
  </si>
  <si>
    <t>Input RMS current for boost mode operation</t>
  </si>
  <si>
    <t>Cout _min</t>
  </si>
  <si>
    <t>Maximum duty for buck-boost mode</t>
  </si>
  <si>
    <t>Dmax</t>
  </si>
  <si>
    <t>mV</t>
  </si>
  <si>
    <t>ESRmax</t>
  </si>
  <si>
    <t>mΩ</t>
  </si>
  <si>
    <t xml:space="preserve">CGA9N3X7R1E476M230KB </t>
  </si>
  <si>
    <t xml:space="preserve">CAP CER 47UF 25V X7R 2220 </t>
  </si>
  <si>
    <t xml:space="preserve">CGA4J2X7R1E474K125AA </t>
  </si>
  <si>
    <t xml:space="preserve">CAP CER 0.47UF 25V X7R 0805 </t>
  </si>
  <si>
    <t xml:space="preserve">(2 x 180uF) + (2 x 47uF) + (2 x 0.47uF) </t>
  </si>
  <si>
    <t>Timing Resistor</t>
  </si>
  <si>
    <t>Selected output inductor</t>
  </si>
  <si>
    <t>Rt</t>
  </si>
  <si>
    <t xml:space="preserve">ERJ-3EKF1822V </t>
  </si>
  <si>
    <t xml:space="preserve">RES SMD 18.2K OHM 1% 1/10W 0603 </t>
  </si>
  <si>
    <t>Panasonic Electronic Components</t>
  </si>
  <si>
    <t>TDK Corporation</t>
  </si>
  <si>
    <t>Rsense</t>
  </si>
  <si>
    <t>Slope compensation of the controller for buck mode operation</t>
  </si>
  <si>
    <t>Kbuck</t>
  </si>
  <si>
    <t>Vin max is the maximum rated input voltage of the controller. For LM5118, Vin max = 75V</t>
  </si>
  <si>
    <t>Slope compensation of the controller for buck-boost mode operation</t>
  </si>
  <si>
    <t>Kbuck-boost</t>
  </si>
  <si>
    <t>M</t>
  </si>
  <si>
    <t>Design margin, M, should be selected between 10%-30% to allow for component tolerances.</t>
  </si>
  <si>
    <t>Output current sense resistor for buck mode operation</t>
  </si>
  <si>
    <t>Rsense_buck</t>
  </si>
  <si>
    <t>Rsense_B/B</t>
  </si>
  <si>
    <t>Output current sense resistor for buck-boost mode operation</t>
  </si>
  <si>
    <t>Selected nearest value of output current sense resistor</t>
  </si>
  <si>
    <t>Power dissipation of sense resistor</t>
  </si>
  <si>
    <t>Pd_Rsense</t>
  </si>
  <si>
    <t>ILrms_boost</t>
  </si>
  <si>
    <t>ILrms_buck</t>
  </si>
  <si>
    <t>Required power rating of sense resistor</t>
  </si>
  <si>
    <t>P Rsense</t>
  </si>
  <si>
    <t xml:space="preserve">  Panasonic Electronic Components </t>
  </si>
  <si>
    <t>Cramp</t>
  </si>
  <si>
    <t xml:space="preserve">Ramp control capacitor </t>
  </si>
  <si>
    <t>The capacitor sets the ramp slope used for emulated current mode control.</t>
  </si>
  <si>
    <t>Murata Electronics</t>
  </si>
  <si>
    <t xml:space="preserve">Selected nearest value </t>
  </si>
  <si>
    <t>ILim_buck</t>
  </si>
  <si>
    <t>ILim_B/B</t>
  </si>
  <si>
    <t>Output Diode Calculation</t>
  </si>
  <si>
    <t xml:space="preserve">Requird forward current rating </t>
  </si>
  <si>
    <t xml:space="preserve">Average forward current of the boost diode </t>
  </si>
  <si>
    <t>The diode will be conducting continually in buck mode and only when the buck switch is off in Buck-Boost mode.</t>
  </si>
  <si>
    <t>ON Semiconductor</t>
  </si>
  <si>
    <t xml:space="preserve">  MBRB20H100CTT4G </t>
  </si>
  <si>
    <t xml:space="preserve">DIODE ARRAY SCHOTTKY 100V 20A D2PAK </t>
  </si>
  <si>
    <t>Diode power dissipation</t>
  </si>
  <si>
    <t>Calculation for Boost Diode</t>
  </si>
  <si>
    <t>Selection for Buck Diode</t>
  </si>
  <si>
    <t>Cvcc</t>
  </si>
  <si>
    <t>Noise filtering and stability capacitance  for the VCC regulator from datasheet</t>
  </si>
  <si>
    <t xml:space="preserve">GCM21BR71E105KA56L </t>
  </si>
  <si>
    <t xml:space="preserve">CAP CER 1UF 25V X7R 0805 </t>
  </si>
  <si>
    <t>GCM21BR72A104KA37L</t>
  </si>
  <si>
    <t xml:space="preserve">CAP CER 0.1UF 100V X7R 0805 </t>
  </si>
  <si>
    <t>The recommended value of Cboot is 0.1 μF to 0.47 μF, and should be a good quality, low ESR, ceramic capacitor.</t>
  </si>
  <si>
    <t xml:space="preserve">The recommended value of Cvcc should not be smaller than 0.1 μF, and should be a good quality, low ESR, ceramic capacitor. </t>
  </si>
  <si>
    <t>Internal soft start current</t>
  </si>
  <si>
    <t>mSec</t>
  </si>
  <si>
    <t>GRM188R72A104KA35D</t>
  </si>
  <si>
    <t xml:space="preserve">CAP CER 0.1UF 100V X7R 0603 </t>
  </si>
  <si>
    <t>C4532X7R2A225K230KA</t>
  </si>
  <si>
    <t xml:space="preserve">CAP CER 2.2UF 100V X7R 1812 </t>
  </si>
  <si>
    <t>Cin = (5 x 2.2uf )</t>
  </si>
  <si>
    <t>Ruv1</t>
  </si>
  <si>
    <t xml:space="preserve">Vref uvlo </t>
  </si>
  <si>
    <t>Vref uvlo_min</t>
  </si>
  <si>
    <t>Vref uvlo_max</t>
  </si>
  <si>
    <t>Bottom resistance for UVLO</t>
  </si>
  <si>
    <t>Ruv2</t>
  </si>
  <si>
    <t>Considered Vin min = 4V for some margin in component tolerances and input ripple.</t>
  </si>
  <si>
    <t>Selected top resistance for UVLO</t>
  </si>
  <si>
    <t xml:space="preserve">RES SMD 75K OHM 1% 1/10W 0603 </t>
  </si>
  <si>
    <t xml:space="preserve">RES SMD 29.4K OHM 1% 1/10W 0603 </t>
  </si>
  <si>
    <t>Renable</t>
  </si>
  <si>
    <t>MΩ</t>
  </si>
  <si>
    <t>A 1M pull-up resistor connected from the EN pin to the VIN pin is sufficient to keep enable in a high state if on-off control is not used</t>
  </si>
  <si>
    <t xml:space="preserve">ERJ-S03F1004V </t>
  </si>
  <si>
    <t xml:space="preserve">RES SMD 1M OHM 1% 1/10W 0603 </t>
  </si>
  <si>
    <t>Compensation Network Calculation</t>
  </si>
  <si>
    <t>Cuv</t>
  </si>
  <si>
    <t>Desired off time during “hiccup” current limit</t>
  </si>
  <si>
    <t>Toff</t>
  </si>
  <si>
    <t>µSec</t>
  </si>
  <si>
    <t>Vin min</t>
  </si>
  <si>
    <t>Frhp_zero</t>
  </si>
  <si>
    <t>Load resistance</t>
  </si>
  <si>
    <t>R Load</t>
  </si>
  <si>
    <t>R Load = Vout/Iout</t>
  </si>
  <si>
    <t>Corner frequency for the dominant, low frequency pole of the modulator</t>
  </si>
  <si>
    <t>Fp_mod</t>
  </si>
  <si>
    <t>KHz</t>
  </si>
  <si>
    <t xml:space="preserve">Typically the bandwidth of the overall loop must be less than the right-half-plane zero by a factor of 3.5 to 5. </t>
  </si>
  <si>
    <t xml:space="preserve">A factor of 3.9 is recommended in datasheet. 
A larger number provides more margin from instability caused by the right-half-plane zero.  </t>
  </si>
  <si>
    <t>Overall loop bandwidth</t>
  </si>
  <si>
    <t>BW loop</t>
  </si>
  <si>
    <t>DCGain_mod</t>
  </si>
  <si>
    <t>dB</t>
  </si>
  <si>
    <t>Av</t>
  </si>
  <si>
    <t>The output capacitor ESR produces a zero</t>
  </si>
  <si>
    <t>ESRzero</t>
  </si>
  <si>
    <t xml:space="preserve">DCGain_Loop cr </t>
  </si>
  <si>
    <t>Fpole</t>
  </si>
  <si>
    <t>Fzero</t>
  </si>
  <si>
    <t>Target error amplifier zero frequency</t>
  </si>
  <si>
    <t>Target error amplifier pole frequency</t>
  </si>
  <si>
    <t>DC modulator gain at loop crossover in dB</t>
  </si>
  <si>
    <t>DC modulator gain in dB</t>
  </si>
  <si>
    <t>DC modulator gain (Av)</t>
  </si>
  <si>
    <t>DC modulator gain at loop crossover (Av)</t>
  </si>
  <si>
    <t>Czero</t>
  </si>
  <si>
    <t>Cpole</t>
  </si>
  <si>
    <t>Required pole compensation capacitor</t>
  </si>
  <si>
    <t>Selected pole compensation capacitor</t>
  </si>
  <si>
    <t>Required zero compensation capacitor</t>
  </si>
  <si>
    <t>Selected zero compensation resistor</t>
  </si>
  <si>
    <t xml:space="preserve">ERJ-3EKF1002V </t>
  </si>
  <si>
    <t xml:space="preserve">RES SMD 10K OHM 1% 1/10W 0603 </t>
  </si>
  <si>
    <t>Rzero</t>
  </si>
  <si>
    <t>Selected zero compensation capacitor</t>
  </si>
  <si>
    <t>Continuous Conduction Mode (CCM) &amp; Hiccup Mode of operation</t>
  </si>
  <si>
    <t>Selected nearest value of Timing Resistor</t>
  </si>
  <si>
    <t>Estimated inductor ripple current</t>
  </si>
  <si>
    <t>Coil craft</t>
  </si>
  <si>
    <t xml:space="preserve">Required reverse voltage rating </t>
  </si>
  <si>
    <t xml:space="preserve">Required forward current rating </t>
  </si>
  <si>
    <t>Considered design margin</t>
  </si>
  <si>
    <t xml:space="preserve">Inductor Current Limit Calculation </t>
  </si>
  <si>
    <t>Required zero compensation resistor</t>
  </si>
  <si>
    <t>Calculation for Boost Switch MOSFET</t>
  </si>
  <si>
    <t>Operating input voltage on (VIN pin)</t>
  </si>
  <si>
    <t>Considered ripple is 30% of output current</t>
  </si>
  <si>
    <t>Design consideration</t>
  </si>
  <si>
    <t>Considered derating factor for current</t>
  </si>
  <si>
    <t>Considered derating for voltage rating</t>
  </si>
  <si>
    <t>Calculated junction temperature</t>
  </si>
  <si>
    <t>Ambient temperature</t>
  </si>
  <si>
    <t>Forward Current</t>
  </si>
  <si>
    <t>Forward Voltage Drop</t>
  </si>
  <si>
    <t>Selected input capacitor</t>
  </si>
  <si>
    <t xml:space="preserve">Required minimum output capacitance </t>
  </si>
  <si>
    <t xml:space="preserve">Allowable maximum ESR </t>
  </si>
  <si>
    <t>Selected output capacitance</t>
  </si>
  <si>
    <t>Recommended value in datasheet for this design</t>
  </si>
  <si>
    <t>Inductor current limit for buck mode operation</t>
  </si>
  <si>
    <t>Inductor current limit for buck-boost(B/B) mode operation</t>
  </si>
  <si>
    <t>Cvcc should be 10 times Cboot.
A value of 1 μF was chosen for this design.</t>
  </si>
  <si>
    <t>Selected bootstrap capacitor</t>
  </si>
  <si>
    <t>UVLO reference_nominal</t>
  </si>
  <si>
    <t>UVLO reference_minimum</t>
  </si>
  <si>
    <t>UVLO reference_maximum</t>
  </si>
  <si>
    <t>Desired under voltage threshold</t>
  </si>
  <si>
    <t>Ramp Control Capacitor Calculation</t>
  </si>
  <si>
    <t>Output Current Sense Resistor Calculation</t>
  </si>
  <si>
    <t>Cuvlo</t>
  </si>
  <si>
    <t>Toff varies with VIN. Considered Vin = 12V, This will set Toff to 723uSec</t>
  </si>
  <si>
    <t>Right half plane zero frequency</t>
  </si>
  <si>
    <t>Fzero = Fp_mod</t>
  </si>
  <si>
    <t>Fpole = Frhp_zero</t>
  </si>
  <si>
    <t xml:space="preserve">MOSFET N-CH 75V 28A PPAK SO-8 </t>
  </si>
  <si>
    <t xml:space="preserve">SI7148DP-T1-E3 </t>
  </si>
  <si>
    <t>Vishay Siliconix</t>
  </si>
  <si>
    <t>Selected IC Parameters (LM5118)</t>
  </si>
  <si>
    <t>mA</t>
  </si>
  <si>
    <t xml:space="preserve">Considered derating factor for voltage rating </t>
  </si>
  <si>
    <t>Required voltage rating for the input capacitor</t>
  </si>
  <si>
    <t>V rating_req</t>
  </si>
  <si>
    <t>Required voltage rating for the output capacitor</t>
  </si>
  <si>
    <t>Capacitor to control the hiccup mode off-time of the regulator during peak output current condition</t>
  </si>
  <si>
    <t>Output Voltage Setting Resistor Calculation</t>
  </si>
  <si>
    <t xml:space="preserve"> ERJ-8CWFR030V </t>
  </si>
  <si>
    <t xml:space="preserve">RES SMD 0.03 OHM 1% 1W 1206 </t>
  </si>
  <si>
    <t>Minimum value of the output inductor required for buck mode operation</t>
  </si>
  <si>
    <t>Minimum value of the output inductor required for buck-Boost mode operation</t>
  </si>
  <si>
    <t>Two 30mΩ resistors in parrallel combination</t>
  </si>
  <si>
    <t>Selected enable pin resistor</t>
  </si>
  <si>
    <t>Considered derating factor for power</t>
  </si>
  <si>
    <t>Selected voltage sense bottom resistor</t>
  </si>
  <si>
    <t>Required voltage sense top resistor</t>
  </si>
  <si>
    <t>Selected voltage sense top resistor</t>
  </si>
  <si>
    <t>Vref_nom</t>
  </si>
  <si>
    <t>Reference voltage_nominal</t>
  </si>
  <si>
    <t>Reference voltage_minimum</t>
  </si>
  <si>
    <t>Reference voltage_maximum</t>
  </si>
  <si>
    <t>Pd_Rfbt</t>
  </si>
  <si>
    <t>Considered derating factor for power rating</t>
  </si>
  <si>
    <t>Required power rating for top resistor</t>
  </si>
  <si>
    <t>P_req Rfbt</t>
  </si>
  <si>
    <t>Required power rating for bottom resistor</t>
  </si>
  <si>
    <t>P_req Rfbb</t>
  </si>
  <si>
    <t>Reverse voltage rating for boost diode shall be greater than or equal to maximum output voltage plus some margin</t>
  </si>
  <si>
    <t>Temperature margin</t>
  </si>
  <si>
    <t>Tmargin</t>
  </si>
  <si>
    <t>20˚C Margin is reccomended</t>
  </si>
  <si>
    <t>Selection of MOSFET</t>
  </si>
  <si>
    <t>Under Voltage Lockout Resistor Calculation</t>
  </si>
  <si>
    <t>Soft Start Pin Capacitor Calculation</t>
  </si>
  <si>
    <t>Bootstrap Capacitor</t>
  </si>
  <si>
    <t>Enable Resistor Selection</t>
  </si>
  <si>
    <t>Noise Filtering and Stability Capacitor  For  VCC Internal Regulator</t>
  </si>
  <si>
    <t>Nc is the number of output capacitors in parallel</t>
  </si>
  <si>
    <t>Required value of external slow-start capacitor</t>
  </si>
  <si>
    <t>Selected value of external slow-start capacitor</t>
  </si>
  <si>
    <t>Drain to Source Voltage</t>
  </si>
  <si>
    <t xml:space="preserve">Continuous Drain Current </t>
  </si>
  <si>
    <t>Id</t>
  </si>
  <si>
    <t>Gate-Source Threshold Voltage</t>
  </si>
  <si>
    <t>Drain-Source On-State Resistance</t>
  </si>
  <si>
    <t>RDSon</t>
  </si>
  <si>
    <t xml:space="preserve">At Vgs = 10V, Id = 15A </t>
  </si>
  <si>
    <t xml:space="preserve">Vds = Vgs, Id = 250μA </t>
  </si>
  <si>
    <t xml:space="preserve">Vgs (Max) </t>
  </si>
  <si>
    <t>Maximum Gate-Source Voltage</t>
  </si>
  <si>
    <t>±20</t>
  </si>
  <si>
    <t>Vgs (th)</t>
  </si>
  <si>
    <t>Tj = 150°C</t>
  </si>
  <si>
    <t>Continuous Source-Drain Diode Current</t>
  </si>
  <si>
    <t>Is</t>
  </si>
  <si>
    <t xml:space="preserve">Tc = 25 °C </t>
  </si>
  <si>
    <t xml:space="preserve">Conduction loss </t>
  </si>
  <si>
    <t>Pcon</t>
  </si>
  <si>
    <t>Switching loss</t>
  </si>
  <si>
    <t>Psw</t>
  </si>
  <si>
    <t>Total power dissipation on IC</t>
  </si>
  <si>
    <t>Pd total</t>
  </si>
  <si>
    <t>Rise Time</t>
  </si>
  <si>
    <t>Tr</t>
  </si>
  <si>
    <t>Fall Time</t>
  </si>
  <si>
    <t>Tf</t>
  </si>
  <si>
    <t>Power loss due to MOSFET output capacitor</t>
  </si>
  <si>
    <t>Pcoss</t>
  </si>
  <si>
    <t>Output Capacitance</t>
  </si>
  <si>
    <t>Coss</t>
  </si>
  <si>
    <t xml:space="preserve">Vds = 35V, Vgs= 0V, f = 1 MHz </t>
  </si>
  <si>
    <t>nS</t>
  </si>
  <si>
    <t>Ptotal = Pcon+Psw+Pcoss</t>
  </si>
  <si>
    <t>Id_req</t>
  </si>
  <si>
    <t>Continuous drain current through buck switch MOSFET</t>
  </si>
  <si>
    <t>Vds_req</t>
  </si>
  <si>
    <t>Drain to source voltage rating shall be greater than or equal to maximum input voltage</t>
  </si>
  <si>
    <t xml:space="preserve">Required drain-source voltage rating </t>
  </si>
  <si>
    <t>Vds</t>
  </si>
  <si>
    <t>Calculation for Buck  Switch MOSFET</t>
  </si>
  <si>
    <t>The MOSFET will be off during buck mode operations</t>
  </si>
  <si>
    <t>Continuous drain current through boost switch MOSFET</t>
  </si>
  <si>
    <t>where Vin is the drain source voltage when the MOSFET is off</t>
  </si>
  <si>
    <t>Efficiency Re-Calculation</t>
  </si>
  <si>
    <t xml:space="preserve">Total Power Dissipation </t>
  </si>
  <si>
    <t>Output Power</t>
  </si>
  <si>
    <t>Input Power</t>
  </si>
  <si>
    <t>Pin</t>
  </si>
  <si>
    <t>Pin = Pout + P loss</t>
  </si>
  <si>
    <t>Expected efficiency</t>
  </si>
  <si>
    <t>Ton min</t>
  </si>
  <si>
    <t>The MOSFET will be operating during both Buck and Buck-Boost mode of operations</t>
  </si>
  <si>
    <t>Power Loss Calculation</t>
  </si>
  <si>
    <t>ILsat_req</t>
  </si>
  <si>
    <t>ILrms_req</t>
  </si>
  <si>
    <t>Required RMS current rating for the inductor</t>
  </si>
  <si>
    <t>Required saturation current rating for the inductor</t>
  </si>
  <si>
    <t>RMS value of Inductor current for buck mode operation</t>
  </si>
  <si>
    <t>XAL1510-333MED</t>
  </si>
  <si>
    <t>33uH ±20% 20mΩ 12A</t>
  </si>
  <si>
    <t xml:space="preserve">  CAP CER 1000PF 100V X7R 0603 </t>
  </si>
  <si>
    <t xml:space="preserve">GRM188R72A102KA01D  </t>
  </si>
  <si>
    <t>Mosfet current will be equal to average inductor current during boost mode</t>
  </si>
  <si>
    <t>25SVPF180M</t>
  </si>
  <si>
    <t xml:space="preserve">  GRM188R72A222KA01D </t>
  </si>
  <si>
    <t>CAP CER 2200PF 100V X7R 0603</t>
  </si>
  <si>
    <t>R45</t>
  </si>
  <si>
    <t>Selected Timing Resistor (Rt)</t>
  </si>
  <si>
    <t>Selected Inductor (Lout)</t>
  </si>
  <si>
    <t>L5</t>
  </si>
  <si>
    <t>Selected Current Sense Resistor (Rsense 1&amp;2)</t>
  </si>
  <si>
    <t>R47,R48</t>
  </si>
  <si>
    <t>Selected Ramp Capacitor (Cramp)</t>
  </si>
  <si>
    <t>C37</t>
  </si>
  <si>
    <t>Selected Bottom Resistor (Rfbb)</t>
  </si>
  <si>
    <t>R49</t>
  </si>
  <si>
    <t>Selected Top Resistor (Rfbt)</t>
  </si>
  <si>
    <t>R50</t>
  </si>
  <si>
    <t>Selected Boost Diode (Dboost)</t>
  </si>
  <si>
    <t>U6</t>
  </si>
  <si>
    <t>Selected Buck Diode (Dbuck)</t>
  </si>
  <si>
    <t>U8</t>
  </si>
  <si>
    <t>Selected Buck Switch MOSFET (Qbuck)</t>
  </si>
  <si>
    <t>U4</t>
  </si>
  <si>
    <t>Selected Boost Switch MOSFET (Qboost)</t>
  </si>
  <si>
    <t>U7</t>
  </si>
  <si>
    <t>Selected Output Capacitor-Electrolytic Capacitors for Bulk Capacitance (Cout 1&amp;2)</t>
  </si>
  <si>
    <t>Selected Output Capacitor-Ceramic Capacitors to Reduce ESR (Cout 3&amp;4)</t>
  </si>
  <si>
    <t>Selected Soft Start Capacitor (Css)</t>
  </si>
  <si>
    <t>C38</t>
  </si>
  <si>
    <t>Selected Zero compensation resistor (Rzero)</t>
  </si>
  <si>
    <t>R46</t>
  </si>
  <si>
    <t>Selected Zero compensation Capacitor (Czero)</t>
  </si>
  <si>
    <t>C40</t>
  </si>
  <si>
    <t>Selected Pole compensation Capacitor (Cpole)</t>
  </si>
  <si>
    <t>C41</t>
  </si>
  <si>
    <t>Selected Bootstrap Capacitor (Cboot)</t>
  </si>
  <si>
    <t>C29</t>
  </si>
  <si>
    <t>Selected Noise Filtering and Stability Capacitor` (Cvcc)</t>
  </si>
  <si>
    <t>C39</t>
  </si>
  <si>
    <t>Selected Input Capacitor (Cin 1,2,3,4&amp;5)</t>
  </si>
  <si>
    <t>Selected Input Capacitor to Reduce High Frequency Noise (Cinx)</t>
  </si>
  <si>
    <t>C27</t>
  </si>
  <si>
    <t>Selected Bootstrap Capacitor (Renable)</t>
  </si>
  <si>
    <t>R41</t>
  </si>
  <si>
    <t>Selected UVLO  Top Resistor (Ruv1)</t>
  </si>
  <si>
    <t>R40</t>
  </si>
  <si>
    <t>Selected UVLO Bottom Resistor (Ruv2)</t>
  </si>
  <si>
    <t>R44</t>
  </si>
  <si>
    <t>Selected Hiccup Mode Off-Time Control Capacitor (Cuvlo)</t>
  </si>
  <si>
    <t>C36</t>
  </si>
  <si>
    <t>C32,C33</t>
  </si>
  <si>
    <t>C30,C31</t>
  </si>
  <si>
    <t>C22,C23,C24,C25,C26</t>
  </si>
  <si>
    <t xml:space="preserve"> ERJ-3EKF1201V </t>
  </si>
  <si>
    <t>RES SMD 1.2K OHM 1% 1/10W 0603</t>
  </si>
  <si>
    <t>RES SMD 2.67K OHM 1% 1/10W 0603</t>
  </si>
  <si>
    <t>ERJ-3EKF1052V</t>
  </si>
  <si>
    <t xml:space="preserve"> RES SMD 10.5K OHM 1% 1/10W 0603 </t>
  </si>
  <si>
    <t xml:space="preserve">The MOSFET will be operating during both Buck and Buck-Boost mode operations </t>
  </si>
  <si>
    <t>The current through the MOSFET will be equal to average inductor current</t>
  </si>
  <si>
    <t>Prepared By:</t>
  </si>
  <si>
    <t xml:space="preserve">Muhammed Thaha </t>
  </si>
  <si>
    <t>Reviewed By:</t>
  </si>
  <si>
    <t>Current Version of :</t>
  </si>
  <si>
    <t>Version No.</t>
  </si>
  <si>
    <t>Modification Details</t>
  </si>
  <si>
    <t>Initial release</t>
  </si>
  <si>
    <t xml:space="preserve">Bill of Material </t>
  </si>
  <si>
    <t>Buck converter - TPS54331</t>
  </si>
  <si>
    <t>Sl. No.</t>
  </si>
  <si>
    <t>Zone (Optional)</t>
  </si>
  <si>
    <t xml:space="preserve">Part Description </t>
  </si>
  <si>
    <t>Level</t>
  </si>
  <si>
    <t>Quantity required</t>
  </si>
  <si>
    <t>Suppliers part no. / Ref Drawing No.</t>
  </si>
  <si>
    <t>Supplier / Vendor Name</t>
  </si>
  <si>
    <t>Suppliers part no. / Ref Drawing No. for alternatives (if any)</t>
  </si>
  <si>
    <t>Supplier / Vendor Name for alternatives (if any)</t>
  </si>
  <si>
    <t>Customer's Part Number (If any)</t>
  </si>
  <si>
    <t>Data Sheet Reference</t>
  </si>
  <si>
    <t>Cost Details in Rs.(Optional)</t>
  </si>
  <si>
    <t>Remarks (Indicate Critical design issues &amp; Shelf life of parts), as applicable</t>
  </si>
  <si>
    <t xml:space="preserve">Per unit  </t>
  </si>
  <si>
    <t xml:space="preserve">Extended </t>
  </si>
  <si>
    <t>Cinx</t>
  </si>
  <si>
    <t>Panasonic</t>
  </si>
  <si>
    <t xml:space="preserve">GRM188R72A102KA01D </t>
  </si>
  <si>
    <t>GCM21BR71E105KA56L</t>
  </si>
  <si>
    <t xml:space="preserve">  DIODE ARRAY SCHOTTKY 35V 10A DPAK</t>
  </si>
  <si>
    <t>MBRD1035CTLT4G</t>
  </si>
  <si>
    <t>Q1,Q2</t>
  </si>
  <si>
    <t>U4,U7</t>
  </si>
  <si>
    <t>ERJ-3EKF7502V</t>
  </si>
  <si>
    <t>ERJ-3EKF2942V</t>
  </si>
  <si>
    <t>RES SMD 10K OHM 1% 1/10W 0603</t>
  </si>
  <si>
    <t>U1</t>
  </si>
  <si>
    <t>U5</t>
  </si>
  <si>
    <t xml:space="preserve">  IC REG CTRLR BCK/BCK-BST 20TSSOP </t>
  </si>
  <si>
    <t>LM5118MHX/NOPB</t>
  </si>
  <si>
    <t>Texas Instruments</t>
  </si>
  <si>
    <t>Total Cost of the Assembly in USD.</t>
  </si>
  <si>
    <t>PCR1H181MCL1GS</t>
  </si>
  <si>
    <t>Nichicon</t>
  </si>
  <si>
    <t xml:space="preserve">C2220C156K5RAC7800 </t>
  </si>
  <si>
    <t>KEMET</t>
  </si>
  <si>
    <t>CAP CER 15UF 50V X7R 2220</t>
  </si>
  <si>
    <t>CAP ALUM POLY 180UF 20% 25V SMD</t>
  </si>
  <si>
    <t xml:space="preserve"> CAP ALUM POLY 180UF 20% 50V SMD </t>
  </si>
  <si>
    <t xml:space="preserve">CGA6M3X7S2A475M200AB </t>
  </si>
  <si>
    <t xml:space="preserve">CAP CER 4.7UF 100V X7S 1210 </t>
  </si>
  <si>
    <t>C22,C23</t>
  </si>
  <si>
    <t>C34</t>
  </si>
  <si>
    <t xml:space="preserve">CGA4J3X7R1H474M125AB </t>
  </si>
  <si>
    <t xml:space="preserve">  CAP CER 0.47UF 50V X7R 0805 </t>
  </si>
  <si>
    <t>Selected Output Capacitor to Reduce High Frequency Noise (Coutx 1)</t>
  </si>
  <si>
    <t>Need to revisist after thermal testing</t>
  </si>
  <si>
    <t>Desired output voltage ripple</t>
  </si>
  <si>
    <t>CAP CER 4.7UF 100V X7S 1210</t>
  </si>
  <si>
    <t>Cin 1,2</t>
  </si>
  <si>
    <t>Coutx</t>
  </si>
  <si>
    <t>Cout 1</t>
  </si>
  <si>
    <t>Cout 2,3</t>
  </si>
  <si>
    <t>C2220C156K5RAC7800</t>
  </si>
  <si>
    <t>CGA4J3X7R1H474M125AB</t>
  </si>
  <si>
    <t xml:space="preserve">  CAP CER 0.47UF 50V X7R 0805</t>
  </si>
  <si>
    <t>Nexperia</t>
  </si>
  <si>
    <t xml:space="preserve">PMEG060V100EPDZ </t>
  </si>
  <si>
    <t xml:space="preserve">DIODE SCHOTTKY 60V 10A CFP15  </t>
  </si>
  <si>
    <t>at IF = 3A, Tj = +125°C</t>
  </si>
  <si>
    <t>Device mounted on an FR4 PCB, single-sided copper, tin-plated, mounting pad for cathode 1cm2</t>
  </si>
  <si>
    <t>Maximum operating voltage will be 36V.</t>
  </si>
  <si>
    <t>Rtop</t>
  </si>
  <si>
    <t>Rbot</t>
  </si>
  <si>
    <t>V aceross enable</t>
  </si>
  <si>
    <t xml:space="preserve">ERJ-2RKF7502X </t>
  </si>
  <si>
    <t xml:space="preserve">RES SMD 75K OHM 1% 1/10W 0402  </t>
  </si>
  <si>
    <t xml:space="preserve">ERJ-2RKF1053X </t>
  </si>
  <si>
    <t xml:space="preserve">RES SMD 105K OHM 1% 1/10W 0402  </t>
  </si>
  <si>
    <t>Two 75K in Series</t>
  </si>
  <si>
    <t>Two 105K in parallel</t>
  </si>
  <si>
    <t>Total power dissipation</t>
  </si>
  <si>
    <r>
      <t xml:space="preserve">Package size </t>
    </r>
    <r>
      <rPr>
        <b/>
        <sz val="11"/>
        <color theme="1"/>
        <rFont val="Times New Roman"/>
        <family val="1"/>
      </rPr>
      <t xml:space="preserve">: </t>
    </r>
    <r>
      <rPr>
        <sz val="11"/>
        <color theme="1"/>
        <rFont val="Times New Roman"/>
        <family val="1"/>
      </rPr>
      <t>13.5 mm  x 12.5 mm x 6.2 mm</t>
    </r>
  </si>
  <si>
    <t>SRP1265A-330M</t>
  </si>
  <si>
    <t xml:space="preserve">FIXED IND 33UH 8A 58 MOHM SMD </t>
  </si>
  <si>
    <t>Bourns Inc</t>
  </si>
  <si>
    <t>Max voltage rating at UVLO</t>
  </si>
  <si>
    <t>Dimension</t>
  </si>
  <si>
    <r>
      <t xml:space="preserve">Package size </t>
    </r>
    <r>
      <rPr>
        <b/>
        <sz val="11"/>
        <color theme="1"/>
        <rFont val="Times New Roman"/>
        <family val="1"/>
      </rPr>
      <t xml:space="preserve">: </t>
    </r>
    <r>
      <rPr>
        <sz val="11"/>
        <color theme="1"/>
        <rFont val="Times New Roman"/>
        <family val="1"/>
      </rPr>
      <t>16.2 mm x 15.2 mm x 10 mm</t>
    </r>
  </si>
  <si>
    <t>FIXED IND 33UH 10.7A 44 MOHM SMD</t>
  </si>
  <si>
    <t xml:space="preserve">SRP1770TA-330M </t>
  </si>
  <si>
    <t>Fixed Inductors XAL1510 33uH 20% 20mOhms HiCurrent</t>
  </si>
  <si>
    <t xml:space="preserve">A Rsense value of no more than 16.9mΩ must be used to ensure the required maximum output current in the buck-boost mode. </t>
  </si>
  <si>
    <t>Package size : 17.6mm  x 16.9mm x 6.7mm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</si>
</sst>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64" formatCode="0.000"/>
    <numFmt numFmtId="165" formatCode="0.0"/>
    <numFmt numFmtId="166" formatCode="0.0000"/>
    <numFmt numFmtId="167" formatCode="0.0%"/>
    <numFmt numFmtId="168" formatCode="0.0000000000000"/>
    <numFmt numFmtId="171" formatCode="&quot;$&quot;#,##0.000"/>
    <numFmt numFmtId="172" formatCode="&quot;$&quot;#,##0.00;[Red]&quot;$&quot;#,##0.00"/>
    <numFmt numFmtId="173" formatCode="0.00000"/>
    <numFmt numFmtId="174" formatCode="0.0000000"/>
  </numFmts>
  <fonts count="21" x14ac:knownFonts="1">
    <font>
      <sz val="11"/>
      <color theme="1"/>
      <name val="Times New Roman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2.65"/>
      <color theme="10"/>
      <name val="Calibri"/>
      <family val="2"/>
    </font>
    <font>
      <b/>
      <sz val="14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name val="Times New Roman"/>
      <family val="1"/>
    </font>
    <font>
      <sz val="11"/>
      <color rgb="FFFF0000"/>
      <name val="Times New Roman"/>
      <family val="1"/>
    </font>
    <font>
      <b/>
      <u/>
      <sz val="11"/>
      <color theme="1"/>
      <name val="Times New Roman"/>
      <family val="1"/>
    </font>
    <font>
      <sz val="11"/>
      <color indexed="8"/>
      <name val="Times New Roman"/>
      <family val="1"/>
    </font>
    <font>
      <sz val="11"/>
      <color indexed="8"/>
      <name val="Calibri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sz val="11"/>
      <color theme="0"/>
      <name val="Times New Roman"/>
      <family val="1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0"/>
      <color theme="1"/>
      <name val="Times New Roman"/>
      <family val="1"/>
    </font>
  </fonts>
  <fills count="1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7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6" fillId="0" borderId="0"/>
    <xf numFmtId="0" fontId="3" fillId="0" borderId="0"/>
    <xf numFmtId="0" fontId="2" fillId="0" borderId="0"/>
    <xf numFmtId="0" fontId="1" fillId="0" borderId="0"/>
  </cellStyleXfs>
  <cellXfs count="225">
    <xf numFmtId="0" fontId="0" fillId="0" borderId="0" xfId="0"/>
    <xf numFmtId="0" fontId="7" fillId="0" borderId="0" xfId="0" applyFont="1" applyAlignment="1">
      <alignment vertical="center"/>
    </xf>
    <xf numFmtId="0" fontId="8" fillId="4" borderId="3" xfId="0" applyFont="1" applyFill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7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vertical="center"/>
    </xf>
    <xf numFmtId="0" fontId="9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7" fillId="0" borderId="3" xfId="0" applyFont="1" applyBorder="1" applyAlignment="1">
      <alignment vertical="center" wrapText="1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Fill="1" applyBorder="1" applyAlignment="1">
      <alignment vertical="center" wrapText="1"/>
    </xf>
    <xf numFmtId="164" fontId="7" fillId="0" borderId="3" xfId="0" applyNumberFormat="1" applyFont="1" applyFill="1" applyBorder="1" applyAlignment="1">
      <alignment horizontal="center" vertical="center" wrapText="1"/>
    </xf>
    <xf numFmtId="2" fontId="7" fillId="0" borderId="3" xfId="0" applyNumberFormat="1" applyFont="1" applyFill="1" applyBorder="1" applyAlignment="1">
      <alignment horizontal="center" vertical="center" wrapText="1"/>
    </xf>
    <xf numFmtId="166" fontId="7" fillId="0" borderId="3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8" fillId="4" borderId="3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vertical="center"/>
    </xf>
    <xf numFmtId="0" fontId="7" fillId="0" borderId="6" xfId="0" applyFont="1" applyBorder="1" applyAlignment="1">
      <alignment horizontal="left" vertical="center"/>
    </xf>
    <xf numFmtId="0" fontId="7" fillId="0" borderId="5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9" fillId="0" borderId="8" xfId="0" applyFont="1" applyFill="1" applyBorder="1" applyAlignment="1">
      <alignment horizontal="left" vertical="center"/>
    </xf>
    <xf numFmtId="0" fontId="7" fillId="0" borderId="9" xfId="0" applyFont="1" applyBorder="1" applyAlignment="1">
      <alignment horizontal="center" vertical="center"/>
    </xf>
    <xf numFmtId="0" fontId="7" fillId="0" borderId="8" xfId="0" applyFont="1" applyBorder="1" applyAlignment="1">
      <alignment vertical="center"/>
    </xf>
    <xf numFmtId="0" fontId="9" fillId="0" borderId="9" xfId="0" applyFont="1" applyFill="1" applyBorder="1" applyAlignment="1">
      <alignment horizontal="center" vertical="center"/>
    </xf>
    <xf numFmtId="165" fontId="7" fillId="0" borderId="3" xfId="0" applyNumberFormat="1" applyFont="1" applyFill="1" applyBorder="1" applyAlignment="1">
      <alignment horizontal="center" vertical="center" wrapText="1"/>
    </xf>
    <xf numFmtId="9" fontId="7" fillId="0" borderId="3" xfId="0" applyNumberFormat="1" applyFont="1" applyFill="1" applyBorder="1" applyAlignment="1">
      <alignment horizontal="center" vertical="center" wrapText="1"/>
    </xf>
    <xf numFmtId="1" fontId="7" fillId="0" borderId="3" xfId="0" applyNumberFormat="1" applyFont="1" applyFill="1" applyBorder="1" applyAlignment="1">
      <alignment horizontal="center" vertical="center" wrapText="1"/>
    </xf>
    <xf numFmtId="0" fontId="7" fillId="0" borderId="3" xfId="0" quotePrefix="1" applyFont="1" applyFill="1" applyBorder="1" applyAlignment="1">
      <alignment horizontal="center" vertical="center" wrapText="1"/>
    </xf>
    <xf numFmtId="167" fontId="7" fillId="0" borderId="3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right" vertical="center" wrapText="1"/>
    </xf>
    <xf numFmtId="164" fontId="7" fillId="0" borderId="3" xfId="0" applyNumberFormat="1" applyFont="1" applyFill="1" applyBorder="1" applyAlignment="1">
      <alignment horizontal="right" vertical="center" wrapText="1"/>
    </xf>
    <xf numFmtId="164" fontId="7" fillId="0" borderId="3" xfId="0" applyNumberFormat="1" applyFont="1" applyFill="1" applyBorder="1" applyAlignment="1">
      <alignment vertical="center" wrapText="1"/>
    </xf>
    <xf numFmtId="0" fontId="0" fillId="0" borderId="3" xfId="0" applyFill="1" applyBorder="1" applyAlignment="1">
      <alignment vertical="center" wrapText="1"/>
    </xf>
    <xf numFmtId="0" fontId="0" fillId="0" borderId="3" xfId="0" applyFill="1" applyBorder="1" applyAlignment="1">
      <alignment horizontal="left" vertical="center" wrapText="1"/>
    </xf>
    <xf numFmtId="165" fontId="0" fillId="0" borderId="3" xfId="0" applyNumberForma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vertical="center" wrapText="1"/>
    </xf>
    <xf numFmtId="0" fontId="7" fillId="0" borderId="3" xfId="0" applyFont="1" applyFill="1" applyBorder="1" applyAlignment="1">
      <alignment vertical="center"/>
    </xf>
    <xf numFmtId="0" fontId="12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12" xfId="0" applyFont="1" applyBorder="1" applyAlignment="1">
      <alignment vertical="center"/>
    </xf>
    <xf numFmtId="0" fontId="7" fillId="0" borderId="13" xfId="0" applyFont="1" applyBorder="1" applyAlignment="1">
      <alignment horizontal="left" vertical="center"/>
    </xf>
    <xf numFmtId="0" fontId="7" fillId="0" borderId="13" xfId="0" applyFont="1" applyBorder="1" applyAlignment="1">
      <alignment vertical="center"/>
    </xf>
    <xf numFmtId="0" fontId="7" fillId="0" borderId="14" xfId="0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7" fillId="0" borderId="15" xfId="0" applyFont="1" applyBorder="1" applyAlignment="1">
      <alignment vertical="center"/>
    </xf>
    <xf numFmtId="0" fontId="7" fillId="0" borderId="16" xfId="0" applyFont="1" applyBorder="1" applyAlignment="1">
      <alignment vertical="center"/>
    </xf>
    <xf numFmtId="0" fontId="7" fillId="0" borderId="17" xfId="0" applyFont="1" applyBorder="1" applyAlignment="1">
      <alignment vertical="center"/>
    </xf>
    <xf numFmtId="0" fontId="7" fillId="0" borderId="18" xfId="0" applyFont="1" applyBorder="1" applyAlignment="1">
      <alignment vertical="center"/>
    </xf>
    <xf numFmtId="0" fontId="8" fillId="0" borderId="0" xfId="0" applyFont="1" applyFill="1" applyBorder="1" applyAlignment="1">
      <alignment horizontal="right" vertical="center" wrapText="1"/>
    </xf>
    <xf numFmtId="9" fontId="0" fillId="0" borderId="3" xfId="0" applyNumberFormat="1" applyFill="1" applyBorder="1" applyAlignment="1">
      <alignment horizontal="center" vertical="center"/>
    </xf>
    <xf numFmtId="0" fontId="7" fillId="8" borderId="3" xfId="0" applyFont="1" applyFill="1" applyBorder="1" applyAlignment="1">
      <alignment vertical="center" wrapText="1"/>
    </xf>
    <xf numFmtId="0" fontId="7" fillId="10" borderId="3" xfId="0" applyFont="1" applyFill="1" applyBorder="1" applyAlignment="1">
      <alignment horizontal="left" vertical="center" wrapText="1"/>
    </xf>
    <xf numFmtId="165" fontId="7" fillId="10" borderId="3" xfId="0" applyNumberFormat="1" applyFont="1" applyFill="1" applyBorder="1" applyAlignment="1">
      <alignment horizontal="center" vertical="center" wrapText="1"/>
    </xf>
    <xf numFmtId="0" fontId="7" fillId="10" borderId="3" xfId="0" applyFont="1" applyFill="1" applyBorder="1" applyAlignment="1">
      <alignment vertical="center" wrapText="1"/>
    </xf>
    <xf numFmtId="0" fontId="7" fillId="10" borderId="3" xfId="0" applyFont="1" applyFill="1" applyBorder="1" applyAlignment="1">
      <alignment horizontal="center" vertical="center" wrapText="1"/>
    </xf>
    <xf numFmtId="1" fontId="7" fillId="10" borderId="3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vertical="center" wrapText="1"/>
    </xf>
    <xf numFmtId="0" fontId="12" fillId="10" borderId="3" xfId="0" applyFont="1" applyFill="1" applyBorder="1" applyAlignment="1">
      <alignment vertical="center" wrapText="1"/>
    </xf>
    <xf numFmtId="168" fontId="7" fillId="10" borderId="3" xfId="0" applyNumberFormat="1" applyFont="1" applyFill="1" applyBorder="1" applyAlignment="1">
      <alignment vertical="center" wrapText="1"/>
    </xf>
    <xf numFmtId="164" fontId="7" fillId="10" borderId="3" xfId="0" applyNumberFormat="1" applyFont="1" applyFill="1" applyBorder="1" applyAlignment="1">
      <alignment horizontal="center" vertical="center" wrapText="1"/>
    </xf>
    <xf numFmtId="0" fontId="7" fillId="10" borderId="3" xfId="0" applyFont="1" applyFill="1" applyBorder="1" applyAlignment="1">
      <alignment vertical="center"/>
    </xf>
    <xf numFmtId="0" fontId="10" fillId="10" borderId="3" xfId="0" applyFont="1" applyFill="1" applyBorder="1" applyAlignment="1">
      <alignment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/>
    </xf>
    <xf numFmtId="0" fontId="9" fillId="10" borderId="3" xfId="0" applyFont="1" applyFill="1" applyBorder="1" applyAlignment="1">
      <alignment vertical="center" wrapText="1"/>
    </xf>
    <xf numFmtId="0" fontId="9" fillId="10" borderId="3" xfId="0" applyFont="1" applyFill="1" applyBorder="1" applyAlignment="1">
      <alignment horizontal="left" vertical="center" wrapText="1"/>
    </xf>
    <xf numFmtId="2" fontId="9" fillId="10" borderId="3" xfId="0" applyNumberFormat="1" applyFont="1" applyFill="1" applyBorder="1" applyAlignment="1">
      <alignment horizontal="center" vertical="center" wrapText="1"/>
    </xf>
    <xf numFmtId="0" fontId="0" fillId="8" borderId="3" xfId="0" applyFill="1" applyBorder="1" applyAlignment="1">
      <alignment vertical="center"/>
    </xf>
    <xf numFmtId="9" fontId="0" fillId="8" borderId="3" xfId="0" applyNumberFormat="1" applyFill="1" applyBorder="1" applyAlignment="1">
      <alignment horizontal="center" vertical="center"/>
    </xf>
    <xf numFmtId="0" fontId="0" fillId="8" borderId="10" xfId="0" applyFill="1" applyBorder="1" applyAlignment="1">
      <alignment vertical="center"/>
    </xf>
    <xf numFmtId="0" fontId="7" fillId="8" borderId="3" xfId="0" applyFont="1" applyFill="1" applyBorder="1" applyAlignment="1">
      <alignment horizontal="left" vertical="center" wrapText="1"/>
    </xf>
    <xf numFmtId="2" fontId="7" fillId="8" borderId="3" xfId="0" applyNumberFormat="1" applyFont="1" applyFill="1" applyBorder="1" applyAlignment="1">
      <alignment horizontal="center" vertical="center" wrapText="1"/>
    </xf>
    <xf numFmtId="164" fontId="7" fillId="8" borderId="3" xfId="0" applyNumberFormat="1" applyFont="1" applyFill="1" applyBorder="1" applyAlignment="1">
      <alignment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center" vertical="center" wrapText="1"/>
    </xf>
    <xf numFmtId="1" fontId="7" fillId="8" borderId="3" xfId="0" applyNumberFormat="1" applyFont="1" applyFill="1" applyBorder="1" applyAlignment="1">
      <alignment horizontal="center" vertical="center" wrapText="1"/>
    </xf>
    <xf numFmtId="2" fontId="7" fillId="9" borderId="3" xfId="0" applyNumberFormat="1" applyFont="1" applyFill="1" applyBorder="1" applyAlignment="1">
      <alignment horizontal="center" vertical="center" wrapText="1"/>
    </xf>
    <xf numFmtId="0" fontId="9" fillId="8" borderId="3" xfId="0" applyFont="1" applyFill="1" applyBorder="1" applyAlignment="1">
      <alignment vertical="center" wrapText="1"/>
    </xf>
    <xf numFmtId="0" fontId="7" fillId="8" borderId="3" xfId="0" applyFont="1" applyFill="1" applyBorder="1" applyAlignment="1">
      <alignment horizontal="center" vertical="center" wrapText="1"/>
    </xf>
    <xf numFmtId="165" fontId="7" fillId="8" borderId="3" xfId="0" applyNumberFormat="1" applyFont="1" applyFill="1" applyBorder="1" applyAlignment="1">
      <alignment horizontal="center" vertical="center" wrapText="1"/>
    </xf>
    <xf numFmtId="164" fontId="7" fillId="8" borderId="3" xfId="0" applyNumberFormat="1" applyFont="1" applyFill="1" applyBorder="1" applyAlignment="1">
      <alignment horizontal="center" vertical="center" wrapText="1"/>
    </xf>
    <xf numFmtId="0" fontId="8" fillId="8" borderId="3" xfId="0" applyFont="1" applyFill="1" applyBorder="1" applyAlignment="1">
      <alignment horizontal="right" vertical="center" wrapText="1"/>
    </xf>
    <xf numFmtId="0" fontId="7" fillId="8" borderId="3" xfId="0" applyFont="1" applyFill="1" applyBorder="1" applyAlignment="1">
      <alignment horizontal="center" vertical="center" wrapText="1"/>
    </xf>
    <xf numFmtId="0" fontId="10" fillId="8" borderId="3" xfId="0" applyFont="1" applyFill="1" applyBorder="1" applyAlignment="1">
      <alignment vertical="center" wrapText="1"/>
    </xf>
    <xf numFmtId="0" fontId="8" fillId="8" borderId="3" xfId="0" applyFont="1" applyFill="1" applyBorder="1" applyAlignment="1">
      <alignment horizontal="center" vertical="center" wrapText="1"/>
    </xf>
    <xf numFmtId="0" fontId="0" fillId="8" borderId="3" xfId="0" applyFill="1" applyBorder="1" applyAlignment="1">
      <alignment vertical="center" wrapText="1"/>
    </xf>
    <xf numFmtId="0" fontId="0" fillId="8" borderId="3" xfId="0" applyFill="1" applyBorder="1" applyAlignment="1">
      <alignment horizontal="left" vertical="center" wrapText="1"/>
    </xf>
    <xf numFmtId="0" fontId="0" fillId="8" borderId="3" xfId="0" applyFill="1" applyBorder="1" applyAlignment="1">
      <alignment horizontal="center" vertical="center" wrapText="1"/>
    </xf>
    <xf numFmtId="165" fontId="0" fillId="8" borderId="3" xfId="0" applyNumberFormat="1" applyFill="1" applyBorder="1" applyAlignment="1">
      <alignment horizontal="center" vertical="center" wrapText="1"/>
    </xf>
    <xf numFmtId="9" fontId="7" fillId="8" borderId="3" xfId="0" applyNumberFormat="1" applyFont="1" applyFill="1" applyBorder="1" applyAlignment="1">
      <alignment horizontal="center" vertical="center" wrapText="1"/>
    </xf>
    <xf numFmtId="0" fontId="8" fillId="8" borderId="10" xfId="0" applyFont="1" applyFill="1" applyBorder="1" applyAlignment="1">
      <alignment horizontal="center" vertical="center" wrapText="1"/>
    </xf>
    <xf numFmtId="0" fontId="8" fillId="8" borderId="2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/>
    </xf>
    <xf numFmtId="166" fontId="7" fillId="8" borderId="3" xfId="0" applyNumberFormat="1" applyFont="1" applyFill="1" applyBorder="1" applyAlignment="1">
      <alignment horizontal="center" vertical="center" wrapText="1"/>
    </xf>
    <xf numFmtId="165" fontId="9" fillId="0" borderId="3" xfId="0" applyNumberFormat="1" applyFont="1" applyFill="1" applyBorder="1" applyAlignment="1">
      <alignment horizontal="center" vertical="center" wrapText="1"/>
    </xf>
    <xf numFmtId="1" fontId="9" fillId="10" borderId="3" xfId="0" applyNumberFormat="1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vertical="center" wrapText="1"/>
    </xf>
    <xf numFmtId="2" fontId="7" fillId="10" borderId="3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vertical="center" wrapText="1"/>
    </xf>
    <xf numFmtId="0" fontId="15" fillId="0" borderId="1" xfId="3" applyFont="1" applyFill="1" applyBorder="1" applyAlignment="1">
      <alignment horizontal="center" vertical="center" wrapText="1"/>
    </xf>
    <xf numFmtId="0" fontId="15" fillId="2" borderId="1" xfId="3" applyFont="1" applyFill="1" applyBorder="1" applyAlignment="1">
      <alignment horizontal="center" vertical="center"/>
    </xf>
    <xf numFmtId="0" fontId="15" fillId="0" borderId="0" xfId="3" applyFont="1" applyAlignment="1">
      <alignment horizontal="center" wrapText="1"/>
    </xf>
    <xf numFmtId="0" fontId="14" fillId="0" borderId="0" xfId="3" applyFont="1" applyAlignment="1">
      <alignment horizontal="center" wrapText="1"/>
    </xf>
    <xf numFmtId="0" fontId="14" fillId="0" borderId="0" xfId="3" applyFont="1" applyBorder="1" applyAlignment="1">
      <alignment horizontal="center" wrapText="1"/>
    </xf>
    <xf numFmtId="0" fontId="15" fillId="14" borderId="0" xfId="3" applyFont="1" applyFill="1" applyBorder="1" applyAlignment="1">
      <alignment horizontal="center" wrapText="1"/>
    </xf>
    <xf numFmtId="0" fontId="15" fillId="2" borderId="3" xfId="3" applyFont="1" applyFill="1" applyBorder="1" applyAlignment="1">
      <alignment horizontal="center" vertical="center" wrapText="1"/>
    </xf>
    <xf numFmtId="0" fontId="14" fillId="0" borderId="3" xfId="3" applyFont="1" applyBorder="1" applyAlignment="1">
      <alignment horizontal="center" vertical="center" wrapText="1"/>
    </xf>
    <xf numFmtId="0" fontId="7" fillId="0" borderId="3" xfId="6" applyFont="1" applyBorder="1" applyAlignment="1">
      <alignment horizontal="center" vertical="center"/>
    </xf>
    <xf numFmtId="0" fontId="7" fillId="13" borderId="3" xfId="6" applyFont="1" applyFill="1" applyBorder="1" applyAlignment="1">
      <alignment horizontal="center" vertical="center" wrapText="1"/>
    </xf>
    <xf numFmtId="12" fontId="14" fillId="0" borderId="3" xfId="3" applyNumberFormat="1" applyFont="1" applyBorder="1" applyAlignment="1">
      <alignment horizontal="center" vertical="center" wrapText="1"/>
    </xf>
    <xf numFmtId="171" fontId="7" fillId="0" borderId="3" xfId="6" applyNumberFormat="1" applyFont="1" applyBorder="1" applyAlignment="1">
      <alignment horizontal="center" vertical="center"/>
    </xf>
    <xf numFmtId="0" fontId="14" fillId="0" borderId="0" xfId="3" applyFont="1" applyAlignment="1">
      <alignment horizontal="center" vertical="center" wrapText="1"/>
    </xf>
    <xf numFmtId="0" fontId="14" fillId="0" borderId="3" xfId="3" applyFont="1" applyBorder="1" applyAlignment="1">
      <alignment horizontal="center" wrapText="1"/>
    </xf>
    <xf numFmtId="0" fontId="7" fillId="13" borderId="3" xfId="6" applyFont="1" applyFill="1" applyBorder="1" applyAlignment="1">
      <alignment horizontal="center" vertical="center"/>
    </xf>
    <xf numFmtId="12" fontId="14" fillId="0" borderId="3" xfId="3" applyNumberFormat="1" applyFont="1" applyBorder="1" applyAlignment="1">
      <alignment horizontal="center" wrapText="1"/>
    </xf>
    <xf numFmtId="12" fontId="14" fillId="0" borderId="22" xfId="3" applyNumberFormat="1" applyFont="1" applyBorder="1" applyAlignment="1">
      <alignment horizontal="center" wrapText="1"/>
    </xf>
    <xf numFmtId="0" fontId="14" fillId="0" borderId="22" xfId="3" applyFont="1" applyBorder="1" applyAlignment="1">
      <alignment horizontal="center" wrapText="1"/>
    </xf>
    <xf numFmtId="172" fontId="15" fillId="2" borderId="3" xfId="3" applyNumberFormat="1" applyFont="1" applyFill="1" applyBorder="1" applyAlignment="1">
      <alignment horizontal="center" vertical="center" wrapText="1"/>
    </xf>
    <xf numFmtId="2" fontId="14" fillId="0" borderId="0" xfId="3" applyNumberFormat="1" applyFont="1" applyAlignment="1">
      <alignment horizontal="center" wrapText="1"/>
    </xf>
    <xf numFmtId="0" fontId="16" fillId="0" borderId="0" xfId="3" applyAlignment="1">
      <alignment wrapText="1"/>
    </xf>
    <xf numFmtId="0" fontId="9" fillId="0" borderId="3" xfId="0" applyFont="1" applyBorder="1" applyAlignment="1">
      <alignment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11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9" borderId="3" xfId="0" applyFont="1" applyFill="1" applyBorder="1" applyAlignment="1">
      <alignment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0" xfId="0" applyFont="1" applyFill="1" applyAlignment="1">
      <alignment horizontal="center" vertical="center"/>
    </xf>
    <xf numFmtId="0" fontId="9" fillId="0" borderId="3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7" fillId="12" borderId="3" xfId="0" applyFont="1" applyFill="1" applyBorder="1" applyAlignment="1">
      <alignment horizontal="left" vertical="center" wrapText="1"/>
    </xf>
    <xf numFmtId="0" fontId="7" fillId="15" borderId="3" xfId="0" applyFont="1" applyFill="1" applyBorder="1" applyAlignment="1">
      <alignment horizontal="right" vertical="center" wrapText="1"/>
    </xf>
    <xf numFmtId="0" fontId="7" fillId="15" borderId="3" xfId="0" applyFont="1" applyFill="1" applyBorder="1" applyAlignment="1">
      <alignment horizontal="center" vertical="center" wrapText="1"/>
    </xf>
    <xf numFmtId="0" fontId="7" fillId="15" borderId="0" xfId="0" applyFont="1" applyFill="1" applyAlignment="1">
      <alignment horizontal="right" vertical="center" wrapText="1"/>
    </xf>
    <xf numFmtId="2" fontId="7" fillId="15" borderId="3" xfId="0" applyNumberFormat="1" applyFont="1" applyFill="1" applyBorder="1" applyAlignment="1">
      <alignment horizontal="center" vertical="center" wrapText="1"/>
    </xf>
    <xf numFmtId="174" fontId="7" fillId="8" borderId="3" xfId="0" applyNumberFormat="1" applyFont="1" applyFill="1" applyBorder="1" applyAlignment="1">
      <alignment horizontal="center" vertical="center" wrapText="1"/>
    </xf>
    <xf numFmtId="173" fontId="7" fillId="0" borderId="3" xfId="0" applyNumberFormat="1" applyFont="1" applyFill="1" applyBorder="1" applyAlignment="1">
      <alignment horizontal="center" vertical="center" wrapText="1"/>
    </xf>
    <xf numFmtId="0" fontId="20" fillId="0" borderId="0" xfId="0" applyFont="1" applyAlignment="1">
      <alignment wrapText="1" readingOrder="1"/>
    </xf>
    <xf numFmtId="166" fontId="7" fillId="9" borderId="3" xfId="0" applyNumberFormat="1" applyFont="1" applyFill="1" applyBorder="1" applyAlignment="1">
      <alignment horizontal="center" vertical="center" wrapText="1"/>
    </xf>
    <xf numFmtId="164" fontId="7" fillId="9" borderId="3" xfId="0" applyNumberFormat="1" applyFont="1" applyFill="1" applyBorder="1" applyAlignment="1">
      <alignment horizontal="center" vertical="center" wrapText="1"/>
    </xf>
    <xf numFmtId="165" fontId="0" fillId="9" borderId="3" xfId="0" applyNumberFormat="1" applyFill="1" applyBorder="1" applyAlignment="1">
      <alignment horizontal="center" vertical="center" wrapText="1"/>
    </xf>
    <xf numFmtId="165" fontId="7" fillId="9" borderId="3" xfId="0" applyNumberFormat="1" applyFont="1" applyFill="1" applyBorder="1" applyAlignment="1">
      <alignment horizontal="center" vertical="center" wrapText="1"/>
    </xf>
    <xf numFmtId="167" fontId="10" fillId="9" borderId="3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9" fillId="11" borderId="3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/>
    </xf>
    <xf numFmtId="0" fontId="8" fillId="6" borderId="10" xfId="0" applyFont="1" applyFill="1" applyBorder="1" applyAlignment="1">
      <alignment horizontal="center" vertical="center"/>
    </xf>
    <xf numFmtId="0" fontId="8" fillId="6" borderId="2" xfId="0" applyFont="1" applyFill="1" applyBorder="1" applyAlignment="1">
      <alignment horizontal="center" vertical="center"/>
    </xf>
    <xf numFmtId="0" fontId="11" fillId="7" borderId="3" xfId="0" applyFont="1" applyFill="1" applyBorder="1" applyAlignment="1">
      <alignment horizontal="center" vertical="center" wrapText="1"/>
    </xf>
    <xf numFmtId="0" fontId="11" fillId="7" borderId="1" xfId="0" applyFont="1" applyFill="1" applyBorder="1" applyAlignment="1">
      <alignment horizontal="center" vertical="center" wrapText="1"/>
    </xf>
    <xf numFmtId="0" fontId="11" fillId="7" borderId="10" xfId="0" applyFont="1" applyFill="1" applyBorder="1" applyAlignment="1">
      <alignment horizontal="center" vertical="center" wrapText="1"/>
    </xf>
    <xf numFmtId="0" fontId="11" fillId="7" borderId="2" xfId="0" applyFont="1" applyFill="1" applyBorder="1" applyAlignment="1">
      <alignment horizontal="center" vertical="center" wrapText="1"/>
    </xf>
    <xf numFmtId="0" fontId="8" fillId="8" borderId="3" xfId="0" applyFont="1" applyFill="1" applyBorder="1" applyAlignment="1">
      <alignment horizontal="center" vertical="center" wrapText="1"/>
    </xf>
    <xf numFmtId="0" fontId="9" fillId="8" borderId="3" xfId="0" applyFont="1" applyFill="1" applyBorder="1" applyAlignment="1">
      <alignment horizontal="center" vertical="center" wrapText="1"/>
    </xf>
    <xf numFmtId="0" fontId="11" fillId="12" borderId="1" xfId="0" applyFont="1" applyFill="1" applyBorder="1" applyAlignment="1">
      <alignment horizontal="center" vertical="center" wrapText="1"/>
    </xf>
    <xf numFmtId="0" fontId="11" fillId="12" borderId="10" xfId="0" applyFont="1" applyFill="1" applyBorder="1" applyAlignment="1">
      <alignment horizontal="center" vertical="center" wrapText="1"/>
    </xf>
    <xf numFmtId="0" fontId="11" fillId="12" borderId="2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22" xfId="0" applyFont="1" applyFill="1" applyBorder="1" applyAlignment="1">
      <alignment horizontal="center" vertical="center" wrapText="1"/>
    </xf>
    <xf numFmtId="164" fontId="7" fillId="0" borderId="4" xfId="0" applyNumberFormat="1" applyFont="1" applyFill="1" applyBorder="1" applyAlignment="1">
      <alignment horizontal="center" vertical="center" wrapText="1"/>
    </xf>
    <xf numFmtId="164" fontId="7" fillId="0" borderId="22" xfId="0" applyNumberFormat="1" applyFont="1" applyFill="1" applyBorder="1" applyAlignment="1">
      <alignment horizontal="center" vertical="center" wrapText="1"/>
    </xf>
    <xf numFmtId="0" fontId="7" fillId="11" borderId="3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9" fillId="11" borderId="1" xfId="0" applyFont="1" applyFill="1" applyBorder="1" applyAlignment="1">
      <alignment horizontal="center" vertical="center" wrapText="1"/>
    </xf>
    <xf numFmtId="0" fontId="9" fillId="11" borderId="10" xfId="0" applyFont="1" applyFill="1" applyBorder="1" applyAlignment="1">
      <alignment horizontal="center" vertical="center" wrapText="1"/>
    </xf>
    <xf numFmtId="0" fontId="9" fillId="11" borderId="2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7" fillId="11" borderId="1" xfId="0" applyFont="1" applyFill="1" applyBorder="1" applyAlignment="1">
      <alignment horizontal="center" vertical="center" wrapText="1"/>
    </xf>
    <xf numFmtId="0" fontId="7" fillId="11" borderId="10" xfId="0" applyFont="1" applyFill="1" applyBorder="1" applyAlignment="1">
      <alignment horizontal="center" vertical="center" wrapText="1"/>
    </xf>
    <xf numFmtId="0" fontId="7" fillId="11" borderId="2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12" fillId="11" borderId="3" xfId="0" applyFont="1" applyFill="1" applyBorder="1" applyAlignment="1">
      <alignment horizontal="center" vertical="center" wrapText="1"/>
    </xf>
    <xf numFmtId="0" fontId="8" fillId="4" borderId="19" xfId="0" applyFont="1" applyFill="1" applyBorder="1" applyAlignment="1">
      <alignment horizontal="center" vertical="center" wrapText="1"/>
    </xf>
    <xf numFmtId="0" fontId="8" fillId="4" borderId="20" xfId="0" applyFont="1" applyFill="1" applyBorder="1" applyAlignment="1">
      <alignment horizontal="center" vertical="center" wrapText="1"/>
    </xf>
    <xf numFmtId="0" fontId="8" fillId="4" borderId="21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7" fillId="5" borderId="3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8" fillId="6" borderId="3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0" fontId="7" fillId="0" borderId="23" xfId="0" applyFont="1" applyFill="1" applyBorder="1" applyAlignment="1">
      <alignment horizontal="center" vertical="center" wrapText="1"/>
    </xf>
    <xf numFmtId="0" fontId="7" fillId="0" borderId="22" xfId="0" applyFont="1" applyFill="1" applyBorder="1" applyAlignment="1">
      <alignment horizontal="center" vertical="center" wrapText="1"/>
    </xf>
    <xf numFmtId="0" fontId="7" fillId="8" borderId="3" xfId="0" applyFont="1" applyFill="1" applyBorder="1" applyAlignment="1">
      <alignment horizontal="center" vertical="center" wrapText="1"/>
    </xf>
    <xf numFmtId="0" fontId="11" fillId="11" borderId="3" xfId="0" applyFont="1" applyFill="1" applyBorder="1" applyAlignment="1">
      <alignment horizontal="center" vertical="center" wrapText="1"/>
    </xf>
    <xf numFmtId="0" fontId="15" fillId="2" borderId="1" xfId="3" applyFont="1" applyFill="1" applyBorder="1" applyAlignment="1">
      <alignment horizontal="center" vertical="center" wrapText="1"/>
    </xf>
    <xf numFmtId="0" fontId="15" fillId="2" borderId="10" xfId="3" applyFont="1" applyFill="1" applyBorder="1" applyAlignment="1">
      <alignment horizontal="center" vertical="center" wrapText="1"/>
    </xf>
    <xf numFmtId="0" fontId="15" fillId="2" borderId="2" xfId="3" applyFont="1" applyFill="1" applyBorder="1" applyAlignment="1">
      <alignment horizontal="center" vertical="center" wrapText="1"/>
    </xf>
    <xf numFmtId="0" fontId="15" fillId="2" borderId="4" xfId="3" applyFont="1" applyFill="1" applyBorder="1" applyAlignment="1">
      <alignment horizontal="center" vertical="center" wrapText="1"/>
    </xf>
    <xf numFmtId="0" fontId="15" fillId="2" borderId="22" xfId="3" applyFont="1" applyFill="1" applyBorder="1" applyAlignment="1">
      <alignment horizontal="center" vertical="center" wrapText="1"/>
    </xf>
    <xf numFmtId="0" fontId="15" fillId="2" borderId="3" xfId="3" applyFont="1" applyFill="1" applyBorder="1" applyAlignment="1">
      <alignment horizontal="center" vertical="center" wrapText="1"/>
    </xf>
    <xf numFmtId="165" fontId="15" fillId="8" borderId="1" xfId="3" applyNumberFormat="1" applyFont="1" applyFill="1" applyBorder="1" applyAlignment="1">
      <alignment horizontal="center" vertical="center" wrapText="1"/>
    </xf>
    <xf numFmtId="165" fontId="15" fillId="8" borderId="10" xfId="3" applyNumberFormat="1" applyFont="1" applyFill="1" applyBorder="1" applyAlignment="1">
      <alignment horizontal="center" vertical="center" wrapText="1"/>
    </xf>
    <xf numFmtId="165" fontId="15" fillId="8" borderId="2" xfId="3" applyNumberFormat="1" applyFont="1" applyFill="1" applyBorder="1" applyAlignment="1">
      <alignment horizontal="center" vertical="center" wrapText="1"/>
    </xf>
    <xf numFmtId="0" fontId="15" fillId="8" borderId="1" xfId="3" applyFont="1" applyFill="1" applyBorder="1" applyAlignment="1">
      <alignment horizontal="center" vertical="center" wrapText="1"/>
    </xf>
    <xf numFmtId="0" fontId="15" fillId="8" borderId="10" xfId="3" applyFont="1" applyFill="1" applyBorder="1" applyAlignment="1">
      <alignment horizontal="center" vertical="center" wrapText="1"/>
    </xf>
    <xf numFmtId="0" fontId="15" fillId="8" borderId="2" xfId="3" applyFont="1" applyFill="1" applyBorder="1" applyAlignment="1">
      <alignment horizontal="center" vertical="center" wrapText="1"/>
    </xf>
    <xf numFmtId="0" fontId="15" fillId="0" borderId="1" xfId="3" applyFont="1" applyFill="1" applyBorder="1" applyAlignment="1">
      <alignment horizontal="center" vertical="center" wrapText="1"/>
    </xf>
    <xf numFmtId="0" fontId="15" fillId="0" borderId="10" xfId="3" applyFont="1" applyFill="1" applyBorder="1" applyAlignment="1">
      <alignment horizontal="center" vertical="center" wrapText="1"/>
    </xf>
    <xf numFmtId="0" fontId="15" fillId="0" borderId="2" xfId="3" applyFont="1" applyFill="1" applyBorder="1" applyAlignment="1">
      <alignment horizontal="center" vertical="center" wrapText="1"/>
    </xf>
    <xf numFmtId="2" fontId="15" fillId="8" borderId="1" xfId="3" applyNumberFormat="1" applyFont="1" applyFill="1" applyBorder="1" applyAlignment="1">
      <alignment horizontal="center" vertical="center" wrapText="1"/>
    </xf>
    <xf numFmtId="2" fontId="15" fillId="8" borderId="10" xfId="3" applyNumberFormat="1" applyFont="1" applyFill="1" applyBorder="1" applyAlignment="1">
      <alignment horizontal="center" vertical="center" wrapText="1"/>
    </xf>
    <xf numFmtId="2" fontId="15" fillId="8" borderId="2" xfId="3" applyNumberFormat="1" applyFont="1" applyFill="1" applyBorder="1" applyAlignment="1">
      <alignment horizontal="center" vertical="center" wrapText="1"/>
    </xf>
    <xf numFmtId="0" fontId="15" fillId="2" borderId="1" xfId="3" applyFont="1" applyFill="1" applyBorder="1" applyAlignment="1">
      <alignment horizontal="center" vertical="center"/>
    </xf>
    <xf numFmtId="0" fontId="15" fillId="2" borderId="10" xfId="3" applyFont="1" applyFill="1" applyBorder="1" applyAlignment="1">
      <alignment horizontal="center" vertical="center"/>
    </xf>
    <xf numFmtId="0" fontId="15" fillId="2" borderId="2" xfId="3" applyFont="1" applyFill="1" applyBorder="1" applyAlignment="1">
      <alignment horizontal="center" vertical="center"/>
    </xf>
  </cellXfs>
  <cellStyles count="7">
    <cellStyle name="Hyperlink 2" xfId="1"/>
    <cellStyle name="Normal" xfId="0" builtinId="0"/>
    <cellStyle name="Normal 2" xfId="2"/>
    <cellStyle name="Normal 2 2" xfId="3"/>
    <cellStyle name="Normal 3" xfId="4"/>
    <cellStyle name="Normal 3 2" xfId="5"/>
    <cellStyle name="Normal 3 3" xfId="6"/>
  </cellStyles>
  <dxfs count="0"/>
  <tableStyles count="0" defaultTableStyle="TableStyleMedium2" defaultPivotStyle="PivotStyleLight16"/>
  <colors>
    <mruColors>
      <color rgb="FFCCFFFF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11.png"/><Relationship Id="rId13" Type="http://schemas.openxmlformats.org/officeDocument/2006/relationships/image" Target="../media/image16.png"/><Relationship Id="rId18" Type="http://schemas.openxmlformats.org/officeDocument/2006/relationships/image" Target="../media/image21.png"/><Relationship Id="rId26" Type="http://schemas.openxmlformats.org/officeDocument/2006/relationships/image" Target="../media/image29.png"/><Relationship Id="rId39" Type="http://schemas.openxmlformats.org/officeDocument/2006/relationships/image" Target="../media/image42.png"/><Relationship Id="rId3" Type="http://schemas.openxmlformats.org/officeDocument/2006/relationships/image" Target="../media/image6.png"/><Relationship Id="rId21" Type="http://schemas.openxmlformats.org/officeDocument/2006/relationships/image" Target="../media/image24.png"/><Relationship Id="rId34" Type="http://schemas.openxmlformats.org/officeDocument/2006/relationships/image" Target="../media/image37.png"/><Relationship Id="rId42" Type="http://schemas.openxmlformats.org/officeDocument/2006/relationships/image" Target="../media/image45.png"/><Relationship Id="rId47" Type="http://schemas.openxmlformats.org/officeDocument/2006/relationships/image" Target="../media/image50.png"/><Relationship Id="rId7" Type="http://schemas.openxmlformats.org/officeDocument/2006/relationships/image" Target="../media/image10.png"/><Relationship Id="rId12" Type="http://schemas.openxmlformats.org/officeDocument/2006/relationships/image" Target="../media/image15.png"/><Relationship Id="rId17" Type="http://schemas.openxmlformats.org/officeDocument/2006/relationships/image" Target="../media/image20.png"/><Relationship Id="rId25" Type="http://schemas.openxmlformats.org/officeDocument/2006/relationships/image" Target="../media/image28.png"/><Relationship Id="rId33" Type="http://schemas.openxmlformats.org/officeDocument/2006/relationships/image" Target="../media/image36.png"/><Relationship Id="rId38" Type="http://schemas.openxmlformats.org/officeDocument/2006/relationships/image" Target="../media/image41.png"/><Relationship Id="rId46" Type="http://schemas.openxmlformats.org/officeDocument/2006/relationships/image" Target="../media/image49.png"/><Relationship Id="rId2" Type="http://schemas.openxmlformats.org/officeDocument/2006/relationships/image" Target="../media/image5.png"/><Relationship Id="rId16" Type="http://schemas.openxmlformats.org/officeDocument/2006/relationships/image" Target="../media/image19.png"/><Relationship Id="rId20" Type="http://schemas.openxmlformats.org/officeDocument/2006/relationships/image" Target="../media/image23.png"/><Relationship Id="rId29" Type="http://schemas.openxmlformats.org/officeDocument/2006/relationships/image" Target="../media/image32.png"/><Relationship Id="rId41" Type="http://schemas.openxmlformats.org/officeDocument/2006/relationships/image" Target="../media/image44.png"/><Relationship Id="rId1" Type="http://schemas.openxmlformats.org/officeDocument/2006/relationships/image" Target="../media/image4.png"/><Relationship Id="rId6" Type="http://schemas.openxmlformats.org/officeDocument/2006/relationships/image" Target="../media/image9.png"/><Relationship Id="rId11" Type="http://schemas.openxmlformats.org/officeDocument/2006/relationships/image" Target="../media/image14.png"/><Relationship Id="rId24" Type="http://schemas.openxmlformats.org/officeDocument/2006/relationships/image" Target="../media/image27.png"/><Relationship Id="rId32" Type="http://schemas.openxmlformats.org/officeDocument/2006/relationships/image" Target="../media/image35.png"/><Relationship Id="rId37" Type="http://schemas.openxmlformats.org/officeDocument/2006/relationships/image" Target="../media/image40.png"/><Relationship Id="rId40" Type="http://schemas.openxmlformats.org/officeDocument/2006/relationships/image" Target="../media/image43.png"/><Relationship Id="rId45" Type="http://schemas.openxmlformats.org/officeDocument/2006/relationships/image" Target="../media/image48.png"/><Relationship Id="rId5" Type="http://schemas.openxmlformats.org/officeDocument/2006/relationships/image" Target="../media/image8.png"/><Relationship Id="rId15" Type="http://schemas.openxmlformats.org/officeDocument/2006/relationships/image" Target="../media/image18.png"/><Relationship Id="rId23" Type="http://schemas.openxmlformats.org/officeDocument/2006/relationships/image" Target="../media/image26.png"/><Relationship Id="rId28" Type="http://schemas.openxmlformats.org/officeDocument/2006/relationships/image" Target="../media/image31.png"/><Relationship Id="rId36" Type="http://schemas.openxmlformats.org/officeDocument/2006/relationships/image" Target="../media/image39.png"/><Relationship Id="rId10" Type="http://schemas.openxmlformats.org/officeDocument/2006/relationships/image" Target="../media/image13.png"/><Relationship Id="rId19" Type="http://schemas.openxmlformats.org/officeDocument/2006/relationships/image" Target="../media/image22.png"/><Relationship Id="rId31" Type="http://schemas.openxmlformats.org/officeDocument/2006/relationships/image" Target="../media/image34.png"/><Relationship Id="rId44" Type="http://schemas.openxmlformats.org/officeDocument/2006/relationships/image" Target="../media/image47.png"/><Relationship Id="rId4" Type="http://schemas.openxmlformats.org/officeDocument/2006/relationships/image" Target="../media/image7.png"/><Relationship Id="rId9" Type="http://schemas.openxmlformats.org/officeDocument/2006/relationships/image" Target="../media/image12.png"/><Relationship Id="rId14" Type="http://schemas.openxmlformats.org/officeDocument/2006/relationships/image" Target="../media/image17.png"/><Relationship Id="rId22" Type="http://schemas.openxmlformats.org/officeDocument/2006/relationships/image" Target="../media/image25.png"/><Relationship Id="rId27" Type="http://schemas.openxmlformats.org/officeDocument/2006/relationships/image" Target="../media/image30.png"/><Relationship Id="rId30" Type="http://schemas.openxmlformats.org/officeDocument/2006/relationships/image" Target="../media/image33.png"/><Relationship Id="rId35" Type="http://schemas.openxmlformats.org/officeDocument/2006/relationships/image" Target="../media/image38.png"/><Relationship Id="rId43" Type="http://schemas.openxmlformats.org/officeDocument/2006/relationships/image" Target="../media/image46.png"/><Relationship Id="rId48" Type="http://schemas.openxmlformats.org/officeDocument/2006/relationships/image" Target="../media/image51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76200</xdr:colOff>
      <xdr:row>73</xdr:row>
      <xdr:rowOff>114300</xdr:rowOff>
    </xdr:from>
    <xdr:to>
      <xdr:col>5</xdr:col>
      <xdr:colOff>2716968</xdr:colOff>
      <xdr:row>74</xdr:row>
      <xdr:rowOff>266700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19750" y="19135725"/>
          <a:ext cx="2640768" cy="533400"/>
        </a:xfrm>
        <a:prstGeom prst="rect">
          <a:avLst/>
        </a:prstGeom>
      </xdr:spPr>
    </xdr:pic>
    <xdr:clientData/>
  </xdr:twoCellAnchor>
  <xdr:twoCellAnchor editAs="oneCell">
    <xdr:from>
      <xdr:col>5</xdr:col>
      <xdr:colOff>19050</xdr:colOff>
      <xdr:row>67</xdr:row>
      <xdr:rowOff>38100</xdr:rowOff>
    </xdr:from>
    <xdr:to>
      <xdr:col>6</xdr:col>
      <xdr:colOff>544948</xdr:colOff>
      <xdr:row>67</xdr:row>
      <xdr:rowOff>514350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562600" y="16202025"/>
          <a:ext cx="3297673" cy="476250"/>
        </a:xfrm>
        <a:prstGeom prst="rect">
          <a:avLst/>
        </a:prstGeom>
      </xdr:spPr>
    </xdr:pic>
    <xdr:clientData/>
  </xdr:twoCellAnchor>
  <xdr:twoCellAnchor editAs="oneCell">
    <xdr:from>
      <xdr:col>5</xdr:col>
      <xdr:colOff>38100</xdr:colOff>
      <xdr:row>66</xdr:row>
      <xdr:rowOff>28576</xdr:rowOff>
    </xdr:from>
    <xdr:to>
      <xdr:col>5</xdr:col>
      <xdr:colOff>2562225</xdr:colOff>
      <xdr:row>66</xdr:row>
      <xdr:rowOff>468495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495925" y="13192126"/>
          <a:ext cx="2524125" cy="439919"/>
        </a:xfrm>
        <a:prstGeom prst="rect">
          <a:avLst/>
        </a:prstGeom>
      </xdr:spPr>
    </xdr:pic>
    <xdr:clientData/>
  </xdr:twoCellAnchor>
  <xdr:twoCellAnchor editAs="oneCell">
    <xdr:from>
      <xdr:col>5</xdr:col>
      <xdr:colOff>19050</xdr:colOff>
      <xdr:row>65</xdr:row>
      <xdr:rowOff>28575</xdr:rowOff>
    </xdr:from>
    <xdr:to>
      <xdr:col>5</xdr:col>
      <xdr:colOff>2314575</xdr:colOff>
      <xdr:row>65</xdr:row>
      <xdr:rowOff>314494</xdr:rowOff>
    </xdr:to>
    <xdr:pic>
      <xdr:nvPicPr>
        <xdr:cNvPr id="32" name="Picture 31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562600" y="15354300"/>
          <a:ext cx="2295525" cy="285919"/>
        </a:xfrm>
        <a:prstGeom prst="rect">
          <a:avLst/>
        </a:prstGeom>
      </xdr:spPr>
    </xdr:pic>
    <xdr:clientData/>
  </xdr:twoCellAnchor>
  <xdr:twoCellAnchor editAs="oneCell">
    <xdr:from>
      <xdr:col>5</xdr:col>
      <xdr:colOff>28576</xdr:colOff>
      <xdr:row>69</xdr:row>
      <xdr:rowOff>38101</xdr:rowOff>
    </xdr:from>
    <xdr:to>
      <xdr:col>5</xdr:col>
      <xdr:colOff>2676526</xdr:colOff>
      <xdr:row>69</xdr:row>
      <xdr:rowOff>464617</xdr:rowOff>
    </xdr:to>
    <xdr:pic>
      <xdr:nvPicPr>
        <xdr:cNvPr id="33" name="Picture 32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5572126" y="17221201"/>
          <a:ext cx="2647950" cy="426516"/>
        </a:xfrm>
        <a:prstGeom prst="rect">
          <a:avLst/>
        </a:prstGeom>
      </xdr:spPr>
    </xdr:pic>
    <xdr:clientData/>
  </xdr:twoCellAnchor>
  <xdr:twoCellAnchor editAs="oneCell">
    <xdr:from>
      <xdr:col>5</xdr:col>
      <xdr:colOff>19051</xdr:colOff>
      <xdr:row>71</xdr:row>
      <xdr:rowOff>38100</xdr:rowOff>
    </xdr:from>
    <xdr:to>
      <xdr:col>5</xdr:col>
      <xdr:colOff>2343151</xdr:colOff>
      <xdr:row>71</xdr:row>
      <xdr:rowOff>428476</xdr:rowOff>
    </xdr:to>
    <xdr:pic>
      <xdr:nvPicPr>
        <xdr:cNvPr id="35" name="Picture 34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5610226" y="15316200"/>
          <a:ext cx="2324100" cy="390376"/>
        </a:xfrm>
        <a:prstGeom prst="rect">
          <a:avLst/>
        </a:prstGeom>
      </xdr:spPr>
    </xdr:pic>
    <xdr:clientData/>
  </xdr:twoCellAnchor>
  <xdr:twoCellAnchor editAs="oneCell">
    <xdr:from>
      <xdr:col>5</xdr:col>
      <xdr:colOff>47626</xdr:colOff>
      <xdr:row>72</xdr:row>
      <xdr:rowOff>38101</xdr:rowOff>
    </xdr:from>
    <xdr:to>
      <xdr:col>5</xdr:col>
      <xdr:colOff>2619375</xdr:colOff>
      <xdr:row>72</xdr:row>
      <xdr:rowOff>483211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5638801" y="16316326"/>
          <a:ext cx="2571749" cy="445110"/>
        </a:xfrm>
        <a:prstGeom prst="rect">
          <a:avLst/>
        </a:prstGeom>
      </xdr:spPr>
    </xdr:pic>
    <xdr:clientData/>
  </xdr:twoCellAnchor>
  <xdr:twoCellAnchor editAs="oneCell">
    <xdr:from>
      <xdr:col>5</xdr:col>
      <xdr:colOff>38101</xdr:colOff>
      <xdr:row>70</xdr:row>
      <xdr:rowOff>28575</xdr:rowOff>
    </xdr:from>
    <xdr:to>
      <xdr:col>5</xdr:col>
      <xdr:colOff>2209801</xdr:colOff>
      <xdr:row>70</xdr:row>
      <xdr:rowOff>499110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5629276" y="15792450"/>
          <a:ext cx="2171700" cy="470535"/>
        </a:xfrm>
        <a:prstGeom prst="rect">
          <a:avLst/>
        </a:prstGeom>
      </xdr:spPr>
    </xdr:pic>
    <xdr:clientData/>
  </xdr:twoCellAnchor>
  <xdr:twoCellAnchor editAs="oneCell">
    <xdr:from>
      <xdr:col>5</xdr:col>
      <xdr:colOff>66675</xdr:colOff>
      <xdr:row>119</xdr:row>
      <xdr:rowOff>38100</xdr:rowOff>
    </xdr:from>
    <xdr:to>
      <xdr:col>5</xdr:col>
      <xdr:colOff>2650606</xdr:colOff>
      <xdr:row>119</xdr:row>
      <xdr:rowOff>438150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5457825" y="30803850"/>
          <a:ext cx="2583931" cy="400050"/>
        </a:xfrm>
        <a:prstGeom prst="rect">
          <a:avLst/>
        </a:prstGeom>
      </xdr:spPr>
    </xdr:pic>
    <xdr:clientData/>
  </xdr:twoCellAnchor>
  <xdr:twoCellAnchor editAs="oneCell">
    <xdr:from>
      <xdr:col>5</xdr:col>
      <xdr:colOff>47624</xdr:colOff>
      <xdr:row>332</xdr:row>
      <xdr:rowOff>38099</xdr:rowOff>
    </xdr:from>
    <xdr:to>
      <xdr:col>5</xdr:col>
      <xdr:colOff>2044697</xdr:colOff>
      <xdr:row>332</xdr:row>
      <xdr:rowOff>390524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5638799" y="33251774"/>
          <a:ext cx="1997073" cy="352425"/>
        </a:xfrm>
        <a:prstGeom prst="rect">
          <a:avLst/>
        </a:prstGeom>
      </xdr:spPr>
    </xdr:pic>
    <xdr:clientData/>
  </xdr:twoCellAnchor>
  <xdr:twoCellAnchor editAs="oneCell">
    <xdr:from>
      <xdr:col>5</xdr:col>
      <xdr:colOff>38100</xdr:colOff>
      <xdr:row>333</xdr:row>
      <xdr:rowOff>28575</xdr:rowOff>
    </xdr:from>
    <xdr:to>
      <xdr:col>5</xdr:col>
      <xdr:colOff>2247624</xdr:colOff>
      <xdr:row>333</xdr:row>
      <xdr:rowOff>390480</xdr:rowOff>
    </xdr:to>
    <xdr:pic>
      <xdr:nvPicPr>
        <xdr:cNvPr id="30" name="Picture 29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5629275" y="33651825"/>
          <a:ext cx="2209524" cy="361905"/>
        </a:xfrm>
        <a:prstGeom prst="rect">
          <a:avLst/>
        </a:prstGeom>
      </xdr:spPr>
    </xdr:pic>
    <xdr:clientData/>
  </xdr:twoCellAnchor>
  <xdr:twoCellAnchor editAs="oneCell">
    <xdr:from>
      <xdr:col>5</xdr:col>
      <xdr:colOff>38100</xdr:colOff>
      <xdr:row>252</xdr:row>
      <xdr:rowOff>19050</xdr:rowOff>
    </xdr:from>
    <xdr:to>
      <xdr:col>5</xdr:col>
      <xdr:colOff>1181100</xdr:colOff>
      <xdr:row>252</xdr:row>
      <xdr:rowOff>404904</xdr:rowOff>
    </xdr:to>
    <xdr:pic>
      <xdr:nvPicPr>
        <xdr:cNvPr id="42" name="Picture 41">
          <a:extLs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5629275" y="37538025"/>
          <a:ext cx="1143000" cy="385854"/>
        </a:xfrm>
        <a:prstGeom prst="rect">
          <a:avLst/>
        </a:prstGeom>
      </xdr:spPr>
    </xdr:pic>
    <xdr:clientData/>
  </xdr:twoCellAnchor>
  <xdr:twoCellAnchor editAs="oneCell">
    <xdr:from>
      <xdr:col>5</xdr:col>
      <xdr:colOff>28576</xdr:colOff>
      <xdr:row>253</xdr:row>
      <xdr:rowOff>38101</xdr:rowOff>
    </xdr:from>
    <xdr:to>
      <xdr:col>5</xdr:col>
      <xdr:colOff>2695576</xdr:colOff>
      <xdr:row>253</xdr:row>
      <xdr:rowOff>515569</xdr:rowOff>
    </xdr:to>
    <xdr:pic>
      <xdr:nvPicPr>
        <xdr:cNvPr id="45" name="Picture 44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5619751" y="37995226"/>
          <a:ext cx="2667000" cy="477468"/>
        </a:xfrm>
        <a:prstGeom prst="rect">
          <a:avLst/>
        </a:prstGeom>
      </xdr:spPr>
    </xdr:pic>
    <xdr:clientData/>
  </xdr:twoCellAnchor>
  <xdr:twoCellAnchor editAs="oneCell">
    <xdr:from>
      <xdr:col>5</xdr:col>
      <xdr:colOff>47625</xdr:colOff>
      <xdr:row>56</xdr:row>
      <xdr:rowOff>28575</xdr:rowOff>
    </xdr:from>
    <xdr:to>
      <xdr:col>5</xdr:col>
      <xdr:colOff>1637886</xdr:colOff>
      <xdr:row>56</xdr:row>
      <xdr:rowOff>409575</xdr:rowOff>
    </xdr:to>
    <xdr:pic>
      <xdr:nvPicPr>
        <xdr:cNvPr id="46" name="Picture 45">
          <a:extLst>
            <a:ext uri="{FF2B5EF4-FFF2-40B4-BE49-F238E27FC236}">
              <a16:creationId xmlns:a16="http://schemas.microsoft.com/office/drawing/2014/main" id="{00000000-0008-0000-0100-00002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5591175" y="13201650"/>
          <a:ext cx="1590261" cy="381000"/>
        </a:xfrm>
        <a:prstGeom prst="rect">
          <a:avLst/>
        </a:prstGeom>
      </xdr:spPr>
    </xdr:pic>
    <xdr:clientData/>
  </xdr:twoCellAnchor>
  <xdr:twoCellAnchor editAs="oneCell">
    <xdr:from>
      <xdr:col>5</xdr:col>
      <xdr:colOff>28576</xdr:colOff>
      <xdr:row>89</xdr:row>
      <xdr:rowOff>47626</xdr:rowOff>
    </xdr:from>
    <xdr:to>
      <xdr:col>5</xdr:col>
      <xdr:colOff>1839688</xdr:colOff>
      <xdr:row>89</xdr:row>
      <xdr:rowOff>466726</xdr:rowOff>
    </xdr:to>
    <xdr:pic>
      <xdr:nvPicPr>
        <xdr:cNvPr id="47" name="Picture 46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5724526" y="55083076"/>
          <a:ext cx="1811112" cy="419100"/>
        </a:xfrm>
        <a:prstGeom prst="rect">
          <a:avLst/>
        </a:prstGeom>
      </xdr:spPr>
    </xdr:pic>
    <xdr:clientData/>
  </xdr:twoCellAnchor>
  <xdr:twoCellAnchor editAs="oneCell">
    <xdr:from>
      <xdr:col>5</xdr:col>
      <xdr:colOff>38101</xdr:colOff>
      <xdr:row>90</xdr:row>
      <xdr:rowOff>19050</xdr:rowOff>
    </xdr:from>
    <xdr:to>
      <xdr:col>5</xdr:col>
      <xdr:colOff>1688902</xdr:colOff>
      <xdr:row>90</xdr:row>
      <xdr:rowOff>466725</xdr:rowOff>
    </xdr:to>
    <xdr:pic>
      <xdr:nvPicPr>
        <xdr:cNvPr id="49" name="Picture 48">
          <a:extLst>
            <a:ext uri="{FF2B5EF4-FFF2-40B4-BE49-F238E27FC236}">
              <a16:creationId xmlns:a16="http://schemas.microsoft.com/office/drawing/2014/main" id="{00000000-0008-0000-0100-00003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5629276" y="45415200"/>
          <a:ext cx="1650801" cy="447675"/>
        </a:xfrm>
        <a:prstGeom prst="rect">
          <a:avLst/>
        </a:prstGeom>
      </xdr:spPr>
    </xdr:pic>
    <xdr:clientData/>
  </xdr:twoCellAnchor>
  <xdr:twoCellAnchor editAs="oneCell">
    <xdr:from>
      <xdr:col>5</xdr:col>
      <xdr:colOff>38100</xdr:colOff>
      <xdr:row>92</xdr:row>
      <xdr:rowOff>28575</xdr:rowOff>
    </xdr:from>
    <xdr:to>
      <xdr:col>5</xdr:col>
      <xdr:colOff>2718077</xdr:colOff>
      <xdr:row>92</xdr:row>
      <xdr:rowOff>609600</xdr:rowOff>
    </xdr:to>
    <xdr:pic>
      <xdr:nvPicPr>
        <xdr:cNvPr id="52" name="Picture 51">
          <a:extLs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5629275" y="46310550"/>
          <a:ext cx="2679977" cy="581025"/>
        </a:xfrm>
        <a:prstGeom prst="rect">
          <a:avLst/>
        </a:prstGeom>
      </xdr:spPr>
    </xdr:pic>
    <xdr:clientData/>
  </xdr:twoCellAnchor>
  <xdr:twoCellAnchor editAs="oneCell">
    <xdr:from>
      <xdr:col>5</xdr:col>
      <xdr:colOff>28575</xdr:colOff>
      <xdr:row>93</xdr:row>
      <xdr:rowOff>38101</xdr:rowOff>
    </xdr:from>
    <xdr:to>
      <xdr:col>6</xdr:col>
      <xdr:colOff>2035164</xdr:colOff>
      <xdr:row>93</xdr:row>
      <xdr:rowOff>657225</xdr:rowOff>
    </xdr:to>
    <xdr:pic>
      <xdr:nvPicPr>
        <xdr:cNvPr id="53" name="Picture 52">
          <a:extLst>
            <a:ext uri="{FF2B5EF4-FFF2-40B4-BE49-F238E27FC236}">
              <a16:creationId xmlns:a16="http://schemas.microsoft.com/office/drawing/2014/main" id="{00000000-0008-0000-0100-00003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5619750" y="46948726"/>
          <a:ext cx="4778364" cy="619124"/>
        </a:xfrm>
        <a:prstGeom prst="rect">
          <a:avLst/>
        </a:prstGeom>
      </xdr:spPr>
    </xdr:pic>
    <xdr:clientData/>
  </xdr:twoCellAnchor>
  <xdr:twoCellAnchor editAs="oneCell">
    <xdr:from>
      <xdr:col>5</xdr:col>
      <xdr:colOff>38100</xdr:colOff>
      <xdr:row>95</xdr:row>
      <xdr:rowOff>19050</xdr:rowOff>
    </xdr:from>
    <xdr:to>
      <xdr:col>5</xdr:col>
      <xdr:colOff>780957</xdr:colOff>
      <xdr:row>95</xdr:row>
      <xdr:rowOff>314288</xdr:rowOff>
    </xdr:to>
    <xdr:pic>
      <xdr:nvPicPr>
        <xdr:cNvPr id="55" name="Picture 54">
          <a:extLst>
            <a:ext uri="{FF2B5EF4-FFF2-40B4-BE49-F238E27FC236}">
              <a16:creationId xmlns:a16="http://schemas.microsoft.com/office/drawing/2014/main" id="{00000000-0008-0000-0100-00003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5629275" y="48920400"/>
          <a:ext cx="742857" cy="295238"/>
        </a:xfrm>
        <a:prstGeom prst="rect">
          <a:avLst/>
        </a:prstGeom>
      </xdr:spPr>
    </xdr:pic>
    <xdr:clientData/>
  </xdr:twoCellAnchor>
  <xdr:twoCellAnchor editAs="oneCell">
    <xdr:from>
      <xdr:col>5</xdr:col>
      <xdr:colOff>28576</xdr:colOff>
      <xdr:row>104</xdr:row>
      <xdr:rowOff>38102</xdr:rowOff>
    </xdr:from>
    <xdr:to>
      <xdr:col>5</xdr:col>
      <xdr:colOff>1307059</xdr:colOff>
      <xdr:row>104</xdr:row>
      <xdr:rowOff>466726</xdr:rowOff>
    </xdr:to>
    <xdr:pic>
      <xdr:nvPicPr>
        <xdr:cNvPr id="62" name="Picture 61">
          <a:extLst>
            <a:ext uri="{FF2B5EF4-FFF2-40B4-BE49-F238E27FC236}">
              <a16:creationId xmlns:a16="http://schemas.microsoft.com/office/drawing/2014/main" id="{00000000-0008-0000-0100-00003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>
          <a:off x="5619751" y="49339502"/>
          <a:ext cx="1278483" cy="428624"/>
        </a:xfrm>
        <a:prstGeom prst="rect">
          <a:avLst/>
        </a:prstGeom>
      </xdr:spPr>
    </xdr:pic>
    <xdr:clientData/>
  </xdr:twoCellAnchor>
  <xdr:twoCellAnchor editAs="oneCell">
    <xdr:from>
      <xdr:col>5</xdr:col>
      <xdr:colOff>57150</xdr:colOff>
      <xdr:row>112</xdr:row>
      <xdr:rowOff>47625</xdr:rowOff>
    </xdr:from>
    <xdr:to>
      <xdr:col>5</xdr:col>
      <xdr:colOff>2454853</xdr:colOff>
      <xdr:row>112</xdr:row>
      <xdr:rowOff>723900</xdr:rowOff>
    </xdr:to>
    <xdr:pic>
      <xdr:nvPicPr>
        <xdr:cNvPr id="63" name="Picture 62">
          <a:extLst>
            <a:ext uri="{FF2B5EF4-FFF2-40B4-BE49-F238E27FC236}">
              <a16:creationId xmlns:a16="http://schemas.microsoft.com/office/drawing/2014/main" id="{00000000-0008-0000-0100-00003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>
          <a:off x="5648325" y="51187350"/>
          <a:ext cx="2397703" cy="676275"/>
        </a:xfrm>
        <a:prstGeom prst="rect">
          <a:avLst/>
        </a:prstGeom>
      </xdr:spPr>
    </xdr:pic>
    <xdr:clientData/>
  </xdr:twoCellAnchor>
  <xdr:twoCellAnchor editAs="oneCell">
    <xdr:from>
      <xdr:col>5</xdr:col>
      <xdr:colOff>28575</xdr:colOff>
      <xdr:row>360</xdr:row>
      <xdr:rowOff>38100</xdr:rowOff>
    </xdr:from>
    <xdr:to>
      <xdr:col>5</xdr:col>
      <xdr:colOff>2699729</xdr:colOff>
      <xdr:row>360</xdr:row>
      <xdr:rowOff>342900</xdr:rowOff>
    </xdr:to>
    <xdr:pic>
      <xdr:nvPicPr>
        <xdr:cNvPr id="88" name="Picture 87">
          <a:extLst>
            <a:ext uri="{FF2B5EF4-FFF2-40B4-BE49-F238E27FC236}">
              <a16:creationId xmlns:a16="http://schemas.microsoft.com/office/drawing/2014/main" id="{00000000-0008-0000-0100-00005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>
          <a:off x="5619750" y="63150750"/>
          <a:ext cx="2671154" cy="304800"/>
        </a:xfrm>
        <a:prstGeom prst="rect">
          <a:avLst/>
        </a:prstGeom>
      </xdr:spPr>
    </xdr:pic>
    <xdr:clientData/>
  </xdr:twoCellAnchor>
  <xdr:twoCellAnchor editAs="oneCell">
    <xdr:from>
      <xdr:col>5</xdr:col>
      <xdr:colOff>38101</xdr:colOff>
      <xdr:row>362</xdr:row>
      <xdr:rowOff>38100</xdr:rowOff>
    </xdr:from>
    <xdr:to>
      <xdr:col>5</xdr:col>
      <xdr:colOff>2700337</xdr:colOff>
      <xdr:row>362</xdr:row>
      <xdr:rowOff>361950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>
          <a:off x="5581651" y="89906475"/>
          <a:ext cx="2662236" cy="323850"/>
        </a:xfrm>
        <a:prstGeom prst="rect">
          <a:avLst/>
        </a:prstGeom>
      </xdr:spPr>
    </xdr:pic>
    <xdr:clientData/>
  </xdr:twoCellAnchor>
  <xdr:twoCellAnchor editAs="oneCell">
    <xdr:from>
      <xdr:col>5</xdr:col>
      <xdr:colOff>38100</xdr:colOff>
      <xdr:row>286</xdr:row>
      <xdr:rowOff>38100</xdr:rowOff>
    </xdr:from>
    <xdr:to>
      <xdr:col>5</xdr:col>
      <xdr:colOff>1657350</xdr:colOff>
      <xdr:row>286</xdr:row>
      <xdr:rowOff>438651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>
          <a:off x="5629275" y="72247125"/>
          <a:ext cx="1619250" cy="400551"/>
        </a:xfrm>
        <a:prstGeom prst="rect">
          <a:avLst/>
        </a:prstGeom>
      </xdr:spPr>
    </xdr:pic>
    <xdr:clientData/>
  </xdr:twoCellAnchor>
  <xdr:twoCellAnchor editAs="oneCell">
    <xdr:from>
      <xdr:col>5</xdr:col>
      <xdr:colOff>38100</xdr:colOff>
      <xdr:row>289</xdr:row>
      <xdr:rowOff>38100</xdr:rowOff>
    </xdr:from>
    <xdr:to>
      <xdr:col>5</xdr:col>
      <xdr:colOff>1662461</xdr:colOff>
      <xdr:row>289</xdr:row>
      <xdr:rowOff>400050</xdr:rowOff>
    </xdr:to>
    <xdr:pic>
      <xdr:nvPicPr>
        <xdr:cNvPr id="37" name="Picture 36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>
          <a:off x="5629275" y="73380600"/>
          <a:ext cx="1624361" cy="361950"/>
        </a:xfrm>
        <a:prstGeom prst="rect">
          <a:avLst/>
        </a:prstGeom>
      </xdr:spPr>
    </xdr:pic>
    <xdr:clientData/>
  </xdr:twoCellAnchor>
  <xdr:twoCellAnchor editAs="oneCell">
    <xdr:from>
      <xdr:col>5</xdr:col>
      <xdr:colOff>19051</xdr:colOff>
      <xdr:row>290</xdr:row>
      <xdr:rowOff>38100</xdr:rowOff>
    </xdr:from>
    <xdr:to>
      <xdr:col>5</xdr:col>
      <xdr:colOff>2712199</xdr:colOff>
      <xdr:row>290</xdr:row>
      <xdr:rowOff>371475</xdr:rowOff>
    </xdr:to>
    <xdr:pic>
      <xdr:nvPicPr>
        <xdr:cNvPr id="39" name="Picture 38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>
          <a:off x="5610226" y="71761350"/>
          <a:ext cx="2693148" cy="333375"/>
        </a:xfrm>
        <a:prstGeom prst="rect">
          <a:avLst/>
        </a:prstGeom>
      </xdr:spPr>
    </xdr:pic>
    <xdr:clientData/>
  </xdr:twoCellAnchor>
  <xdr:twoCellAnchor editAs="oneCell">
    <xdr:from>
      <xdr:col>5</xdr:col>
      <xdr:colOff>28575</xdr:colOff>
      <xdr:row>287</xdr:row>
      <xdr:rowOff>28575</xdr:rowOff>
    </xdr:from>
    <xdr:to>
      <xdr:col>5</xdr:col>
      <xdr:colOff>2362200</xdr:colOff>
      <xdr:row>287</xdr:row>
      <xdr:rowOff>431208</xdr:rowOff>
    </xdr:to>
    <xdr:pic>
      <xdr:nvPicPr>
        <xdr:cNvPr id="40" name="Picture 39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>
          <a:off x="5619750" y="72351900"/>
          <a:ext cx="2333625" cy="402633"/>
        </a:xfrm>
        <a:prstGeom prst="rect">
          <a:avLst/>
        </a:prstGeom>
      </xdr:spPr>
    </xdr:pic>
    <xdr:clientData/>
  </xdr:twoCellAnchor>
  <xdr:twoCellAnchor editAs="oneCell">
    <xdr:from>
      <xdr:col>5</xdr:col>
      <xdr:colOff>27454</xdr:colOff>
      <xdr:row>292</xdr:row>
      <xdr:rowOff>42582</xdr:rowOff>
    </xdr:from>
    <xdr:to>
      <xdr:col>6</xdr:col>
      <xdr:colOff>2566707</xdr:colOff>
      <xdr:row>292</xdr:row>
      <xdr:rowOff>496473</xdr:rowOff>
    </xdr:to>
    <xdr:pic>
      <xdr:nvPicPr>
        <xdr:cNvPr id="51" name="Picture 50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>
          <a:off x="5513854" y="73823232"/>
          <a:ext cx="5311028" cy="453891"/>
        </a:xfrm>
        <a:prstGeom prst="rect">
          <a:avLst/>
        </a:prstGeom>
      </xdr:spPr>
    </xdr:pic>
    <xdr:clientData/>
  </xdr:twoCellAnchor>
  <xdr:twoCellAnchor editAs="oneCell">
    <xdr:from>
      <xdr:col>6</xdr:col>
      <xdr:colOff>47625</xdr:colOff>
      <xdr:row>291</xdr:row>
      <xdr:rowOff>57150</xdr:rowOff>
    </xdr:from>
    <xdr:to>
      <xdr:col>6</xdr:col>
      <xdr:colOff>1523815</xdr:colOff>
      <xdr:row>291</xdr:row>
      <xdr:rowOff>247626</xdr:rowOff>
    </xdr:to>
    <xdr:pic>
      <xdr:nvPicPr>
        <xdr:cNvPr id="59" name="Picture 58">
          <a:extLst>
            <a:ext uri="{FF2B5EF4-FFF2-40B4-BE49-F238E27FC236}">
              <a16:creationId xmlns:a16="http://schemas.microsoft.com/office/drawing/2014/main" id="{00000000-0008-0000-0100-00003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xfrm>
          <a:off x="8267700" y="73647300"/>
          <a:ext cx="1476190" cy="190476"/>
        </a:xfrm>
        <a:prstGeom prst="rect">
          <a:avLst/>
        </a:prstGeom>
      </xdr:spPr>
    </xdr:pic>
    <xdr:clientData/>
  </xdr:twoCellAnchor>
  <xdr:twoCellAnchor editAs="oneCell">
    <xdr:from>
      <xdr:col>6</xdr:col>
      <xdr:colOff>38100</xdr:colOff>
      <xdr:row>293</xdr:row>
      <xdr:rowOff>38100</xdr:rowOff>
    </xdr:from>
    <xdr:to>
      <xdr:col>6</xdr:col>
      <xdr:colOff>704767</xdr:colOff>
      <xdr:row>293</xdr:row>
      <xdr:rowOff>266671</xdr:rowOff>
    </xdr:to>
    <xdr:pic>
      <xdr:nvPicPr>
        <xdr:cNvPr id="60" name="Picture 59">
          <a:extLst>
            <a:ext uri="{FF2B5EF4-FFF2-40B4-BE49-F238E27FC236}">
              <a16:creationId xmlns:a16="http://schemas.microsoft.com/office/drawing/2014/main" id="{00000000-0008-0000-0100-00003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>
          <a:off x="8258175" y="74466450"/>
          <a:ext cx="666667" cy="228571"/>
        </a:xfrm>
        <a:prstGeom prst="rect">
          <a:avLst/>
        </a:prstGeom>
      </xdr:spPr>
    </xdr:pic>
    <xdr:clientData/>
  </xdr:twoCellAnchor>
  <xdr:twoCellAnchor editAs="oneCell">
    <xdr:from>
      <xdr:col>5</xdr:col>
      <xdr:colOff>19051</xdr:colOff>
      <xdr:row>300</xdr:row>
      <xdr:rowOff>19051</xdr:rowOff>
    </xdr:from>
    <xdr:to>
      <xdr:col>5</xdr:col>
      <xdr:colOff>1478139</xdr:colOff>
      <xdr:row>300</xdr:row>
      <xdr:rowOff>466725</xdr:rowOff>
    </xdr:to>
    <xdr:pic>
      <xdr:nvPicPr>
        <xdr:cNvPr id="78" name="Picture 77">
          <a:extLst>
            <a:ext uri="{FF2B5EF4-FFF2-40B4-BE49-F238E27FC236}">
              <a16:creationId xmlns:a16="http://schemas.microsoft.com/office/drawing/2014/main" id="{00000000-0008-0000-0100-00004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xfrm>
          <a:off x="5695951" y="75685651"/>
          <a:ext cx="1459088" cy="447674"/>
        </a:xfrm>
        <a:prstGeom prst="rect">
          <a:avLst/>
        </a:prstGeom>
      </xdr:spPr>
    </xdr:pic>
    <xdr:clientData/>
  </xdr:twoCellAnchor>
  <xdr:twoCellAnchor editAs="oneCell">
    <xdr:from>
      <xdr:col>5</xdr:col>
      <xdr:colOff>28575</xdr:colOff>
      <xdr:row>298</xdr:row>
      <xdr:rowOff>47625</xdr:rowOff>
    </xdr:from>
    <xdr:to>
      <xdr:col>5</xdr:col>
      <xdr:colOff>1553865</xdr:colOff>
      <xdr:row>299</xdr:row>
      <xdr:rowOff>1</xdr:rowOff>
    </xdr:to>
    <xdr:pic>
      <xdr:nvPicPr>
        <xdr:cNvPr id="79" name="Picture 78">
          <a:extLst>
            <a:ext uri="{FF2B5EF4-FFF2-40B4-BE49-F238E27FC236}">
              <a16:creationId xmlns:a16="http://schemas.microsoft.com/office/drawing/2014/main" id="{00000000-0008-0000-0100-00004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>
          <a:off x="5705475" y="75676125"/>
          <a:ext cx="1525290" cy="476251"/>
        </a:xfrm>
        <a:prstGeom prst="rect">
          <a:avLst/>
        </a:prstGeom>
      </xdr:spPr>
    </xdr:pic>
    <xdr:clientData/>
  </xdr:twoCellAnchor>
  <xdr:twoCellAnchor editAs="oneCell">
    <xdr:from>
      <xdr:col>5</xdr:col>
      <xdr:colOff>38100</xdr:colOff>
      <xdr:row>296</xdr:row>
      <xdr:rowOff>38101</xdr:rowOff>
    </xdr:from>
    <xdr:to>
      <xdr:col>5</xdr:col>
      <xdr:colOff>2562225</xdr:colOff>
      <xdr:row>296</xdr:row>
      <xdr:rowOff>278919</xdr:rowOff>
    </xdr:to>
    <xdr:pic>
      <xdr:nvPicPr>
        <xdr:cNvPr id="70" name="Picture 69">
          <a:extLst>
            <a:ext uri="{FF2B5EF4-FFF2-40B4-BE49-F238E27FC236}">
              <a16:creationId xmlns:a16="http://schemas.microsoft.com/office/drawing/2014/main" id="{00000000-0008-0000-0100-00004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3"/>
        <a:stretch>
          <a:fillRect/>
        </a:stretch>
      </xdr:blipFill>
      <xdr:spPr>
        <a:xfrm>
          <a:off x="5715000" y="75161776"/>
          <a:ext cx="2524125" cy="240818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386</xdr:row>
          <xdr:rowOff>85725</xdr:rowOff>
        </xdr:from>
        <xdr:to>
          <xdr:col>1</xdr:col>
          <xdr:colOff>981075</xdr:colOff>
          <xdr:row>390</xdr:row>
          <xdr:rowOff>9525</xdr:rowOff>
        </xdr:to>
        <xdr:sp macro="" textlink="">
          <xdr:nvSpPr>
            <xdr:cNvPr id="1029" name="Object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1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1114425</xdr:colOff>
          <xdr:row>386</xdr:row>
          <xdr:rowOff>85725</xdr:rowOff>
        </xdr:from>
        <xdr:to>
          <xdr:col>1</xdr:col>
          <xdr:colOff>2028825</xdr:colOff>
          <xdr:row>390</xdr:row>
          <xdr:rowOff>9525</xdr:rowOff>
        </xdr:to>
        <xdr:sp macro="" textlink="">
          <xdr:nvSpPr>
            <xdr:cNvPr id="1030" name="Object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1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2133600</xdr:colOff>
          <xdr:row>386</xdr:row>
          <xdr:rowOff>76200</xdr:rowOff>
        </xdr:from>
        <xdr:to>
          <xdr:col>3</xdr:col>
          <xdr:colOff>790575</xdr:colOff>
          <xdr:row>390</xdr:row>
          <xdr:rowOff>28575</xdr:rowOff>
        </xdr:to>
        <xdr:sp macro="" textlink="">
          <xdr:nvSpPr>
            <xdr:cNvPr id="1031" name="Object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1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5</xdr:col>
      <xdr:colOff>66675</xdr:colOff>
      <xdr:row>113</xdr:row>
      <xdr:rowOff>47625</xdr:rowOff>
    </xdr:from>
    <xdr:to>
      <xdr:col>6</xdr:col>
      <xdr:colOff>533400</xdr:colOff>
      <xdr:row>113</xdr:row>
      <xdr:rowOff>713071</xdr:rowOff>
    </xdr:to>
    <xdr:pic>
      <xdr:nvPicPr>
        <xdr:cNvPr id="54" name="Picture 53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/>
        <a:stretch>
          <a:fillRect/>
        </a:stretch>
      </xdr:blipFill>
      <xdr:spPr>
        <a:xfrm>
          <a:off x="5457825" y="29117925"/>
          <a:ext cx="3238500" cy="665446"/>
        </a:xfrm>
        <a:prstGeom prst="rect">
          <a:avLst/>
        </a:prstGeom>
      </xdr:spPr>
    </xdr:pic>
    <xdr:clientData/>
  </xdr:twoCellAnchor>
  <xdr:twoCellAnchor editAs="oneCell">
    <xdr:from>
      <xdr:col>5</xdr:col>
      <xdr:colOff>161925</xdr:colOff>
      <xdr:row>127</xdr:row>
      <xdr:rowOff>47625</xdr:rowOff>
    </xdr:from>
    <xdr:to>
      <xdr:col>5</xdr:col>
      <xdr:colOff>2333626</xdr:colOff>
      <xdr:row>129</xdr:row>
      <xdr:rowOff>157546</xdr:rowOff>
    </xdr:to>
    <xdr:pic>
      <xdr:nvPicPr>
        <xdr:cNvPr id="57" name="Picture 56">
          <a:extLst>
            <a:ext uri="{FF2B5EF4-FFF2-40B4-BE49-F238E27FC236}">
              <a16:creationId xmlns:a16="http://schemas.microsoft.com/office/drawing/2014/main" id="{00000000-0008-0000-0100-00003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xfrm>
          <a:off x="5553075" y="33985200"/>
          <a:ext cx="2171701" cy="490921"/>
        </a:xfrm>
        <a:prstGeom prst="rect">
          <a:avLst/>
        </a:prstGeom>
      </xdr:spPr>
    </xdr:pic>
    <xdr:clientData/>
  </xdr:twoCellAnchor>
  <xdr:twoCellAnchor editAs="oneCell">
    <xdr:from>
      <xdr:col>5</xdr:col>
      <xdr:colOff>57150</xdr:colOff>
      <xdr:row>122</xdr:row>
      <xdr:rowOff>19050</xdr:rowOff>
    </xdr:from>
    <xdr:to>
      <xdr:col>5</xdr:col>
      <xdr:colOff>1019055</xdr:colOff>
      <xdr:row>123</xdr:row>
      <xdr:rowOff>171407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xfrm>
          <a:off x="5600700" y="32927925"/>
          <a:ext cx="961905" cy="342857"/>
        </a:xfrm>
        <a:prstGeom prst="rect">
          <a:avLst/>
        </a:prstGeom>
      </xdr:spPr>
    </xdr:pic>
    <xdr:clientData/>
  </xdr:twoCellAnchor>
  <xdr:twoCellAnchor editAs="oneCell">
    <xdr:from>
      <xdr:col>5</xdr:col>
      <xdr:colOff>57150</xdr:colOff>
      <xdr:row>166</xdr:row>
      <xdr:rowOff>38101</xdr:rowOff>
    </xdr:from>
    <xdr:to>
      <xdr:col>5</xdr:col>
      <xdr:colOff>1666875</xdr:colOff>
      <xdr:row>166</xdr:row>
      <xdr:rowOff>365353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7"/>
        <a:stretch>
          <a:fillRect/>
        </a:stretch>
      </xdr:blipFill>
      <xdr:spPr>
        <a:xfrm>
          <a:off x="5448300" y="43310176"/>
          <a:ext cx="1609725" cy="327252"/>
        </a:xfrm>
        <a:prstGeom prst="rect">
          <a:avLst/>
        </a:prstGeom>
      </xdr:spPr>
    </xdr:pic>
    <xdr:clientData/>
  </xdr:twoCellAnchor>
  <xdr:twoCellAnchor editAs="oneCell">
    <xdr:from>
      <xdr:col>5</xdr:col>
      <xdr:colOff>47625</xdr:colOff>
      <xdr:row>170</xdr:row>
      <xdr:rowOff>57150</xdr:rowOff>
    </xdr:from>
    <xdr:to>
      <xdr:col>5</xdr:col>
      <xdr:colOff>1895244</xdr:colOff>
      <xdr:row>170</xdr:row>
      <xdr:rowOff>390483</xdr:rowOff>
    </xdr:to>
    <xdr:pic>
      <xdr:nvPicPr>
        <xdr:cNvPr id="64" name="Picture 63">
          <a:extLst>
            <a:ext uri="{FF2B5EF4-FFF2-40B4-BE49-F238E27FC236}">
              <a16:creationId xmlns:a16="http://schemas.microsoft.com/office/drawing/2014/main" id="{00000000-0008-0000-0100-00004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8"/>
        <a:stretch>
          <a:fillRect/>
        </a:stretch>
      </xdr:blipFill>
      <xdr:spPr>
        <a:xfrm>
          <a:off x="5438775" y="44291250"/>
          <a:ext cx="1847619" cy="333333"/>
        </a:xfrm>
        <a:prstGeom prst="rect">
          <a:avLst/>
        </a:prstGeom>
      </xdr:spPr>
    </xdr:pic>
    <xdr:clientData/>
  </xdr:twoCellAnchor>
  <xdr:twoCellAnchor editAs="oneCell">
    <xdr:from>
      <xdr:col>5</xdr:col>
      <xdr:colOff>38100</xdr:colOff>
      <xdr:row>183</xdr:row>
      <xdr:rowOff>38100</xdr:rowOff>
    </xdr:from>
    <xdr:to>
      <xdr:col>5</xdr:col>
      <xdr:colOff>1138669</xdr:colOff>
      <xdr:row>183</xdr:row>
      <xdr:rowOff>333375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9"/>
        <a:stretch>
          <a:fillRect/>
        </a:stretch>
      </xdr:blipFill>
      <xdr:spPr>
        <a:xfrm>
          <a:off x="5429250" y="47710725"/>
          <a:ext cx="1100569" cy="295275"/>
        </a:xfrm>
        <a:prstGeom prst="rect">
          <a:avLst/>
        </a:prstGeom>
      </xdr:spPr>
    </xdr:pic>
    <xdr:clientData/>
  </xdr:twoCellAnchor>
  <xdr:twoCellAnchor editAs="oneCell">
    <xdr:from>
      <xdr:col>5</xdr:col>
      <xdr:colOff>38100</xdr:colOff>
      <xdr:row>163</xdr:row>
      <xdr:rowOff>28575</xdr:rowOff>
    </xdr:from>
    <xdr:to>
      <xdr:col>5</xdr:col>
      <xdr:colOff>1138669</xdr:colOff>
      <xdr:row>163</xdr:row>
      <xdr:rowOff>323850</xdr:rowOff>
    </xdr:to>
    <xdr:pic>
      <xdr:nvPicPr>
        <xdr:cNvPr id="65" name="Picture 64">
          <a:extLst>
            <a:ext uri="{FF2B5EF4-FFF2-40B4-BE49-F238E27FC236}">
              <a16:creationId xmlns:a16="http://schemas.microsoft.com/office/drawing/2014/main" id="{00000000-0008-0000-0100-00004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9"/>
        <a:stretch>
          <a:fillRect/>
        </a:stretch>
      </xdr:blipFill>
      <xdr:spPr>
        <a:xfrm>
          <a:off x="5429250" y="42576750"/>
          <a:ext cx="1100569" cy="295275"/>
        </a:xfrm>
        <a:prstGeom prst="rect">
          <a:avLst/>
        </a:prstGeom>
      </xdr:spPr>
    </xdr:pic>
    <xdr:clientData/>
  </xdr:twoCellAnchor>
  <xdr:twoCellAnchor editAs="oneCell">
    <xdr:from>
      <xdr:col>5</xdr:col>
      <xdr:colOff>47625</xdr:colOff>
      <xdr:row>186</xdr:row>
      <xdr:rowOff>19050</xdr:rowOff>
    </xdr:from>
    <xdr:to>
      <xdr:col>5</xdr:col>
      <xdr:colOff>1657350</xdr:colOff>
      <xdr:row>186</xdr:row>
      <xdr:rowOff>346302</xdr:rowOff>
    </xdr:to>
    <xdr:pic>
      <xdr:nvPicPr>
        <xdr:cNvPr id="75" name="Picture 74">
          <a:extLst>
            <a:ext uri="{FF2B5EF4-FFF2-40B4-BE49-F238E27FC236}">
              <a16:creationId xmlns:a16="http://schemas.microsoft.com/office/drawing/2014/main" id="{00000000-0008-0000-0100-00004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7"/>
        <a:stretch>
          <a:fillRect/>
        </a:stretch>
      </xdr:blipFill>
      <xdr:spPr>
        <a:xfrm>
          <a:off x="5438775" y="48444150"/>
          <a:ext cx="1609725" cy="327252"/>
        </a:xfrm>
        <a:prstGeom prst="rect">
          <a:avLst/>
        </a:prstGeom>
      </xdr:spPr>
    </xdr:pic>
    <xdr:clientData/>
  </xdr:twoCellAnchor>
  <xdr:oneCellAnchor>
    <xdr:from>
      <xdr:col>5</xdr:col>
      <xdr:colOff>47625</xdr:colOff>
      <xdr:row>217</xdr:row>
      <xdr:rowOff>19050</xdr:rowOff>
    </xdr:from>
    <xdr:ext cx="1609725" cy="327252"/>
    <xdr:pic>
      <xdr:nvPicPr>
        <xdr:cNvPr id="84" name="Picture 83">
          <a:extLst>
            <a:ext uri="{FF2B5EF4-FFF2-40B4-BE49-F238E27FC236}">
              <a16:creationId xmlns:a16="http://schemas.microsoft.com/office/drawing/2014/main" id="{00000000-0008-0000-0100-00005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7"/>
        <a:stretch>
          <a:fillRect/>
        </a:stretch>
      </xdr:blipFill>
      <xdr:spPr>
        <a:xfrm>
          <a:off x="5438775" y="48444150"/>
          <a:ext cx="1609725" cy="327252"/>
        </a:xfrm>
        <a:prstGeom prst="rect">
          <a:avLst/>
        </a:prstGeom>
      </xdr:spPr>
    </xdr:pic>
    <xdr:clientData/>
  </xdr:oneCellAnchor>
  <xdr:twoCellAnchor editAs="oneCell">
    <xdr:from>
      <xdr:col>5</xdr:col>
      <xdr:colOff>38100</xdr:colOff>
      <xdr:row>254</xdr:row>
      <xdr:rowOff>47625</xdr:rowOff>
    </xdr:from>
    <xdr:to>
      <xdr:col>5</xdr:col>
      <xdr:colOff>2762250</xdr:colOff>
      <xdr:row>254</xdr:row>
      <xdr:rowOff>486061</xdr:rowOff>
    </xdr:to>
    <xdr:pic>
      <xdr:nvPicPr>
        <xdr:cNvPr id="86" name="Picture 85">
          <a:extLst>
            <a:ext uri="{FF2B5EF4-FFF2-40B4-BE49-F238E27FC236}">
              <a16:creationId xmlns:a16="http://schemas.microsoft.com/office/drawing/2014/main" id="{00000000-0008-0000-0100-00005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0"/>
        <a:stretch>
          <a:fillRect/>
        </a:stretch>
      </xdr:blipFill>
      <xdr:spPr>
        <a:xfrm>
          <a:off x="5429250" y="61283850"/>
          <a:ext cx="2724150" cy="438436"/>
        </a:xfrm>
        <a:prstGeom prst="rect">
          <a:avLst/>
        </a:prstGeom>
      </xdr:spPr>
    </xdr:pic>
    <xdr:clientData/>
  </xdr:twoCellAnchor>
  <xdr:twoCellAnchor editAs="oneCell">
    <xdr:from>
      <xdr:col>5</xdr:col>
      <xdr:colOff>47625</xdr:colOff>
      <xdr:row>52</xdr:row>
      <xdr:rowOff>28576</xdr:rowOff>
    </xdr:from>
    <xdr:to>
      <xdr:col>5</xdr:col>
      <xdr:colOff>1219200</xdr:colOff>
      <xdr:row>52</xdr:row>
      <xdr:rowOff>405727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1"/>
        <a:stretch>
          <a:fillRect/>
        </a:stretch>
      </xdr:blipFill>
      <xdr:spPr>
        <a:xfrm>
          <a:off x="5591175" y="11315701"/>
          <a:ext cx="1171575" cy="377151"/>
        </a:xfrm>
        <a:prstGeom prst="rect">
          <a:avLst/>
        </a:prstGeom>
      </xdr:spPr>
    </xdr:pic>
    <xdr:clientData/>
  </xdr:twoCellAnchor>
  <xdr:twoCellAnchor editAs="oneCell">
    <xdr:from>
      <xdr:col>5</xdr:col>
      <xdr:colOff>47626</xdr:colOff>
      <xdr:row>53</xdr:row>
      <xdr:rowOff>38101</xdr:rowOff>
    </xdr:from>
    <xdr:to>
      <xdr:col>5</xdr:col>
      <xdr:colOff>1647826</xdr:colOff>
      <xdr:row>53</xdr:row>
      <xdr:rowOff>421127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2"/>
        <a:stretch>
          <a:fillRect/>
        </a:stretch>
      </xdr:blipFill>
      <xdr:spPr>
        <a:xfrm>
          <a:off x="5591176" y="11763376"/>
          <a:ext cx="1600200" cy="383026"/>
        </a:xfrm>
        <a:prstGeom prst="rect">
          <a:avLst/>
        </a:prstGeom>
      </xdr:spPr>
    </xdr:pic>
    <xdr:clientData/>
  </xdr:twoCellAnchor>
  <xdr:twoCellAnchor editAs="oneCell">
    <xdr:from>
      <xdr:col>5</xdr:col>
      <xdr:colOff>47626</xdr:colOff>
      <xdr:row>54</xdr:row>
      <xdr:rowOff>28576</xdr:rowOff>
    </xdr:from>
    <xdr:to>
      <xdr:col>5</xdr:col>
      <xdr:colOff>1800226</xdr:colOff>
      <xdr:row>54</xdr:row>
      <xdr:rowOff>421399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3"/>
        <a:stretch>
          <a:fillRect/>
        </a:stretch>
      </xdr:blipFill>
      <xdr:spPr>
        <a:xfrm>
          <a:off x="5591176" y="12192001"/>
          <a:ext cx="1752600" cy="392823"/>
        </a:xfrm>
        <a:prstGeom prst="rect">
          <a:avLst/>
        </a:prstGeom>
      </xdr:spPr>
    </xdr:pic>
    <xdr:clientData/>
  </xdr:twoCellAnchor>
  <xdr:twoCellAnchor editAs="oneCell">
    <xdr:from>
      <xdr:col>5</xdr:col>
      <xdr:colOff>38101</xdr:colOff>
      <xdr:row>212</xdr:row>
      <xdr:rowOff>28575</xdr:rowOff>
    </xdr:from>
    <xdr:to>
      <xdr:col>5</xdr:col>
      <xdr:colOff>2695575</xdr:colOff>
      <xdr:row>212</xdr:row>
      <xdr:rowOff>292294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4"/>
        <a:stretch>
          <a:fillRect/>
        </a:stretch>
      </xdr:blipFill>
      <xdr:spPr>
        <a:xfrm>
          <a:off x="5429251" y="55340250"/>
          <a:ext cx="2657474" cy="263719"/>
        </a:xfrm>
        <a:prstGeom prst="rect">
          <a:avLst/>
        </a:prstGeom>
      </xdr:spPr>
    </xdr:pic>
    <xdr:clientData/>
  </xdr:twoCellAnchor>
  <xdr:twoCellAnchor editAs="oneCell">
    <xdr:from>
      <xdr:col>5</xdr:col>
      <xdr:colOff>38100</xdr:colOff>
      <xdr:row>213</xdr:row>
      <xdr:rowOff>47626</xdr:rowOff>
    </xdr:from>
    <xdr:to>
      <xdr:col>5</xdr:col>
      <xdr:colOff>1571625</xdr:colOff>
      <xdr:row>213</xdr:row>
      <xdr:rowOff>426794</xdr:rowOff>
    </xdr:to>
    <xdr:pic>
      <xdr:nvPicPr>
        <xdr:cNvPr id="28" name="Picture 27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5"/>
        <a:stretch>
          <a:fillRect/>
        </a:stretch>
      </xdr:blipFill>
      <xdr:spPr>
        <a:xfrm>
          <a:off x="5429250" y="55892701"/>
          <a:ext cx="1533525" cy="379168"/>
        </a:xfrm>
        <a:prstGeom prst="rect">
          <a:avLst/>
        </a:prstGeom>
      </xdr:spPr>
    </xdr:pic>
    <xdr:clientData/>
  </xdr:twoCellAnchor>
  <xdr:oneCellAnchor>
    <xdr:from>
      <xdr:col>5</xdr:col>
      <xdr:colOff>47625</xdr:colOff>
      <xdr:row>247</xdr:row>
      <xdr:rowOff>19050</xdr:rowOff>
    </xdr:from>
    <xdr:ext cx="1609725" cy="327252"/>
    <xdr:pic>
      <xdr:nvPicPr>
        <xdr:cNvPr id="96" name="Picture 95">
          <a:extLst>
            <a:ext uri="{FF2B5EF4-FFF2-40B4-BE49-F238E27FC236}">
              <a16:creationId xmlns:a16="http://schemas.microsoft.com/office/drawing/2014/main" id="{00000000-0008-0000-0100-00006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7"/>
        <a:stretch>
          <a:fillRect/>
        </a:stretch>
      </xdr:blipFill>
      <xdr:spPr>
        <a:xfrm>
          <a:off x="5438775" y="56207025"/>
          <a:ext cx="1609725" cy="327252"/>
        </a:xfrm>
        <a:prstGeom prst="rect">
          <a:avLst/>
        </a:prstGeom>
      </xdr:spPr>
    </xdr:pic>
    <xdr:clientData/>
  </xdr:oneCellAnchor>
  <xdr:oneCellAnchor>
    <xdr:from>
      <xdr:col>5</xdr:col>
      <xdr:colOff>38101</xdr:colOff>
      <xdr:row>242</xdr:row>
      <xdr:rowOff>28575</xdr:rowOff>
    </xdr:from>
    <xdr:ext cx="2657474" cy="263719"/>
    <xdr:pic>
      <xdr:nvPicPr>
        <xdr:cNvPr id="97" name="Picture 96">
          <a:extLst>
            <a:ext uri="{FF2B5EF4-FFF2-40B4-BE49-F238E27FC236}">
              <a16:creationId xmlns:a16="http://schemas.microsoft.com/office/drawing/2014/main" id="{00000000-0008-0000-0100-00006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4"/>
        <a:stretch>
          <a:fillRect/>
        </a:stretch>
      </xdr:blipFill>
      <xdr:spPr>
        <a:xfrm>
          <a:off x="5429251" y="54683025"/>
          <a:ext cx="2657474" cy="263719"/>
        </a:xfrm>
        <a:prstGeom prst="rect">
          <a:avLst/>
        </a:prstGeom>
      </xdr:spPr>
    </xdr:pic>
    <xdr:clientData/>
  </xdr:oneCellAnchor>
  <xdr:oneCellAnchor>
    <xdr:from>
      <xdr:col>5</xdr:col>
      <xdr:colOff>38100</xdr:colOff>
      <xdr:row>243</xdr:row>
      <xdr:rowOff>47626</xdr:rowOff>
    </xdr:from>
    <xdr:ext cx="1533525" cy="379168"/>
    <xdr:pic>
      <xdr:nvPicPr>
        <xdr:cNvPr id="99" name="Picture 98">
          <a:extLst>
            <a:ext uri="{FF2B5EF4-FFF2-40B4-BE49-F238E27FC236}">
              <a16:creationId xmlns:a16="http://schemas.microsoft.com/office/drawing/2014/main" id="{00000000-0008-0000-0100-00006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5"/>
        <a:stretch>
          <a:fillRect/>
        </a:stretch>
      </xdr:blipFill>
      <xdr:spPr>
        <a:xfrm>
          <a:off x="5429250" y="55025926"/>
          <a:ext cx="1533525" cy="379168"/>
        </a:xfrm>
        <a:prstGeom prst="rect">
          <a:avLst/>
        </a:prstGeom>
      </xdr:spPr>
    </xdr:pic>
    <xdr:clientData/>
  </xdr:oneCellAnchor>
  <xdr:twoCellAnchor editAs="oneCell">
    <xdr:from>
      <xdr:col>5</xdr:col>
      <xdr:colOff>57150</xdr:colOff>
      <xdr:row>150</xdr:row>
      <xdr:rowOff>38100</xdr:rowOff>
    </xdr:from>
    <xdr:to>
      <xdr:col>5</xdr:col>
      <xdr:colOff>1114425</xdr:colOff>
      <xdr:row>150</xdr:row>
      <xdr:rowOff>364093</xdr:rowOff>
    </xdr:to>
    <xdr:pic>
      <xdr:nvPicPr>
        <xdr:cNvPr id="41" name="Picture 40">
          <a:extLst>
            <a:ext uri="{FF2B5EF4-FFF2-40B4-BE49-F238E27FC236}">
              <a16:creationId xmlns:a16="http://schemas.microsoft.com/office/drawing/2014/main" id="{00000000-0008-0000-0100-00002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6"/>
        <a:stretch>
          <a:fillRect/>
        </a:stretch>
      </xdr:blipFill>
      <xdr:spPr>
        <a:xfrm>
          <a:off x="5448300" y="38976300"/>
          <a:ext cx="1057275" cy="325993"/>
        </a:xfrm>
        <a:prstGeom prst="rect">
          <a:avLst/>
        </a:prstGeom>
      </xdr:spPr>
    </xdr:pic>
    <xdr:clientData/>
  </xdr:twoCellAnchor>
  <xdr:twoCellAnchor editAs="oneCell">
    <xdr:from>
      <xdr:col>5</xdr:col>
      <xdr:colOff>19050</xdr:colOff>
      <xdr:row>241</xdr:row>
      <xdr:rowOff>28576</xdr:rowOff>
    </xdr:from>
    <xdr:to>
      <xdr:col>5</xdr:col>
      <xdr:colOff>1857375</xdr:colOff>
      <xdr:row>241</xdr:row>
      <xdr:rowOff>313272</xdr:rowOff>
    </xdr:to>
    <xdr:pic>
      <xdr:nvPicPr>
        <xdr:cNvPr id="43" name="Picture 42">
          <a:extLs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7"/>
        <a:stretch>
          <a:fillRect/>
        </a:stretch>
      </xdr:blipFill>
      <xdr:spPr>
        <a:xfrm>
          <a:off x="5410200" y="61617226"/>
          <a:ext cx="1838325" cy="284696"/>
        </a:xfrm>
        <a:prstGeom prst="rect">
          <a:avLst/>
        </a:prstGeom>
      </xdr:spPr>
    </xdr:pic>
    <xdr:clientData/>
  </xdr:twoCellAnchor>
  <xdr:twoCellAnchor editAs="oneCell">
    <xdr:from>
      <xdr:col>5</xdr:col>
      <xdr:colOff>28575</xdr:colOff>
      <xdr:row>211</xdr:row>
      <xdr:rowOff>47625</xdr:rowOff>
    </xdr:from>
    <xdr:to>
      <xdr:col>5</xdr:col>
      <xdr:colOff>1866900</xdr:colOff>
      <xdr:row>211</xdr:row>
      <xdr:rowOff>332321</xdr:rowOff>
    </xdr:to>
    <xdr:pic>
      <xdr:nvPicPr>
        <xdr:cNvPr id="101" name="Picture 100">
          <a:extLst>
            <a:ext uri="{FF2B5EF4-FFF2-40B4-BE49-F238E27FC236}">
              <a16:creationId xmlns:a16="http://schemas.microsoft.com/office/drawing/2014/main" id="{00000000-0008-0000-0100-00006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7"/>
        <a:stretch>
          <a:fillRect/>
        </a:stretch>
      </xdr:blipFill>
      <xdr:spPr>
        <a:xfrm>
          <a:off x="5419725" y="54340125"/>
          <a:ext cx="1838325" cy="284696"/>
        </a:xfrm>
        <a:prstGeom prst="rect">
          <a:avLst/>
        </a:prstGeom>
      </xdr:spPr>
    </xdr:pic>
    <xdr:clientData/>
  </xdr:twoCellAnchor>
  <xdr:twoCellAnchor editAs="oneCell">
    <xdr:from>
      <xdr:col>1</xdr:col>
      <xdr:colOff>76200</xdr:colOff>
      <xdr:row>6</xdr:row>
      <xdr:rowOff>66675</xdr:rowOff>
    </xdr:from>
    <xdr:to>
      <xdr:col>6</xdr:col>
      <xdr:colOff>3315163</xdr:colOff>
      <xdr:row>29</xdr:row>
      <xdr:rowOff>180407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8"/>
        <a:stretch>
          <a:fillRect/>
        </a:stretch>
      </xdr:blipFill>
      <xdr:spPr>
        <a:xfrm>
          <a:off x="123825" y="1257300"/>
          <a:ext cx="11506663" cy="449523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IMBLE/2.%20ACME%20Homologation/4.%20Hardware%20Design%20Calculation/Power%20Supply%20Unit/1.%20Buck-Boost%20Controller/ACME%20_%20PSU%20_%20Buck-Boost%20(LM25118)High%20Level%20Design%20Calculation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crmcsc.INTERFACE\My%20Documents\PROJECTS\Buck-Boost\LM5116\LM5116_quickstar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crmcsc.INTERFACE\My%20Documents\PROJECTS\Buck-Boost\LM5116\LM5116_quickstart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LM25118 High level Calculation"/>
      <sheetName val="Bill of Materials"/>
      <sheetName val="EVM Schematic &amp; BOM"/>
      <sheetName val="Bode Plots"/>
      <sheetName val="Worksheet"/>
      <sheetName val="Graph"/>
    </sheetNames>
    <sheetDataSet>
      <sheetData sheetId="0"/>
      <sheetData sheetId="1">
        <row r="6">
          <cell r="E6">
            <v>12</v>
          </cell>
        </row>
        <row r="7">
          <cell r="E7">
            <v>5</v>
          </cell>
        </row>
        <row r="8">
          <cell r="E8">
            <v>40</v>
          </cell>
        </row>
        <row r="9">
          <cell r="E9">
            <v>3</v>
          </cell>
        </row>
        <row r="10">
          <cell r="E10">
            <v>0.4</v>
          </cell>
        </row>
        <row r="12">
          <cell r="E12">
            <v>15.96</v>
          </cell>
        </row>
        <row r="13">
          <cell r="E13" t="str">
            <v>YES</v>
          </cell>
        </row>
        <row r="19">
          <cell r="E19">
            <v>300</v>
          </cell>
        </row>
        <row r="20">
          <cell r="E20">
            <v>18.313333333333333</v>
          </cell>
        </row>
        <row r="25">
          <cell r="E25">
            <v>10</v>
          </cell>
        </row>
        <row r="28">
          <cell r="E28">
            <v>2</v>
          </cell>
        </row>
        <row r="30">
          <cell r="E30">
            <v>1.1764705882352939</v>
          </cell>
        </row>
        <row r="32">
          <cell r="E32">
            <v>10.788235294117646</v>
          </cell>
        </row>
        <row r="36">
          <cell r="E36">
            <v>18.538713195201744</v>
          </cell>
        </row>
        <row r="43">
          <cell r="E43">
            <v>277.77777777777777</v>
          </cell>
        </row>
        <row r="44">
          <cell r="E44" t="str">
            <v>NA</v>
          </cell>
        </row>
        <row r="47">
          <cell r="E47">
            <v>50</v>
          </cell>
        </row>
        <row r="51">
          <cell r="E51">
            <v>4.634678298800436</v>
          </cell>
        </row>
        <row r="52">
          <cell r="E52">
            <v>550</v>
          </cell>
        </row>
        <row r="61">
          <cell r="E61">
            <v>50</v>
          </cell>
        </row>
        <row r="64">
          <cell r="E64">
            <v>1200</v>
          </cell>
        </row>
        <row r="65">
          <cell r="E65">
            <v>10507.317073170732</v>
          </cell>
        </row>
        <row r="70">
          <cell r="E70">
            <v>0.1</v>
          </cell>
        </row>
        <row r="71">
          <cell r="E71">
            <v>1</v>
          </cell>
        </row>
        <row r="77">
          <cell r="E77">
            <v>-12.801025225655625</v>
          </cell>
        </row>
        <row r="80">
          <cell r="E80">
            <v>49571.265679138167</v>
          </cell>
        </row>
        <row r="81">
          <cell r="E81">
            <v>9.8038190101369035E-2</v>
          </cell>
        </row>
        <row r="82">
          <cell r="E82">
            <v>1.1707282830796111</v>
          </cell>
        </row>
        <row r="86">
          <cell r="E86">
            <v>9.7560975609756113</v>
          </cell>
        </row>
        <row r="90">
          <cell r="E90">
            <v>75</v>
          </cell>
        </row>
        <row r="92">
          <cell r="E92">
            <v>29.332273449920507</v>
          </cell>
        </row>
        <row r="95">
          <cell r="E95">
            <v>0.10458248990122081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M5116 Calculator"/>
      <sheetName val="Frequency Compensation Graphs"/>
      <sheetName val="Bill of Materials"/>
    </sheetNames>
    <sheetDataSet>
      <sheetData sheetId="0">
        <row r="12">
          <cell r="E12">
            <v>2.2999999999999998</v>
          </cell>
        </row>
      </sheetData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M5116 Calculator"/>
      <sheetName val="Frequency Compensation Graphs"/>
      <sheetName val="Bill of Materials"/>
    </sheetNames>
    <sheetDataSet>
      <sheetData sheetId="0">
        <row r="34">
          <cell r="E34" t="str">
            <v>Yes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3.bin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Relationship Id="rId9" Type="http://schemas.openxmlformats.org/officeDocument/2006/relationships/image" Target="../media/image3.emf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K391"/>
  <sheetViews>
    <sheetView showGridLines="0" tabSelected="1" view="pageBreakPreview" zoomScaleNormal="100" zoomScaleSheetLayoutView="100" workbookViewId="0">
      <selection activeCell="D77" sqref="D77"/>
    </sheetView>
  </sheetViews>
  <sheetFormatPr defaultRowHeight="15" x14ac:dyDescent="0.25"/>
  <cols>
    <col min="1" max="1" width="0.7109375" style="1" customWidth="1"/>
    <col min="2" max="2" width="43.85546875" style="1" customWidth="1"/>
    <col min="3" max="3" width="16" style="10" customWidth="1"/>
    <col min="4" max="4" width="15" style="1" customWidth="1"/>
    <col min="5" max="5" width="7.5703125" style="1" customWidth="1"/>
    <col min="6" max="6" width="41.5703125" style="11" customWidth="1"/>
    <col min="7" max="7" width="51" style="1" customWidth="1"/>
    <col min="8" max="16384" width="9.140625" style="1"/>
  </cols>
  <sheetData>
    <row r="1" spans="2:11" ht="18.75" x14ac:dyDescent="0.25">
      <c r="B1" s="186" t="s">
        <v>131</v>
      </c>
      <c r="C1" s="187"/>
      <c r="D1" s="187"/>
      <c r="E1" s="187"/>
      <c r="F1" s="187"/>
      <c r="G1" s="188"/>
    </row>
    <row r="2" spans="2:11" x14ac:dyDescent="0.25">
      <c r="B2" s="193" t="s">
        <v>0</v>
      </c>
      <c r="C2" s="193"/>
      <c r="D2" s="193"/>
      <c r="E2" s="193"/>
      <c r="F2" s="193"/>
      <c r="G2" s="193"/>
    </row>
    <row r="3" spans="2:11" x14ac:dyDescent="0.25">
      <c r="B3" s="2" t="s">
        <v>1</v>
      </c>
      <c r="C3" s="194" t="s">
        <v>2</v>
      </c>
      <c r="D3" s="194"/>
      <c r="E3" s="194"/>
      <c r="F3" s="194"/>
      <c r="G3" s="194"/>
    </row>
    <row r="4" spans="2:11" x14ac:dyDescent="0.25">
      <c r="B4" s="3" t="s">
        <v>132</v>
      </c>
      <c r="C4" s="195" t="s">
        <v>133</v>
      </c>
      <c r="D4" s="195"/>
      <c r="E4" s="195"/>
      <c r="F4" s="195"/>
      <c r="G4" s="195"/>
    </row>
    <row r="5" spans="2:11" x14ac:dyDescent="0.25">
      <c r="B5" s="193" t="s">
        <v>3</v>
      </c>
      <c r="C5" s="193"/>
      <c r="D5" s="193"/>
      <c r="E5" s="193"/>
      <c r="F5" s="193"/>
      <c r="G5" s="193"/>
    </row>
    <row r="6" spans="2:11" ht="15" customHeight="1" x14ac:dyDescent="0.25">
      <c r="B6" s="22"/>
      <c r="C6" s="21"/>
      <c r="D6" s="20"/>
      <c r="E6" s="20"/>
      <c r="F6" s="20"/>
      <c r="G6" s="23"/>
    </row>
    <row r="7" spans="2:11" ht="15" customHeight="1" x14ac:dyDescent="0.25">
      <c r="B7" s="24"/>
      <c r="C7" s="6"/>
      <c r="D7" s="6"/>
      <c r="E7" s="6"/>
      <c r="F7" s="5"/>
      <c r="G7" s="25"/>
      <c r="H7" s="5"/>
      <c r="I7" s="5"/>
      <c r="J7" s="5"/>
      <c r="K7" s="5"/>
    </row>
    <row r="8" spans="2:11" ht="15" customHeight="1" x14ac:dyDescent="0.25">
      <c r="B8" s="26"/>
      <c r="C8" s="4"/>
      <c r="D8" s="6"/>
      <c r="E8" s="7"/>
      <c r="F8" s="7"/>
      <c r="G8" s="25"/>
      <c r="H8" s="196"/>
      <c r="I8" s="196"/>
      <c r="J8" s="196"/>
      <c r="K8" s="196"/>
    </row>
    <row r="9" spans="2:11" ht="15" customHeight="1" x14ac:dyDescent="0.25">
      <c r="B9" s="26"/>
      <c r="C9" s="4"/>
      <c r="D9" s="6"/>
      <c r="E9" s="7"/>
      <c r="F9" s="7"/>
      <c r="G9" s="25"/>
      <c r="H9" s="5"/>
      <c r="I9" s="5"/>
      <c r="J9" s="5"/>
      <c r="K9" s="5"/>
    </row>
    <row r="10" spans="2:11" ht="15" customHeight="1" x14ac:dyDescent="0.25">
      <c r="B10" s="26"/>
      <c r="C10" s="4"/>
      <c r="D10" s="6"/>
      <c r="E10" s="7"/>
      <c r="F10" s="7"/>
      <c r="G10" s="25"/>
      <c r="H10" s="5"/>
      <c r="I10" s="5"/>
      <c r="J10" s="5"/>
      <c r="K10" s="5"/>
    </row>
    <row r="11" spans="2:11" ht="15" customHeight="1" x14ac:dyDescent="0.25">
      <c r="B11" s="26"/>
      <c r="C11" s="4"/>
      <c r="D11" s="6"/>
      <c r="E11" s="8"/>
      <c r="F11" s="7"/>
      <c r="G11" s="25"/>
      <c r="H11" s="5"/>
      <c r="I11" s="5"/>
      <c r="J11" s="5"/>
      <c r="K11" s="5"/>
    </row>
    <row r="12" spans="2:11" ht="15" customHeight="1" x14ac:dyDescent="0.25">
      <c r="B12" s="26"/>
      <c r="C12" s="4"/>
      <c r="D12" s="6"/>
      <c r="E12" s="8"/>
      <c r="F12" s="7"/>
      <c r="G12" s="25"/>
      <c r="H12" s="5"/>
      <c r="I12" s="5"/>
      <c r="J12" s="5"/>
      <c r="K12" s="5"/>
    </row>
    <row r="13" spans="2:11" ht="15" customHeight="1" x14ac:dyDescent="0.25">
      <c r="B13" s="26"/>
      <c r="C13" s="4"/>
      <c r="D13" s="6"/>
      <c r="E13" s="8"/>
      <c r="F13" s="7"/>
      <c r="G13" s="25"/>
      <c r="H13" s="5"/>
      <c r="I13" s="5"/>
      <c r="J13" s="5"/>
      <c r="K13" s="5"/>
    </row>
    <row r="14" spans="2:11" ht="15" customHeight="1" x14ac:dyDescent="0.25">
      <c r="B14" s="26"/>
      <c r="C14" s="4"/>
      <c r="D14" s="6"/>
      <c r="E14" s="8"/>
      <c r="F14" s="7"/>
      <c r="G14" s="25"/>
      <c r="H14" s="5"/>
      <c r="I14" s="5"/>
      <c r="J14" s="5"/>
      <c r="K14" s="5"/>
    </row>
    <row r="15" spans="2:11" ht="15" customHeight="1" x14ac:dyDescent="0.25">
      <c r="B15" s="26"/>
      <c r="C15" s="4"/>
      <c r="D15" s="6"/>
      <c r="E15" s="8"/>
      <c r="F15" s="7"/>
      <c r="G15" s="25"/>
      <c r="H15" s="5"/>
      <c r="I15" s="5"/>
      <c r="J15" s="5"/>
      <c r="K15" s="5"/>
    </row>
    <row r="16" spans="2:11" ht="15" customHeight="1" x14ac:dyDescent="0.25">
      <c r="B16" s="26"/>
      <c r="C16" s="4"/>
      <c r="D16" s="6"/>
      <c r="E16" s="8"/>
      <c r="F16" s="7"/>
      <c r="G16" s="25"/>
      <c r="H16" s="5"/>
      <c r="I16" s="5"/>
      <c r="J16" s="5"/>
      <c r="K16" s="5"/>
    </row>
    <row r="17" spans="2:11" ht="15" customHeight="1" x14ac:dyDescent="0.25">
      <c r="B17" s="26"/>
      <c r="C17" s="4"/>
      <c r="D17" s="6"/>
      <c r="E17" s="8"/>
      <c r="F17" s="7"/>
      <c r="G17" s="25"/>
      <c r="H17" s="5"/>
      <c r="I17" s="5"/>
      <c r="J17" s="5"/>
      <c r="K17" s="5"/>
    </row>
    <row r="18" spans="2:11" ht="15" customHeight="1" x14ac:dyDescent="0.25">
      <c r="B18" s="26"/>
      <c r="C18" s="4"/>
      <c r="D18" s="6"/>
      <c r="E18" s="8"/>
      <c r="F18" s="7"/>
      <c r="G18" s="25"/>
      <c r="H18" s="5"/>
      <c r="I18" s="5"/>
      <c r="J18" s="5"/>
      <c r="K18" s="5"/>
    </row>
    <row r="19" spans="2:11" ht="15" customHeight="1" x14ac:dyDescent="0.25">
      <c r="B19" s="26"/>
      <c r="C19" s="4"/>
      <c r="D19" s="6"/>
      <c r="E19" s="8"/>
      <c r="F19" s="7"/>
      <c r="G19" s="25"/>
      <c r="H19" s="5"/>
      <c r="I19" s="5"/>
      <c r="J19" s="5"/>
      <c r="K19" s="5"/>
    </row>
    <row r="20" spans="2:11" ht="15" customHeight="1" x14ac:dyDescent="0.25">
      <c r="B20" s="26"/>
      <c r="C20" s="4"/>
      <c r="D20" s="6"/>
      <c r="E20" s="8"/>
      <c r="F20" s="7"/>
      <c r="G20" s="25"/>
      <c r="H20" s="5"/>
      <c r="I20" s="5"/>
      <c r="J20" s="5"/>
      <c r="K20" s="5"/>
    </row>
    <row r="21" spans="2:11" ht="15" customHeight="1" x14ac:dyDescent="0.25">
      <c r="B21" s="26"/>
      <c r="C21" s="4"/>
      <c r="D21" s="6"/>
      <c r="E21" s="8"/>
      <c r="F21" s="7"/>
      <c r="G21" s="25"/>
      <c r="H21" s="5"/>
      <c r="I21" s="5"/>
      <c r="J21" s="5"/>
      <c r="K21" s="5"/>
    </row>
    <row r="22" spans="2:11" ht="15" customHeight="1" x14ac:dyDescent="0.25">
      <c r="B22" s="26"/>
      <c r="C22" s="4"/>
      <c r="D22" s="6"/>
      <c r="E22" s="8"/>
      <c r="F22" s="7"/>
      <c r="G22" s="25"/>
      <c r="H22" s="5"/>
      <c r="I22" s="5"/>
      <c r="J22" s="5"/>
      <c r="K22" s="5"/>
    </row>
    <row r="23" spans="2:11" ht="15" customHeight="1" x14ac:dyDescent="0.25">
      <c r="B23" s="26"/>
      <c r="C23" s="4"/>
      <c r="D23" s="6"/>
      <c r="E23" s="8"/>
      <c r="F23" s="7"/>
      <c r="G23" s="25"/>
      <c r="H23" s="5"/>
      <c r="I23" s="5"/>
      <c r="J23" s="5"/>
      <c r="K23" s="5"/>
    </row>
    <row r="24" spans="2:11" ht="15" customHeight="1" x14ac:dyDescent="0.25">
      <c r="B24" s="26"/>
      <c r="C24" s="4"/>
      <c r="D24" s="6"/>
      <c r="E24" s="8"/>
      <c r="F24" s="7"/>
      <c r="G24" s="25"/>
      <c r="H24" s="5"/>
      <c r="I24" s="5"/>
      <c r="J24" s="5"/>
      <c r="K24" s="5"/>
    </row>
    <row r="25" spans="2:11" ht="15" customHeight="1" x14ac:dyDescent="0.25">
      <c r="B25" s="26"/>
      <c r="C25" s="4"/>
      <c r="D25" s="6"/>
      <c r="E25" s="8"/>
      <c r="F25" s="7"/>
      <c r="G25" s="25"/>
      <c r="H25" s="5"/>
      <c r="I25" s="5"/>
      <c r="J25" s="5"/>
      <c r="K25" s="5"/>
    </row>
    <row r="26" spans="2:11" ht="15" customHeight="1" x14ac:dyDescent="0.25">
      <c r="B26" s="26"/>
      <c r="C26" s="4"/>
      <c r="D26" s="6"/>
      <c r="E26" s="7"/>
      <c r="F26" s="7"/>
      <c r="G26" s="27"/>
      <c r="H26" s="196"/>
      <c r="I26" s="196"/>
      <c r="J26" s="196"/>
      <c r="K26" s="196"/>
    </row>
    <row r="27" spans="2:11" ht="15" customHeight="1" x14ac:dyDescent="0.25">
      <c r="B27" s="26"/>
      <c r="C27" s="4"/>
      <c r="D27" s="6"/>
      <c r="E27" s="7"/>
      <c r="F27" s="7"/>
      <c r="G27" s="25"/>
      <c r="H27" s="196"/>
      <c r="I27" s="196"/>
      <c r="J27" s="196"/>
      <c r="K27" s="196"/>
    </row>
    <row r="28" spans="2:11" ht="15" customHeight="1" x14ac:dyDescent="0.25">
      <c r="B28" s="26"/>
      <c r="C28" s="4"/>
      <c r="D28" s="6"/>
      <c r="E28" s="7"/>
      <c r="F28" s="7"/>
      <c r="G28" s="25"/>
      <c r="H28" s="5"/>
      <c r="I28" s="5"/>
      <c r="J28" s="5"/>
      <c r="K28" s="5"/>
    </row>
    <row r="29" spans="2:11" ht="15" customHeight="1" x14ac:dyDescent="0.25">
      <c r="B29" s="26"/>
      <c r="C29" s="4"/>
      <c r="D29" s="6"/>
      <c r="E29" s="7"/>
      <c r="F29" s="7"/>
      <c r="G29" s="25"/>
      <c r="H29" s="5"/>
      <c r="I29" s="5"/>
      <c r="J29" s="5"/>
      <c r="K29" s="5"/>
    </row>
    <row r="30" spans="2:11" ht="15" customHeight="1" x14ac:dyDescent="0.25">
      <c r="B30" s="26"/>
      <c r="C30" s="4"/>
      <c r="D30" s="6"/>
      <c r="E30" s="7"/>
      <c r="F30" s="7"/>
      <c r="G30" s="25"/>
      <c r="H30" s="5"/>
      <c r="I30" s="5"/>
      <c r="J30" s="5"/>
      <c r="K30" s="5"/>
    </row>
    <row r="31" spans="2:11" ht="15" customHeight="1" x14ac:dyDescent="0.25">
      <c r="B31" s="26"/>
      <c r="C31" s="4"/>
      <c r="D31" s="6"/>
      <c r="E31" s="7"/>
      <c r="F31" s="7"/>
      <c r="G31" s="25"/>
      <c r="H31" s="5"/>
      <c r="I31" s="5"/>
      <c r="J31" s="5"/>
      <c r="K31" s="5"/>
    </row>
    <row r="32" spans="2:11" x14ac:dyDescent="0.25">
      <c r="B32" s="197" t="s">
        <v>88</v>
      </c>
      <c r="C32" s="197"/>
      <c r="D32" s="197"/>
      <c r="E32" s="197"/>
      <c r="F32" s="197"/>
      <c r="G32" s="197"/>
    </row>
    <row r="33" spans="2:7" x14ac:dyDescent="0.25">
      <c r="B33" s="198" t="s">
        <v>298</v>
      </c>
      <c r="C33" s="198"/>
      <c r="D33" s="198"/>
      <c r="E33" s="198"/>
      <c r="F33" s="198"/>
      <c r="G33" s="198"/>
    </row>
    <row r="34" spans="2:7" x14ac:dyDescent="0.25">
      <c r="B34" s="197" t="s">
        <v>89</v>
      </c>
      <c r="C34" s="197"/>
      <c r="D34" s="197"/>
      <c r="E34" s="197"/>
      <c r="F34" s="197"/>
      <c r="G34" s="197"/>
    </row>
    <row r="35" spans="2:7" s="18" customFormat="1" x14ac:dyDescent="0.25">
      <c r="B35" s="68" t="s">
        <v>4</v>
      </c>
      <c r="C35" s="68" t="s">
        <v>10</v>
      </c>
      <c r="D35" s="19" t="s">
        <v>5</v>
      </c>
      <c r="E35" s="68" t="s">
        <v>6</v>
      </c>
      <c r="F35" s="68" t="s">
        <v>7</v>
      </c>
      <c r="G35" s="68" t="s">
        <v>8</v>
      </c>
    </row>
    <row r="36" spans="2:7" x14ac:dyDescent="0.25">
      <c r="B36" s="13" t="s">
        <v>97</v>
      </c>
      <c r="C36" s="17" t="s">
        <v>16</v>
      </c>
      <c r="D36" s="28">
        <v>5</v>
      </c>
      <c r="E36" s="13" t="s">
        <v>17</v>
      </c>
      <c r="F36" s="13"/>
      <c r="G36" s="13"/>
    </row>
    <row r="37" spans="2:7" x14ac:dyDescent="0.25">
      <c r="B37" s="13" t="s">
        <v>98</v>
      </c>
      <c r="C37" s="17" t="s">
        <v>18</v>
      </c>
      <c r="D37" s="28">
        <v>40</v>
      </c>
      <c r="E37" s="13" t="s">
        <v>17</v>
      </c>
      <c r="F37" s="13"/>
      <c r="G37" s="13"/>
    </row>
    <row r="38" spans="2:7" x14ac:dyDescent="0.25">
      <c r="B38" s="13" t="s">
        <v>99</v>
      </c>
      <c r="C38" s="17" t="s">
        <v>11</v>
      </c>
      <c r="D38" s="28">
        <v>12</v>
      </c>
      <c r="E38" s="13" t="s">
        <v>12</v>
      </c>
      <c r="F38" s="13"/>
      <c r="G38" s="13"/>
    </row>
    <row r="39" spans="2:7" x14ac:dyDescent="0.25">
      <c r="B39" s="13" t="s">
        <v>100</v>
      </c>
      <c r="C39" s="17" t="s">
        <v>13</v>
      </c>
      <c r="D39" s="28">
        <v>3</v>
      </c>
      <c r="E39" s="13" t="s">
        <v>14</v>
      </c>
      <c r="F39" s="13"/>
      <c r="G39" s="13"/>
    </row>
    <row r="40" spans="2:7" x14ac:dyDescent="0.25">
      <c r="B40" s="13" t="s">
        <v>101</v>
      </c>
      <c r="C40" s="17" t="s">
        <v>15</v>
      </c>
      <c r="D40" s="28">
        <f>D38*D39</f>
        <v>36</v>
      </c>
      <c r="E40" s="13" t="s">
        <v>9</v>
      </c>
      <c r="F40" s="13"/>
      <c r="G40" s="13"/>
    </row>
    <row r="41" spans="2:7" x14ac:dyDescent="0.25">
      <c r="B41" s="13" t="s">
        <v>102</v>
      </c>
      <c r="C41" s="13" t="s">
        <v>90</v>
      </c>
      <c r="D41" s="29">
        <v>0.8</v>
      </c>
      <c r="E41" s="13" t="s">
        <v>91</v>
      </c>
      <c r="F41" s="13"/>
      <c r="G41" s="13" t="s">
        <v>310</v>
      </c>
    </row>
    <row r="42" spans="2:7" x14ac:dyDescent="0.25">
      <c r="B42" s="197" t="s">
        <v>340</v>
      </c>
      <c r="C42" s="197"/>
      <c r="D42" s="197"/>
      <c r="E42" s="197"/>
      <c r="F42" s="197"/>
      <c r="G42" s="197"/>
    </row>
    <row r="43" spans="2:7" x14ac:dyDescent="0.25">
      <c r="B43" s="13" t="s">
        <v>308</v>
      </c>
      <c r="C43" s="17" t="s">
        <v>105</v>
      </c>
      <c r="D43" s="29" t="s">
        <v>134</v>
      </c>
      <c r="E43" s="13" t="s">
        <v>12</v>
      </c>
      <c r="F43" s="13"/>
      <c r="G43" s="13"/>
    </row>
    <row r="44" spans="2:7" x14ac:dyDescent="0.25">
      <c r="B44" s="13" t="s">
        <v>145</v>
      </c>
      <c r="C44" s="17" t="s">
        <v>135</v>
      </c>
      <c r="D44" s="30" t="s">
        <v>143</v>
      </c>
      <c r="E44" s="13" t="s">
        <v>22</v>
      </c>
      <c r="F44" s="13"/>
      <c r="G44" s="13"/>
    </row>
    <row r="45" spans="2:7" x14ac:dyDescent="0.25">
      <c r="B45" s="17" t="s">
        <v>109</v>
      </c>
      <c r="C45" s="17" t="s">
        <v>112</v>
      </c>
      <c r="D45" s="67">
        <v>1.212</v>
      </c>
      <c r="E45" s="17" t="s">
        <v>12</v>
      </c>
      <c r="F45" s="13"/>
      <c r="G45" s="13"/>
    </row>
    <row r="46" spans="2:7" x14ac:dyDescent="0.25">
      <c r="B46" s="17" t="s">
        <v>110</v>
      </c>
      <c r="C46" s="17" t="s">
        <v>113</v>
      </c>
      <c r="D46" s="14">
        <v>1.23</v>
      </c>
      <c r="E46" s="17" t="s">
        <v>12</v>
      </c>
      <c r="F46" s="13"/>
      <c r="G46" s="13"/>
    </row>
    <row r="47" spans="2:7" x14ac:dyDescent="0.25">
      <c r="B47" s="17" t="s">
        <v>111</v>
      </c>
      <c r="C47" s="17" t="s">
        <v>114</v>
      </c>
      <c r="D47" s="67">
        <v>1.248</v>
      </c>
      <c r="E47" s="17" t="s">
        <v>12</v>
      </c>
      <c r="F47" s="13"/>
      <c r="G47" s="13"/>
    </row>
    <row r="48" spans="2:7" x14ac:dyDescent="0.25">
      <c r="B48" s="17" t="s">
        <v>116</v>
      </c>
      <c r="C48" s="17" t="s">
        <v>431</v>
      </c>
      <c r="D48" s="67">
        <v>70</v>
      </c>
      <c r="E48" s="17" t="s">
        <v>21</v>
      </c>
      <c r="F48" s="13"/>
      <c r="G48" s="13"/>
    </row>
    <row r="49" spans="2:7" ht="30" x14ac:dyDescent="0.25">
      <c r="B49" s="13" t="s">
        <v>115</v>
      </c>
      <c r="C49" s="17" t="s">
        <v>117</v>
      </c>
      <c r="D49" s="29">
        <v>0.8</v>
      </c>
      <c r="E49" s="13"/>
      <c r="F49" s="13"/>
      <c r="G49" s="13" t="s">
        <v>141</v>
      </c>
    </row>
    <row r="50" spans="2:7" x14ac:dyDescent="0.25">
      <c r="B50" s="13" t="s">
        <v>106</v>
      </c>
      <c r="C50" s="17" t="s">
        <v>107</v>
      </c>
      <c r="D50" s="28">
        <v>40</v>
      </c>
      <c r="E50" s="13" t="s">
        <v>108</v>
      </c>
      <c r="F50" s="13"/>
      <c r="G50" s="13" t="s">
        <v>142</v>
      </c>
    </row>
    <row r="51" spans="2:7" x14ac:dyDescent="0.25">
      <c r="B51" s="13" t="s">
        <v>103</v>
      </c>
      <c r="C51" s="17" t="s">
        <v>54</v>
      </c>
      <c r="D51" s="31" t="s">
        <v>136</v>
      </c>
      <c r="E51" s="13" t="s">
        <v>104</v>
      </c>
      <c r="F51" s="13"/>
      <c r="G51" s="13"/>
    </row>
    <row r="52" spans="2:7" x14ac:dyDescent="0.25">
      <c r="B52" s="197" t="s">
        <v>95</v>
      </c>
      <c r="C52" s="197"/>
      <c r="D52" s="197"/>
      <c r="E52" s="197"/>
      <c r="F52" s="197"/>
      <c r="G52" s="197"/>
    </row>
    <row r="53" spans="2:7" ht="34.5" customHeight="1" x14ac:dyDescent="0.25">
      <c r="B53" s="13" t="s">
        <v>137</v>
      </c>
      <c r="C53" s="17" t="s">
        <v>139</v>
      </c>
      <c r="D53" s="29">
        <f>D38/D37</f>
        <v>0.3</v>
      </c>
      <c r="E53" s="13"/>
      <c r="F53" s="55"/>
      <c r="G53" s="13"/>
    </row>
    <row r="54" spans="2:7" ht="34.5" customHeight="1" x14ac:dyDescent="0.25">
      <c r="B54" s="13" t="s">
        <v>138</v>
      </c>
      <c r="C54" s="17" t="s">
        <v>140</v>
      </c>
      <c r="D54" s="29">
        <f>1-(D36/D38)</f>
        <v>0.58333333333333326</v>
      </c>
      <c r="E54" s="13"/>
      <c r="F54" s="55"/>
      <c r="G54" s="13"/>
    </row>
    <row r="55" spans="2:7" ht="34.5" customHeight="1" x14ac:dyDescent="0.25">
      <c r="B55" s="13" t="s">
        <v>173</v>
      </c>
      <c r="C55" s="17" t="s">
        <v>174</v>
      </c>
      <c r="D55" s="32">
        <f>D38/(D36+D38)</f>
        <v>0.70588235294117652</v>
      </c>
      <c r="E55" s="13"/>
      <c r="F55" s="55"/>
      <c r="G55" s="13"/>
    </row>
    <row r="56" spans="2:7" ht="45" x14ac:dyDescent="0.25">
      <c r="B56" s="58" t="s">
        <v>149</v>
      </c>
      <c r="C56" s="56" t="s">
        <v>135</v>
      </c>
      <c r="D56" s="60">
        <v>300000</v>
      </c>
      <c r="E56" s="58" t="s">
        <v>22</v>
      </c>
      <c r="F56" s="58"/>
      <c r="G56" s="58" t="s">
        <v>144</v>
      </c>
    </row>
    <row r="57" spans="2:7" ht="34.5" customHeight="1" x14ac:dyDescent="0.25">
      <c r="B57" s="13" t="s">
        <v>183</v>
      </c>
      <c r="C57" s="17" t="s">
        <v>185</v>
      </c>
      <c r="D57" s="15">
        <f>(((6.4*10^9)/D56)-(3.02*10^3))/1000</f>
        <v>18.313333333333333</v>
      </c>
      <c r="E57" s="13" t="s">
        <v>23</v>
      </c>
      <c r="F57" s="55"/>
      <c r="G57" s="15"/>
    </row>
    <row r="58" spans="2:7" x14ac:dyDescent="0.25">
      <c r="B58" s="58" t="s">
        <v>299</v>
      </c>
      <c r="C58" s="56" t="s">
        <v>185</v>
      </c>
      <c r="D58" s="57">
        <v>18.2</v>
      </c>
      <c r="E58" s="58" t="s">
        <v>23</v>
      </c>
      <c r="F58" s="58"/>
      <c r="G58" s="58"/>
    </row>
    <row r="59" spans="2:7" x14ac:dyDescent="0.25">
      <c r="B59" s="159" t="s">
        <v>448</v>
      </c>
      <c r="C59" s="160"/>
      <c r="D59" s="160"/>
      <c r="E59" s="161"/>
      <c r="F59" s="9"/>
      <c r="G59" s="9"/>
    </row>
    <row r="60" spans="2:7" x14ac:dyDescent="0.25">
      <c r="B60" s="33" t="s">
        <v>24</v>
      </c>
      <c r="C60" s="153" t="s">
        <v>447</v>
      </c>
      <c r="D60" s="153"/>
      <c r="E60" s="153"/>
      <c r="F60" s="13"/>
      <c r="G60" s="13"/>
    </row>
    <row r="61" spans="2:7" x14ac:dyDescent="0.25">
      <c r="B61" s="33" t="s">
        <v>25</v>
      </c>
      <c r="C61" s="171" t="s">
        <v>186</v>
      </c>
      <c r="D61" s="171"/>
      <c r="E61" s="171"/>
      <c r="F61" s="13"/>
      <c r="G61" s="13"/>
    </row>
    <row r="62" spans="2:7" x14ac:dyDescent="0.25">
      <c r="B62" s="33" t="s">
        <v>84</v>
      </c>
      <c r="C62" s="152" t="s">
        <v>188</v>
      </c>
      <c r="D62" s="152"/>
      <c r="E62" s="152"/>
      <c r="F62" s="13"/>
      <c r="G62" s="13"/>
    </row>
    <row r="63" spans="2:7" x14ac:dyDescent="0.25">
      <c r="B63" s="33" t="s">
        <v>26</v>
      </c>
      <c r="C63" s="152" t="s">
        <v>187</v>
      </c>
      <c r="D63" s="152"/>
      <c r="E63" s="152"/>
      <c r="F63" s="13"/>
      <c r="G63" s="13"/>
    </row>
    <row r="64" spans="2:7" x14ac:dyDescent="0.25">
      <c r="B64" s="155" t="s">
        <v>159</v>
      </c>
      <c r="C64" s="156"/>
      <c r="D64" s="156"/>
      <c r="E64" s="156"/>
      <c r="F64" s="156"/>
      <c r="G64" s="157"/>
    </row>
    <row r="65" spans="2:7" ht="30" x14ac:dyDescent="0.25">
      <c r="B65" s="13" t="s">
        <v>147</v>
      </c>
      <c r="C65" s="17" t="s">
        <v>146</v>
      </c>
      <c r="D65" s="15">
        <v>0.3</v>
      </c>
      <c r="E65" s="13"/>
      <c r="F65" s="13" t="s">
        <v>309</v>
      </c>
      <c r="G65" s="13" t="s">
        <v>151</v>
      </c>
    </row>
    <row r="66" spans="2:7" ht="27.75" customHeight="1" x14ac:dyDescent="0.25">
      <c r="B66" s="13" t="s">
        <v>300</v>
      </c>
      <c r="C66" s="17" t="s">
        <v>152</v>
      </c>
      <c r="D66" s="15">
        <f>D65*D39</f>
        <v>0.89999999999999991</v>
      </c>
      <c r="E66" s="13" t="s">
        <v>14</v>
      </c>
      <c r="F66" s="55"/>
      <c r="G66" s="55"/>
    </row>
    <row r="67" spans="2:7" ht="38.25" customHeight="1" x14ac:dyDescent="0.25">
      <c r="B67" s="13" t="s">
        <v>350</v>
      </c>
      <c r="C67" s="17" t="s">
        <v>148</v>
      </c>
      <c r="D67" s="15">
        <f>((D38*(D37-D38))/(D37*D56*D66))*10^6</f>
        <v>31.111111111111118</v>
      </c>
      <c r="E67" s="13" t="s">
        <v>40</v>
      </c>
      <c r="F67" s="55"/>
      <c r="G67" s="55"/>
    </row>
    <row r="68" spans="2:7" ht="42.75" customHeight="1" x14ac:dyDescent="0.25">
      <c r="B68" s="13" t="s">
        <v>351</v>
      </c>
      <c r="C68" s="17" t="s">
        <v>150</v>
      </c>
      <c r="D68" s="15">
        <f>((D36*D38)/((D36+D38)*D56*D66))*10^6</f>
        <v>13.071895424836601</v>
      </c>
      <c r="E68" s="13" t="s">
        <v>40</v>
      </c>
      <c r="F68" s="88"/>
      <c r="G68" s="88"/>
    </row>
    <row r="69" spans="2:7" ht="22.5" customHeight="1" x14ac:dyDescent="0.25">
      <c r="B69" s="69" t="s">
        <v>184</v>
      </c>
      <c r="C69" s="70" t="s">
        <v>92</v>
      </c>
      <c r="D69" s="71">
        <v>33</v>
      </c>
      <c r="E69" s="69" t="s">
        <v>40</v>
      </c>
      <c r="F69" s="70"/>
      <c r="G69" s="58"/>
    </row>
    <row r="70" spans="2:7" ht="40.5" customHeight="1" x14ac:dyDescent="0.25">
      <c r="B70" s="55" t="s">
        <v>153</v>
      </c>
      <c r="C70" s="75" t="s">
        <v>154</v>
      </c>
      <c r="D70" s="76">
        <f>((D37-D38)*D53)/(D56*D69*10^-6)</f>
        <v>0.84848484848484851</v>
      </c>
      <c r="E70" s="55" t="s">
        <v>14</v>
      </c>
      <c r="F70" s="75"/>
      <c r="G70" s="13"/>
    </row>
    <row r="71" spans="2:7" ht="40.5" customHeight="1" x14ac:dyDescent="0.25">
      <c r="B71" s="55" t="s">
        <v>156</v>
      </c>
      <c r="C71" s="75" t="s">
        <v>158</v>
      </c>
      <c r="D71" s="82">
        <f>(D36*D55)/(D56*D69*10^-6)</f>
        <v>0.35650623885918004</v>
      </c>
      <c r="E71" s="55" t="s">
        <v>14</v>
      </c>
      <c r="F71" s="75"/>
      <c r="G71" s="13"/>
    </row>
    <row r="72" spans="2:7" ht="38.25" customHeight="1" x14ac:dyDescent="0.25">
      <c r="B72" s="55" t="s">
        <v>161</v>
      </c>
      <c r="C72" s="75" t="s">
        <v>155</v>
      </c>
      <c r="D72" s="76">
        <f>(D70/2)+D39</f>
        <v>3.4242424242424243</v>
      </c>
      <c r="E72" s="55" t="s">
        <v>14</v>
      </c>
      <c r="F72" s="75"/>
      <c r="G72" s="34"/>
    </row>
    <row r="73" spans="2:7" ht="40.5" customHeight="1" x14ac:dyDescent="0.25">
      <c r="B73" s="55" t="s">
        <v>160</v>
      </c>
      <c r="C73" s="75" t="s">
        <v>157</v>
      </c>
      <c r="D73" s="82">
        <f>(D71/2)+(D39/(1-D55))</f>
        <v>10.378253119429591</v>
      </c>
      <c r="E73" s="55" t="s">
        <v>14</v>
      </c>
      <c r="F73" s="75"/>
      <c r="G73" s="34"/>
    </row>
    <row r="74" spans="2:7" ht="30" x14ac:dyDescent="0.25">
      <c r="B74" s="55" t="s">
        <v>438</v>
      </c>
      <c r="C74" s="75" t="s">
        <v>206</v>
      </c>
      <c r="D74" s="76">
        <f>SQRT((D39^2)+(1/12)*(D70^2))</f>
        <v>3.0099823717383623</v>
      </c>
      <c r="E74" s="55" t="s">
        <v>14</v>
      </c>
      <c r="F74" s="167"/>
      <c r="G74" s="169" t="s">
        <v>96</v>
      </c>
    </row>
    <row r="75" spans="2:7" ht="30" x14ac:dyDescent="0.25">
      <c r="B75" s="55" t="s">
        <v>162</v>
      </c>
      <c r="C75" s="75" t="s">
        <v>205</v>
      </c>
      <c r="D75" s="82">
        <f>SQRT((D39^2)+(1/12)*(D73^2))</f>
        <v>4.2397733607956569</v>
      </c>
      <c r="E75" s="55" t="s">
        <v>14</v>
      </c>
      <c r="F75" s="168"/>
      <c r="G75" s="170"/>
    </row>
    <row r="76" spans="2:7" x14ac:dyDescent="0.25">
      <c r="B76" s="55" t="s">
        <v>311</v>
      </c>
      <c r="C76" s="72"/>
      <c r="D76" s="73">
        <v>0.6</v>
      </c>
      <c r="E76" s="74"/>
      <c r="F76" s="55"/>
      <c r="G76" s="77"/>
    </row>
    <row r="77" spans="2:7" ht="21" customHeight="1" x14ac:dyDescent="0.25">
      <c r="B77" s="55" t="s">
        <v>436</v>
      </c>
      <c r="C77" s="75" t="s">
        <v>435</v>
      </c>
      <c r="D77" s="82">
        <f>D75/D76</f>
        <v>7.0662889346594282</v>
      </c>
      <c r="E77" s="55" t="s">
        <v>14</v>
      </c>
      <c r="F77" s="78"/>
      <c r="G77" s="35"/>
    </row>
    <row r="78" spans="2:7" ht="21" customHeight="1" x14ac:dyDescent="0.25">
      <c r="B78" s="55" t="s">
        <v>437</v>
      </c>
      <c r="C78" s="75" t="s">
        <v>434</v>
      </c>
      <c r="D78" s="82">
        <f>D73/D76</f>
        <v>17.297088532382652</v>
      </c>
      <c r="E78" s="55" t="s">
        <v>14</v>
      </c>
      <c r="F78" s="67"/>
      <c r="G78" s="35"/>
    </row>
    <row r="79" spans="2:7" x14ac:dyDescent="0.25">
      <c r="B79" s="158" t="s">
        <v>449</v>
      </c>
      <c r="C79" s="158"/>
      <c r="D79" s="158"/>
      <c r="E79" s="158"/>
      <c r="F79" s="9"/>
      <c r="G79" s="9"/>
    </row>
    <row r="80" spans="2:7" x14ac:dyDescent="0.25">
      <c r="B80" s="33" t="s">
        <v>24</v>
      </c>
      <c r="C80" s="172" t="s">
        <v>450</v>
      </c>
      <c r="D80" s="173"/>
      <c r="E80" s="174"/>
      <c r="F80" s="13"/>
      <c r="G80" s="13"/>
    </row>
    <row r="81" spans="2:7" ht="15" customHeight="1" x14ac:dyDescent="0.25">
      <c r="B81" s="33" t="s">
        <v>25</v>
      </c>
      <c r="C81" s="181" t="s">
        <v>591</v>
      </c>
      <c r="D81" s="182"/>
      <c r="E81" s="183"/>
      <c r="F81" s="13" t="s">
        <v>584</v>
      </c>
      <c r="G81" s="13" t="s">
        <v>439</v>
      </c>
    </row>
    <row r="82" spans="2:7" x14ac:dyDescent="0.25">
      <c r="B82" s="33" t="s">
        <v>84</v>
      </c>
      <c r="C82" s="149" t="s">
        <v>586</v>
      </c>
      <c r="D82" s="150"/>
      <c r="E82" s="151"/>
      <c r="F82" s="13" t="s">
        <v>586</v>
      </c>
      <c r="G82" s="13" t="s">
        <v>301</v>
      </c>
    </row>
    <row r="83" spans="2:7" ht="15" customHeight="1" x14ac:dyDescent="0.25">
      <c r="B83" s="33" t="s">
        <v>26</v>
      </c>
      <c r="C83" s="149" t="s">
        <v>590</v>
      </c>
      <c r="D83" s="150"/>
      <c r="E83" s="151"/>
      <c r="F83" s="13" t="s">
        <v>585</v>
      </c>
      <c r="G83" s="13" t="s">
        <v>592</v>
      </c>
    </row>
    <row r="84" spans="2:7" ht="15" customHeight="1" x14ac:dyDescent="0.25">
      <c r="B84" s="33" t="s">
        <v>588</v>
      </c>
      <c r="C84" s="149" t="s">
        <v>594</v>
      </c>
      <c r="D84" s="150"/>
      <c r="E84" s="151"/>
      <c r="F84" s="13" t="s">
        <v>583</v>
      </c>
      <c r="G84" s="13" t="s">
        <v>589</v>
      </c>
    </row>
    <row r="85" spans="2:7" x14ac:dyDescent="0.25">
      <c r="B85" s="33" t="s">
        <v>41</v>
      </c>
      <c r="C85" s="17" t="s">
        <v>42</v>
      </c>
      <c r="D85" s="67">
        <v>10.7</v>
      </c>
      <c r="E85" s="13" t="s">
        <v>14</v>
      </c>
      <c r="F85" s="13"/>
      <c r="G85" s="13"/>
    </row>
    <row r="86" spans="2:7" x14ac:dyDescent="0.25">
      <c r="B86" s="33" t="s">
        <v>43</v>
      </c>
      <c r="C86" s="17" t="s">
        <v>44</v>
      </c>
      <c r="D86" s="28">
        <v>20</v>
      </c>
      <c r="E86" s="13" t="s">
        <v>14</v>
      </c>
      <c r="F86" s="13" t="s">
        <v>93</v>
      </c>
      <c r="G86" s="13"/>
    </row>
    <row r="87" spans="2:7" x14ac:dyDescent="0.25">
      <c r="B87" s="33" t="s">
        <v>45</v>
      </c>
      <c r="C87" s="17" t="s">
        <v>19</v>
      </c>
      <c r="D87" s="14">
        <v>4.3999999999999997E-2</v>
      </c>
      <c r="E87" s="13" t="s">
        <v>20</v>
      </c>
      <c r="F87" s="13" t="s">
        <v>94</v>
      </c>
      <c r="G87" s="13"/>
    </row>
    <row r="88" spans="2:7" x14ac:dyDescent="0.25">
      <c r="B88" s="33" t="s">
        <v>46</v>
      </c>
      <c r="C88" s="17" t="s">
        <v>163</v>
      </c>
      <c r="D88" s="14">
        <f>D75*D75*D87</f>
        <v>0.79092983864014998</v>
      </c>
      <c r="E88" s="13" t="s">
        <v>9</v>
      </c>
      <c r="F88" s="13"/>
      <c r="G88" s="13"/>
    </row>
    <row r="89" spans="2:7" x14ac:dyDescent="0.25">
      <c r="B89" s="155" t="s">
        <v>331</v>
      </c>
      <c r="C89" s="156"/>
      <c r="D89" s="156"/>
      <c r="E89" s="156"/>
      <c r="F89" s="156"/>
      <c r="G89" s="157"/>
    </row>
    <row r="90" spans="2:7" ht="39.75" customHeight="1" x14ac:dyDescent="0.25">
      <c r="B90" s="13" t="s">
        <v>191</v>
      </c>
      <c r="C90" s="17" t="s">
        <v>192</v>
      </c>
      <c r="D90" s="15">
        <f>1+(10/(75-D38))</f>
        <v>1.1587301587301586</v>
      </c>
      <c r="E90" s="13"/>
      <c r="F90" s="98"/>
      <c r="G90" s="13" t="s">
        <v>193</v>
      </c>
    </row>
    <row r="91" spans="2:7" ht="39.75" customHeight="1" x14ac:dyDescent="0.25">
      <c r="B91" s="13" t="s">
        <v>194</v>
      </c>
      <c r="C91" s="17" t="s">
        <v>195</v>
      </c>
      <c r="D91" s="14">
        <f>1+(10/5)</f>
        <v>3</v>
      </c>
      <c r="E91" s="17"/>
      <c r="F91" s="13"/>
      <c r="G91" s="13"/>
    </row>
    <row r="92" spans="2:7" ht="30" x14ac:dyDescent="0.25">
      <c r="B92" s="17" t="s">
        <v>304</v>
      </c>
      <c r="C92" s="17" t="s">
        <v>196</v>
      </c>
      <c r="D92" s="29">
        <v>0.1</v>
      </c>
      <c r="E92" s="17"/>
      <c r="F92" s="13" t="s">
        <v>197</v>
      </c>
      <c r="G92" s="13" t="s">
        <v>321</v>
      </c>
    </row>
    <row r="93" spans="2:7" ht="49.5" customHeight="1" x14ac:dyDescent="0.25">
      <c r="B93" s="13" t="s">
        <v>198</v>
      </c>
      <c r="C93" s="17" t="s">
        <v>199</v>
      </c>
      <c r="D93" s="99">
        <f>(1.25*(1-D92))/(10*((D39/D41)+((D70/2)*D90)))</f>
        <v>2.6523119666600519E-2</v>
      </c>
      <c r="E93" s="13" t="s">
        <v>20</v>
      </c>
      <c r="F93" s="13"/>
      <c r="G93" s="13"/>
    </row>
    <row r="94" spans="2:7" ht="54.75" customHeight="1" x14ac:dyDescent="0.25">
      <c r="B94" s="13" t="s">
        <v>201</v>
      </c>
      <c r="C94" s="17" t="s">
        <v>200</v>
      </c>
      <c r="D94" s="144">
        <f>(2.5*(1-D92))/(10*((((D36+D38)/D36)*(D39/D41))+((D71/2)*D91)))</f>
        <v>1.6936701217671331E-2</v>
      </c>
      <c r="E94" s="13" t="s">
        <v>20</v>
      </c>
      <c r="F94" s="13"/>
      <c r="G94" s="13"/>
    </row>
    <row r="95" spans="2:7" ht="45" x14ac:dyDescent="0.25">
      <c r="B95" s="58" t="s">
        <v>202</v>
      </c>
      <c r="C95" s="56" t="s">
        <v>190</v>
      </c>
      <c r="D95" s="64">
        <v>1.4999999999999999E-2</v>
      </c>
      <c r="E95" s="58" t="s">
        <v>20</v>
      </c>
      <c r="F95" s="58" t="s">
        <v>593</v>
      </c>
      <c r="G95" s="58"/>
    </row>
    <row r="96" spans="2:7" ht="26.25" customHeight="1" x14ac:dyDescent="0.25">
      <c r="B96" s="13" t="s">
        <v>203</v>
      </c>
      <c r="C96" s="17" t="s">
        <v>204</v>
      </c>
      <c r="D96" s="15">
        <f>(D73^2)*(D95)</f>
        <v>1.6156220671642505</v>
      </c>
      <c r="E96" s="13" t="s">
        <v>9</v>
      </c>
      <c r="F96" s="13"/>
      <c r="G96" s="13"/>
    </row>
    <row r="97" spans="2:7" ht="18" customHeight="1" x14ac:dyDescent="0.25">
      <c r="B97" s="13" t="s">
        <v>354</v>
      </c>
      <c r="C97" s="17"/>
      <c r="D97" s="54">
        <v>0.5</v>
      </c>
      <c r="E97" s="13"/>
      <c r="F97" s="13"/>
      <c r="G97" s="13"/>
    </row>
    <row r="98" spans="2:7" x14ac:dyDescent="0.25">
      <c r="B98" s="13" t="s">
        <v>207</v>
      </c>
      <c r="C98" s="17" t="s">
        <v>208</v>
      </c>
      <c r="D98" s="14">
        <f>D96/D97</f>
        <v>3.231244134328501</v>
      </c>
      <c r="E98" s="13" t="s">
        <v>9</v>
      </c>
      <c r="F98" s="13"/>
      <c r="G98" s="13"/>
    </row>
    <row r="99" spans="2:7" x14ac:dyDescent="0.25">
      <c r="B99" s="159" t="s">
        <v>451</v>
      </c>
      <c r="C99" s="160"/>
      <c r="D99" s="160"/>
      <c r="E99" s="161"/>
      <c r="F99" s="9"/>
      <c r="G99" s="9"/>
    </row>
    <row r="100" spans="2:7" x14ac:dyDescent="0.25">
      <c r="B100" s="33" t="s">
        <v>24</v>
      </c>
      <c r="C100" s="153" t="s">
        <v>452</v>
      </c>
      <c r="D100" s="153"/>
      <c r="E100" s="153"/>
      <c r="F100" s="13" t="s">
        <v>352</v>
      </c>
    </row>
    <row r="101" spans="2:7" x14ac:dyDescent="0.25">
      <c r="B101" s="33" t="s">
        <v>25</v>
      </c>
      <c r="C101" s="171" t="s">
        <v>348</v>
      </c>
      <c r="D101" s="171"/>
      <c r="E101" s="171"/>
      <c r="F101" s="13"/>
      <c r="G101" s="13"/>
    </row>
    <row r="102" spans="2:7" x14ac:dyDescent="0.25">
      <c r="B102" s="33" t="s">
        <v>84</v>
      </c>
      <c r="C102" s="152" t="s">
        <v>209</v>
      </c>
      <c r="D102" s="152"/>
      <c r="E102" s="152"/>
      <c r="F102" s="13"/>
      <c r="G102" s="13"/>
    </row>
    <row r="103" spans="2:7" x14ac:dyDescent="0.25">
      <c r="B103" s="33" t="s">
        <v>26</v>
      </c>
      <c r="C103" s="152" t="s">
        <v>349</v>
      </c>
      <c r="D103" s="152"/>
      <c r="E103" s="152"/>
      <c r="F103" s="13"/>
      <c r="G103" s="13"/>
    </row>
    <row r="104" spans="2:7" x14ac:dyDescent="0.25">
      <c r="B104" s="155" t="s">
        <v>330</v>
      </c>
      <c r="C104" s="156"/>
      <c r="D104" s="156"/>
      <c r="E104" s="156"/>
      <c r="F104" s="156"/>
      <c r="G104" s="157"/>
    </row>
    <row r="105" spans="2:7" ht="39.75" customHeight="1" x14ac:dyDescent="0.25">
      <c r="B105" s="13" t="s">
        <v>211</v>
      </c>
      <c r="C105" s="17" t="s">
        <v>210</v>
      </c>
      <c r="D105" s="81">
        <f>(((D69*10^-6)*(10^-6))/(2*D95))*10^12</f>
        <v>1100</v>
      </c>
      <c r="E105" s="13" t="s">
        <v>51</v>
      </c>
      <c r="F105" s="98"/>
      <c r="G105" s="13" t="s">
        <v>212</v>
      </c>
    </row>
    <row r="106" spans="2:7" x14ac:dyDescent="0.25">
      <c r="B106" s="58" t="s">
        <v>214</v>
      </c>
      <c r="C106" s="56" t="s">
        <v>210</v>
      </c>
      <c r="D106" s="101">
        <v>1000</v>
      </c>
      <c r="E106" s="58" t="s">
        <v>51</v>
      </c>
      <c r="F106" s="65"/>
      <c r="G106" s="58"/>
    </row>
    <row r="107" spans="2:7" x14ac:dyDescent="0.25">
      <c r="B107" s="159" t="s">
        <v>453</v>
      </c>
      <c r="C107" s="160"/>
      <c r="D107" s="160"/>
      <c r="E107" s="161"/>
      <c r="F107" s="9"/>
      <c r="G107" s="9"/>
    </row>
    <row r="108" spans="2:7" x14ac:dyDescent="0.25">
      <c r="B108" s="33" t="s">
        <v>24</v>
      </c>
      <c r="C108" s="153" t="s">
        <v>454</v>
      </c>
      <c r="D108" s="153"/>
      <c r="E108" s="153"/>
      <c r="F108" s="13"/>
      <c r="G108" s="13"/>
    </row>
    <row r="109" spans="2:7" x14ac:dyDescent="0.25">
      <c r="B109" s="33" t="s">
        <v>25</v>
      </c>
      <c r="C109" s="154" t="s">
        <v>442</v>
      </c>
      <c r="D109" s="154"/>
      <c r="E109" s="154"/>
      <c r="F109" s="13"/>
      <c r="G109" s="13"/>
    </row>
    <row r="110" spans="2:7" x14ac:dyDescent="0.25">
      <c r="B110" s="33" t="s">
        <v>84</v>
      </c>
      <c r="C110" s="185" t="s">
        <v>213</v>
      </c>
      <c r="D110" s="185"/>
      <c r="E110" s="185"/>
      <c r="F110" s="13"/>
      <c r="G110" s="13"/>
    </row>
    <row r="111" spans="2:7" ht="15" customHeight="1" x14ac:dyDescent="0.25">
      <c r="B111" s="33" t="s">
        <v>26</v>
      </c>
      <c r="C111" s="185" t="s">
        <v>441</v>
      </c>
      <c r="D111" s="185"/>
      <c r="E111" s="185"/>
      <c r="F111" s="13"/>
      <c r="G111" s="13"/>
    </row>
    <row r="112" spans="2:7" x14ac:dyDescent="0.25">
      <c r="B112" s="155" t="s">
        <v>305</v>
      </c>
      <c r="C112" s="156"/>
      <c r="D112" s="156"/>
      <c r="E112" s="156"/>
      <c r="F112" s="156"/>
      <c r="G112" s="157"/>
    </row>
    <row r="113" spans="2:7" ht="58.5" customHeight="1" x14ac:dyDescent="0.25">
      <c r="B113" s="13" t="s">
        <v>322</v>
      </c>
      <c r="C113" s="17" t="s">
        <v>215</v>
      </c>
      <c r="D113" s="14">
        <f>(1.25-((50*10^-6*D38)/(D106*10^-12*D56*D37)))/(10*D95)</f>
        <v>8</v>
      </c>
      <c r="E113" s="13" t="s">
        <v>14</v>
      </c>
      <c r="F113" s="40"/>
      <c r="G113" s="13"/>
    </row>
    <row r="114" spans="2:7" ht="58.5" customHeight="1" x14ac:dyDescent="0.25">
      <c r="B114" s="13" t="s">
        <v>323</v>
      </c>
      <c r="C114" s="17" t="s">
        <v>216</v>
      </c>
      <c r="D114" s="14">
        <f>(2.5-((50*10^-6*D38)/(D106*10^-12*D56*(D36+D38))))/(10*D95)</f>
        <v>15.882352941176471</v>
      </c>
      <c r="E114" s="13" t="s">
        <v>14</v>
      </c>
      <c r="F114" s="40"/>
      <c r="G114" s="13"/>
    </row>
    <row r="115" spans="2:7" x14ac:dyDescent="0.25">
      <c r="B115" s="155" t="s">
        <v>347</v>
      </c>
      <c r="C115" s="156"/>
      <c r="D115" s="156"/>
      <c r="E115" s="156"/>
      <c r="F115" s="156"/>
      <c r="G115" s="157"/>
    </row>
    <row r="116" spans="2:7" x14ac:dyDescent="0.25">
      <c r="B116" s="13" t="s">
        <v>359</v>
      </c>
      <c r="C116" s="17" t="s">
        <v>358</v>
      </c>
      <c r="D116" s="14">
        <v>1.23</v>
      </c>
      <c r="E116" s="13" t="s">
        <v>12</v>
      </c>
      <c r="F116" s="98"/>
      <c r="G116" s="13"/>
    </row>
    <row r="117" spans="2:7" x14ac:dyDescent="0.25">
      <c r="B117" s="17" t="s">
        <v>360</v>
      </c>
      <c r="C117" s="17" t="s">
        <v>28</v>
      </c>
      <c r="D117" s="14">
        <v>1.212</v>
      </c>
      <c r="E117" s="17" t="s">
        <v>12</v>
      </c>
      <c r="F117" s="13"/>
      <c r="G117" s="13"/>
    </row>
    <row r="118" spans="2:7" x14ac:dyDescent="0.25">
      <c r="B118" s="17" t="s">
        <v>361</v>
      </c>
      <c r="C118" s="17" t="s">
        <v>29</v>
      </c>
      <c r="D118" s="14">
        <v>1.248</v>
      </c>
      <c r="E118" s="17" t="s">
        <v>12</v>
      </c>
      <c r="F118" s="13"/>
      <c r="G118" s="13"/>
    </row>
    <row r="119" spans="2:7" x14ac:dyDescent="0.25">
      <c r="B119" s="58" t="s">
        <v>355</v>
      </c>
      <c r="C119" s="56" t="s">
        <v>65</v>
      </c>
      <c r="D119" s="60">
        <v>1200</v>
      </c>
      <c r="E119" s="58" t="s">
        <v>20</v>
      </c>
      <c r="F119" s="66"/>
      <c r="G119" s="58" t="s">
        <v>321</v>
      </c>
    </row>
    <row r="120" spans="2:7" ht="36.75" customHeight="1" x14ac:dyDescent="0.25">
      <c r="B120" s="13" t="s">
        <v>356</v>
      </c>
      <c r="C120" s="17" t="s">
        <v>66</v>
      </c>
      <c r="D120" s="30">
        <f>D119*((D38/D116)-1)</f>
        <v>10507.317073170732</v>
      </c>
      <c r="E120" s="13" t="s">
        <v>20</v>
      </c>
      <c r="F120" s="13"/>
      <c r="G120" s="13"/>
    </row>
    <row r="121" spans="2:7" x14ac:dyDescent="0.25">
      <c r="B121" s="58" t="s">
        <v>357</v>
      </c>
      <c r="C121" s="56" t="s">
        <v>66</v>
      </c>
      <c r="D121" s="103">
        <v>10.5</v>
      </c>
      <c r="E121" s="58" t="s">
        <v>23</v>
      </c>
      <c r="F121" s="58"/>
      <c r="G121" s="58" t="s">
        <v>321</v>
      </c>
    </row>
    <row r="122" spans="2:7" x14ac:dyDescent="0.25">
      <c r="B122" s="13" t="s">
        <v>127</v>
      </c>
      <c r="C122" s="17" t="s">
        <v>167</v>
      </c>
      <c r="D122" s="15">
        <f>D38/(D119+(D121*1000))*1000</f>
        <v>1.0256410256410255</v>
      </c>
      <c r="E122" s="13" t="s">
        <v>341</v>
      </c>
      <c r="F122" s="67"/>
      <c r="G122" s="142"/>
    </row>
    <row r="123" spans="2:7" x14ac:dyDescent="0.25">
      <c r="B123" s="13" t="s">
        <v>128</v>
      </c>
      <c r="C123" s="17" t="s">
        <v>129</v>
      </c>
      <c r="D123" s="16">
        <f>(D122*10^-3)^2*D119</f>
        <v>1.2623274161735702E-3</v>
      </c>
      <c r="E123" s="13" t="s">
        <v>9</v>
      </c>
      <c r="F123" s="199"/>
      <c r="G123" s="67"/>
    </row>
    <row r="124" spans="2:7" x14ac:dyDescent="0.25">
      <c r="B124" s="13" t="s">
        <v>130</v>
      </c>
      <c r="C124" s="17" t="s">
        <v>362</v>
      </c>
      <c r="D124" s="14">
        <f>(D122*10^-3)^2*(D121*1000)</f>
        <v>1.1045364891518739E-2</v>
      </c>
      <c r="E124" s="13" t="s">
        <v>9</v>
      </c>
      <c r="F124" s="201"/>
      <c r="G124" s="67"/>
    </row>
    <row r="125" spans="2:7" ht="18" customHeight="1" x14ac:dyDescent="0.25">
      <c r="B125" s="13" t="s">
        <v>363</v>
      </c>
      <c r="C125" s="13"/>
      <c r="D125" s="54">
        <v>0.5</v>
      </c>
      <c r="E125" s="13"/>
      <c r="F125" s="13"/>
      <c r="G125" s="13"/>
    </row>
    <row r="126" spans="2:7" ht="18" customHeight="1" x14ac:dyDescent="0.25">
      <c r="B126" s="13" t="s">
        <v>366</v>
      </c>
      <c r="C126" s="13" t="s">
        <v>367</v>
      </c>
      <c r="D126" s="14">
        <f>D123/D125</f>
        <v>2.5246548323471403E-3</v>
      </c>
      <c r="E126" s="13" t="s">
        <v>9</v>
      </c>
      <c r="F126" s="13"/>
      <c r="G126" s="13"/>
    </row>
    <row r="127" spans="2:7" ht="18" customHeight="1" x14ac:dyDescent="0.25">
      <c r="B127" s="13" t="s">
        <v>364</v>
      </c>
      <c r="C127" s="13" t="s">
        <v>365</v>
      </c>
      <c r="D127" s="14">
        <f>D124/D125</f>
        <v>2.2090729783037479E-2</v>
      </c>
      <c r="E127" s="13" t="s">
        <v>9</v>
      </c>
      <c r="F127" s="13"/>
      <c r="G127" s="13"/>
    </row>
    <row r="128" spans="2:7" x14ac:dyDescent="0.25">
      <c r="B128" s="17" t="s">
        <v>31</v>
      </c>
      <c r="C128" s="17" t="s">
        <v>32</v>
      </c>
      <c r="D128" s="15">
        <f>D117*((D146/D137)+1)</f>
        <v>11.817</v>
      </c>
      <c r="E128" s="13" t="s">
        <v>12</v>
      </c>
      <c r="F128" s="199"/>
      <c r="G128" s="67"/>
    </row>
    <row r="129" spans="2:7" x14ac:dyDescent="0.25">
      <c r="B129" s="17" t="s">
        <v>33</v>
      </c>
      <c r="C129" s="17" t="s">
        <v>34</v>
      </c>
      <c r="D129" s="15">
        <f>D116*((D147/D138)+1)</f>
        <v>11.9925</v>
      </c>
      <c r="E129" s="13" t="s">
        <v>12</v>
      </c>
      <c r="F129" s="200"/>
      <c r="G129" s="15"/>
    </row>
    <row r="130" spans="2:7" x14ac:dyDescent="0.25">
      <c r="B130" s="17" t="s">
        <v>35</v>
      </c>
      <c r="C130" s="17" t="s">
        <v>36</v>
      </c>
      <c r="D130" s="15">
        <f>D118*((D148/D139)+1)</f>
        <v>12.167999999999999</v>
      </c>
      <c r="E130" s="13" t="s">
        <v>12</v>
      </c>
      <c r="F130" s="201"/>
      <c r="G130" s="13"/>
    </row>
    <row r="131" spans="2:7" x14ac:dyDescent="0.25">
      <c r="B131" s="159" t="s">
        <v>455</v>
      </c>
      <c r="C131" s="160"/>
      <c r="D131" s="160"/>
      <c r="E131" s="161"/>
      <c r="F131" s="9"/>
      <c r="G131" s="9"/>
    </row>
    <row r="132" spans="2:7" x14ac:dyDescent="0.25">
      <c r="B132" s="33" t="s">
        <v>24</v>
      </c>
      <c r="C132" s="153" t="s">
        <v>456</v>
      </c>
      <c r="D132" s="153"/>
      <c r="E132" s="153"/>
      <c r="F132" s="13"/>
      <c r="G132" s="13"/>
    </row>
    <row r="133" spans="2:7" x14ac:dyDescent="0.25">
      <c r="B133" s="33" t="s">
        <v>25</v>
      </c>
      <c r="C133" s="181" t="s">
        <v>495</v>
      </c>
      <c r="D133" s="182"/>
      <c r="E133" s="183"/>
      <c r="F133" s="102" t="s">
        <v>164</v>
      </c>
      <c r="G133" s="13"/>
    </row>
    <row r="134" spans="2:7" x14ac:dyDescent="0.25">
      <c r="B134" s="33" t="s">
        <v>84</v>
      </c>
      <c r="C134" s="152" t="s">
        <v>188</v>
      </c>
      <c r="D134" s="152"/>
      <c r="E134" s="152"/>
      <c r="F134" s="13"/>
      <c r="G134" s="13"/>
    </row>
    <row r="135" spans="2:7" x14ac:dyDescent="0.25">
      <c r="B135" s="33" t="s">
        <v>26</v>
      </c>
      <c r="C135" s="152" t="s">
        <v>496</v>
      </c>
      <c r="D135" s="152"/>
      <c r="E135" s="152"/>
      <c r="F135" s="102" t="s">
        <v>165</v>
      </c>
      <c r="G135" s="13"/>
    </row>
    <row r="136" spans="2:7" x14ac:dyDescent="0.25">
      <c r="B136" s="17" t="s">
        <v>67</v>
      </c>
      <c r="C136" s="17"/>
      <c r="D136" s="32">
        <v>0.01</v>
      </c>
      <c r="E136" s="67"/>
      <c r="F136" s="13"/>
      <c r="G136" s="13"/>
    </row>
    <row r="137" spans="2:7" x14ac:dyDescent="0.25">
      <c r="B137" s="17" t="s">
        <v>71</v>
      </c>
      <c r="C137" s="17" t="s">
        <v>77</v>
      </c>
      <c r="D137" s="15">
        <f>D138-(D138*D136)</f>
        <v>1188</v>
      </c>
      <c r="E137" s="13" t="s">
        <v>20</v>
      </c>
      <c r="F137" s="13"/>
      <c r="G137" s="13"/>
    </row>
    <row r="138" spans="2:7" x14ac:dyDescent="0.25">
      <c r="B138" s="17" t="s">
        <v>72</v>
      </c>
      <c r="C138" s="17" t="s">
        <v>78</v>
      </c>
      <c r="D138" s="30">
        <f>D119</f>
        <v>1200</v>
      </c>
      <c r="E138" s="13" t="s">
        <v>20</v>
      </c>
      <c r="F138" s="13"/>
      <c r="G138" s="13"/>
    </row>
    <row r="139" spans="2:7" x14ac:dyDescent="0.25">
      <c r="B139" s="17" t="s">
        <v>73</v>
      </c>
      <c r="C139" s="17" t="s">
        <v>79</v>
      </c>
      <c r="D139" s="15">
        <f>D138+(D136*D138)</f>
        <v>1212</v>
      </c>
      <c r="E139" s="13" t="s">
        <v>20</v>
      </c>
      <c r="F139" s="13"/>
      <c r="G139" s="13"/>
    </row>
    <row r="140" spans="2:7" x14ac:dyDescent="0.25">
      <c r="B140" s="158" t="s">
        <v>457</v>
      </c>
      <c r="C140" s="158"/>
      <c r="D140" s="158"/>
      <c r="E140" s="158"/>
      <c r="F140" s="9"/>
      <c r="G140" s="9"/>
    </row>
    <row r="141" spans="2:7" x14ac:dyDescent="0.25">
      <c r="B141" s="33" t="s">
        <v>24</v>
      </c>
      <c r="C141" s="153" t="s">
        <v>458</v>
      </c>
      <c r="D141" s="153"/>
      <c r="E141" s="153"/>
      <c r="F141" s="13"/>
      <c r="G141" s="13"/>
    </row>
    <row r="142" spans="2:7" x14ac:dyDescent="0.25">
      <c r="B142" s="33" t="s">
        <v>25</v>
      </c>
      <c r="C142" s="171" t="s">
        <v>498</v>
      </c>
      <c r="D142" s="171"/>
      <c r="E142" s="171"/>
      <c r="F142" s="102" t="s">
        <v>166</v>
      </c>
      <c r="G142" s="13"/>
    </row>
    <row r="143" spans="2:7" x14ac:dyDescent="0.25">
      <c r="B143" s="33" t="s">
        <v>84</v>
      </c>
      <c r="C143" s="152" t="s">
        <v>188</v>
      </c>
      <c r="D143" s="152"/>
      <c r="E143" s="152"/>
      <c r="F143" s="13"/>
      <c r="G143" s="13"/>
    </row>
    <row r="144" spans="2:7" x14ac:dyDescent="0.25">
      <c r="B144" s="33" t="s">
        <v>26</v>
      </c>
      <c r="C144" s="152" t="s">
        <v>499</v>
      </c>
      <c r="D144" s="152"/>
      <c r="E144" s="152"/>
      <c r="F144" s="102" t="s">
        <v>497</v>
      </c>
      <c r="G144" s="13"/>
    </row>
    <row r="145" spans="2:7" x14ac:dyDescent="0.25">
      <c r="B145" s="17" t="s">
        <v>30</v>
      </c>
      <c r="C145" s="17"/>
      <c r="D145" s="29">
        <v>0.01</v>
      </c>
      <c r="E145" s="67"/>
      <c r="F145" s="13"/>
      <c r="G145" s="13"/>
    </row>
    <row r="146" spans="2:7" x14ac:dyDescent="0.25">
      <c r="B146" s="17" t="s">
        <v>68</v>
      </c>
      <c r="C146" s="17" t="s">
        <v>74</v>
      </c>
      <c r="D146" s="28">
        <f>D147-(D147*D145)</f>
        <v>10395</v>
      </c>
      <c r="E146" s="13" t="s">
        <v>20</v>
      </c>
      <c r="F146" s="13"/>
      <c r="G146" s="13"/>
    </row>
    <row r="147" spans="2:7" x14ac:dyDescent="0.25">
      <c r="B147" s="17" t="s">
        <v>69</v>
      </c>
      <c r="C147" s="17" t="s">
        <v>75</v>
      </c>
      <c r="D147" s="28">
        <f>D121*1000</f>
        <v>10500</v>
      </c>
      <c r="E147" s="13" t="s">
        <v>20</v>
      </c>
      <c r="F147" s="13"/>
      <c r="G147" s="13"/>
    </row>
    <row r="148" spans="2:7" x14ac:dyDescent="0.25">
      <c r="B148" s="17" t="s">
        <v>70</v>
      </c>
      <c r="C148" s="17" t="s">
        <v>76</v>
      </c>
      <c r="D148" s="28">
        <f>(D147+D145*D147)</f>
        <v>10605</v>
      </c>
      <c r="E148" s="13" t="s">
        <v>20</v>
      </c>
      <c r="F148" s="13"/>
      <c r="G148" s="13"/>
    </row>
    <row r="149" spans="2:7" ht="21.75" customHeight="1" x14ac:dyDescent="0.25">
      <c r="B149" s="155" t="s">
        <v>217</v>
      </c>
      <c r="C149" s="156"/>
      <c r="D149" s="156"/>
      <c r="E149" s="156"/>
      <c r="F149" s="156"/>
      <c r="G149" s="157"/>
    </row>
    <row r="150" spans="2:7" ht="18.75" customHeight="1" x14ac:dyDescent="0.25">
      <c r="B150" s="164" t="s">
        <v>225</v>
      </c>
      <c r="C150" s="165"/>
      <c r="D150" s="165"/>
      <c r="E150" s="165"/>
      <c r="F150" s="165"/>
      <c r="G150" s="166"/>
    </row>
    <row r="151" spans="2:7" ht="30" x14ac:dyDescent="0.25">
      <c r="B151" s="13" t="s">
        <v>219</v>
      </c>
      <c r="C151" s="17" t="s">
        <v>119</v>
      </c>
      <c r="D151" s="28">
        <v>3</v>
      </c>
      <c r="E151" s="13" t="s">
        <v>14</v>
      </c>
      <c r="F151" s="13"/>
      <c r="G151" s="13" t="s">
        <v>220</v>
      </c>
    </row>
    <row r="152" spans="2:7" x14ac:dyDescent="0.25">
      <c r="B152" s="13" t="s">
        <v>311</v>
      </c>
      <c r="C152" s="17"/>
      <c r="D152" s="29">
        <v>0.5</v>
      </c>
      <c r="E152" s="13"/>
      <c r="F152" s="13"/>
      <c r="G152" s="13"/>
    </row>
    <row r="153" spans="2:7" ht="30" x14ac:dyDescent="0.25">
      <c r="B153" s="13" t="s">
        <v>218</v>
      </c>
      <c r="C153" s="17" t="s">
        <v>121</v>
      </c>
      <c r="D153" s="28">
        <f>D151/D152</f>
        <v>6</v>
      </c>
      <c r="E153" s="13" t="s">
        <v>14</v>
      </c>
      <c r="F153" s="13"/>
      <c r="G153" s="13" t="s">
        <v>120</v>
      </c>
    </row>
    <row r="154" spans="2:7" x14ac:dyDescent="0.25">
      <c r="B154" s="13" t="s">
        <v>312</v>
      </c>
      <c r="C154" s="17"/>
      <c r="D154" s="29">
        <v>0.5</v>
      </c>
      <c r="E154" s="13"/>
      <c r="F154" s="13"/>
      <c r="G154" s="13"/>
    </row>
    <row r="155" spans="2:7" ht="39" customHeight="1" x14ac:dyDescent="0.25">
      <c r="B155" s="13" t="s">
        <v>302</v>
      </c>
      <c r="C155" s="17" t="s">
        <v>123</v>
      </c>
      <c r="D155" s="28">
        <f>D38/D154</f>
        <v>24</v>
      </c>
      <c r="E155" s="13"/>
      <c r="F155" s="5"/>
      <c r="G155" s="13" t="s">
        <v>368</v>
      </c>
    </row>
    <row r="156" spans="2:7" ht="17.25" customHeight="1" x14ac:dyDescent="0.25">
      <c r="B156" s="159" t="s">
        <v>459</v>
      </c>
      <c r="C156" s="160"/>
      <c r="D156" s="160"/>
      <c r="E156" s="161"/>
      <c r="F156" s="13"/>
      <c r="G156" s="13"/>
    </row>
    <row r="157" spans="2:7" ht="17.25" customHeight="1" x14ac:dyDescent="0.25">
      <c r="B157" s="33" t="s">
        <v>24</v>
      </c>
      <c r="C157" s="153" t="s">
        <v>460</v>
      </c>
      <c r="D157" s="153"/>
      <c r="E157" s="153"/>
      <c r="F157" s="13"/>
      <c r="G157" s="13"/>
    </row>
    <row r="158" spans="2:7" ht="17.25" customHeight="1" x14ac:dyDescent="0.25">
      <c r="B158" s="33" t="s">
        <v>25</v>
      </c>
      <c r="C158" s="154" t="s">
        <v>568</v>
      </c>
      <c r="D158" s="154"/>
      <c r="E158" s="154"/>
      <c r="F158" s="61"/>
      <c r="G158" s="13"/>
    </row>
    <row r="159" spans="2:7" x14ac:dyDescent="0.25">
      <c r="B159" s="33" t="s">
        <v>84</v>
      </c>
      <c r="C159" s="185" t="s">
        <v>567</v>
      </c>
      <c r="D159" s="185"/>
      <c r="E159" s="185"/>
      <c r="F159" s="13"/>
      <c r="G159" s="13"/>
    </row>
    <row r="160" spans="2:7" ht="21.75" customHeight="1" x14ac:dyDescent="0.25">
      <c r="B160" s="33" t="s">
        <v>26</v>
      </c>
      <c r="C160" s="185" t="s">
        <v>569</v>
      </c>
      <c r="D160" s="185"/>
      <c r="E160" s="185"/>
      <c r="F160" s="13"/>
      <c r="G160" s="13"/>
    </row>
    <row r="161" spans="2:7" ht="17.25" customHeight="1" x14ac:dyDescent="0.25">
      <c r="B161" s="33" t="s">
        <v>124</v>
      </c>
      <c r="C161" s="79" t="s">
        <v>85</v>
      </c>
      <c r="D161" s="100">
        <v>60</v>
      </c>
      <c r="E161" s="79" t="s">
        <v>12</v>
      </c>
      <c r="F161" s="13"/>
      <c r="G161" s="13"/>
    </row>
    <row r="162" spans="2:7" ht="17.25" customHeight="1" x14ac:dyDescent="0.25">
      <c r="B162" s="33" t="s">
        <v>315</v>
      </c>
      <c r="C162" s="79" t="s">
        <v>119</v>
      </c>
      <c r="D162" s="100">
        <v>10</v>
      </c>
      <c r="E162" s="79" t="s">
        <v>14</v>
      </c>
      <c r="F162" s="13"/>
      <c r="G162" s="13"/>
    </row>
    <row r="163" spans="2:7" x14ac:dyDescent="0.25">
      <c r="B163" s="33" t="s">
        <v>316</v>
      </c>
      <c r="C163" s="79" t="s">
        <v>126</v>
      </c>
      <c r="D163" s="80">
        <v>0.28000000000000003</v>
      </c>
      <c r="E163" s="79" t="s">
        <v>12</v>
      </c>
      <c r="F163" s="13"/>
      <c r="G163" s="13" t="s">
        <v>570</v>
      </c>
    </row>
    <row r="164" spans="2:7" ht="27" customHeight="1" x14ac:dyDescent="0.25">
      <c r="B164" s="13" t="s">
        <v>224</v>
      </c>
      <c r="C164" s="79" t="s">
        <v>63</v>
      </c>
      <c r="D164" s="80">
        <f>D151*D163</f>
        <v>0.84000000000000008</v>
      </c>
      <c r="E164" s="79" t="s">
        <v>9</v>
      </c>
      <c r="F164" s="13"/>
      <c r="G164" s="13"/>
    </row>
    <row r="165" spans="2:7" ht="30" x14ac:dyDescent="0.25">
      <c r="B165" s="13" t="s">
        <v>106</v>
      </c>
      <c r="C165" s="79" t="s">
        <v>107</v>
      </c>
      <c r="D165" s="100">
        <v>70</v>
      </c>
      <c r="E165" s="79" t="s">
        <v>125</v>
      </c>
      <c r="F165" s="13"/>
      <c r="G165" s="13" t="s">
        <v>571</v>
      </c>
    </row>
    <row r="166" spans="2:7" x14ac:dyDescent="0.25">
      <c r="B166" s="36" t="s">
        <v>314</v>
      </c>
      <c r="C166" s="37" t="s">
        <v>52</v>
      </c>
      <c r="D166" s="38">
        <v>70</v>
      </c>
      <c r="E166" s="13" t="s">
        <v>53</v>
      </c>
      <c r="F166" s="36"/>
      <c r="G166" s="13"/>
    </row>
    <row r="167" spans="2:7" ht="30.75" customHeight="1" x14ac:dyDescent="0.25">
      <c r="B167" s="36" t="s">
        <v>313</v>
      </c>
      <c r="C167" s="37" t="s">
        <v>54</v>
      </c>
      <c r="D167" s="38">
        <f>D166+(D165*D164)</f>
        <v>128.80000000000001</v>
      </c>
      <c r="E167" s="13" t="s">
        <v>53</v>
      </c>
      <c r="F167" s="36"/>
      <c r="G167" s="131" t="s">
        <v>557</v>
      </c>
    </row>
    <row r="168" spans="2:7" x14ac:dyDescent="0.25">
      <c r="B168" s="36" t="s">
        <v>86</v>
      </c>
      <c r="C168" s="37" t="s">
        <v>55</v>
      </c>
      <c r="D168" s="38">
        <v>175</v>
      </c>
      <c r="E168" s="13" t="s">
        <v>53</v>
      </c>
      <c r="F168" s="36"/>
      <c r="G168" s="13" t="s">
        <v>87</v>
      </c>
    </row>
    <row r="169" spans="2:7" x14ac:dyDescent="0.25">
      <c r="B169" s="13" t="s">
        <v>369</v>
      </c>
      <c r="C169" s="17" t="s">
        <v>370</v>
      </c>
      <c r="D169" s="28">
        <f>D168-D167</f>
        <v>46.199999999999989</v>
      </c>
      <c r="E169" s="13" t="s">
        <v>53</v>
      </c>
      <c r="F169" s="67"/>
      <c r="G169" s="13" t="s">
        <v>371</v>
      </c>
    </row>
    <row r="170" spans="2:7" ht="18.75" customHeight="1" x14ac:dyDescent="0.25">
      <c r="B170" s="164" t="s">
        <v>226</v>
      </c>
      <c r="C170" s="165"/>
      <c r="D170" s="165"/>
      <c r="E170" s="165"/>
      <c r="F170" s="165"/>
      <c r="G170" s="166"/>
    </row>
    <row r="171" spans="2:7" ht="33.75" customHeight="1" x14ac:dyDescent="0.25">
      <c r="B171" s="13" t="s">
        <v>118</v>
      </c>
      <c r="C171" s="17" t="s">
        <v>119</v>
      </c>
      <c r="D171" s="76">
        <f>D39*(1-D53)</f>
        <v>2.0999999999999996</v>
      </c>
      <c r="E171" s="13" t="s">
        <v>14</v>
      </c>
      <c r="F171" s="13"/>
      <c r="G171" s="13"/>
    </row>
    <row r="172" spans="2:7" x14ac:dyDescent="0.25">
      <c r="B172" s="13" t="s">
        <v>311</v>
      </c>
      <c r="C172" s="17"/>
      <c r="D172" s="29">
        <v>0.5</v>
      </c>
      <c r="E172" s="13"/>
      <c r="F172" s="13"/>
      <c r="G172" s="13"/>
    </row>
    <row r="173" spans="2:7" ht="30" x14ac:dyDescent="0.2">
      <c r="B173" s="13" t="s">
        <v>303</v>
      </c>
      <c r="C173" s="17" t="s">
        <v>121</v>
      </c>
      <c r="D173" s="15">
        <f>D171/D172</f>
        <v>4.1999999999999993</v>
      </c>
      <c r="E173" s="13" t="s">
        <v>14</v>
      </c>
      <c r="F173" s="143"/>
      <c r="G173" s="13" t="s">
        <v>120</v>
      </c>
    </row>
    <row r="174" spans="2:7" x14ac:dyDescent="0.25">
      <c r="B174" s="13" t="s">
        <v>312</v>
      </c>
      <c r="C174" s="17"/>
      <c r="D174" s="29">
        <v>0.5</v>
      </c>
      <c r="E174" s="13"/>
      <c r="F174" s="13"/>
      <c r="G174" s="13"/>
    </row>
    <row r="175" spans="2:7" ht="30" x14ac:dyDescent="0.25">
      <c r="B175" s="13" t="s">
        <v>302</v>
      </c>
      <c r="C175" s="17" t="s">
        <v>123</v>
      </c>
      <c r="D175" s="15">
        <f>D37/D174</f>
        <v>80</v>
      </c>
      <c r="E175" s="13"/>
      <c r="F175" s="13"/>
      <c r="G175" s="13" t="s">
        <v>122</v>
      </c>
    </row>
    <row r="176" spans="2:7" ht="17.25" customHeight="1" x14ac:dyDescent="0.25">
      <c r="B176" s="158" t="s">
        <v>461</v>
      </c>
      <c r="C176" s="158"/>
      <c r="D176" s="158"/>
      <c r="E176" s="158"/>
      <c r="F176" s="13"/>
      <c r="G176" s="13"/>
    </row>
    <row r="177" spans="2:7" ht="17.25" customHeight="1" x14ac:dyDescent="0.25">
      <c r="B177" s="33" t="s">
        <v>24</v>
      </c>
      <c r="C177" s="153" t="s">
        <v>462</v>
      </c>
      <c r="D177" s="153"/>
      <c r="E177" s="153"/>
      <c r="F177" s="13"/>
      <c r="G177" s="13"/>
    </row>
    <row r="178" spans="2:7" ht="17.25" customHeight="1" x14ac:dyDescent="0.25">
      <c r="B178" s="33" t="s">
        <v>25</v>
      </c>
      <c r="C178" s="154" t="s">
        <v>568</v>
      </c>
      <c r="D178" s="154"/>
      <c r="E178" s="154"/>
      <c r="F178" s="61"/>
      <c r="G178" s="13"/>
    </row>
    <row r="179" spans="2:7" ht="15" customHeight="1" x14ac:dyDescent="0.25">
      <c r="B179" s="33" t="s">
        <v>84</v>
      </c>
      <c r="C179" s="185" t="s">
        <v>567</v>
      </c>
      <c r="D179" s="185"/>
      <c r="E179" s="185"/>
      <c r="F179" s="13"/>
      <c r="G179" s="13"/>
    </row>
    <row r="180" spans="2:7" ht="24" customHeight="1" x14ac:dyDescent="0.25">
      <c r="B180" s="33" t="s">
        <v>26</v>
      </c>
      <c r="C180" s="185" t="s">
        <v>569</v>
      </c>
      <c r="D180" s="185"/>
      <c r="E180" s="185"/>
      <c r="F180" s="13"/>
      <c r="G180" s="13"/>
    </row>
    <row r="181" spans="2:7" ht="17.25" customHeight="1" x14ac:dyDescent="0.25">
      <c r="B181" s="33" t="s">
        <v>124</v>
      </c>
      <c r="C181" s="79" t="s">
        <v>85</v>
      </c>
      <c r="D181" s="100">
        <v>60</v>
      </c>
      <c r="E181" s="79" t="s">
        <v>12</v>
      </c>
      <c r="F181" s="13"/>
      <c r="G181" s="13" t="s">
        <v>572</v>
      </c>
    </row>
    <row r="182" spans="2:7" ht="17.25" customHeight="1" x14ac:dyDescent="0.25">
      <c r="B182" s="33" t="s">
        <v>315</v>
      </c>
      <c r="C182" s="79" t="s">
        <v>119</v>
      </c>
      <c r="D182" s="100">
        <v>10</v>
      </c>
      <c r="E182" s="79" t="s">
        <v>14</v>
      </c>
      <c r="F182" s="13"/>
      <c r="G182" s="13"/>
    </row>
    <row r="183" spans="2:7" x14ac:dyDescent="0.25">
      <c r="B183" s="33" t="s">
        <v>316</v>
      </c>
      <c r="C183" s="79" t="s">
        <v>126</v>
      </c>
      <c r="D183" s="134">
        <v>0.28000000000000003</v>
      </c>
      <c r="E183" s="79" t="s">
        <v>12</v>
      </c>
      <c r="F183" s="13"/>
      <c r="G183" s="13" t="s">
        <v>570</v>
      </c>
    </row>
    <row r="184" spans="2:7" ht="29.25" customHeight="1" x14ac:dyDescent="0.25">
      <c r="B184" s="13" t="s">
        <v>224</v>
      </c>
      <c r="C184" s="17" t="s">
        <v>63</v>
      </c>
      <c r="D184" s="76">
        <f>D183*D171</f>
        <v>0.58799999999999997</v>
      </c>
      <c r="E184" s="17" t="s">
        <v>9</v>
      </c>
      <c r="F184" s="13"/>
      <c r="G184" s="13"/>
    </row>
    <row r="185" spans="2:7" ht="30" x14ac:dyDescent="0.25">
      <c r="B185" s="13" t="s">
        <v>106</v>
      </c>
      <c r="C185" s="17" t="s">
        <v>107</v>
      </c>
      <c r="D185" s="85">
        <v>70</v>
      </c>
      <c r="E185" s="17" t="s">
        <v>125</v>
      </c>
      <c r="F185" s="13"/>
      <c r="G185" s="13" t="s">
        <v>571</v>
      </c>
    </row>
    <row r="186" spans="2:7" x14ac:dyDescent="0.25">
      <c r="B186" s="36" t="s">
        <v>314</v>
      </c>
      <c r="C186" s="37" t="s">
        <v>52</v>
      </c>
      <c r="D186" s="94">
        <v>70</v>
      </c>
      <c r="E186" s="13" t="s">
        <v>53</v>
      </c>
      <c r="F186" s="36"/>
      <c r="G186" s="13"/>
    </row>
    <row r="187" spans="2:7" ht="28.5" customHeight="1" x14ac:dyDescent="0.25">
      <c r="B187" s="36" t="s">
        <v>313</v>
      </c>
      <c r="C187" s="37" t="s">
        <v>54</v>
      </c>
      <c r="D187" s="94">
        <f>D186+(D185*D184)</f>
        <v>111.16</v>
      </c>
      <c r="E187" s="13" t="s">
        <v>53</v>
      </c>
      <c r="F187" s="36"/>
      <c r="G187" s="131" t="s">
        <v>557</v>
      </c>
    </row>
    <row r="188" spans="2:7" x14ac:dyDescent="0.25">
      <c r="B188" s="36" t="s">
        <v>86</v>
      </c>
      <c r="C188" s="37" t="s">
        <v>55</v>
      </c>
      <c r="D188" s="38">
        <v>175</v>
      </c>
      <c r="E188" s="13" t="s">
        <v>53</v>
      </c>
      <c r="F188" s="36"/>
      <c r="G188" s="13" t="s">
        <v>87</v>
      </c>
    </row>
    <row r="189" spans="2:7" x14ac:dyDescent="0.25">
      <c r="B189" s="13" t="s">
        <v>369</v>
      </c>
      <c r="C189" s="17" t="s">
        <v>370</v>
      </c>
      <c r="D189" s="28">
        <f>D188-D187</f>
        <v>63.84</v>
      </c>
      <c r="E189" s="13" t="s">
        <v>53</v>
      </c>
      <c r="F189" s="67"/>
      <c r="G189" s="13" t="s">
        <v>371</v>
      </c>
    </row>
    <row r="190" spans="2:7" ht="21.75" customHeight="1" x14ac:dyDescent="0.25">
      <c r="B190" s="155" t="s">
        <v>372</v>
      </c>
      <c r="C190" s="156"/>
      <c r="D190" s="156"/>
      <c r="E190" s="156"/>
      <c r="F190" s="156"/>
      <c r="G190" s="157"/>
    </row>
    <row r="191" spans="2:7" ht="21" customHeight="1" x14ac:dyDescent="0.25">
      <c r="B191" s="164" t="s">
        <v>420</v>
      </c>
      <c r="C191" s="165"/>
      <c r="D191" s="165"/>
      <c r="E191" s="165"/>
      <c r="F191" s="165"/>
      <c r="G191" s="166"/>
    </row>
    <row r="192" spans="2:7" ht="30" x14ac:dyDescent="0.25">
      <c r="B192" s="55" t="s">
        <v>415</v>
      </c>
      <c r="C192" s="75" t="s">
        <v>383</v>
      </c>
      <c r="D192" s="76">
        <f>D74</f>
        <v>3.0099823717383623</v>
      </c>
      <c r="E192" s="55" t="s">
        <v>14</v>
      </c>
      <c r="F192" s="55" t="s">
        <v>501</v>
      </c>
      <c r="G192" s="55" t="s">
        <v>500</v>
      </c>
    </row>
    <row r="193" spans="2:7" x14ac:dyDescent="0.25">
      <c r="B193" s="55" t="s">
        <v>311</v>
      </c>
      <c r="C193" s="75"/>
      <c r="D193" s="95">
        <v>0.5</v>
      </c>
      <c r="E193" s="55"/>
      <c r="F193" s="55"/>
      <c r="G193" s="55"/>
    </row>
    <row r="194" spans="2:7" x14ac:dyDescent="0.25">
      <c r="B194" s="55" t="s">
        <v>303</v>
      </c>
      <c r="C194" s="75" t="s">
        <v>414</v>
      </c>
      <c r="D194" s="76">
        <f>D192/D193</f>
        <v>6.0199647434767245</v>
      </c>
      <c r="E194" s="55" t="s">
        <v>14</v>
      </c>
      <c r="F194" s="55"/>
      <c r="G194" s="55"/>
    </row>
    <row r="195" spans="2:7" x14ac:dyDescent="0.25">
      <c r="B195" s="55" t="s">
        <v>312</v>
      </c>
      <c r="C195" s="75"/>
      <c r="D195" s="95">
        <v>0.8</v>
      </c>
      <c r="E195" s="55"/>
      <c r="F195" s="55"/>
      <c r="G195" s="55"/>
    </row>
    <row r="196" spans="2:7" ht="30" x14ac:dyDescent="0.25">
      <c r="B196" s="55" t="s">
        <v>418</v>
      </c>
      <c r="C196" s="75" t="s">
        <v>416</v>
      </c>
      <c r="D196" s="76">
        <f>D37/D195</f>
        <v>50</v>
      </c>
      <c r="E196" s="55"/>
      <c r="F196" s="55"/>
      <c r="G196" s="55" t="s">
        <v>417</v>
      </c>
    </row>
    <row r="197" spans="2:7" ht="17.25" customHeight="1" x14ac:dyDescent="0.25">
      <c r="B197" s="159" t="s">
        <v>463</v>
      </c>
      <c r="C197" s="160"/>
      <c r="D197" s="160"/>
      <c r="E197" s="161"/>
      <c r="F197" s="13"/>
      <c r="G197" s="13"/>
    </row>
    <row r="198" spans="2:7" ht="17.25" customHeight="1" x14ac:dyDescent="0.25">
      <c r="B198" s="87" t="s">
        <v>24</v>
      </c>
      <c r="C198" s="162" t="s">
        <v>464</v>
      </c>
      <c r="D198" s="162"/>
      <c r="E198" s="162"/>
      <c r="F198" s="55"/>
      <c r="G198" s="55"/>
    </row>
    <row r="199" spans="2:7" ht="17.25" customHeight="1" x14ac:dyDescent="0.25">
      <c r="B199" s="87" t="s">
        <v>25</v>
      </c>
      <c r="C199" s="154" t="s">
        <v>338</v>
      </c>
      <c r="D199" s="154"/>
      <c r="E199" s="154"/>
      <c r="F199" s="89"/>
      <c r="G199" s="55"/>
    </row>
    <row r="200" spans="2:7" ht="15" customHeight="1" x14ac:dyDescent="0.25">
      <c r="B200" s="87" t="s">
        <v>84</v>
      </c>
      <c r="C200" s="163" t="s">
        <v>339</v>
      </c>
      <c r="D200" s="163"/>
      <c r="E200" s="163"/>
      <c r="F200" s="55"/>
      <c r="G200" s="55"/>
    </row>
    <row r="201" spans="2:7" x14ac:dyDescent="0.25">
      <c r="B201" s="87" t="s">
        <v>26</v>
      </c>
      <c r="C201" s="163" t="s">
        <v>337</v>
      </c>
      <c r="D201" s="163"/>
      <c r="E201" s="163"/>
      <c r="F201" s="55"/>
      <c r="G201" s="55"/>
    </row>
    <row r="202" spans="2:7" ht="17.25" customHeight="1" x14ac:dyDescent="0.25">
      <c r="B202" s="75" t="s">
        <v>381</v>
      </c>
      <c r="C202" s="75" t="s">
        <v>419</v>
      </c>
      <c r="D202" s="85">
        <v>75</v>
      </c>
      <c r="E202" s="75" t="s">
        <v>12</v>
      </c>
      <c r="F202" s="55"/>
      <c r="G202" s="55"/>
    </row>
    <row r="203" spans="2:7" ht="17.25" customHeight="1" x14ac:dyDescent="0.25">
      <c r="B203" s="75" t="s">
        <v>382</v>
      </c>
      <c r="C203" s="75" t="s">
        <v>383</v>
      </c>
      <c r="D203" s="85">
        <v>30</v>
      </c>
      <c r="E203" s="75" t="s">
        <v>14</v>
      </c>
      <c r="F203" s="55"/>
      <c r="G203" s="55" t="s">
        <v>393</v>
      </c>
    </row>
    <row r="204" spans="2:7" x14ac:dyDescent="0.25">
      <c r="B204" s="75" t="s">
        <v>394</v>
      </c>
      <c r="C204" s="75" t="s">
        <v>395</v>
      </c>
      <c r="D204" s="85">
        <v>25</v>
      </c>
      <c r="E204" s="75" t="s">
        <v>14</v>
      </c>
      <c r="F204" s="55"/>
      <c r="G204" s="55" t="s">
        <v>396</v>
      </c>
    </row>
    <row r="205" spans="2:7" x14ac:dyDescent="0.25">
      <c r="B205" s="75" t="s">
        <v>390</v>
      </c>
      <c r="C205" s="75" t="s">
        <v>389</v>
      </c>
      <c r="D205" s="84" t="s">
        <v>391</v>
      </c>
      <c r="E205" s="75" t="s">
        <v>12</v>
      </c>
      <c r="F205" s="55"/>
      <c r="G205" s="55"/>
    </row>
    <row r="206" spans="2:7" x14ac:dyDescent="0.25">
      <c r="B206" s="75" t="s">
        <v>384</v>
      </c>
      <c r="C206" s="75" t="s">
        <v>392</v>
      </c>
      <c r="D206" s="84">
        <v>2.5</v>
      </c>
      <c r="E206" s="75" t="s">
        <v>12</v>
      </c>
      <c r="F206" s="55"/>
      <c r="G206" s="55" t="s">
        <v>388</v>
      </c>
    </row>
    <row r="207" spans="2:7" x14ac:dyDescent="0.25">
      <c r="B207" s="75" t="s">
        <v>385</v>
      </c>
      <c r="C207" s="75" t="s">
        <v>386</v>
      </c>
      <c r="D207" s="86">
        <v>1.0999999999999999E-2</v>
      </c>
      <c r="E207" s="75" t="s">
        <v>20</v>
      </c>
      <c r="F207" s="55"/>
      <c r="G207" s="55" t="s">
        <v>387</v>
      </c>
    </row>
    <row r="208" spans="2:7" x14ac:dyDescent="0.25">
      <c r="B208" s="75" t="s">
        <v>403</v>
      </c>
      <c r="C208" s="75" t="s">
        <v>404</v>
      </c>
      <c r="D208" s="81">
        <v>70</v>
      </c>
      <c r="E208" s="75" t="s">
        <v>412</v>
      </c>
      <c r="F208" s="55"/>
      <c r="G208" s="55"/>
    </row>
    <row r="209" spans="2:7" x14ac:dyDescent="0.25">
      <c r="B209" s="75" t="s">
        <v>405</v>
      </c>
      <c r="C209" s="75" t="s">
        <v>406</v>
      </c>
      <c r="D209" s="81">
        <v>30</v>
      </c>
      <c r="E209" s="75" t="s">
        <v>412</v>
      </c>
      <c r="F209" s="55"/>
      <c r="G209" s="55"/>
    </row>
    <row r="210" spans="2:7" x14ac:dyDescent="0.25">
      <c r="B210" s="75" t="s">
        <v>409</v>
      </c>
      <c r="C210" s="75" t="s">
        <v>410</v>
      </c>
      <c r="D210" s="81">
        <v>370</v>
      </c>
      <c r="E210" s="55" t="s">
        <v>51</v>
      </c>
      <c r="F210" s="55"/>
      <c r="G210" s="55" t="s">
        <v>411</v>
      </c>
    </row>
    <row r="211" spans="2:7" ht="19.5" customHeight="1" x14ac:dyDescent="0.25">
      <c r="B211" s="203" t="s">
        <v>433</v>
      </c>
      <c r="C211" s="203"/>
      <c r="D211" s="203"/>
      <c r="E211" s="203"/>
      <c r="F211" s="96"/>
      <c r="G211" s="97"/>
    </row>
    <row r="212" spans="2:7" ht="28.5" customHeight="1" x14ac:dyDescent="0.25">
      <c r="B212" s="55" t="s">
        <v>397</v>
      </c>
      <c r="C212" s="75" t="s">
        <v>398</v>
      </c>
      <c r="D212" s="76">
        <f>D192*D192*D207*D55</f>
        <v>7.0348187759952469E-2</v>
      </c>
      <c r="E212" s="55" t="s">
        <v>9</v>
      </c>
      <c r="F212" s="55"/>
      <c r="G212" s="55" t="s">
        <v>432</v>
      </c>
    </row>
    <row r="213" spans="2:7" ht="25.5" customHeight="1" x14ac:dyDescent="0.25">
      <c r="B213" s="55" t="s">
        <v>399</v>
      </c>
      <c r="C213" s="75" t="s">
        <v>400</v>
      </c>
      <c r="D213" s="76">
        <f>0.5*D37*D192*(D208+D209)*10^-9*D56</f>
        <v>1.8059894230430174</v>
      </c>
      <c r="E213" s="55" t="s">
        <v>9</v>
      </c>
      <c r="F213" s="55"/>
      <c r="G213" s="55"/>
    </row>
    <row r="214" spans="2:7" ht="36.75" customHeight="1" x14ac:dyDescent="0.25">
      <c r="B214" s="55" t="s">
        <v>407</v>
      </c>
      <c r="C214" s="75" t="s">
        <v>408</v>
      </c>
      <c r="D214" s="76">
        <f>0.5*D210*10^-12*D37^2*D56</f>
        <v>8.8800000000000004E-2</v>
      </c>
      <c r="E214" s="55" t="s">
        <v>9</v>
      </c>
      <c r="F214" s="55"/>
      <c r="G214" s="55"/>
    </row>
    <row r="215" spans="2:7" ht="28.5" customHeight="1" x14ac:dyDescent="0.25">
      <c r="B215" s="55" t="s">
        <v>582</v>
      </c>
      <c r="C215" s="75" t="s">
        <v>402</v>
      </c>
      <c r="D215" s="76">
        <f>SUM(D212:D214)</f>
        <v>1.9651376108029699</v>
      </c>
      <c r="E215" s="55" t="s">
        <v>9</v>
      </c>
      <c r="F215" s="55" t="s">
        <v>413</v>
      </c>
      <c r="G215" s="55"/>
    </row>
    <row r="216" spans="2:7" x14ac:dyDescent="0.25">
      <c r="B216" s="75" t="s">
        <v>106</v>
      </c>
      <c r="C216" s="75" t="s">
        <v>107</v>
      </c>
      <c r="D216" s="85">
        <v>23</v>
      </c>
      <c r="E216" s="75" t="s">
        <v>125</v>
      </c>
      <c r="F216" s="55"/>
      <c r="G216" s="55" t="s">
        <v>87</v>
      </c>
    </row>
    <row r="217" spans="2:7" x14ac:dyDescent="0.25">
      <c r="B217" s="91" t="s">
        <v>314</v>
      </c>
      <c r="C217" s="92" t="s">
        <v>52</v>
      </c>
      <c r="D217" s="94">
        <v>70</v>
      </c>
      <c r="E217" s="55" t="s">
        <v>53</v>
      </c>
      <c r="F217" s="91"/>
      <c r="G217" s="55"/>
    </row>
    <row r="218" spans="2:7" ht="28.5" customHeight="1" x14ac:dyDescent="0.25">
      <c r="B218" s="91" t="s">
        <v>313</v>
      </c>
      <c r="C218" s="92" t="s">
        <v>54</v>
      </c>
      <c r="D218" s="94">
        <f>D217+(D216*D215)</f>
        <v>115.1981650484683</v>
      </c>
      <c r="E218" s="55" t="s">
        <v>53</v>
      </c>
      <c r="F218" s="91"/>
      <c r="G218" s="131" t="s">
        <v>557</v>
      </c>
    </row>
    <row r="219" spans="2:7" x14ac:dyDescent="0.25">
      <c r="B219" s="91" t="s">
        <v>86</v>
      </c>
      <c r="C219" s="92" t="s">
        <v>55</v>
      </c>
      <c r="D219" s="94">
        <v>150</v>
      </c>
      <c r="E219" s="55" t="s">
        <v>53</v>
      </c>
      <c r="F219" s="91"/>
      <c r="G219" s="55" t="s">
        <v>87</v>
      </c>
    </row>
    <row r="220" spans="2:7" x14ac:dyDescent="0.25">
      <c r="B220" s="55" t="s">
        <v>369</v>
      </c>
      <c r="C220" s="75" t="s">
        <v>370</v>
      </c>
      <c r="D220" s="85">
        <f>D219-D218</f>
        <v>34.801834951531703</v>
      </c>
      <c r="E220" s="55" t="s">
        <v>53</v>
      </c>
      <c r="F220" s="84"/>
      <c r="G220" s="55" t="s">
        <v>371</v>
      </c>
    </row>
    <row r="221" spans="2:7" ht="21" customHeight="1" x14ac:dyDescent="0.25">
      <c r="B221" s="164" t="s">
        <v>307</v>
      </c>
      <c r="C221" s="165"/>
      <c r="D221" s="165"/>
      <c r="E221" s="165"/>
      <c r="F221" s="165"/>
      <c r="G221" s="166"/>
    </row>
    <row r="222" spans="2:7" ht="30" x14ac:dyDescent="0.25">
      <c r="B222" s="55" t="s">
        <v>422</v>
      </c>
      <c r="C222" s="75" t="s">
        <v>383</v>
      </c>
      <c r="D222" s="82">
        <f>D75</f>
        <v>4.2397733607956569</v>
      </c>
      <c r="E222" s="55" t="s">
        <v>14</v>
      </c>
      <c r="F222" s="55" t="s">
        <v>443</v>
      </c>
      <c r="G222" s="55"/>
    </row>
    <row r="223" spans="2:7" x14ac:dyDescent="0.25">
      <c r="B223" s="55" t="s">
        <v>311</v>
      </c>
      <c r="C223" s="75"/>
      <c r="D223" s="95">
        <v>0.5</v>
      </c>
      <c r="E223" s="55"/>
      <c r="F223" s="55"/>
      <c r="G223" s="55"/>
    </row>
    <row r="224" spans="2:7" x14ac:dyDescent="0.25">
      <c r="B224" s="55" t="s">
        <v>303</v>
      </c>
      <c r="C224" s="75" t="s">
        <v>414</v>
      </c>
      <c r="D224" s="82">
        <f>D222/D223</f>
        <v>8.4795467215913138</v>
      </c>
      <c r="E224" s="55" t="s">
        <v>14</v>
      </c>
      <c r="F224" s="55"/>
      <c r="G224" s="55"/>
    </row>
    <row r="225" spans="2:7" x14ac:dyDescent="0.25">
      <c r="B225" s="55" t="s">
        <v>312</v>
      </c>
      <c r="C225" s="75"/>
      <c r="D225" s="95">
        <v>0.8</v>
      </c>
      <c r="E225" s="55"/>
      <c r="F225" s="55"/>
      <c r="G225" s="55"/>
    </row>
    <row r="226" spans="2:7" ht="30" x14ac:dyDescent="0.25">
      <c r="B226" s="55" t="s">
        <v>418</v>
      </c>
      <c r="C226" s="75" t="s">
        <v>416</v>
      </c>
      <c r="D226" s="76">
        <f>D37/D225</f>
        <v>50</v>
      </c>
      <c r="E226" s="55"/>
      <c r="F226" s="55"/>
      <c r="G226" s="55" t="s">
        <v>417</v>
      </c>
    </row>
    <row r="227" spans="2:7" ht="17.25" customHeight="1" x14ac:dyDescent="0.25">
      <c r="B227" s="159" t="s">
        <v>465</v>
      </c>
      <c r="C227" s="160"/>
      <c r="D227" s="160"/>
      <c r="E227" s="161"/>
      <c r="F227" s="13"/>
      <c r="G227" s="13"/>
    </row>
    <row r="228" spans="2:7" ht="17.25" customHeight="1" x14ac:dyDescent="0.25">
      <c r="B228" s="87" t="s">
        <v>24</v>
      </c>
      <c r="C228" s="162" t="s">
        <v>466</v>
      </c>
      <c r="D228" s="162"/>
      <c r="E228" s="162"/>
      <c r="F228" s="55"/>
      <c r="G228" s="55"/>
    </row>
    <row r="229" spans="2:7" ht="17.25" customHeight="1" x14ac:dyDescent="0.25">
      <c r="B229" s="87" t="s">
        <v>25</v>
      </c>
      <c r="C229" s="154" t="s">
        <v>338</v>
      </c>
      <c r="D229" s="154"/>
      <c r="E229" s="154"/>
      <c r="F229" s="89"/>
      <c r="G229" s="55"/>
    </row>
    <row r="230" spans="2:7" ht="15" customHeight="1" x14ac:dyDescent="0.25">
      <c r="B230" s="87" t="s">
        <v>84</v>
      </c>
      <c r="C230" s="163" t="s">
        <v>339</v>
      </c>
      <c r="D230" s="163"/>
      <c r="E230" s="163"/>
      <c r="F230" s="55"/>
      <c r="G230" s="55"/>
    </row>
    <row r="231" spans="2:7" x14ac:dyDescent="0.25">
      <c r="B231" s="87" t="s">
        <v>26</v>
      </c>
      <c r="C231" s="163" t="s">
        <v>337</v>
      </c>
      <c r="D231" s="163"/>
      <c r="E231" s="163"/>
      <c r="F231" s="55"/>
      <c r="G231" s="55"/>
    </row>
    <row r="232" spans="2:7" ht="17.25" customHeight="1" x14ac:dyDescent="0.25">
      <c r="B232" s="75" t="s">
        <v>381</v>
      </c>
      <c r="C232" s="75" t="s">
        <v>419</v>
      </c>
      <c r="D232" s="84">
        <v>75</v>
      </c>
      <c r="E232" s="75" t="s">
        <v>12</v>
      </c>
      <c r="F232" s="55"/>
      <c r="G232" s="55"/>
    </row>
    <row r="233" spans="2:7" ht="17.25" customHeight="1" x14ac:dyDescent="0.25">
      <c r="B233" s="75" t="s">
        <v>382</v>
      </c>
      <c r="C233" s="75" t="s">
        <v>383</v>
      </c>
      <c r="D233" s="84">
        <v>30</v>
      </c>
      <c r="E233" s="75" t="s">
        <v>14</v>
      </c>
      <c r="F233" s="55"/>
      <c r="G233" s="55" t="s">
        <v>393</v>
      </c>
    </row>
    <row r="234" spans="2:7" x14ac:dyDescent="0.25">
      <c r="B234" s="75" t="s">
        <v>394</v>
      </c>
      <c r="C234" s="75" t="s">
        <v>395</v>
      </c>
      <c r="D234" s="84">
        <v>25</v>
      </c>
      <c r="E234" s="75" t="s">
        <v>14</v>
      </c>
      <c r="F234" s="55"/>
      <c r="G234" s="55" t="s">
        <v>396</v>
      </c>
    </row>
    <row r="235" spans="2:7" x14ac:dyDescent="0.25">
      <c r="B235" s="75" t="s">
        <v>390</v>
      </c>
      <c r="C235" s="75" t="s">
        <v>389</v>
      </c>
      <c r="D235" s="84" t="s">
        <v>391</v>
      </c>
      <c r="E235" s="75" t="s">
        <v>12</v>
      </c>
      <c r="F235" s="55"/>
      <c r="G235" s="55"/>
    </row>
    <row r="236" spans="2:7" x14ac:dyDescent="0.25">
      <c r="B236" s="75" t="s">
        <v>384</v>
      </c>
      <c r="C236" s="75" t="s">
        <v>392</v>
      </c>
      <c r="D236" s="84">
        <v>2.5</v>
      </c>
      <c r="E236" s="75" t="s">
        <v>12</v>
      </c>
      <c r="F236" s="55"/>
      <c r="G236" s="55" t="s">
        <v>388</v>
      </c>
    </row>
    <row r="237" spans="2:7" x14ac:dyDescent="0.25">
      <c r="B237" s="75" t="s">
        <v>385</v>
      </c>
      <c r="C237" s="75" t="s">
        <v>386</v>
      </c>
      <c r="D237" s="86">
        <v>1.0999999999999999E-2</v>
      </c>
      <c r="E237" s="75" t="s">
        <v>20</v>
      </c>
      <c r="F237" s="55"/>
      <c r="G237" s="55" t="s">
        <v>387</v>
      </c>
    </row>
    <row r="238" spans="2:7" x14ac:dyDescent="0.25">
      <c r="B238" s="75" t="s">
        <v>403</v>
      </c>
      <c r="C238" s="75" t="s">
        <v>404</v>
      </c>
      <c r="D238" s="81">
        <v>70</v>
      </c>
      <c r="E238" s="75" t="s">
        <v>412</v>
      </c>
      <c r="F238" s="55"/>
      <c r="G238" s="55"/>
    </row>
    <row r="239" spans="2:7" x14ac:dyDescent="0.25">
      <c r="B239" s="75" t="s">
        <v>405</v>
      </c>
      <c r="C239" s="75" t="s">
        <v>406</v>
      </c>
      <c r="D239" s="81">
        <v>30</v>
      </c>
      <c r="E239" s="75" t="s">
        <v>412</v>
      </c>
      <c r="F239" s="55"/>
      <c r="G239" s="55"/>
    </row>
    <row r="240" spans="2:7" x14ac:dyDescent="0.25">
      <c r="B240" s="75" t="s">
        <v>409</v>
      </c>
      <c r="C240" s="75" t="s">
        <v>410</v>
      </c>
      <c r="D240" s="81">
        <v>370</v>
      </c>
      <c r="E240" s="55" t="s">
        <v>51</v>
      </c>
      <c r="F240" s="55"/>
      <c r="G240" s="55" t="s">
        <v>411</v>
      </c>
    </row>
    <row r="241" spans="2:7" ht="19.5" customHeight="1" x14ac:dyDescent="0.25">
      <c r="B241" s="203" t="s">
        <v>433</v>
      </c>
      <c r="C241" s="203"/>
      <c r="D241" s="203"/>
      <c r="E241" s="203"/>
      <c r="F241" s="90"/>
      <c r="G241" s="97"/>
    </row>
    <row r="242" spans="2:7" ht="27" customHeight="1" x14ac:dyDescent="0.25">
      <c r="B242" s="55" t="s">
        <v>397</v>
      </c>
      <c r="C242" s="75" t="s">
        <v>398</v>
      </c>
      <c r="D242" s="145">
        <f>D222*D222*D237*D54</f>
        <v>0.11534393480168853</v>
      </c>
      <c r="E242" s="55" t="s">
        <v>9</v>
      </c>
      <c r="F242" s="55"/>
      <c r="G242" s="55" t="s">
        <v>421</v>
      </c>
    </row>
    <row r="243" spans="2:7" ht="25.5" customHeight="1" x14ac:dyDescent="0.25">
      <c r="B243" s="55" t="s">
        <v>399</v>
      </c>
      <c r="C243" s="75" t="s">
        <v>400</v>
      </c>
      <c r="D243" s="86">
        <f>0.5*D37*D39*(D208+D209)*10^-9*D56</f>
        <v>1.8</v>
      </c>
      <c r="E243" s="55" t="s">
        <v>9</v>
      </c>
      <c r="F243" s="55"/>
      <c r="G243" s="55"/>
    </row>
    <row r="244" spans="2:7" ht="36.75" customHeight="1" x14ac:dyDescent="0.25">
      <c r="B244" s="55" t="s">
        <v>407</v>
      </c>
      <c r="C244" s="75" t="s">
        <v>408</v>
      </c>
      <c r="D244" s="86">
        <f>0.5*D240*10^-12*D37^2*D56</f>
        <v>8.8800000000000004E-2</v>
      </c>
      <c r="E244" s="55" t="s">
        <v>9</v>
      </c>
      <c r="F244" s="55"/>
      <c r="G244" s="55" t="s">
        <v>423</v>
      </c>
    </row>
    <row r="245" spans="2:7" ht="28.5" customHeight="1" x14ac:dyDescent="0.25">
      <c r="B245" s="55" t="s">
        <v>401</v>
      </c>
      <c r="C245" s="75" t="s">
        <v>402</v>
      </c>
      <c r="D245" s="82">
        <f>SUM(D242:D244)</f>
        <v>2.0041439348016885</v>
      </c>
      <c r="E245" s="55" t="s">
        <v>9</v>
      </c>
      <c r="F245" s="55" t="s">
        <v>413</v>
      </c>
      <c r="G245" s="55"/>
    </row>
    <row r="246" spans="2:7" x14ac:dyDescent="0.25">
      <c r="B246" s="75" t="s">
        <v>106</v>
      </c>
      <c r="C246" s="75" t="s">
        <v>107</v>
      </c>
      <c r="D246" s="84">
        <v>23</v>
      </c>
      <c r="E246" s="75" t="s">
        <v>125</v>
      </c>
      <c r="F246" s="55"/>
      <c r="G246" s="55" t="s">
        <v>87</v>
      </c>
    </row>
    <row r="247" spans="2:7" x14ac:dyDescent="0.25">
      <c r="B247" s="91" t="s">
        <v>314</v>
      </c>
      <c r="C247" s="92" t="s">
        <v>52</v>
      </c>
      <c r="D247" s="93">
        <v>70</v>
      </c>
      <c r="E247" s="55" t="s">
        <v>53</v>
      </c>
      <c r="F247" s="91"/>
      <c r="G247" s="55"/>
    </row>
    <row r="248" spans="2:7" ht="28.5" customHeight="1" x14ac:dyDescent="0.25">
      <c r="B248" s="91" t="s">
        <v>313</v>
      </c>
      <c r="C248" s="92" t="s">
        <v>54</v>
      </c>
      <c r="D248" s="146">
        <f>D247+(D246*D245)</f>
        <v>116.09531050043884</v>
      </c>
      <c r="E248" s="55" t="s">
        <v>53</v>
      </c>
      <c r="F248" s="91"/>
      <c r="G248" s="131" t="s">
        <v>557</v>
      </c>
    </row>
    <row r="249" spans="2:7" x14ac:dyDescent="0.25">
      <c r="B249" s="91" t="s">
        <v>86</v>
      </c>
      <c r="C249" s="92" t="s">
        <v>55</v>
      </c>
      <c r="D249" s="94">
        <v>150</v>
      </c>
      <c r="E249" s="55" t="s">
        <v>53</v>
      </c>
      <c r="F249" s="91"/>
      <c r="G249" s="55" t="s">
        <v>87</v>
      </c>
    </row>
    <row r="250" spans="2:7" x14ac:dyDescent="0.25">
      <c r="B250" s="55" t="s">
        <v>369</v>
      </c>
      <c r="C250" s="75" t="s">
        <v>370</v>
      </c>
      <c r="D250" s="85">
        <f>D249-D248</f>
        <v>33.904689499561158</v>
      </c>
      <c r="E250" s="55" t="s">
        <v>53</v>
      </c>
      <c r="F250" s="84"/>
      <c r="G250" s="55" t="s">
        <v>371</v>
      </c>
    </row>
    <row r="251" spans="2:7" x14ac:dyDescent="0.25">
      <c r="B251" s="155" t="s">
        <v>47</v>
      </c>
      <c r="C251" s="156"/>
      <c r="D251" s="156"/>
      <c r="E251" s="156"/>
      <c r="F251" s="156"/>
      <c r="G251" s="157"/>
    </row>
    <row r="252" spans="2:7" x14ac:dyDescent="0.25">
      <c r="B252" s="13" t="s">
        <v>558</v>
      </c>
      <c r="C252" s="17" t="s">
        <v>48</v>
      </c>
      <c r="D252" s="84">
        <v>20</v>
      </c>
      <c r="E252" s="13" t="s">
        <v>175</v>
      </c>
      <c r="F252" s="13"/>
      <c r="G252" s="13" t="s">
        <v>321</v>
      </c>
    </row>
    <row r="253" spans="2:7" ht="34.5" customHeight="1" x14ac:dyDescent="0.25">
      <c r="B253" s="13" t="s">
        <v>318</v>
      </c>
      <c r="C253" s="17" t="s">
        <v>172</v>
      </c>
      <c r="D253" s="81">
        <f>((D39*D55)/(D56*D252*10^-3))*10^6</f>
        <v>352.94117647058823</v>
      </c>
      <c r="E253" s="13" t="s">
        <v>50</v>
      </c>
      <c r="F253" s="13"/>
      <c r="G253" s="13"/>
    </row>
    <row r="254" spans="2:7" ht="43.5" customHeight="1" x14ac:dyDescent="0.25">
      <c r="B254" s="13" t="s">
        <v>319</v>
      </c>
      <c r="C254" s="17" t="s">
        <v>176</v>
      </c>
      <c r="D254" s="85">
        <f>((D252*10^-3)/((((D38+D36)*D39)/D36)+(D73/2)))*1000</f>
        <v>1.2996189174475579</v>
      </c>
      <c r="E254" s="13" t="s">
        <v>177</v>
      </c>
      <c r="F254" s="13"/>
      <c r="G254" s="13"/>
    </row>
    <row r="255" spans="2:7" ht="42" customHeight="1" x14ac:dyDescent="0.25">
      <c r="B255" s="13" t="s">
        <v>49</v>
      </c>
      <c r="C255" s="17" t="s">
        <v>81</v>
      </c>
      <c r="D255" s="86">
        <f>((D38*(D37-D38))/((SQRT(12)*D37*D69*(10^-6)*D56*4)))</f>
        <v>6.123411945950577E-2</v>
      </c>
      <c r="E255" s="13" t="s">
        <v>14</v>
      </c>
      <c r="F255" s="13"/>
      <c r="G255" s="55" t="s">
        <v>378</v>
      </c>
    </row>
    <row r="256" spans="2:7" x14ac:dyDescent="0.25">
      <c r="B256" s="58" t="s">
        <v>320</v>
      </c>
      <c r="C256" s="56" t="s">
        <v>80</v>
      </c>
      <c r="D256" s="59">
        <v>390</v>
      </c>
      <c r="E256" s="58" t="s">
        <v>50</v>
      </c>
      <c r="F256" s="63" t="s">
        <v>182</v>
      </c>
      <c r="G256" s="58" t="s">
        <v>321</v>
      </c>
    </row>
    <row r="257" spans="2:7" x14ac:dyDescent="0.25">
      <c r="B257" s="13" t="s">
        <v>342</v>
      </c>
      <c r="C257" s="17"/>
      <c r="D257" s="54">
        <v>0.5</v>
      </c>
      <c r="E257" s="39"/>
      <c r="F257" s="13"/>
      <c r="G257" s="13"/>
    </row>
    <row r="258" spans="2:7" x14ac:dyDescent="0.25">
      <c r="B258" s="13" t="s">
        <v>345</v>
      </c>
      <c r="C258" s="17" t="s">
        <v>344</v>
      </c>
      <c r="D258" s="15">
        <f>D38/D257</f>
        <v>24</v>
      </c>
      <c r="E258" s="39" t="s">
        <v>12</v>
      </c>
      <c r="F258" s="13"/>
      <c r="G258" s="13"/>
    </row>
    <row r="259" spans="2:7" x14ac:dyDescent="0.25">
      <c r="B259" s="158" t="s">
        <v>467</v>
      </c>
      <c r="C259" s="158"/>
      <c r="D259" s="158"/>
      <c r="E259" s="158"/>
      <c r="F259" s="9"/>
      <c r="G259" s="9"/>
    </row>
    <row r="260" spans="2:7" x14ac:dyDescent="0.25">
      <c r="B260" s="33" t="s">
        <v>24</v>
      </c>
      <c r="C260" s="153" t="s">
        <v>492</v>
      </c>
      <c r="D260" s="153"/>
      <c r="E260" s="153"/>
      <c r="F260" s="104"/>
      <c r="G260" s="104"/>
    </row>
    <row r="261" spans="2:7" x14ac:dyDescent="0.25">
      <c r="B261" s="33" t="s">
        <v>25</v>
      </c>
      <c r="C261" s="171" t="s">
        <v>543</v>
      </c>
      <c r="D261" s="171"/>
      <c r="E261" s="171"/>
      <c r="F261" s="132" t="s">
        <v>444</v>
      </c>
      <c r="G261" s="104"/>
    </row>
    <row r="262" spans="2:7" x14ac:dyDescent="0.25">
      <c r="B262" s="33" t="s">
        <v>84</v>
      </c>
      <c r="C262" s="152" t="s">
        <v>544</v>
      </c>
      <c r="D262" s="152"/>
      <c r="E262" s="152"/>
      <c r="F262" s="132" t="s">
        <v>188</v>
      </c>
      <c r="G262" s="104"/>
    </row>
    <row r="263" spans="2:7" x14ac:dyDescent="0.25">
      <c r="B263" s="33" t="s">
        <v>26</v>
      </c>
      <c r="C263" s="152" t="s">
        <v>549</v>
      </c>
      <c r="D263" s="152"/>
      <c r="E263" s="152"/>
      <c r="F263" s="133" t="s">
        <v>548</v>
      </c>
      <c r="G263" s="104"/>
    </row>
    <row r="264" spans="2:7" x14ac:dyDescent="0.25">
      <c r="B264" s="158" t="s">
        <v>468</v>
      </c>
      <c r="C264" s="158"/>
      <c r="D264" s="158"/>
      <c r="E264" s="158"/>
      <c r="F264" s="102"/>
      <c r="G264" s="104"/>
    </row>
    <row r="265" spans="2:7" x14ac:dyDescent="0.25">
      <c r="B265" s="33" t="s">
        <v>24</v>
      </c>
      <c r="C265" s="172" t="s">
        <v>493</v>
      </c>
      <c r="D265" s="173"/>
      <c r="E265" s="174"/>
      <c r="F265" s="102"/>
      <c r="G265" s="104"/>
    </row>
    <row r="266" spans="2:7" ht="15" customHeight="1" x14ac:dyDescent="0.25">
      <c r="B266" s="33" t="s">
        <v>25</v>
      </c>
      <c r="C266" s="175" t="s">
        <v>545</v>
      </c>
      <c r="D266" s="176"/>
      <c r="E266" s="177"/>
      <c r="F266" s="132" t="s">
        <v>178</v>
      </c>
      <c r="G266" s="104"/>
    </row>
    <row r="267" spans="2:7" x14ac:dyDescent="0.25">
      <c r="B267" s="33" t="s">
        <v>84</v>
      </c>
      <c r="C267" s="149" t="s">
        <v>546</v>
      </c>
      <c r="D267" s="150"/>
      <c r="E267" s="151"/>
      <c r="F267" s="132" t="s">
        <v>189</v>
      </c>
      <c r="G267" s="104"/>
    </row>
    <row r="268" spans="2:7" ht="15" customHeight="1" x14ac:dyDescent="0.25">
      <c r="B268" s="33" t="s">
        <v>26</v>
      </c>
      <c r="C268" s="178" t="s">
        <v>547</v>
      </c>
      <c r="D268" s="179"/>
      <c r="E268" s="180"/>
      <c r="F268" s="132" t="s">
        <v>179</v>
      </c>
      <c r="G268" s="104"/>
    </row>
    <row r="269" spans="2:7" x14ac:dyDescent="0.25">
      <c r="B269" s="158" t="s">
        <v>556</v>
      </c>
      <c r="C269" s="158"/>
      <c r="D269" s="158"/>
      <c r="E269" s="158"/>
      <c r="F269" s="102"/>
      <c r="G269" s="104"/>
    </row>
    <row r="270" spans="2:7" x14ac:dyDescent="0.25">
      <c r="B270" s="33" t="s">
        <v>24</v>
      </c>
      <c r="C270" s="153" t="s">
        <v>553</v>
      </c>
      <c r="D270" s="153"/>
      <c r="E270" s="153"/>
      <c r="F270" s="102"/>
      <c r="G270" s="104"/>
    </row>
    <row r="271" spans="2:7" ht="15" customHeight="1" x14ac:dyDescent="0.25">
      <c r="B271" s="33" t="s">
        <v>25</v>
      </c>
      <c r="C271" s="181" t="s">
        <v>554</v>
      </c>
      <c r="D271" s="182"/>
      <c r="E271" s="183"/>
      <c r="F271" s="132" t="s">
        <v>180</v>
      </c>
      <c r="G271" s="126"/>
    </row>
    <row r="272" spans="2:7" ht="15" customHeight="1" x14ac:dyDescent="0.25">
      <c r="B272" s="33" t="s">
        <v>84</v>
      </c>
      <c r="C272" s="149" t="s">
        <v>189</v>
      </c>
      <c r="D272" s="150"/>
      <c r="E272" s="151"/>
      <c r="F272" s="132" t="s">
        <v>189</v>
      </c>
      <c r="G272" s="104"/>
    </row>
    <row r="273" spans="2:7" ht="15" customHeight="1" x14ac:dyDescent="0.25">
      <c r="B273" s="33" t="s">
        <v>26</v>
      </c>
      <c r="C273" s="149" t="s">
        <v>555</v>
      </c>
      <c r="D273" s="150"/>
      <c r="E273" s="151"/>
      <c r="F273" s="132" t="s">
        <v>181</v>
      </c>
      <c r="G273" s="104"/>
    </row>
    <row r="274" spans="2:7" x14ac:dyDescent="0.25">
      <c r="B274" s="155" t="s">
        <v>374</v>
      </c>
      <c r="C274" s="156"/>
      <c r="D274" s="156"/>
      <c r="E274" s="156"/>
      <c r="F274" s="156"/>
      <c r="G274" s="157"/>
    </row>
    <row r="275" spans="2:7" x14ac:dyDescent="0.25">
      <c r="B275" s="55" t="s">
        <v>27</v>
      </c>
      <c r="C275" s="75" t="s">
        <v>60</v>
      </c>
      <c r="D275" s="84">
        <v>1.23</v>
      </c>
      <c r="E275" s="55" t="s">
        <v>12</v>
      </c>
      <c r="F275" s="55"/>
      <c r="G275" s="55"/>
    </row>
    <row r="276" spans="2:7" x14ac:dyDescent="0.25">
      <c r="B276" s="55" t="s">
        <v>235</v>
      </c>
      <c r="C276" s="75" t="s">
        <v>58</v>
      </c>
      <c r="D276" s="84">
        <v>10</v>
      </c>
      <c r="E276" s="55" t="s">
        <v>59</v>
      </c>
      <c r="F276" s="55"/>
      <c r="G276" s="55" t="s">
        <v>87</v>
      </c>
    </row>
    <row r="277" spans="2:7" x14ac:dyDescent="0.25">
      <c r="B277" s="55" t="s">
        <v>56</v>
      </c>
      <c r="C277" s="75" t="s">
        <v>57</v>
      </c>
      <c r="D277" s="84">
        <v>12</v>
      </c>
      <c r="E277" s="55" t="s">
        <v>236</v>
      </c>
      <c r="F277" s="55"/>
      <c r="G277" s="55" t="s">
        <v>321</v>
      </c>
    </row>
    <row r="278" spans="2:7" ht="21" customHeight="1" x14ac:dyDescent="0.25">
      <c r="B278" s="55" t="s">
        <v>379</v>
      </c>
      <c r="C278" s="75" t="s">
        <v>61</v>
      </c>
      <c r="D278" s="76">
        <f>(D277*D276)/(D275)</f>
        <v>97.560975609756099</v>
      </c>
      <c r="E278" s="55" t="s">
        <v>62</v>
      </c>
      <c r="F278" s="75" t="s">
        <v>82</v>
      </c>
      <c r="G278" s="55"/>
    </row>
    <row r="279" spans="2:7" x14ac:dyDescent="0.25">
      <c r="B279" s="58" t="s">
        <v>380</v>
      </c>
      <c r="C279" s="56" t="s">
        <v>61</v>
      </c>
      <c r="D279" s="59">
        <v>0.1</v>
      </c>
      <c r="E279" s="58" t="s">
        <v>39</v>
      </c>
      <c r="F279" s="58"/>
      <c r="G279" s="58"/>
    </row>
    <row r="280" spans="2:7" x14ac:dyDescent="0.25">
      <c r="B280" s="158" t="s">
        <v>469</v>
      </c>
      <c r="C280" s="158"/>
      <c r="D280" s="158"/>
      <c r="E280" s="158"/>
      <c r="F280" s="55"/>
      <c r="G280" s="55"/>
    </row>
    <row r="281" spans="2:7" x14ac:dyDescent="0.25">
      <c r="B281" s="87" t="s">
        <v>24</v>
      </c>
      <c r="C281" s="162" t="s">
        <v>470</v>
      </c>
      <c r="D281" s="162"/>
      <c r="E281" s="162"/>
      <c r="F281" s="55"/>
      <c r="G281" s="55"/>
    </row>
    <row r="282" spans="2:7" ht="15" customHeight="1" x14ac:dyDescent="0.25">
      <c r="B282" s="87" t="s">
        <v>25</v>
      </c>
      <c r="C282" s="171" t="s">
        <v>237</v>
      </c>
      <c r="D282" s="171"/>
      <c r="E282" s="171"/>
      <c r="F282" s="55"/>
      <c r="G282" s="55"/>
    </row>
    <row r="283" spans="2:7" ht="15" customHeight="1" x14ac:dyDescent="0.25">
      <c r="B283" s="87" t="s">
        <v>84</v>
      </c>
      <c r="C283" s="202" t="s">
        <v>213</v>
      </c>
      <c r="D283" s="202"/>
      <c r="E283" s="202"/>
      <c r="F283" s="55"/>
      <c r="G283" s="55"/>
    </row>
    <row r="284" spans="2:7" ht="15" customHeight="1" x14ac:dyDescent="0.25">
      <c r="B284" s="87" t="s">
        <v>26</v>
      </c>
      <c r="C284" s="202" t="s">
        <v>238</v>
      </c>
      <c r="D284" s="202"/>
      <c r="E284" s="202"/>
      <c r="F284" s="55"/>
      <c r="G284" s="55"/>
    </row>
    <row r="285" spans="2:7" x14ac:dyDescent="0.25">
      <c r="B285" s="155" t="s">
        <v>257</v>
      </c>
      <c r="C285" s="156"/>
      <c r="D285" s="156"/>
      <c r="E285" s="156"/>
      <c r="F285" s="156"/>
      <c r="G285" s="157"/>
    </row>
    <row r="286" spans="2:7" x14ac:dyDescent="0.25">
      <c r="B286" s="13" t="s">
        <v>264</v>
      </c>
      <c r="C286" s="17" t="s">
        <v>265</v>
      </c>
      <c r="D286" s="67">
        <f>D38/D39</f>
        <v>4</v>
      </c>
      <c r="E286" s="13" t="s">
        <v>20</v>
      </c>
      <c r="F286" s="13" t="s">
        <v>266</v>
      </c>
      <c r="G286" s="13"/>
    </row>
    <row r="287" spans="2:7" ht="36.75" customHeight="1" x14ac:dyDescent="0.25">
      <c r="B287" s="13" t="s">
        <v>267</v>
      </c>
      <c r="C287" s="17" t="s">
        <v>268</v>
      </c>
      <c r="D287" s="28">
        <f>(1+D55)/(2*3.14*D286*D256*10^-6)</f>
        <v>174.12648547905198</v>
      </c>
      <c r="E287" s="13" t="s">
        <v>22</v>
      </c>
      <c r="F287" s="13"/>
      <c r="G287" s="13"/>
    </row>
    <row r="288" spans="2:7" ht="35.25" customHeight="1" x14ac:dyDescent="0.25">
      <c r="B288" s="13" t="s">
        <v>334</v>
      </c>
      <c r="C288" s="17" t="s">
        <v>263</v>
      </c>
      <c r="D288" s="15">
        <f>((D286*(1-D55)^2)/(2*3.14*15*10^-6*D55))/1000</f>
        <v>5.2037800258107474</v>
      </c>
      <c r="E288" s="13" t="s">
        <v>269</v>
      </c>
      <c r="F288" s="13"/>
      <c r="G288" s="13"/>
    </row>
    <row r="289" spans="2:7" ht="45" x14ac:dyDescent="0.25">
      <c r="B289" s="13" t="s">
        <v>272</v>
      </c>
      <c r="C289" s="17" t="s">
        <v>273</v>
      </c>
      <c r="D289" s="14">
        <f>D288/3.9</f>
        <v>1.3343025707207046</v>
      </c>
      <c r="E289" s="13" t="s">
        <v>269</v>
      </c>
      <c r="F289" s="13" t="s">
        <v>270</v>
      </c>
      <c r="G289" s="13" t="s">
        <v>271</v>
      </c>
    </row>
    <row r="290" spans="2:7" ht="34.5" customHeight="1" x14ac:dyDescent="0.25">
      <c r="B290" s="13" t="s">
        <v>277</v>
      </c>
      <c r="C290" s="17" t="s">
        <v>278</v>
      </c>
      <c r="D290" s="147">
        <f>(1/(2*3.14*D254*10^-3*D256*10^-6))/1000</f>
        <v>314.16639228553794</v>
      </c>
      <c r="E290" s="13" t="s">
        <v>269</v>
      </c>
      <c r="F290" s="13"/>
      <c r="G290" s="13"/>
    </row>
    <row r="291" spans="2:7" ht="32.25" customHeight="1" x14ac:dyDescent="0.25">
      <c r="B291" s="13" t="s">
        <v>286</v>
      </c>
      <c r="C291" s="17" t="s">
        <v>274</v>
      </c>
      <c r="D291" s="14">
        <f>(D286*D36)/(10*D95*(D36+2*D38))</f>
        <v>4.597701149425288</v>
      </c>
      <c r="E291" s="13" t="s">
        <v>276</v>
      </c>
      <c r="F291" s="13"/>
      <c r="G291" s="13"/>
    </row>
    <row r="292" spans="2:7" ht="24" customHeight="1" x14ac:dyDescent="0.25">
      <c r="B292" s="13" t="s">
        <v>285</v>
      </c>
      <c r="C292" s="17" t="s">
        <v>274</v>
      </c>
      <c r="D292" s="15">
        <f>20*LOG(D291)</f>
        <v>13.250814774186878</v>
      </c>
      <c r="E292" s="13" t="s">
        <v>275</v>
      </c>
      <c r="F292" s="13"/>
      <c r="G292" s="13"/>
    </row>
    <row r="293" spans="2:7" ht="42" customHeight="1" x14ac:dyDescent="0.25">
      <c r="B293" s="13" t="s">
        <v>284</v>
      </c>
      <c r="C293" s="17" t="s">
        <v>279</v>
      </c>
      <c r="D293" s="15">
        <f>D292-(10*LOG(1+((D289*1000)/(D287))^2))</f>
        <v>-4.5103136976873124</v>
      </c>
      <c r="E293" s="13" t="s">
        <v>275</v>
      </c>
      <c r="F293" s="13"/>
      <c r="G293" s="13"/>
    </row>
    <row r="294" spans="2:7" ht="24.75" customHeight="1" x14ac:dyDescent="0.25">
      <c r="B294" s="13" t="s">
        <v>287</v>
      </c>
      <c r="C294" s="17" t="s">
        <v>279</v>
      </c>
      <c r="D294" s="14">
        <f>10^(D293/20)</f>
        <v>0.59495526909680141</v>
      </c>
      <c r="E294" s="13" t="s">
        <v>276</v>
      </c>
      <c r="F294" s="13"/>
      <c r="G294" s="13"/>
    </row>
    <row r="295" spans="2:7" x14ac:dyDescent="0.25">
      <c r="B295" s="13" t="s">
        <v>282</v>
      </c>
      <c r="C295" s="17" t="s">
        <v>281</v>
      </c>
      <c r="D295" s="28">
        <f>D287</f>
        <v>174.12648547905198</v>
      </c>
      <c r="E295" s="13" t="s">
        <v>22</v>
      </c>
      <c r="F295" s="13" t="s">
        <v>335</v>
      </c>
      <c r="G295" s="13"/>
    </row>
    <row r="296" spans="2:7" x14ac:dyDescent="0.25">
      <c r="B296" s="13" t="s">
        <v>283</v>
      </c>
      <c r="C296" s="17" t="s">
        <v>280</v>
      </c>
      <c r="D296" s="30">
        <f>D288*1000</f>
        <v>5203.7800258107472</v>
      </c>
      <c r="E296" s="13" t="s">
        <v>22</v>
      </c>
      <c r="F296" s="13" t="s">
        <v>336</v>
      </c>
      <c r="G296" s="13"/>
    </row>
    <row r="297" spans="2:7" ht="24.75" customHeight="1" x14ac:dyDescent="0.25">
      <c r="B297" s="13" t="s">
        <v>306</v>
      </c>
      <c r="C297" s="17" t="s">
        <v>296</v>
      </c>
      <c r="D297" s="28">
        <f>(D121*10^3)*D294</f>
        <v>6247.0303255164145</v>
      </c>
      <c r="E297" s="13" t="s">
        <v>20</v>
      </c>
      <c r="F297" s="13"/>
      <c r="G297" s="13"/>
    </row>
    <row r="298" spans="2:7" x14ac:dyDescent="0.25">
      <c r="B298" s="58" t="s">
        <v>293</v>
      </c>
      <c r="C298" s="56" t="s">
        <v>296</v>
      </c>
      <c r="D298" s="57">
        <v>10</v>
      </c>
      <c r="E298" s="58" t="s">
        <v>23</v>
      </c>
      <c r="F298" s="58"/>
      <c r="G298" s="58" t="s">
        <v>321</v>
      </c>
    </row>
    <row r="299" spans="2:7" ht="41.25" customHeight="1" x14ac:dyDescent="0.25">
      <c r="B299" s="13" t="s">
        <v>292</v>
      </c>
      <c r="C299" s="17" t="s">
        <v>288</v>
      </c>
      <c r="D299" s="30">
        <f>(1/(2*3.14*D295*D298*1000))*10^9</f>
        <v>91.448275862068968</v>
      </c>
      <c r="E299" s="13" t="s">
        <v>62</v>
      </c>
      <c r="F299" s="13"/>
      <c r="G299" s="13"/>
    </row>
    <row r="300" spans="2:7" x14ac:dyDescent="0.25">
      <c r="B300" s="58" t="s">
        <v>297</v>
      </c>
      <c r="C300" s="56" t="s">
        <v>288</v>
      </c>
      <c r="D300" s="59">
        <v>100</v>
      </c>
      <c r="E300" s="58" t="s">
        <v>62</v>
      </c>
      <c r="F300" s="58"/>
      <c r="G300" s="58" t="s">
        <v>321</v>
      </c>
    </row>
    <row r="301" spans="2:7" ht="39" customHeight="1" x14ac:dyDescent="0.25">
      <c r="B301" s="13" t="s">
        <v>290</v>
      </c>
      <c r="C301" s="17" t="s">
        <v>289</v>
      </c>
      <c r="D301" s="30">
        <f>(1/(2*3.141*D296*D298*1000))*10^12</f>
        <v>3059.0257879656169</v>
      </c>
      <c r="E301" s="13" t="s">
        <v>51</v>
      </c>
      <c r="F301" s="13"/>
      <c r="G301" s="13"/>
    </row>
    <row r="302" spans="2:7" x14ac:dyDescent="0.25">
      <c r="B302" s="58" t="s">
        <v>291</v>
      </c>
      <c r="C302" s="56" t="s">
        <v>289</v>
      </c>
      <c r="D302" s="59">
        <v>2200</v>
      </c>
      <c r="E302" s="58" t="s">
        <v>51</v>
      </c>
      <c r="F302" s="58"/>
      <c r="G302" s="58" t="s">
        <v>321</v>
      </c>
    </row>
    <row r="303" spans="2:7" ht="21.75" customHeight="1" x14ac:dyDescent="0.25">
      <c r="B303" s="158" t="s">
        <v>471</v>
      </c>
      <c r="C303" s="158"/>
      <c r="D303" s="158"/>
      <c r="E303" s="158"/>
      <c r="F303" s="9"/>
      <c r="G303" s="9"/>
    </row>
    <row r="304" spans="2:7" x14ac:dyDescent="0.25">
      <c r="B304" s="33" t="s">
        <v>24</v>
      </c>
      <c r="C304" s="153" t="s">
        <v>472</v>
      </c>
      <c r="D304" s="153"/>
      <c r="E304" s="153"/>
      <c r="F304" s="13"/>
      <c r="G304" s="13"/>
    </row>
    <row r="305" spans="2:7" x14ac:dyDescent="0.25">
      <c r="B305" s="33" t="s">
        <v>25</v>
      </c>
      <c r="C305" s="171" t="s">
        <v>294</v>
      </c>
      <c r="D305" s="171"/>
      <c r="E305" s="171"/>
      <c r="F305" s="13"/>
      <c r="G305" s="13"/>
    </row>
    <row r="306" spans="2:7" x14ac:dyDescent="0.25">
      <c r="B306" s="33" t="s">
        <v>84</v>
      </c>
      <c r="C306" s="152" t="s">
        <v>188</v>
      </c>
      <c r="D306" s="152"/>
      <c r="E306" s="152"/>
      <c r="F306" s="13"/>
      <c r="G306" s="13"/>
    </row>
    <row r="307" spans="2:7" x14ac:dyDescent="0.25">
      <c r="B307" s="33" t="s">
        <v>26</v>
      </c>
      <c r="C307" s="152" t="s">
        <v>295</v>
      </c>
      <c r="D307" s="152"/>
      <c r="E307" s="152"/>
      <c r="F307" s="13"/>
      <c r="G307" s="13"/>
    </row>
    <row r="308" spans="2:7" x14ac:dyDescent="0.25">
      <c r="B308" s="158" t="s">
        <v>473</v>
      </c>
      <c r="C308" s="158"/>
      <c r="D308" s="158"/>
      <c r="E308" s="158"/>
      <c r="F308" s="9"/>
      <c r="G308" s="9"/>
    </row>
    <row r="309" spans="2:7" x14ac:dyDescent="0.25">
      <c r="B309" s="33" t="s">
        <v>24</v>
      </c>
      <c r="C309" s="153" t="s">
        <v>474</v>
      </c>
      <c r="D309" s="153"/>
      <c r="E309" s="153"/>
      <c r="F309" s="13"/>
      <c r="G309" s="13"/>
    </row>
    <row r="310" spans="2:7" x14ac:dyDescent="0.25">
      <c r="B310" s="33" t="s">
        <v>25</v>
      </c>
      <c r="C310" s="171" t="s">
        <v>237</v>
      </c>
      <c r="D310" s="171"/>
      <c r="E310" s="171"/>
      <c r="F310" s="13"/>
      <c r="G310" s="13"/>
    </row>
    <row r="311" spans="2:7" ht="15" customHeight="1" x14ac:dyDescent="0.25">
      <c r="B311" s="33" t="s">
        <v>84</v>
      </c>
      <c r="C311" s="152" t="s">
        <v>213</v>
      </c>
      <c r="D311" s="152"/>
      <c r="E311" s="152"/>
      <c r="F311" s="13"/>
      <c r="G311" s="13"/>
    </row>
    <row r="312" spans="2:7" x14ac:dyDescent="0.25">
      <c r="B312" s="33" t="s">
        <v>26</v>
      </c>
      <c r="C312" s="163" t="s">
        <v>238</v>
      </c>
      <c r="D312" s="163"/>
      <c r="E312" s="163"/>
      <c r="F312" s="83"/>
      <c r="G312" s="13"/>
    </row>
    <row r="313" spans="2:7" x14ac:dyDescent="0.25">
      <c r="B313" s="158" t="s">
        <v>475</v>
      </c>
      <c r="C313" s="158"/>
      <c r="D313" s="158"/>
      <c r="E313" s="158"/>
      <c r="F313" s="9"/>
      <c r="G313" s="12"/>
    </row>
    <row r="314" spans="2:7" x14ac:dyDescent="0.25">
      <c r="B314" s="33" t="s">
        <v>24</v>
      </c>
      <c r="C314" s="153" t="s">
        <v>476</v>
      </c>
      <c r="D314" s="153"/>
      <c r="E314" s="153"/>
      <c r="F314" s="13"/>
      <c r="G314" s="67"/>
    </row>
    <row r="315" spans="2:7" x14ac:dyDescent="0.25">
      <c r="B315" s="33" t="s">
        <v>25</v>
      </c>
      <c r="C315" s="189" t="s">
        <v>445</v>
      </c>
      <c r="D315" s="189"/>
      <c r="E315" s="189"/>
      <c r="F315" s="13"/>
      <c r="G315" s="67"/>
    </row>
    <row r="316" spans="2:7" ht="15" customHeight="1" x14ac:dyDescent="0.25">
      <c r="B316" s="33" t="s">
        <v>84</v>
      </c>
      <c r="C316" s="152" t="s">
        <v>213</v>
      </c>
      <c r="D316" s="152"/>
      <c r="E316" s="152"/>
      <c r="F316" s="13"/>
      <c r="G316" s="13"/>
    </row>
    <row r="317" spans="2:7" x14ac:dyDescent="0.25">
      <c r="B317" s="33" t="s">
        <v>26</v>
      </c>
      <c r="C317" s="184" t="s">
        <v>446</v>
      </c>
      <c r="D317" s="184"/>
      <c r="E317" s="184"/>
      <c r="F317" s="13"/>
      <c r="G317" s="67"/>
    </row>
    <row r="318" spans="2:7" x14ac:dyDescent="0.25">
      <c r="B318" s="155" t="s">
        <v>375</v>
      </c>
      <c r="C318" s="156"/>
      <c r="D318" s="156"/>
      <c r="E318" s="156"/>
      <c r="F318" s="156"/>
      <c r="G318" s="157"/>
    </row>
    <row r="319" spans="2:7" ht="45" x14ac:dyDescent="0.25">
      <c r="B319" s="58" t="s">
        <v>325</v>
      </c>
      <c r="C319" s="56" t="s">
        <v>83</v>
      </c>
      <c r="D319" s="59">
        <v>0.1</v>
      </c>
      <c r="E319" s="62" t="s">
        <v>39</v>
      </c>
      <c r="F319" s="58" t="s">
        <v>233</v>
      </c>
      <c r="G319" s="58" t="s">
        <v>321</v>
      </c>
    </row>
    <row r="320" spans="2:7" x14ac:dyDescent="0.25">
      <c r="B320" s="158" t="s">
        <v>477</v>
      </c>
      <c r="C320" s="158"/>
      <c r="D320" s="158"/>
      <c r="E320" s="158"/>
      <c r="F320" s="9"/>
      <c r="G320" s="9"/>
    </row>
    <row r="321" spans="2:7" x14ac:dyDescent="0.25">
      <c r="B321" s="33" t="s">
        <v>24</v>
      </c>
      <c r="C321" s="153" t="s">
        <v>478</v>
      </c>
      <c r="D321" s="153"/>
      <c r="E321" s="153"/>
      <c r="F321" s="13"/>
      <c r="G321" s="13"/>
    </row>
    <row r="322" spans="2:7" ht="15" customHeight="1" x14ac:dyDescent="0.25">
      <c r="B322" s="33" t="s">
        <v>25</v>
      </c>
      <c r="C322" s="171" t="s">
        <v>237</v>
      </c>
      <c r="D322" s="171"/>
      <c r="E322" s="171"/>
      <c r="F322" s="13"/>
      <c r="G322" s="13"/>
    </row>
    <row r="323" spans="2:7" ht="15" customHeight="1" x14ac:dyDescent="0.25">
      <c r="B323" s="33" t="s">
        <v>84</v>
      </c>
      <c r="C323" s="152" t="s">
        <v>213</v>
      </c>
      <c r="D323" s="152"/>
      <c r="E323" s="152"/>
      <c r="F323" s="13"/>
      <c r="G323" s="13"/>
    </row>
    <row r="324" spans="2:7" ht="15" customHeight="1" x14ac:dyDescent="0.25">
      <c r="B324" s="33" t="s">
        <v>26</v>
      </c>
      <c r="C324" s="152" t="s">
        <v>238</v>
      </c>
      <c r="D324" s="152"/>
      <c r="E324" s="152"/>
      <c r="F324" s="13"/>
      <c r="G324" s="13"/>
    </row>
    <row r="325" spans="2:7" x14ac:dyDescent="0.25">
      <c r="B325" s="155" t="s">
        <v>377</v>
      </c>
      <c r="C325" s="156"/>
      <c r="D325" s="156"/>
      <c r="E325" s="156"/>
      <c r="F325" s="156"/>
      <c r="G325" s="157"/>
    </row>
    <row r="326" spans="2:7" ht="45" x14ac:dyDescent="0.25">
      <c r="B326" s="58" t="s">
        <v>228</v>
      </c>
      <c r="C326" s="56" t="s">
        <v>227</v>
      </c>
      <c r="D326" s="59">
        <f>D364*10</f>
        <v>1</v>
      </c>
      <c r="E326" s="62" t="s">
        <v>39</v>
      </c>
      <c r="F326" s="56" t="s">
        <v>234</v>
      </c>
      <c r="G326" s="56" t="s">
        <v>324</v>
      </c>
    </row>
    <row r="327" spans="2:7" x14ac:dyDescent="0.25">
      <c r="B327" s="158" t="s">
        <v>479</v>
      </c>
      <c r="C327" s="158"/>
      <c r="D327" s="158"/>
      <c r="E327" s="158"/>
      <c r="F327" s="9"/>
      <c r="G327" s="9"/>
    </row>
    <row r="328" spans="2:7" x14ac:dyDescent="0.25">
      <c r="B328" s="33" t="s">
        <v>24</v>
      </c>
      <c r="C328" s="153" t="s">
        <v>480</v>
      </c>
      <c r="D328" s="153"/>
      <c r="E328" s="153"/>
      <c r="F328" s="13"/>
      <c r="G328" s="13"/>
    </row>
    <row r="329" spans="2:7" x14ac:dyDescent="0.25">
      <c r="B329" s="33" t="s">
        <v>25</v>
      </c>
      <c r="C329" s="171" t="s">
        <v>229</v>
      </c>
      <c r="D329" s="171"/>
      <c r="E329" s="171"/>
      <c r="F329" s="13"/>
      <c r="G329" s="13"/>
    </row>
    <row r="330" spans="2:7" x14ac:dyDescent="0.25">
      <c r="B330" s="33" t="s">
        <v>84</v>
      </c>
      <c r="C330" s="152" t="s">
        <v>213</v>
      </c>
      <c r="D330" s="152"/>
      <c r="E330" s="152"/>
      <c r="F330" s="13"/>
      <c r="G330" s="13"/>
    </row>
    <row r="331" spans="2:7" x14ac:dyDescent="0.25">
      <c r="B331" s="33" t="s">
        <v>26</v>
      </c>
      <c r="C331" s="152" t="s">
        <v>230</v>
      </c>
      <c r="D331" s="152"/>
      <c r="E331" s="152"/>
      <c r="F331" s="13"/>
      <c r="G331" s="13"/>
    </row>
    <row r="332" spans="2:7" x14ac:dyDescent="0.25">
      <c r="B332" s="155" t="s">
        <v>37</v>
      </c>
      <c r="C332" s="156"/>
      <c r="D332" s="156"/>
      <c r="E332" s="156"/>
      <c r="F332" s="156"/>
      <c r="G332" s="157"/>
    </row>
    <row r="333" spans="2:7" ht="32.25" customHeight="1" x14ac:dyDescent="0.25">
      <c r="B333" s="13" t="s">
        <v>168</v>
      </c>
      <c r="C333" s="17" t="s">
        <v>169</v>
      </c>
      <c r="D333" s="86">
        <f>D39*(SQRT(D53*(1-D53)))</f>
        <v>1.374772708486752</v>
      </c>
      <c r="E333" s="13" t="s">
        <v>14</v>
      </c>
      <c r="F333" s="13"/>
      <c r="G333" s="13"/>
    </row>
    <row r="334" spans="2:7" ht="32.25" customHeight="1" x14ac:dyDescent="0.25">
      <c r="B334" s="13" t="s">
        <v>171</v>
      </c>
      <c r="C334" s="17" t="s">
        <v>170</v>
      </c>
      <c r="D334" s="86">
        <f>(D39/(1-D55))*(SQRT(D55*(1-D55)))</f>
        <v>4.6475800154489004</v>
      </c>
      <c r="E334" s="13" t="s">
        <v>14</v>
      </c>
      <c r="F334" s="13"/>
      <c r="G334" s="13"/>
    </row>
    <row r="335" spans="2:7" x14ac:dyDescent="0.25">
      <c r="B335" s="58" t="s">
        <v>317</v>
      </c>
      <c r="C335" s="56" t="s">
        <v>38</v>
      </c>
      <c r="D335" s="59">
        <v>11</v>
      </c>
      <c r="E335" s="62" t="s">
        <v>39</v>
      </c>
      <c r="F335" s="58" t="s">
        <v>241</v>
      </c>
      <c r="G335" s="58" t="s">
        <v>321</v>
      </c>
    </row>
    <row r="336" spans="2:7" x14ac:dyDescent="0.25">
      <c r="B336" s="13" t="s">
        <v>342</v>
      </c>
      <c r="C336" s="17"/>
      <c r="D336" s="54">
        <v>0.5</v>
      </c>
      <c r="E336" s="39"/>
      <c r="F336" s="13"/>
      <c r="G336" s="13"/>
    </row>
    <row r="337" spans="2:7" x14ac:dyDescent="0.25">
      <c r="B337" s="13" t="s">
        <v>343</v>
      </c>
      <c r="C337" s="17" t="s">
        <v>344</v>
      </c>
      <c r="D337" s="15">
        <f>D37/D336</f>
        <v>80</v>
      </c>
      <c r="E337" s="39" t="s">
        <v>12</v>
      </c>
      <c r="F337" s="13"/>
      <c r="G337" s="13"/>
    </row>
    <row r="338" spans="2:7" x14ac:dyDescent="0.25">
      <c r="B338" s="158" t="s">
        <v>481</v>
      </c>
      <c r="C338" s="158"/>
      <c r="D338" s="158"/>
      <c r="E338" s="158"/>
      <c r="F338" s="9"/>
      <c r="G338" s="9"/>
    </row>
    <row r="339" spans="2:7" ht="15" customHeight="1" x14ac:dyDescent="0.25">
      <c r="B339" s="33" t="s">
        <v>24</v>
      </c>
      <c r="C339" s="172" t="s">
        <v>552</v>
      </c>
      <c r="D339" s="173"/>
      <c r="E339" s="174"/>
      <c r="F339" s="127" t="s">
        <v>494</v>
      </c>
      <c r="G339" s="13"/>
    </row>
    <row r="340" spans="2:7" ht="15" customHeight="1" x14ac:dyDescent="0.25">
      <c r="B340" s="33" t="s">
        <v>25</v>
      </c>
      <c r="C340" s="181" t="s">
        <v>550</v>
      </c>
      <c r="D340" s="182"/>
      <c r="E340" s="183"/>
      <c r="F340" s="129" t="s">
        <v>239</v>
      </c>
      <c r="G340" s="13"/>
    </row>
    <row r="341" spans="2:7" x14ac:dyDescent="0.25">
      <c r="B341" s="33" t="s">
        <v>84</v>
      </c>
      <c r="C341" s="149" t="s">
        <v>189</v>
      </c>
      <c r="D341" s="150"/>
      <c r="E341" s="151"/>
      <c r="F341" s="130" t="s">
        <v>189</v>
      </c>
      <c r="G341" s="13"/>
    </row>
    <row r="342" spans="2:7" ht="15" customHeight="1" x14ac:dyDescent="0.25">
      <c r="B342" s="33" t="s">
        <v>26</v>
      </c>
      <c r="C342" s="149" t="s">
        <v>551</v>
      </c>
      <c r="D342" s="150"/>
      <c r="E342" s="151"/>
      <c r="F342" s="128" t="s">
        <v>240</v>
      </c>
      <c r="G342" s="13"/>
    </row>
    <row r="343" spans="2:7" x14ac:dyDescent="0.25">
      <c r="B343" s="158" t="s">
        <v>482</v>
      </c>
      <c r="C343" s="158"/>
      <c r="D343" s="158"/>
      <c r="E343" s="158"/>
      <c r="F343" s="9"/>
      <c r="G343" s="9"/>
    </row>
    <row r="344" spans="2:7" x14ac:dyDescent="0.25">
      <c r="B344" s="33" t="s">
        <v>24</v>
      </c>
      <c r="C344" s="153" t="s">
        <v>483</v>
      </c>
      <c r="D344" s="153"/>
      <c r="E344" s="153"/>
      <c r="F344" s="13"/>
      <c r="G344" s="13"/>
    </row>
    <row r="345" spans="2:7" x14ac:dyDescent="0.25">
      <c r="B345" s="33" t="s">
        <v>25</v>
      </c>
      <c r="C345" s="171" t="s">
        <v>231</v>
      </c>
      <c r="D345" s="171"/>
      <c r="E345" s="171"/>
      <c r="F345" s="13"/>
      <c r="G345" s="13"/>
    </row>
    <row r="346" spans="2:7" ht="15" customHeight="1" x14ac:dyDescent="0.25">
      <c r="B346" s="33" t="s">
        <v>84</v>
      </c>
      <c r="C346" s="152" t="s">
        <v>213</v>
      </c>
      <c r="D346" s="152"/>
      <c r="E346" s="152"/>
      <c r="F346" s="13"/>
      <c r="G346" s="13"/>
    </row>
    <row r="347" spans="2:7" x14ac:dyDescent="0.25">
      <c r="B347" s="33" t="s">
        <v>26</v>
      </c>
      <c r="C347" s="152" t="s">
        <v>232</v>
      </c>
      <c r="D347" s="152"/>
      <c r="E347" s="152"/>
      <c r="F347" s="13"/>
      <c r="G347" s="13"/>
    </row>
    <row r="348" spans="2:7" x14ac:dyDescent="0.25">
      <c r="B348" s="155" t="s">
        <v>376</v>
      </c>
      <c r="C348" s="156"/>
      <c r="D348" s="156"/>
      <c r="E348" s="156"/>
      <c r="F348" s="156"/>
      <c r="G348" s="157"/>
    </row>
    <row r="349" spans="2:7" ht="45" x14ac:dyDescent="0.25">
      <c r="B349" s="58" t="s">
        <v>353</v>
      </c>
      <c r="C349" s="56" t="s">
        <v>252</v>
      </c>
      <c r="D349" s="59">
        <v>1</v>
      </c>
      <c r="E349" s="62" t="s">
        <v>253</v>
      </c>
      <c r="F349" s="58" t="s">
        <v>254</v>
      </c>
      <c r="G349" s="58" t="s">
        <v>321</v>
      </c>
    </row>
    <row r="350" spans="2:7" x14ac:dyDescent="0.25">
      <c r="B350" s="158" t="s">
        <v>484</v>
      </c>
      <c r="C350" s="158"/>
      <c r="D350" s="158"/>
      <c r="E350" s="158"/>
      <c r="F350" s="9"/>
      <c r="G350" s="9"/>
    </row>
    <row r="351" spans="2:7" x14ac:dyDescent="0.25">
      <c r="B351" s="33" t="s">
        <v>24</v>
      </c>
      <c r="C351" s="153" t="s">
        <v>485</v>
      </c>
      <c r="D351" s="153"/>
      <c r="E351" s="153"/>
      <c r="F351" s="13"/>
      <c r="G351" s="13"/>
    </row>
    <row r="352" spans="2:7" x14ac:dyDescent="0.25">
      <c r="B352" s="33" t="s">
        <v>25</v>
      </c>
      <c r="C352" s="171" t="s">
        <v>255</v>
      </c>
      <c r="D352" s="171"/>
      <c r="E352" s="171"/>
      <c r="F352" s="13"/>
      <c r="G352" s="13"/>
    </row>
    <row r="353" spans="2:7" x14ac:dyDescent="0.25">
      <c r="B353" s="33" t="s">
        <v>84</v>
      </c>
      <c r="C353" s="152" t="s">
        <v>188</v>
      </c>
      <c r="D353" s="152"/>
      <c r="E353" s="152"/>
      <c r="F353" s="13"/>
      <c r="G353" s="13"/>
    </row>
    <row r="354" spans="2:7" x14ac:dyDescent="0.25">
      <c r="B354" s="33" t="s">
        <v>26</v>
      </c>
      <c r="C354" s="152" t="s">
        <v>256</v>
      </c>
      <c r="D354" s="152"/>
      <c r="E354" s="152"/>
      <c r="F354" s="13"/>
      <c r="G354" s="13"/>
    </row>
    <row r="355" spans="2:7" x14ac:dyDescent="0.25">
      <c r="B355" s="155" t="s">
        <v>373</v>
      </c>
      <c r="C355" s="156"/>
      <c r="D355" s="156"/>
      <c r="E355" s="156"/>
      <c r="F355" s="156"/>
      <c r="G355" s="157"/>
    </row>
    <row r="356" spans="2:7" x14ac:dyDescent="0.25">
      <c r="B356" s="13" t="s">
        <v>326</v>
      </c>
      <c r="C356" s="17" t="s">
        <v>243</v>
      </c>
      <c r="D356" s="14">
        <v>1.2310000000000001</v>
      </c>
      <c r="E356" s="13" t="s">
        <v>12</v>
      </c>
      <c r="F356" s="98"/>
      <c r="G356" s="13"/>
    </row>
    <row r="357" spans="2:7" x14ac:dyDescent="0.25">
      <c r="B357" s="17" t="s">
        <v>327</v>
      </c>
      <c r="C357" s="17" t="s">
        <v>244</v>
      </c>
      <c r="D357" s="14">
        <v>1.1910000000000001</v>
      </c>
      <c r="E357" s="17" t="s">
        <v>12</v>
      </c>
      <c r="F357" s="13"/>
      <c r="G357" s="13"/>
    </row>
    <row r="358" spans="2:7" x14ac:dyDescent="0.25">
      <c r="B358" s="17" t="s">
        <v>328</v>
      </c>
      <c r="C358" s="17" t="s">
        <v>245</v>
      </c>
      <c r="D358" s="14">
        <v>1.2709999999999999</v>
      </c>
      <c r="E358" s="17" t="s">
        <v>12</v>
      </c>
      <c r="F358" s="13"/>
      <c r="G358" s="13"/>
    </row>
    <row r="359" spans="2:7" ht="30" x14ac:dyDescent="0.25">
      <c r="B359" s="17" t="s">
        <v>329</v>
      </c>
      <c r="C359" s="17" t="s">
        <v>262</v>
      </c>
      <c r="D359" s="14">
        <v>4</v>
      </c>
      <c r="E359" s="17" t="s">
        <v>12</v>
      </c>
      <c r="F359" s="13"/>
      <c r="G359" s="13" t="s">
        <v>248</v>
      </c>
    </row>
    <row r="360" spans="2:7" x14ac:dyDescent="0.25">
      <c r="B360" s="58" t="s">
        <v>249</v>
      </c>
      <c r="C360" s="56" t="s">
        <v>242</v>
      </c>
      <c r="D360" s="57">
        <v>150</v>
      </c>
      <c r="E360" s="58" t="s">
        <v>23</v>
      </c>
      <c r="F360" s="66"/>
      <c r="G360" s="58"/>
    </row>
    <row r="361" spans="2:7" ht="29.25" customHeight="1" x14ac:dyDescent="0.25">
      <c r="B361" s="58" t="s">
        <v>246</v>
      </c>
      <c r="C361" s="56" t="s">
        <v>247</v>
      </c>
      <c r="D361" s="57">
        <f>(D356*((D360*10^3)/(D359+(5*10^-6*D360*10^3)-D356)))*10^-3</f>
        <v>52.472293265132144</v>
      </c>
      <c r="E361" s="58" t="s">
        <v>23</v>
      </c>
      <c r="F361" s="58"/>
      <c r="G361" s="58"/>
    </row>
    <row r="362" spans="2:7" ht="30" x14ac:dyDescent="0.25">
      <c r="B362" s="13" t="s">
        <v>259</v>
      </c>
      <c r="C362" s="17" t="s">
        <v>260</v>
      </c>
      <c r="D362" s="30">
        <v>723</v>
      </c>
      <c r="E362" s="39" t="s">
        <v>261</v>
      </c>
      <c r="F362" s="13" t="s">
        <v>333</v>
      </c>
      <c r="G362" s="13" t="s">
        <v>321</v>
      </c>
    </row>
    <row r="363" spans="2:7" ht="30" x14ac:dyDescent="0.25">
      <c r="B363" s="17" t="s">
        <v>346</v>
      </c>
      <c r="C363" s="17" t="s">
        <v>332</v>
      </c>
      <c r="D363" s="15">
        <f>((-D362*10^-6)/(((D360*1000*D361*1000)/((D360*1000)+(D361*1000)))*LN(1-0.98*((D360+D361)/(12*D361)))))*10^9</f>
        <v>49.135794871868129</v>
      </c>
      <c r="E363" s="17" t="s">
        <v>62</v>
      </c>
      <c r="F363" s="13"/>
      <c r="G363" s="13"/>
    </row>
    <row r="364" spans="2:7" x14ac:dyDescent="0.25">
      <c r="B364" s="58" t="s">
        <v>214</v>
      </c>
      <c r="C364" s="56" t="s">
        <v>258</v>
      </c>
      <c r="D364" s="59">
        <v>0.1</v>
      </c>
      <c r="E364" s="58" t="s">
        <v>39</v>
      </c>
      <c r="F364" s="137" t="s">
        <v>587</v>
      </c>
      <c r="G364" s="138">
        <v>15</v>
      </c>
    </row>
    <row r="365" spans="2:7" x14ac:dyDescent="0.25">
      <c r="B365" s="159" t="s">
        <v>486</v>
      </c>
      <c r="C365" s="160"/>
      <c r="D365" s="160"/>
      <c r="E365" s="161"/>
      <c r="F365" s="139" t="s">
        <v>105</v>
      </c>
      <c r="G365" s="138">
        <v>36</v>
      </c>
    </row>
    <row r="366" spans="2:7" x14ac:dyDescent="0.25">
      <c r="B366" s="33" t="s">
        <v>24</v>
      </c>
      <c r="C366" s="153" t="s">
        <v>487</v>
      </c>
      <c r="D366" s="153"/>
      <c r="E366" s="153"/>
      <c r="F366" s="137" t="s">
        <v>573</v>
      </c>
      <c r="G366" s="138">
        <f>75+75</f>
        <v>150</v>
      </c>
    </row>
    <row r="367" spans="2:7" x14ac:dyDescent="0.25">
      <c r="B367" s="33" t="s">
        <v>25</v>
      </c>
      <c r="C367" s="171" t="s">
        <v>576</v>
      </c>
      <c r="D367" s="171"/>
      <c r="E367" s="171"/>
      <c r="F367" s="137" t="s">
        <v>574</v>
      </c>
      <c r="G367" s="138">
        <f>105/2</f>
        <v>52.5</v>
      </c>
    </row>
    <row r="368" spans="2:7" x14ac:dyDescent="0.25">
      <c r="B368" s="33" t="s">
        <v>84</v>
      </c>
      <c r="C368" s="152" t="s">
        <v>188</v>
      </c>
      <c r="D368" s="152"/>
      <c r="E368" s="152"/>
      <c r="F368" s="137" t="s">
        <v>575</v>
      </c>
      <c r="G368" s="140">
        <f>G365*(G367/(G366+G367))</f>
        <v>9.3333333333333321</v>
      </c>
    </row>
    <row r="369" spans="2:7" x14ac:dyDescent="0.25">
      <c r="B369" s="33" t="s">
        <v>26</v>
      </c>
      <c r="C369" s="152" t="s">
        <v>577</v>
      </c>
      <c r="D369" s="152"/>
      <c r="E369" s="152"/>
      <c r="F369" s="136" t="s">
        <v>580</v>
      </c>
      <c r="G369" s="141"/>
    </row>
    <row r="370" spans="2:7" x14ac:dyDescent="0.25">
      <c r="B370" s="159" t="s">
        <v>488</v>
      </c>
      <c r="C370" s="160"/>
      <c r="D370" s="160"/>
      <c r="E370" s="161"/>
      <c r="F370" s="135"/>
      <c r="G370" s="9"/>
    </row>
    <row r="371" spans="2:7" x14ac:dyDescent="0.25">
      <c r="B371" s="33" t="s">
        <v>24</v>
      </c>
      <c r="C371" s="153" t="s">
        <v>489</v>
      </c>
      <c r="D371" s="153"/>
      <c r="E371" s="153"/>
      <c r="F371" s="17"/>
      <c r="G371" s="13"/>
    </row>
    <row r="372" spans="2:7" x14ac:dyDescent="0.25">
      <c r="B372" s="33" t="s">
        <v>25</v>
      </c>
      <c r="C372" s="171" t="s">
        <v>578</v>
      </c>
      <c r="D372" s="171"/>
      <c r="E372" s="171"/>
      <c r="F372" s="17"/>
      <c r="G372" s="13"/>
    </row>
    <row r="373" spans="2:7" x14ac:dyDescent="0.25">
      <c r="B373" s="33" t="s">
        <v>84</v>
      </c>
      <c r="C373" s="152" t="s">
        <v>188</v>
      </c>
      <c r="D373" s="152"/>
      <c r="E373" s="152"/>
      <c r="F373" s="17"/>
      <c r="G373" s="13"/>
    </row>
    <row r="374" spans="2:7" x14ac:dyDescent="0.25">
      <c r="B374" s="33" t="s">
        <v>26</v>
      </c>
      <c r="C374" s="152" t="s">
        <v>579</v>
      </c>
      <c r="D374" s="152"/>
      <c r="E374" s="152"/>
      <c r="F374" s="136" t="s">
        <v>581</v>
      </c>
      <c r="G374" s="13"/>
    </row>
    <row r="375" spans="2:7" x14ac:dyDescent="0.25">
      <c r="B375" s="158" t="s">
        <v>490</v>
      </c>
      <c r="C375" s="158"/>
      <c r="D375" s="158"/>
      <c r="E375" s="158"/>
      <c r="F375" s="9"/>
      <c r="G375" s="9"/>
    </row>
    <row r="376" spans="2:7" x14ac:dyDescent="0.25">
      <c r="B376" s="33" t="s">
        <v>24</v>
      </c>
      <c r="C376" s="153" t="s">
        <v>491</v>
      </c>
      <c r="D376" s="153"/>
      <c r="E376" s="153"/>
      <c r="F376" s="13"/>
      <c r="G376" s="13"/>
    </row>
    <row r="377" spans="2:7" x14ac:dyDescent="0.25">
      <c r="B377" s="33" t="s">
        <v>25</v>
      </c>
      <c r="C377" s="171" t="s">
        <v>237</v>
      </c>
      <c r="D377" s="171"/>
      <c r="E377" s="171"/>
      <c r="F377" s="13"/>
      <c r="G377" s="13"/>
    </row>
    <row r="378" spans="2:7" x14ac:dyDescent="0.25">
      <c r="B378" s="33" t="s">
        <v>84</v>
      </c>
      <c r="C378" s="152" t="s">
        <v>213</v>
      </c>
      <c r="D378" s="152"/>
      <c r="E378" s="152"/>
      <c r="F378" s="13"/>
      <c r="G378" s="13"/>
    </row>
    <row r="379" spans="2:7" x14ac:dyDescent="0.25">
      <c r="B379" s="33" t="s">
        <v>26</v>
      </c>
      <c r="C379" s="152" t="s">
        <v>238</v>
      </c>
      <c r="D379" s="152"/>
      <c r="E379" s="152"/>
      <c r="F379" s="13"/>
      <c r="G379" s="13"/>
    </row>
    <row r="380" spans="2:7" x14ac:dyDescent="0.25">
      <c r="B380" s="155" t="s">
        <v>424</v>
      </c>
      <c r="C380" s="156"/>
      <c r="D380" s="156"/>
      <c r="E380" s="156"/>
      <c r="F380" s="156"/>
      <c r="G380" s="157"/>
    </row>
    <row r="381" spans="2:7" x14ac:dyDescent="0.25">
      <c r="B381" s="13" t="s">
        <v>425</v>
      </c>
      <c r="C381" s="17" t="s">
        <v>63</v>
      </c>
      <c r="D381" s="82">
        <f>D245+D215+D184+D164+D124+D123+D96+D88</f>
        <v>7.8161411437167505</v>
      </c>
      <c r="E381" s="13" t="s">
        <v>9</v>
      </c>
      <c r="F381" s="9"/>
      <c r="G381" s="9"/>
    </row>
    <row r="382" spans="2:7" x14ac:dyDescent="0.25">
      <c r="B382" s="13" t="s">
        <v>426</v>
      </c>
      <c r="C382" s="17" t="s">
        <v>15</v>
      </c>
      <c r="D382" s="82">
        <f>D40</f>
        <v>36</v>
      </c>
      <c r="E382" s="13" t="s">
        <v>9</v>
      </c>
      <c r="F382" s="9"/>
      <c r="G382" s="9"/>
    </row>
    <row r="383" spans="2:7" x14ac:dyDescent="0.25">
      <c r="B383" s="13" t="s">
        <v>427</v>
      </c>
      <c r="C383" s="17" t="s">
        <v>428</v>
      </c>
      <c r="D383" s="82">
        <f>D382+D381</f>
        <v>43.816141143716749</v>
      </c>
      <c r="E383" s="13" t="s">
        <v>9</v>
      </c>
      <c r="F383" s="9" t="s">
        <v>429</v>
      </c>
      <c r="G383" s="9"/>
    </row>
    <row r="384" spans="2:7" x14ac:dyDescent="0.25">
      <c r="B384" s="13" t="s">
        <v>430</v>
      </c>
      <c r="C384" s="17"/>
      <c r="D384" s="148">
        <f>(D382/D383)</f>
        <v>0.82161502725491409</v>
      </c>
      <c r="E384" s="13"/>
      <c r="F384" s="9"/>
      <c r="G384" s="9"/>
    </row>
    <row r="385" spans="2:7" ht="15.75" thickBot="1" x14ac:dyDescent="0.3">
      <c r="B385" s="53"/>
      <c r="C385" s="41"/>
      <c r="D385" s="41"/>
      <c r="E385" s="41"/>
      <c r="F385" s="42"/>
      <c r="G385" s="43"/>
    </row>
    <row r="386" spans="2:7" ht="15.75" thickBot="1" x14ac:dyDescent="0.3">
      <c r="B386" s="190" t="s">
        <v>64</v>
      </c>
      <c r="C386" s="191"/>
      <c r="D386" s="191"/>
      <c r="E386" s="192"/>
      <c r="G386" s="11"/>
    </row>
    <row r="387" spans="2:7" x14ac:dyDescent="0.25">
      <c r="B387" s="44"/>
      <c r="C387" s="45"/>
      <c r="D387" s="46"/>
      <c r="E387" s="47"/>
    </row>
    <row r="388" spans="2:7" x14ac:dyDescent="0.25">
      <c r="B388" s="48"/>
      <c r="C388" s="4"/>
      <c r="D388" s="5"/>
      <c r="E388" s="49"/>
    </row>
    <row r="389" spans="2:7" x14ac:dyDescent="0.25">
      <c r="B389" s="48"/>
      <c r="C389" s="4"/>
      <c r="D389" s="5"/>
      <c r="E389" s="49"/>
    </row>
    <row r="390" spans="2:7" x14ac:dyDescent="0.25">
      <c r="B390" s="48"/>
      <c r="C390" s="4"/>
      <c r="D390" s="5"/>
      <c r="E390" s="49"/>
    </row>
    <row r="391" spans="2:7" ht="15.75" thickBot="1" x14ac:dyDescent="0.3">
      <c r="B391" s="50"/>
      <c r="C391" s="51"/>
      <c r="D391" s="51"/>
      <c r="E391" s="52"/>
      <c r="F391" s="1"/>
    </row>
  </sheetData>
  <mergeCells count="166">
    <mergeCell ref="B380:G380"/>
    <mergeCell ref="C284:E284"/>
    <mergeCell ref="B211:E211"/>
    <mergeCell ref="B227:E227"/>
    <mergeCell ref="C228:E228"/>
    <mergeCell ref="C229:E229"/>
    <mergeCell ref="C230:E230"/>
    <mergeCell ref="C231:E231"/>
    <mergeCell ref="B241:E241"/>
    <mergeCell ref="C351:E351"/>
    <mergeCell ref="C352:E352"/>
    <mergeCell ref="C331:E331"/>
    <mergeCell ref="C330:E330"/>
    <mergeCell ref="C283:E283"/>
    <mergeCell ref="C377:E377"/>
    <mergeCell ref="B355:G355"/>
    <mergeCell ref="B365:E365"/>
    <mergeCell ref="C366:E366"/>
    <mergeCell ref="C367:E367"/>
    <mergeCell ref="B375:E375"/>
    <mergeCell ref="C376:E376"/>
    <mergeCell ref="C378:E378"/>
    <mergeCell ref="C379:E379"/>
    <mergeCell ref="C372:E372"/>
    <mergeCell ref="H8:K8"/>
    <mergeCell ref="B348:G348"/>
    <mergeCell ref="B350:E350"/>
    <mergeCell ref="H26:K26"/>
    <mergeCell ref="H27:K27"/>
    <mergeCell ref="B115:G115"/>
    <mergeCell ref="B140:E140"/>
    <mergeCell ref="B34:G34"/>
    <mergeCell ref="B52:G52"/>
    <mergeCell ref="B32:G32"/>
    <mergeCell ref="B33:G33"/>
    <mergeCell ref="B42:G42"/>
    <mergeCell ref="C80:E80"/>
    <mergeCell ref="C81:E81"/>
    <mergeCell ref="C83:E83"/>
    <mergeCell ref="C110:E110"/>
    <mergeCell ref="C111:E111"/>
    <mergeCell ref="B112:G112"/>
    <mergeCell ref="F128:F130"/>
    <mergeCell ref="F123:F124"/>
    <mergeCell ref="C61:E61"/>
    <mergeCell ref="C63:E63"/>
    <mergeCell ref="C62:E62"/>
    <mergeCell ref="C82:E82"/>
    <mergeCell ref="B386:E386"/>
    <mergeCell ref="C353:E353"/>
    <mergeCell ref="C354:E354"/>
    <mergeCell ref="B2:G2"/>
    <mergeCell ref="C3:G3"/>
    <mergeCell ref="C4:G4"/>
    <mergeCell ref="B5:G5"/>
    <mergeCell ref="C282:E282"/>
    <mergeCell ref="C263:E263"/>
    <mergeCell ref="B251:G251"/>
    <mergeCell ref="B259:E259"/>
    <mergeCell ref="C260:E260"/>
    <mergeCell ref="C272:E272"/>
    <mergeCell ref="C328:E328"/>
    <mergeCell ref="C329:E329"/>
    <mergeCell ref="B343:E343"/>
    <mergeCell ref="C344:E344"/>
    <mergeCell ref="C345:E345"/>
    <mergeCell ref="C346:E346"/>
    <mergeCell ref="C347:E347"/>
    <mergeCell ref="C324:E324"/>
    <mergeCell ref="C323:E323"/>
    <mergeCell ref="B59:E59"/>
    <mergeCell ref="C60:E60"/>
    <mergeCell ref="B1:G1"/>
    <mergeCell ref="B313:E313"/>
    <mergeCell ref="C314:E314"/>
    <mergeCell ref="C315:E315"/>
    <mergeCell ref="B303:E303"/>
    <mergeCell ref="C304:E304"/>
    <mergeCell ref="C305:E305"/>
    <mergeCell ref="C133:E133"/>
    <mergeCell ref="C142:E142"/>
    <mergeCell ref="C307:E307"/>
    <mergeCell ref="C312:E312"/>
    <mergeCell ref="B285:G285"/>
    <mergeCell ref="C281:E281"/>
    <mergeCell ref="B149:G149"/>
    <mergeCell ref="B274:G274"/>
    <mergeCell ref="B131:E131"/>
    <mergeCell ref="C141:E141"/>
    <mergeCell ref="C144:E144"/>
    <mergeCell ref="C132:E132"/>
    <mergeCell ref="C135:E135"/>
    <mergeCell ref="B64:G64"/>
    <mergeCell ref="B79:E79"/>
    <mergeCell ref="C261:E261"/>
    <mergeCell ref="C157:E157"/>
    <mergeCell ref="C310:E310"/>
    <mergeCell ref="C341:E341"/>
    <mergeCell ref="C159:E159"/>
    <mergeCell ref="B150:G150"/>
    <mergeCell ref="C158:E158"/>
    <mergeCell ref="B332:G332"/>
    <mergeCell ref="B338:E338"/>
    <mergeCell ref="C339:E339"/>
    <mergeCell ref="C340:E340"/>
    <mergeCell ref="B170:G170"/>
    <mergeCell ref="B176:E176"/>
    <mergeCell ref="C177:E177"/>
    <mergeCell ref="B318:G318"/>
    <mergeCell ref="B320:E320"/>
    <mergeCell ref="C321:E321"/>
    <mergeCell ref="C322:E322"/>
    <mergeCell ref="C178:E178"/>
    <mergeCell ref="C316:E316"/>
    <mergeCell ref="C180:E180"/>
    <mergeCell ref="C179:E179"/>
    <mergeCell ref="B156:E156"/>
    <mergeCell ref="C160:E160"/>
    <mergeCell ref="C143:E143"/>
    <mergeCell ref="F74:F75"/>
    <mergeCell ref="G74:G75"/>
    <mergeCell ref="B89:G89"/>
    <mergeCell ref="B99:E99"/>
    <mergeCell ref="C100:E100"/>
    <mergeCell ref="C101:E101"/>
    <mergeCell ref="C102:E102"/>
    <mergeCell ref="C373:E373"/>
    <mergeCell ref="C342:E342"/>
    <mergeCell ref="B264:E264"/>
    <mergeCell ref="C265:E265"/>
    <mergeCell ref="C266:E266"/>
    <mergeCell ref="C268:E268"/>
    <mergeCell ref="B269:E269"/>
    <mergeCell ref="C270:E270"/>
    <mergeCell ref="C271:E271"/>
    <mergeCell ref="B191:G191"/>
    <mergeCell ref="B197:E197"/>
    <mergeCell ref="C306:E306"/>
    <mergeCell ref="C311:E311"/>
    <mergeCell ref="C317:E317"/>
    <mergeCell ref="B308:E308"/>
    <mergeCell ref="C309:E309"/>
    <mergeCell ref="C84:E84"/>
    <mergeCell ref="C374:E374"/>
    <mergeCell ref="C369:E369"/>
    <mergeCell ref="C368:E368"/>
    <mergeCell ref="C108:E108"/>
    <mergeCell ref="C109:E109"/>
    <mergeCell ref="B325:G325"/>
    <mergeCell ref="B327:E327"/>
    <mergeCell ref="B280:E280"/>
    <mergeCell ref="C103:E103"/>
    <mergeCell ref="B104:G104"/>
    <mergeCell ref="B107:E107"/>
    <mergeCell ref="C273:E273"/>
    <mergeCell ref="C262:E262"/>
    <mergeCell ref="C267:E267"/>
    <mergeCell ref="B370:E370"/>
    <mergeCell ref="C371:E371"/>
    <mergeCell ref="B190:G190"/>
    <mergeCell ref="C198:E198"/>
    <mergeCell ref="C199:E199"/>
    <mergeCell ref="C200:E200"/>
    <mergeCell ref="C201:E201"/>
    <mergeCell ref="B221:G221"/>
    <mergeCell ref="C134:E134"/>
  </mergeCells>
  <pageMargins left="0.7" right="0.7" top="0.75" bottom="0.75" header="0.3" footer="0.3"/>
  <pageSetup scale="10" orientation="portrait" r:id="rId1"/>
  <rowBreaks count="1" manualBreakCount="1">
    <brk id="273" min="1" max="6" man="1"/>
  </rowBreaks>
  <drawing r:id="rId2"/>
  <legacyDrawing r:id="rId3"/>
  <oleObjects>
    <mc:AlternateContent xmlns:mc="http://schemas.openxmlformats.org/markup-compatibility/2006">
      <mc:Choice Requires="x14">
        <oleObject progId="AcroExch.Document.DC" dvAspect="DVASPECT_ICON" shapeId="1029" r:id="rId4">
          <objectPr defaultSize="0" r:id="rId5">
            <anchor moveWithCells="1">
              <from>
                <xdr:col>1</xdr:col>
                <xdr:colOff>66675</xdr:colOff>
                <xdr:row>386</xdr:row>
                <xdr:rowOff>85725</xdr:rowOff>
              </from>
              <to>
                <xdr:col>1</xdr:col>
                <xdr:colOff>981075</xdr:colOff>
                <xdr:row>390</xdr:row>
                <xdr:rowOff>9525</xdr:rowOff>
              </to>
            </anchor>
          </objectPr>
        </oleObject>
      </mc:Choice>
      <mc:Fallback>
        <oleObject progId="AcroExch.Document.DC" dvAspect="DVASPECT_ICON" shapeId="1029" r:id="rId4"/>
      </mc:Fallback>
    </mc:AlternateContent>
    <mc:AlternateContent xmlns:mc="http://schemas.openxmlformats.org/markup-compatibility/2006">
      <mc:Choice Requires="x14">
        <oleObject progId="AcroExch.Document.DC" dvAspect="DVASPECT_ICON" shapeId="1030" r:id="rId6">
          <objectPr defaultSize="0" r:id="rId7">
            <anchor moveWithCells="1">
              <from>
                <xdr:col>1</xdr:col>
                <xdr:colOff>1114425</xdr:colOff>
                <xdr:row>386</xdr:row>
                <xdr:rowOff>85725</xdr:rowOff>
              </from>
              <to>
                <xdr:col>1</xdr:col>
                <xdr:colOff>2028825</xdr:colOff>
                <xdr:row>390</xdr:row>
                <xdr:rowOff>9525</xdr:rowOff>
              </to>
            </anchor>
          </objectPr>
        </oleObject>
      </mc:Choice>
      <mc:Fallback>
        <oleObject progId="AcroExch.Document.DC" dvAspect="DVASPECT_ICON" shapeId="1030" r:id="rId6"/>
      </mc:Fallback>
    </mc:AlternateContent>
    <mc:AlternateContent xmlns:mc="http://schemas.openxmlformats.org/markup-compatibility/2006">
      <mc:Choice Requires="x14">
        <oleObject progId="Package" dvAspect="DVASPECT_ICON" shapeId="1031" r:id="rId8">
          <objectPr defaultSize="0" autoPict="0" r:id="rId9">
            <anchor moveWithCells="1">
              <from>
                <xdr:col>1</xdr:col>
                <xdr:colOff>2133600</xdr:colOff>
                <xdr:row>386</xdr:row>
                <xdr:rowOff>76200</xdr:rowOff>
              </from>
              <to>
                <xdr:col>3</xdr:col>
                <xdr:colOff>790575</xdr:colOff>
                <xdr:row>390</xdr:row>
                <xdr:rowOff>28575</xdr:rowOff>
              </to>
            </anchor>
          </objectPr>
        </oleObject>
      </mc:Choice>
      <mc:Fallback>
        <oleObject progId="Package" dvAspect="DVASPECT_ICON" shapeId="1031" r:id="rId8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73"/>
  <sheetViews>
    <sheetView showGridLines="0" zoomScale="85" zoomScaleNormal="85" zoomScaleSheetLayoutView="55" workbookViewId="0">
      <selection sqref="A1:D1"/>
    </sheetView>
  </sheetViews>
  <sheetFormatPr defaultRowHeight="12.75" x14ac:dyDescent="0.2"/>
  <cols>
    <col min="1" max="1" width="7.140625" style="108" customWidth="1"/>
    <col min="2" max="3" width="11.140625" style="108" customWidth="1"/>
    <col min="4" max="4" width="12.42578125" style="108" customWidth="1"/>
    <col min="5" max="5" width="41.5703125" style="108" customWidth="1"/>
    <col min="6" max="7" width="6.85546875" style="108" customWidth="1"/>
    <col min="8" max="8" width="9" style="108" customWidth="1"/>
    <col min="9" max="9" width="29.85546875" style="108" customWidth="1"/>
    <col min="10" max="10" width="20" style="108" customWidth="1"/>
    <col min="11" max="11" width="19.140625" style="108" customWidth="1"/>
    <col min="12" max="12" width="17.5703125" style="108" customWidth="1"/>
    <col min="13" max="13" width="22.42578125" style="108" customWidth="1"/>
    <col min="14" max="16" width="13.140625" style="108" customWidth="1"/>
    <col min="17" max="17" width="22.85546875" style="108" customWidth="1"/>
    <col min="18" max="18" width="15.28515625" style="108" customWidth="1"/>
    <col min="19" max="16384" width="9.140625" style="108"/>
  </cols>
  <sheetData>
    <row r="1" spans="1:18" s="107" customFormat="1" x14ac:dyDescent="0.2">
      <c r="A1" s="209" t="s">
        <v>502</v>
      </c>
      <c r="B1" s="209"/>
      <c r="C1" s="209"/>
      <c r="D1" s="209"/>
      <c r="E1" s="105" t="s">
        <v>503</v>
      </c>
      <c r="F1" s="209" t="s">
        <v>504</v>
      </c>
      <c r="G1" s="209"/>
      <c r="H1" s="216"/>
      <c r="I1" s="217"/>
      <c r="J1" s="217"/>
      <c r="K1" s="217"/>
      <c r="L1" s="218"/>
      <c r="M1" s="106" t="s">
        <v>505</v>
      </c>
      <c r="N1" s="219">
        <v>1</v>
      </c>
      <c r="O1" s="220"/>
      <c r="P1" s="220"/>
      <c r="Q1" s="221"/>
    </row>
    <row r="2" spans="1:18" x14ac:dyDescent="0.2">
      <c r="A2" s="222" t="s">
        <v>506</v>
      </c>
      <c r="B2" s="223"/>
      <c r="C2" s="223"/>
      <c r="D2" s="224"/>
      <c r="E2" s="204" t="s">
        <v>507</v>
      </c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6"/>
    </row>
    <row r="3" spans="1:18" x14ac:dyDescent="0.2">
      <c r="A3" s="210">
        <v>1</v>
      </c>
      <c r="B3" s="211"/>
      <c r="C3" s="211"/>
      <c r="D3" s="212"/>
      <c r="E3" s="213" t="s">
        <v>508</v>
      </c>
      <c r="F3" s="214"/>
      <c r="G3" s="214"/>
      <c r="H3" s="214"/>
      <c r="I3" s="214"/>
      <c r="J3" s="214"/>
      <c r="K3" s="214"/>
      <c r="L3" s="214"/>
      <c r="M3" s="214"/>
      <c r="N3" s="214"/>
      <c r="O3" s="214"/>
      <c r="P3" s="214"/>
      <c r="Q3" s="214"/>
      <c r="R3" s="109"/>
    </row>
    <row r="4" spans="1:18" s="107" customFormat="1" x14ac:dyDescent="0.2">
      <c r="A4" s="213"/>
      <c r="B4" s="214"/>
      <c r="C4" s="214"/>
      <c r="D4" s="215"/>
      <c r="E4" s="213"/>
      <c r="F4" s="214"/>
      <c r="G4" s="214"/>
      <c r="H4" s="214"/>
      <c r="I4" s="214"/>
      <c r="J4" s="214"/>
      <c r="K4" s="214"/>
      <c r="L4" s="214"/>
      <c r="M4" s="214"/>
      <c r="N4" s="214"/>
      <c r="O4" s="214"/>
      <c r="P4" s="214"/>
      <c r="Q4" s="214"/>
      <c r="R4" s="110"/>
    </row>
    <row r="5" spans="1:18" x14ac:dyDescent="0.2">
      <c r="A5" s="213"/>
      <c r="B5" s="214"/>
      <c r="C5" s="214"/>
      <c r="D5" s="215"/>
      <c r="E5" s="213"/>
      <c r="F5" s="214"/>
      <c r="G5" s="214"/>
      <c r="H5" s="214"/>
      <c r="I5" s="214"/>
      <c r="J5" s="214"/>
      <c r="K5" s="214"/>
      <c r="L5" s="214"/>
      <c r="M5" s="214"/>
      <c r="N5" s="214"/>
      <c r="O5" s="214"/>
      <c r="P5" s="214"/>
      <c r="Q5" s="214"/>
      <c r="R5" s="109"/>
    </row>
    <row r="6" spans="1:18" x14ac:dyDescent="0.2">
      <c r="A6" s="204" t="s">
        <v>509</v>
      </c>
      <c r="B6" s="205"/>
      <c r="C6" s="205"/>
      <c r="D6" s="205"/>
      <c r="E6" s="205"/>
      <c r="F6" s="205"/>
      <c r="G6" s="205"/>
      <c r="H6" s="205"/>
      <c r="I6" s="205"/>
      <c r="J6" s="205"/>
      <c r="K6" s="205"/>
      <c r="L6" s="205"/>
      <c r="M6" s="205"/>
      <c r="N6" s="205"/>
      <c r="O6" s="205"/>
      <c r="P6" s="205"/>
      <c r="Q6" s="205"/>
      <c r="R6" s="109"/>
    </row>
    <row r="7" spans="1:18" x14ac:dyDescent="0.2">
      <c r="A7" s="204" t="s">
        <v>510</v>
      </c>
      <c r="B7" s="205"/>
      <c r="C7" s="205"/>
      <c r="D7" s="205"/>
      <c r="E7" s="205"/>
      <c r="F7" s="205"/>
      <c r="G7" s="205"/>
      <c r="H7" s="205"/>
      <c r="I7" s="205"/>
      <c r="J7" s="205"/>
      <c r="K7" s="205"/>
      <c r="L7" s="205"/>
      <c r="M7" s="205"/>
      <c r="N7" s="205"/>
      <c r="O7" s="205"/>
      <c r="P7" s="205"/>
      <c r="Q7" s="206"/>
      <c r="R7" s="109"/>
    </row>
    <row r="8" spans="1:18" x14ac:dyDescent="0.2">
      <c r="A8" s="207" t="s">
        <v>511</v>
      </c>
      <c r="B8" s="209" t="s">
        <v>512</v>
      </c>
      <c r="C8" s="207" t="s">
        <v>24</v>
      </c>
      <c r="D8" s="207" t="s">
        <v>24</v>
      </c>
      <c r="E8" s="207" t="s">
        <v>513</v>
      </c>
      <c r="F8" s="207" t="s">
        <v>514</v>
      </c>
      <c r="G8" s="207" t="s">
        <v>6</v>
      </c>
      <c r="H8" s="207" t="s">
        <v>515</v>
      </c>
      <c r="I8" s="207" t="s">
        <v>516</v>
      </c>
      <c r="J8" s="207" t="s">
        <v>517</v>
      </c>
      <c r="K8" s="207" t="s">
        <v>518</v>
      </c>
      <c r="L8" s="207" t="s">
        <v>519</v>
      </c>
      <c r="M8" s="207" t="s">
        <v>520</v>
      </c>
      <c r="N8" s="207" t="s">
        <v>521</v>
      </c>
      <c r="O8" s="204" t="s">
        <v>522</v>
      </c>
      <c r="P8" s="206"/>
      <c r="Q8" s="207" t="s">
        <v>523</v>
      </c>
    </row>
    <row r="9" spans="1:18" ht="27" customHeight="1" x14ac:dyDescent="0.2">
      <c r="A9" s="208"/>
      <c r="B9" s="209"/>
      <c r="C9" s="208"/>
      <c r="D9" s="208"/>
      <c r="E9" s="208"/>
      <c r="F9" s="208"/>
      <c r="G9" s="208"/>
      <c r="H9" s="208"/>
      <c r="I9" s="208"/>
      <c r="J9" s="208"/>
      <c r="K9" s="208"/>
      <c r="L9" s="208"/>
      <c r="M9" s="208"/>
      <c r="N9" s="208"/>
      <c r="O9" s="111" t="s">
        <v>524</v>
      </c>
      <c r="P9" s="111" t="s">
        <v>525</v>
      </c>
      <c r="Q9" s="208"/>
    </row>
    <row r="10" spans="1:18" s="117" customFormat="1" ht="15" x14ac:dyDescent="0.25">
      <c r="A10" s="112">
        <v>1</v>
      </c>
      <c r="B10" s="112"/>
      <c r="C10" s="113" t="s">
        <v>560</v>
      </c>
      <c r="D10" s="114" t="s">
        <v>552</v>
      </c>
      <c r="E10" s="112" t="s">
        <v>559</v>
      </c>
      <c r="F10" s="112">
        <v>1</v>
      </c>
      <c r="G10" s="113">
        <v>1</v>
      </c>
      <c r="H10" s="113">
        <v>5</v>
      </c>
      <c r="I10" s="113" t="s">
        <v>550</v>
      </c>
      <c r="J10" s="113" t="s">
        <v>189</v>
      </c>
      <c r="K10" s="112"/>
      <c r="L10" s="112"/>
      <c r="M10" s="115"/>
      <c r="N10" s="115"/>
      <c r="O10" s="116"/>
      <c r="P10" s="116">
        <f>+O10*H10</f>
        <v>0</v>
      </c>
      <c r="Q10" s="112"/>
    </row>
    <row r="11" spans="1:18" ht="15" x14ac:dyDescent="0.2">
      <c r="A11" s="118">
        <v>2</v>
      </c>
      <c r="B11" s="118"/>
      <c r="C11" s="113" t="s">
        <v>526</v>
      </c>
      <c r="D11" s="119" t="s">
        <v>483</v>
      </c>
      <c r="E11" s="118" t="s">
        <v>232</v>
      </c>
      <c r="F11" s="112">
        <v>1</v>
      </c>
      <c r="G11" s="113">
        <v>1</v>
      </c>
      <c r="H11" s="113">
        <v>1</v>
      </c>
      <c r="I11" s="113" t="s">
        <v>231</v>
      </c>
      <c r="J11" s="113" t="s">
        <v>213</v>
      </c>
      <c r="K11" s="112"/>
      <c r="L11" s="112"/>
      <c r="M11" s="120"/>
      <c r="N11" s="120"/>
      <c r="O11" s="116"/>
      <c r="P11" s="116">
        <f>+O11*H11</f>
        <v>0</v>
      </c>
      <c r="Q11" s="118"/>
    </row>
    <row r="12" spans="1:18" ht="15" x14ac:dyDescent="0.2">
      <c r="A12" s="118">
        <v>3</v>
      </c>
      <c r="B12" s="118"/>
      <c r="C12" s="113" t="s">
        <v>562</v>
      </c>
      <c r="D12" s="119" t="s">
        <v>492</v>
      </c>
      <c r="E12" s="118" t="s">
        <v>549</v>
      </c>
      <c r="F12" s="112">
        <v>1</v>
      </c>
      <c r="G12" s="113">
        <v>1</v>
      </c>
      <c r="H12" s="113">
        <v>2</v>
      </c>
      <c r="I12" s="113" t="s">
        <v>543</v>
      </c>
      <c r="J12" s="113" t="s">
        <v>544</v>
      </c>
      <c r="K12" s="112"/>
      <c r="L12" s="112"/>
      <c r="M12" s="120"/>
      <c r="N12" s="120"/>
      <c r="O12" s="116"/>
      <c r="P12" s="116">
        <f>+O12*H12</f>
        <v>0</v>
      </c>
      <c r="Q12" s="118"/>
    </row>
    <row r="13" spans="1:18" ht="15" x14ac:dyDescent="0.2">
      <c r="A13" s="118">
        <v>4</v>
      </c>
      <c r="B13" s="118"/>
      <c r="C13" s="113" t="s">
        <v>563</v>
      </c>
      <c r="D13" s="119" t="s">
        <v>493</v>
      </c>
      <c r="E13" s="118" t="s">
        <v>547</v>
      </c>
      <c r="F13" s="112">
        <v>1</v>
      </c>
      <c r="G13" s="113">
        <v>1</v>
      </c>
      <c r="H13" s="113">
        <v>2</v>
      </c>
      <c r="I13" s="113" t="s">
        <v>564</v>
      </c>
      <c r="J13" s="113" t="s">
        <v>546</v>
      </c>
      <c r="K13" s="112"/>
      <c r="L13" s="112"/>
      <c r="M13" s="120"/>
      <c r="N13" s="120"/>
      <c r="O13" s="116"/>
      <c r="P13" s="116">
        <f t="shared" ref="P13:P34" si="0">+O13*H13</f>
        <v>0</v>
      </c>
      <c r="Q13" s="118"/>
    </row>
    <row r="14" spans="1:18" ht="15" x14ac:dyDescent="0.2">
      <c r="A14" s="118">
        <v>5</v>
      </c>
      <c r="B14" s="118"/>
      <c r="C14" s="113" t="s">
        <v>561</v>
      </c>
      <c r="D14" s="119" t="s">
        <v>553</v>
      </c>
      <c r="E14" s="118" t="s">
        <v>566</v>
      </c>
      <c r="F14" s="112">
        <v>1</v>
      </c>
      <c r="G14" s="113">
        <v>1</v>
      </c>
      <c r="H14" s="113">
        <v>1</v>
      </c>
      <c r="I14" s="113" t="s">
        <v>565</v>
      </c>
      <c r="J14" s="113" t="s">
        <v>189</v>
      </c>
      <c r="K14" s="112"/>
      <c r="L14" s="112"/>
      <c r="M14" s="120"/>
      <c r="N14" s="120"/>
      <c r="O14" s="116"/>
      <c r="P14" s="116">
        <f t="shared" si="0"/>
        <v>0</v>
      </c>
      <c r="Q14" s="118"/>
    </row>
    <row r="15" spans="1:18" ht="15" x14ac:dyDescent="0.2">
      <c r="A15" s="118">
        <v>6</v>
      </c>
      <c r="B15" s="118"/>
      <c r="C15" s="113" t="s">
        <v>210</v>
      </c>
      <c r="D15" s="119" t="s">
        <v>454</v>
      </c>
      <c r="E15" s="118" t="s">
        <v>441</v>
      </c>
      <c r="F15" s="112">
        <v>1</v>
      </c>
      <c r="G15" s="113">
        <v>1</v>
      </c>
      <c r="H15" s="113">
        <v>1</v>
      </c>
      <c r="I15" s="113" t="s">
        <v>528</v>
      </c>
      <c r="J15" s="113" t="s">
        <v>213</v>
      </c>
      <c r="K15" s="112"/>
      <c r="L15" s="112"/>
      <c r="M15" s="120"/>
      <c r="N15" s="120"/>
      <c r="O15" s="116"/>
      <c r="P15" s="116">
        <f t="shared" si="0"/>
        <v>0</v>
      </c>
      <c r="Q15" s="118"/>
    </row>
    <row r="16" spans="1:18" ht="15" x14ac:dyDescent="0.2">
      <c r="A16" s="118">
        <v>7</v>
      </c>
      <c r="B16" s="118"/>
      <c r="C16" s="113" t="s">
        <v>83</v>
      </c>
      <c r="D16" s="119" t="s">
        <v>478</v>
      </c>
      <c r="E16" s="118" t="s">
        <v>232</v>
      </c>
      <c r="F16" s="112">
        <v>1</v>
      </c>
      <c r="G16" s="113">
        <v>1</v>
      </c>
      <c r="H16" s="113">
        <v>1</v>
      </c>
      <c r="I16" s="113" t="s">
        <v>237</v>
      </c>
      <c r="J16" s="113" t="s">
        <v>213</v>
      </c>
      <c r="K16" s="112"/>
      <c r="L16" s="112"/>
      <c r="M16" s="120"/>
      <c r="N16" s="120"/>
      <c r="O16" s="116"/>
      <c r="P16" s="116">
        <f t="shared" si="0"/>
        <v>0</v>
      </c>
      <c r="Q16" s="118"/>
    </row>
    <row r="17" spans="1:17" ht="15" x14ac:dyDescent="0.2">
      <c r="A17" s="118">
        <v>8</v>
      </c>
      <c r="B17" s="118"/>
      <c r="C17" s="113" t="s">
        <v>227</v>
      </c>
      <c r="D17" s="119" t="s">
        <v>480</v>
      </c>
      <c r="E17" s="118" t="s">
        <v>230</v>
      </c>
      <c r="F17" s="112">
        <v>1</v>
      </c>
      <c r="G17" s="113">
        <v>1</v>
      </c>
      <c r="H17" s="113">
        <v>1</v>
      </c>
      <c r="I17" s="113" t="s">
        <v>529</v>
      </c>
      <c r="J17" s="113" t="s">
        <v>213</v>
      </c>
      <c r="K17" s="112"/>
      <c r="L17" s="112"/>
      <c r="M17" s="120"/>
      <c r="N17" s="120"/>
      <c r="O17" s="116"/>
      <c r="P17" s="116">
        <f t="shared" si="0"/>
        <v>0</v>
      </c>
      <c r="Q17" s="118"/>
    </row>
    <row r="18" spans="1:17" ht="15" x14ac:dyDescent="0.2">
      <c r="A18" s="118">
        <v>9</v>
      </c>
      <c r="B18" s="118"/>
      <c r="C18" s="113" t="s">
        <v>61</v>
      </c>
      <c r="D18" s="119" t="s">
        <v>470</v>
      </c>
      <c r="E18" s="118" t="s">
        <v>238</v>
      </c>
      <c r="F18" s="112">
        <v>1</v>
      </c>
      <c r="G18" s="113">
        <v>1</v>
      </c>
      <c r="H18" s="113">
        <v>1</v>
      </c>
      <c r="I18" s="113" t="s">
        <v>237</v>
      </c>
      <c r="J18" s="113" t="s">
        <v>213</v>
      </c>
      <c r="K18" s="112"/>
      <c r="L18" s="112"/>
      <c r="M18" s="120"/>
      <c r="N18" s="120"/>
      <c r="O18" s="116"/>
      <c r="P18" s="116">
        <f t="shared" si="0"/>
        <v>0</v>
      </c>
      <c r="Q18" s="118"/>
    </row>
    <row r="19" spans="1:17" ht="15" x14ac:dyDescent="0.2">
      <c r="A19" s="118">
        <v>10</v>
      </c>
      <c r="B19" s="118"/>
      <c r="C19" s="113" t="s">
        <v>332</v>
      </c>
      <c r="D19" s="119" t="s">
        <v>491</v>
      </c>
      <c r="E19" s="118" t="s">
        <v>238</v>
      </c>
      <c r="F19" s="112">
        <v>1</v>
      </c>
      <c r="G19" s="113">
        <v>1</v>
      </c>
      <c r="H19" s="113">
        <v>1</v>
      </c>
      <c r="I19" s="113" t="s">
        <v>237</v>
      </c>
      <c r="J19" s="113" t="s">
        <v>213</v>
      </c>
      <c r="K19" s="112"/>
      <c r="L19" s="112"/>
      <c r="M19" s="120"/>
      <c r="N19" s="120"/>
      <c r="O19" s="116"/>
      <c r="P19" s="116">
        <f t="shared" si="0"/>
        <v>0</v>
      </c>
      <c r="Q19" s="118"/>
    </row>
    <row r="20" spans="1:17" ht="15" x14ac:dyDescent="0.2">
      <c r="A20" s="118">
        <v>11</v>
      </c>
      <c r="B20" s="118"/>
      <c r="C20" s="113" t="s">
        <v>288</v>
      </c>
      <c r="D20" s="119" t="s">
        <v>474</v>
      </c>
      <c r="E20" s="118" t="s">
        <v>238</v>
      </c>
      <c r="F20" s="112">
        <v>1</v>
      </c>
      <c r="G20" s="113">
        <v>1</v>
      </c>
      <c r="H20" s="113">
        <v>1</v>
      </c>
      <c r="I20" s="113" t="s">
        <v>237</v>
      </c>
      <c r="J20" s="113" t="s">
        <v>213</v>
      </c>
      <c r="K20" s="112"/>
      <c r="L20" s="112"/>
      <c r="M20" s="120"/>
      <c r="N20" s="120"/>
      <c r="O20" s="116"/>
      <c r="P20" s="116">
        <f t="shared" si="0"/>
        <v>0</v>
      </c>
      <c r="Q20" s="118"/>
    </row>
    <row r="21" spans="1:17" ht="15" x14ac:dyDescent="0.2">
      <c r="A21" s="118">
        <v>12</v>
      </c>
      <c r="B21" s="118"/>
      <c r="C21" s="113" t="s">
        <v>289</v>
      </c>
      <c r="D21" s="119" t="s">
        <v>476</v>
      </c>
      <c r="E21" s="118" t="s">
        <v>446</v>
      </c>
      <c r="F21" s="112">
        <v>1</v>
      </c>
      <c r="G21" s="113">
        <v>1</v>
      </c>
      <c r="H21" s="113">
        <v>1</v>
      </c>
      <c r="I21" s="113" t="s">
        <v>445</v>
      </c>
      <c r="J21" s="113" t="s">
        <v>213</v>
      </c>
      <c r="K21" s="112"/>
      <c r="L21" s="112"/>
      <c r="M21" s="120"/>
      <c r="N21" s="120"/>
      <c r="O21" s="116"/>
      <c r="P21" s="116">
        <f t="shared" si="0"/>
        <v>0</v>
      </c>
      <c r="Q21" s="118"/>
    </row>
    <row r="22" spans="1:17" ht="15" x14ac:dyDescent="0.2">
      <c r="A22" s="118">
        <v>13</v>
      </c>
      <c r="B22" s="118"/>
      <c r="C22" s="113" t="s">
        <v>92</v>
      </c>
      <c r="D22" s="119" t="s">
        <v>450</v>
      </c>
      <c r="E22" s="118" t="s">
        <v>440</v>
      </c>
      <c r="F22" s="112">
        <v>1</v>
      </c>
      <c r="G22" s="113">
        <v>1</v>
      </c>
      <c r="H22" s="113">
        <v>1</v>
      </c>
      <c r="I22" s="113" t="s">
        <v>439</v>
      </c>
      <c r="J22" s="113" t="s">
        <v>301</v>
      </c>
      <c r="K22" s="112"/>
      <c r="L22" s="112"/>
      <c r="M22" s="120"/>
      <c r="N22" s="120"/>
      <c r="O22" s="116"/>
      <c r="P22" s="116">
        <f t="shared" si="0"/>
        <v>0</v>
      </c>
      <c r="Q22" s="118"/>
    </row>
    <row r="23" spans="1:17" ht="15" x14ac:dyDescent="0.2">
      <c r="A23" s="118">
        <v>14</v>
      </c>
      <c r="B23" s="118"/>
      <c r="C23" s="113" t="s">
        <v>140</v>
      </c>
      <c r="D23" s="119" t="s">
        <v>460</v>
      </c>
      <c r="E23" s="118" t="s">
        <v>530</v>
      </c>
      <c r="F23" s="112">
        <v>1</v>
      </c>
      <c r="G23" s="113">
        <v>1</v>
      </c>
      <c r="H23" s="113">
        <v>1</v>
      </c>
      <c r="I23" s="113" t="s">
        <v>531</v>
      </c>
      <c r="J23" s="113" t="s">
        <v>221</v>
      </c>
      <c r="K23" s="112"/>
      <c r="L23" s="112"/>
      <c r="M23" s="120"/>
      <c r="N23" s="120"/>
      <c r="O23" s="116"/>
      <c r="P23" s="116">
        <f t="shared" si="0"/>
        <v>0</v>
      </c>
      <c r="Q23" s="118"/>
    </row>
    <row r="24" spans="1:17" ht="15" x14ac:dyDescent="0.2">
      <c r="A24" s="118">
        <v>15</v>
      </c>
      <c r="B24" s="118"/>
      <c r="C24" s="113" t="s">
        <v>139</v>
      </c>
      <c r="D24" s="119" t="s">
        <v>462</v>
      </c>
      <c r="E24" s="118" t="s">
        <v>223</v>
      </c>
      <c r="F24" s="112">
        <v>1</v>
      </c>
      <c r="G24" s="113">
        <v>1</v>
      </c>
      <c r="H24" s="113">
        <v>1</v>
      </c>
      <c r="I24" s="113" t="s">
        <v>222</v>
      </c>
      <c r="J24" s="113" t="s">
        <v>221</v>
      </c>
      <c r="K24" s="112"/>
      <c r="L24" s="112"/>
      <c r="M24" s="120"/>
      <c r="N24" s="120"/>
      <c r="O24" s="116"/>
      <c r="P24" s="116">
        <f t="shared" si="0"/>
        <v>0</v>
      </c>
      <c r="Q24" s="118"/>
    </row>
    <row r="25" spans="1:17" ht="15" x14ac:dyDescent="0.2">
      <c r="A25" s="118">
        <v>16</v>
      </c>
      <c r="B25" s="118"/>
      <c r="C25" s="113" t="s">
        <v>532</v>
      </c>
      <c r="D25" s="119" t="s">
        <v>533</v>
      </c>
      <c r="E25" s="118" t="s">
        <v>337</v>
      </c>
      <c r="F25" s="112">
        <v>1</v>
      </c>
      <c r="G25" s="113">
        <v>1</v>
      </c>
      <c r="H25" s="113">
        <v>2</v>
      </c>
      <c r="I25" s="113" t="s">
        <v>338</v>
      </c>
      <c r="J25" s="113" t="s">
        <v>339</v>
      </c>
      <c r="K25" s="112"/>
      <c r="L25" s="112"/>
      <c r="M25" s="120"/>
      <c r="N25" s="120"/>
      <c r="O25" s="116"/>
      <c r="P25" s="116">
        <f t="shared" si="0"/>
        <v>0</v>
      </c>
      <c r="Q25" s="118"/>
    </row>
    <row r="26" spans="1:17" ht="15" x14ac:dyDescent="0.2">
      <c r="A26" s="118">
        <v>17</v>
      </c>
      <c r="B26" s="118"/>
      <c r="C26" s="113" t="s">
        <v>185</v>
      </c>
      <c r="D26" s="119" t="s">
        <v>447</v>
      </c>
      <c r="E26" s="118" t="s">
        <v>187</v>
      </c>
      <c r="F26" s="112">
        <v>1</v>
      </c>
      <c r="G26" s="113">
        <v>1</v>
      </c>
      <c r="H26" s="113">
        <v>1</v>
      </c>
      <c r="I26" s="113" t="s">
        <v>186</v>
      </c>
      <c r="J26" s="113" t="s">
        <v>527</v>
      </c>
      <c r="K26" s="112"/>
      <c r="L26" s="112"/>
      <c r="M26" s="120"/>
      <c r="N26" s="121"/>
      <c r="O26" s="116"/>
      <c r="P26" s="116">
        <f t="shared" si="0"/>
        <v>0</v>
      </c>
      <c r="Q26" s="122"/>
    </row>
    <row r="27" spans="1:17" ht="15" x14ac:dyDescent="0.2">
      <c r="A27" s="118">
        <v>18</v>
      </c>
      <c r="B27" s="118"/>
      <c r="C27" s="113" t="s">
        <v>65</v>
      </c>
      <c r="D27" s="119" t="s">
        <v>456</v>
      </c>
      <c r="E27" s="118" t="s">
        <v>496</v>
      </c>
      <c r="F27" s="112">
        <v>1</v>
      </c>
      <c r="G27" s="113">
        <v>1</v>
      </c>
      <c r="H27" s="113">
        <v>1</v>
      </c>
      <c r="I27" s="113" t="s">
        <v>495</v>
      </c>
      <c r="J27" s="113" t="s">
        <v>527</v>
      </c>
      <c r="K27" s="112"/>
      <c r="L27" s="112"/>
      <c r="M27" s="120"/>
      <c r="N27" s="120"/>
      <c r="O27" s="116"/>
      <c r="P27" s="116">
        <f t="shared" si="0"/>
        <v>0</v>
      </c>
      <c r="Q27" s="118"/>
    </row>
    <row r="28" spans="1:17" ht="15" x14ac:dyDescent="0.2">
      <c r="A28" s="118">
        <v>19</v>
      </c>
      <c r="B28" s="118"/>
      <c r="C28" s="113" t="s">
        <v>66</v>
      </c>
      <c r="D28" s="119" t="s">
        <v>458</v>
      </c>
      <c r="E28" s="118" t="s">
        <v>499</v>
      </c>
      <c r="F28" s="112">
        <v>1</v>
      </c>
      <c r="G28" s="113">
        <v>1</v>
      </c>
      <c r="H28" s="113">
        <v>1</v>
      </c>
      <c r="I28" s="113" t="s">
        <v>498</v>
      </c>
      <c r="J28" s="113" t="s">
        <v>527</v>
      </c>
      <c r="K28" s="112"/>
      <c r="L28" s="112"/>
      <c r="M28" s="120"/>
      <c r="N28" s="120"/>
      <c r="O28" s="116"/>
      <c r="P28" s="116">
        <f t="shared" si="0"/>
        <v>0</v>
      </c>
      <c r="Q28" s="118"/>
    </row>
    <row r="29" spans="1:17" ht="15" x14ac:dyDescent="0.2">
      <c r="A29" s="118">
        <v>20</v>
      </c>
      <c r="B29" s="118"/>
      <c r="C29" s="113" t="s">
        <v>190</v>
      </c>
      <c r="D29" s="119" t="s">
        <v>452</v>
      </c>
      <c r="E29" s="118" t="s">
        <v>349</v>
      </c>
      <c r="F29" s="112">
        <v>1</v>
      </c>
      <c r="G29" s="113">
        <v>1</v>
      </c>
      <c r="H29" s="113">
        <v>2</v>
      </c>
      <c r="I29" s="113" t="s">
        <v>348</v>
      </c>
      <c r="J29" s="113" t="s">
        <v>527</v>
      </c>
      <c r="K29" s="112"/>
      <c r="L29" s="112"/>
      <c r="M29" s="120"/>
      <c r="N29" s="120"/>
      <c r="O29" s="116"/>
      <c r="P29" s="116">
        <f t="shared" si="0"/>
        <v>0</v>
      </c>
      <c r="Q29" s="118"/>
    </row>
    <row r="30" spans="1:17" ht="15" x14ac:dyDescent="0.2">
      <c r="A30" s="118">
        <v>21</v>
      </c>
      <c r="B30" s="118"/>
      <c r="C30" s="113" t="s">
        <v>242</v>
      </c>
      <c r="D30" s="119" t="s">
        <v>487</v>
      </c>
      <c r="E30" s="118" t="s">
        <v>250</v>
      </c>
      <c r="F30" s="112">
        <v>1</v>
      </c>
      <c r="G30" s="113">
        <v>1</v>
      </c>
      <c r="H30" s="113">
        <v>1</v>
      </c>
      <c r="I30" s="113" t="s">
        <v>534</v>
      </c>
      <c r="J30" s="113" t="s">
        <v>527</v>
      </c>
      <c r="K30" s="112"/>
      <c r="L30" s="112"/>
      <c r="M30" s="120"/>
      <c r="N30" s="120"/>
      <c r="O30" s="116"/>
      <c r="P30" s="116">
        <f t="shared" si="0"/>
        <v>0</v>
      </c>
      <c r="Q30" s="118"/>
    </row>
    <row r="31" spans="1:17" ht="15" x14ac:dyDescent="0.2">
      <c r="A31" s="118">
        <v>22</v>
      </c>
      <c r="B31" s="118"/>
      <c r="C31" s="113" t="s">
        <v>247</v>
      </c>
      <c r="D31" s="119" t="s">
        <v>489</v>
      </c>
      <c r="E31" s="118" t="s">
        <v>251</v>
      </c>
      <c r="F31" s="112">
        <v>1</v>
      </c>
      <c r="G31" s="113">
        <v>1</v>
      </c>
      <c r="H31" s="113">
        <v>1</v>
      </c>
      <c r="I31" s="113" t="s">
        <v>535</v>
      </c>
      <c r="J31" s="113" t="s">
        <v>527</v>
      </c>
      <c r="K31" s="112"/>
      <c r="L31" s="112"/>
      <c r="M31" s="120"/>
      <c r="N31" s="120"/>
      <c r="O31" s="116"/>
      <c r="P31" s="116">
        <f t="shared" si="0"/>
        <v>0</v>
      </c>
      <c r="Q31" s="118"/>
    </row>
    <row r="32" spans="1:17" ht="15" x14ac:dyDescent="0.2">
      <c r="A32" s="118">
        <v>23</v>
      </c>
      <c r="B32" s="118"/>
      <c r="C32" s="113" t="s">
        <v>252</v>
      </c>
      <c r="D32" s="119" t="s">
        <v>485</v>
      </c>
      <c r="E32" s="118" t="s">
        <v>256</v>
      </c>
      <c r="F32" s="112">
        <v>1</v>
      </c>
      <c r="G32" s="113">
        <v>1</v>
      </c>
      <c r="H32" s="113">
        <v>1</v>
      </c>
      <c r="I32" s="113" t="s">
        <v>255</v>
      </c>
      <c r="J32" s="113" t="s">
        <v>527</v>
      </c>
      <c r="K32" s="112"/>
      <c r="L32" s="112"/>
      <c r="M32" s="120"/>
      <c r="N32" s="120"/>
      <c r="O32" s="116"/>
      <c r="P32" s="116">
        <f t="shared" si="0"/>
        <v>0</v>
      </c>
      <c r="Q32" s="118"/>
    </row>
    <row r="33" spans="1:17" ht="15" x14ac:dyDescent="0.2">
      <c r="A33" s="118">
        <v>24</v>
      </c>
      <c r="B33" s="118"/>
      <c r="C33" s="113" t="s">
        <v>296</v>
      </c>
      <c r="D33" s="119" t="s">
        <v>472</v>
      </c>
      <c r="E33" s="118" t="s">
        <v>536</v>
      </c>
      <c r="F33" s="112">
        <v>1</v>
      </c>
      <c r="G33" s="113">
        <v>1</v>
      </c>
      <c r="H33" s="113">
        <v>1</v>
      </c>
      <c r="I33" s="113" t="s">
        <v>294</v>
      </c>
      <c r="J33" s="113" t="s">
        <v>527</v>
      </c>
      <c r="K33" s="112"/>
      <c r="L33" s="112"/>
      <c r="M33" s="120"/>
      <c r="N33" s="120"/>
      <c r="O33" s="116"/>
      <c r="P33" s="116">
        <f t="shared" si="0"/>
        <v>0</v>
      </c>
      <c r="Q33" s="118"/>
    </row>
    <row r="34" spans="1:17" ht="15" x14ac:dyDescent="0.2">
      <c r="A34" s="118">
        <v>25</v>
      </c>
      <c r="B34" s="118"/>
      <c r="C34" s="113" t="s">
        <v>537</v>
      </c>
      <c r="D34" s="119" t="s">
        <v>538</v>
      </c>
      <c r="E34" s="118" t="s">
        <v>539</v>
      </c>
      <c r="F34" s="112">
        <v>1</v>
      </c>
      <c r="G34" s="113">
        <v>1</v>
      </c>
      <c r="H34" s="113">
        <v>1</v>
      </c>
      <c r="I34" s="113" t="s">
        <v>540</v>
      </c>
      <c r="J34" s="113" t="s">
        <v>541</v>
      </c>
      <c r="K34" s="112"/>
      <c r="L34" s="112"/>
      <c r="M34" s="120"/>
      <c r="N34" s="120"/>
      <c r="O34" s="116"/>
      <c r="P34" s="116">
        <f t="shared" si="0"/>
        <v>0</v>
      </c>
      <c r="Q34" s="118"/>
    </row>
    <row r="35" spans="1:17" x14ac:dyDescent="0.2">
      <c r="A35" s="204" t="s">
        <v>542</v>
      </c>
      <c r="B35" s="205"/>
      <c r="C35" s="205"/>
      <c r="D35" s="205"/>
      <c r="E35" s="205"/>
      <c r="F35" s="205"/>
      <c r="G35" s="205"/>
      <c r="H35" s="205"/>
      <c r="I35" s="205"/>
      <c r="J35" s="205"/>
      <c r="K35" s="205"/>
      <c r="L35" s="205"/>
      <c r="M35" s="205"/>
      <c r="N35" s="205"/>
      <c r="O35" s="206"/>
      <c r="P35" s="123">
        <f>SUM(P22:P34)</f>
        <v>0</v>
      </c>
      <c r="Q35" s="124"/>
    </row>
    <row r="36" spans="1:17" x14ac:dyDescent="0.2">
      <c r="M36" s="124"/>
      <c r="N36" s="124"/>
      <c r="O36" s="124"/>
      <c r="P36" s="124"/>
    </row>
    <row r="37" spans="1:17" x14ac:dyDescent="0.2">
      <c r="E37" s="125"/>
      <c r="M37" s="124"/>
      <c r="N37" s="124"/>
      <c r="O37" s="124"/>
      <c r="P37" s="124"/>
    </row>
    <row r="38" spans="1:17" x14ac:dyDescent="0.2">
      <c r="M38" s="124"/>
      <c r="N38" s="124"/>
      <c r="O38" s="124"/>
      <c r="P38" s="124"/>
    </row>
    <row r="39" spans="1:17" x14ac:dyDescent="0.2">
      <c r="M39" s="124"/>
      <c r="N39" s="124"/>
      <c r="O39" s="124"/>
      <c r="P39" s="124"/>
    </row>
    <row r="40" spans="1:17" x14ac:dyDescent="0.2">
      <c r="M40" s="124"/>
      <c r="N40" s="124"/>
      <c r="O40" s="124"/>
      <c r="P40" s="124"/>
    </row>
    <row r="41" spans="1:17" x14ac:dyDescent="0.2">
      <c r="M41" s="124"/>
      <c r="N41" s="124"/>
      <c r="O41" s="124"/>
      <c r="P41" s="124"/>
    </row>
    <row r="42" spans="1:17" x14ac:dyDescent="0.2">
      <c r="M42" s="124"/>
      <c r="N42" s="124"/>
      <c r="O42" s="124"/>
      <c r="P42" s="124"/>
    </row>
    <row r="43" spans="1:17" x14ac:dyDescent="0.2">
      <c r="M43" s="124"/>
      <c r="N43" s="124"/>
      <c r="O43" s="124"/>
      <c r="P43" s="124"/>
    </row>
    <row r="44" spans="1:17" x14ac:dyDescent="0.2">
      <c r="M44" s="124"/>
      <c r="N44" s="124"/>
      <c r="O44" s="124"/>
      <c r="P44" s="124"/>
    </row>
    <row r="45" spans="1:17" x14ac:dyDescent="0.2">
      <c r="M45" s="124"/>
      <c r="N45" s="124"/>
      <c r="O45" s="124"/>
      <c r="P45" s="124"/>
    </row>
    <row r="46" spans="1:17" x14ac:dyDescent="0.2">
      <c r="M46" s="124"/>
      <c r="N46" s="124"/>
      <c r="O46" s="124"/>
      <c r="P46" s="124"/>
    </row>
    <row r="47" spans="1:17" x14ac:dyDescent="0.2">
      <c r="M47" s="124"/>
      <c r="N47" s="124"/>
      <c r="O47" s="124"/>
      <c r="P47" s="124"/>
    </row>
    <row r="48" spans="1:17" x14ac:dyDescent="0.2">
      <c r="M48" s="124"/>
      <c r="N48" s="124"/>
      <c r="O48" s="124"/>
      <c r="P48" s="124"/>
    </row>
    <row r="49" spans="13:16" x14ac:dyDescent="0.2">
      <c r="M49" s="124"/>
      <c r="N49" s="124"/>
      <c r="O49" s="124"/>
      <c r="P49" s="124"/>
    </row>
    <row r="50" spans="13:16" x14ac:dyDescent="0.2">
      <c r="M50" s="124"/>
      <c r="N50" s="124"/>
      <c r="O50" s="124"/>
      <c r="P50" s="124"/>
    </row>
    <row r="51" spans="13:16" x14ac:dyDescent="0.2">
      <c r="M51" s="124"/>
      <c r="N51" s="124"/>
      <c r="O51" s="124"/>
      <c r="P51" s="124"/>
    </row>
    <row r="52" spans="13:16" x14ac:dyDescent="0.2">
      <c r="M52" s="124"/>
      <c r="N52" s="124"/>
      <c r="O52" s="124"/>
      <c r="P52" s="124"/>
    </row>
    <row r="53" spans="13:16" x14ac:dyDescent="0.2">
      <c r="M53" s="124"/>
      <c r="N53" s="124"/>
      <c r="O53" s="124"/>
      <c r="P53" s="124"/>
    </row>
    <row r="54" spans="13:16" x14ac:dyDescent="0.2">
      <c r="M54" s="124"/>
      <c r="N54" s="124"/>
      <c r="O54" s="124"/>
      <c r="P54" s="124"/>
    </row>
    <row r="55" spans="13:16" x14ac:dyDescent="0.2">
      <c r="M55" s="124"/>
      <c r="N55" s="124"/>
      <c r="O55" s="124"/>
      <c r="P55" s="124"/>
    </row>
    <row r="56" spans="13:16" x14ac:dyDescent="0.2">
      <c r="M56" s="124"/>
      <c r="N56" s="124"/>
      <c r="O56" s="124"/>
      <c r="P56" s="124"/>
    </row>
    <row r="57" spans="13:16" x14ac:dyDescent="0.2">
      <c r="M57" s="124"/>
      <c r="N57" s="124"/>
      <c r="O57" s="124"/>
      <c r="P57" s="124"/>
    </row>
    <row r="58" spans="13:16" x14ac:dyDescent="0.2">
      <c r="M58" s="124"/>
      <c r="N58" s="124"/>
      <c r="O58" s="124"/>
      <c r="P58" s="124"/>
    </row>
    <row r="59" spans="13:16" x14ac:dyDescent="0.2">
      <c r="M59" s="124"/>
      <c r="N59" s="124"/>
      <c r="O59" s="124"/>
      <c r="P59" s="124"/>
    </row>
    <row r="60" spans="13:16" x14ac:dyDescent="0.2">
      <c r="M60" s="124"/>
      <c r="N60" s="124"/>
      <c r="O60" s="124"/>
      <c r="P60" s="124"/>
    </row>
    <row r="61" spans="13:16" x14ac:dyDescent="0.2">
      <c r="M61" s="124"/>
      <c r="N61" s="124"/>
      <c r="O61" s="124"/>
      <c r="P61" s="124"/>
    </row>
    <row r="62" spans="13:16" x14ac:dyDescent="0.2">
      <c r="M62" s="124"/>
      <c r="N62" s="124"/>
      <c r="O62" s="124"/>
      <c r="P62" s="124"/>
    </row>
    <row r="63" spans="13:16" x14ac:dyDescent="0.2">
      <c r="M63" s="124"/>
      <c r="N63" s="124"/>
      <c r="O63" s="124"/>
      <c r="P63" s="124"/>
    </row>
    <row r="64" spans="13:16" x14ac:dyDescent="0.2">
      <c r="M64" s="124"/>
      <c r="N64" s="124"/>
      <c r="O64" s="124"/>
      <c r="P64" s="124"/>
    </row>
    <row r="65" spans="13:16" x14ac:dyDescent="0.2">
      <c r="M65" s="124"/>
      <c r="N65" s="124"/>
      <c r="O65" s="124"/>
      <c r="P65" s="124"/>
    </row>
    <row r="66" spans="13:16" x14ac:dyDescent="0.2">
      <c r="M66" s="124"/>
      <c r="N66" s="124"/>
      <c r="O66" s="124"/>
      <c r="P66" s="124"/>
    </row>
    <row r="67" spans="13:16" x14ac:dyDescent="0.2">
      <c r="M67" s="124"/>
      <c r="N67" s="124"/>
      <c r="O67" s="124"/>
      <c r="P67" s="124"/>
    </row>
    <row r="68" spans="13:16" x14ac:dyDescent="0.2">
      <c r="M68" s="124"/>
      <c r="N68" s="124"/>
      <c r="O68" s="124"/>
      <c r="P68" s="124"/>
    </row>
    <row r="69" spans="13:16" x14ac:dyDescent="0.2">
      <c r="M69" s="124"/>
      <c r="N69" s="124"/>
      <c r="O69" s="124"/>
      <c r="P69" s="124"/>
    </row>
    <row r="70" spans="13:16" x14ac:dyDescent="0.2">
      <c r="M70" s="124"/>
      <c r="N70" s="124"/>
      <c r="O70" s="124"/>
      <c r="P70" s="124"/>
    </row>
    <row r="71" spans="13:16" x14ac:dyDescent="0.2">
      <c r="M71" s="124"/>
      <c r="N71" s="124"/>
      <c r="O71" s="124"/>
      <c r="P71" s="124"/>
    </row>
    <row r="72" spans="13:16" x14ac:dyDescent="0.2">
      <c r="M72" s="124"/>
      <c r="N72" s="124"/>
      <c r="O72" s="124"/>
      <c r="P72" s="124"/>
    </row>
    <row r="73" spans="13:16" x14ac:dyDescent="0.2">
      <c r="M73" s="124"/>
      <c r="N73" s="124"/>
      <c r="O73" s="124"/>
      <c r="P73" s="124"/>
    </row>
  </sheetData>
  <mergeCells count="31">
    <mergeCell ref="A1:D1"/>
    <mergeCell ref="F1:G1"/>
    <mergeCell ref="H1:L1"/>
    <mergeCell ref="N1:Q1"/>
    <mergeCell ref="A2:D2"/>
    <mergeCell ref="E2:Q2"/>
    <mergeCell ref="A3:D3"/>
    <mergeCell ref="E3:Q3"/>
    <mergeCell ref="A4:D4"/>
    <mergeCell ref="E4:Q4"/>
    <mergeCell ref="A5:D5"/>
    <mergeCell ref="E5:Q5"/>
    <mergeCell ref="A6:Q6"/>
    <mergeCell ref="A7:Q7"/>
    <mergeCell ref="A8:A9"/>
    <mergeCell ref="B8:B9"/>
    <mergeCell ref="C8:C9"/>
    <mergeCell ref="D8:D9"/>
    <mergeCell ref="E8:E9"/>
    <mergeCell ref="F8:F9"/>
    <mergeCell ref="G8:G9"/>
    <mergeCell ref="H8:H9"/>
    <mergeCell ref="O8:P8"/>
    <mergeCell ref="Q8:Q9"/>
    <mergeCell ref="A35:O35"/>
    <mergeCell ref="I8:I9"/>
    <mergeCell ref="J8:J9"/>
    <mergeCell ref="K8:K9"/>
    <mergeCell ref="L8:L9"/>
    <mergeCell ref="M8:M9"/>
    <mergeCell ref="N8:N9"/>
  </mergeCells>
  <printOptions horizontalCentered="1" verticalCentered="1"/>
  <pageMargins left="0.25" right="0.25" top="0.75" bottom="0.75" header="0.3" footer="0.3"/>
  <pageSetup paperSize="9" scale="53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Buck-Boost 12V3A_LM5118</vt:lpstr>
      <vt:lpstr>Bill of Materials</vt:lpstr>
      <vt:lpstr>'Bill of Materials'!Print_Area</vt:lpstr>
      <vt:lpstr>'Buck-Boost 12V3A_LM5118'!Print_Area</vt:lpstr>
    </vt:vector>
  </TitlesOfParts>
  <Company>LTTS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Muhammed Thaha N C</dc:creator>
  <cp:lastModifiedBy>Muhammed Thaha N C</cp:lastModifiedBy>
  <dcterms:created xsi:type="dcterms:W3CDTF">2017-06-06T10:18:39Z</dcterms:created>
  <dcterms:modified xsi:type="dcterms:W3CDTF">2017-09-27T07:15:05Z</dcterms:modified>
</cp:coreProperties>
</file>