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4"/>
  <workbookPr codeName="ThisWorkbook" defaultThemeVersion="124226"/>
  <mc:AlternateContent xmlns:mc="http://schemas.openxmlformats.org/markup-compatibility/2006">
    <mc:Choice Requires="x15">
      <x15ac:absPath xmlns:x15ac="http://schemas.microsoft.com/office/spreadsheetml/2010/11/ac" url="C:\Users\Globotix\Google Drive\Globotix Development\Electronics and Power\Design and Research\TPS2493 Softstarter Design Calculation\Schematic Ready files\HotSwap v3 Design Files\"/>
    </mc:Choice>
  </mc:AlternateContent>
  <xr:revisionPtr revIDLastSave="0" documentId="13_ncr:1_{1E56781E-12B5-422E-8A6E-79B90FD14C0D}" xr6:coauthVersionLast="36" xr6:coauthVersionMax="36" xr10:uidLastSave="{00000000-0000-0000-0000-000000000000}"/>
  <workbookProtection workbookPassword="FADC" lockStructure="1"/>
  <bookViews>
    <workbookView xWindow="1488" yWindow="816" windowWidth="5952" windowHeight="4668" tabRatio="773" activeTab="1" xr2:uid="{00000000-000D-0000-FFFF-FFFF00000000}"/>
  </bookViews>
  <sheets>
    <sheet name="Instructions" sheetId="15" r:id="rId1"/>
    <sheet name="Design Calculator" sheetId="1" r:id="rId2"/>
    <sheet name="Device Parmaters" sheetId="6" state="hidden" r:id="rId3"/>
    <sheet name="Equations" sheetId="3" state="hidden" r:id="rId4"/>
    <sheet name="Start_up" sheetId="13" state="hidden" r:id="rId5"/>
    <sheet name="SOA" sheetId="7" state="hidden" r:id="rId6"/>
    <sheet name="dv_dt_recommendations" sheetId="14" state="hidden" r:id="rId7"/>
  </sheets>
  <externalReferences>
    <externalReference r:id="rId8"/>
    <externalReference r:id="rId9"/>
  </externalReferences>
  <definedNames>
    <definedName name="CLMAX">Equations!$F$26</definedName>
    <definedName name="CLMAX_Threshold">Equations!$E$17</definedName>
    <definedName name="CLMIN">Equations!$F$24</definedName>
    <definedName name="CLMIN_Threshold">Equations!$E$15</definedName>
    <definedName name="CLNOM">Equations!$F$25</definedName>
    <definedName name="CLNOM_Threshold">Equations!$E$16</definedName>
    <definedName name="COUTMAX">'Design Calculator'!$F$31</definedName>
    <definedName name="CTIMER">'Design Calculator'!#REF!</definedName>
    <definedName name="FETPDISS">'Design Calculator'!$F$60</definedName>
    <definedName name="I_Cout_ss">Equations!$F$66</definedName>
    <definedName name="ILIM" localSheetId="5">[1]ILIM_SOA_considerations!$C$25</definedName>
    <definedName name="ILIM">[2]ILIM_SOA_considerations!$C$25</definedName>
    <definedName name="Ilim_min" localSheetId="5">[1]ILIM_SOA_considerations!$C$61</definedName>
    <definedName name="Ilim_min">[2]ILIM_SOA_considerations!$C$61</definedName>
    <definedName name="IOUTMAX">'Design Calculator'!$F$30</definedName>
    <definedName name="MaxFETPW">'Design Calculator'!#REF!</definedName>
    <definedName name="NUMFETS">'Design Calculator'!$F$52</definedName>
    <definedName name="PLIM" localSheetId="5">[1]ILIM_SOA_considerations!$C$40</definedName>
    <definedName name="PLIM">[2]ILIM_SOA_considerations!$C$40</definedName>
    <definedName name="PLIMMAX">'Design Calculator'!#REF!</definedName>
    <definedName name="PLIMMIN">'Design Calculator'!#REF!</definedName>
    <definedName name="PLIMNOM">'Design Calculator'!#REF!</definedName>
    <definedName name="_xlnm.Print_Area" localSheetId="1">'Design Calculator'!$A$1:$M$177</definedName>
    <definedName name="RDIV1">'Design Calculator'!$F$43</definedName>
    <definedName name="RDIV2">'Design Calculator'!$F$44</definedName>
    <definedName name="RDSON">'Design Calculator'!$AN$53</definedName>
    <definedName name="RPWR">'Design Calculator'!$F$66</definedName>
    <definedName name="Rrflt" localSheetId="5">[1]ILIM_SOA_considerations!$C$46</definedName>
    <definedName name="Rrflt">[2]ILIM_SOA_considerations!$C$46</definedName>
    <definedName name="Rs">'Design Calculator'!$F$40</definedName>
    <definedName name="RsEFF">Equations!$F$23</definedName>
    <definedName name="Rsense" localSheetId="5">[1]ILIM_SOA_considerations!$C$30</definedName>
    <definedName name="Rsense">[2]ILIM_SOA_considerations!$C$30</definedName>
    <definedName name="RsMAX">'Design Calculator'!$F$38</definedName>
    <definedName name="SOA_av" localSheetId="5">[1]ILIM_SOA_considerations!$C$52</definedName>
    <definedName name="SOA_av">[2]ILIM_SOA_considerations!$C$52</definedName>
    <definedName name="solver_adj" localSheetId="5" hidden="1">SOA!#REF!</definedName>
    <definedName name="solver_cvg" localSheetId="5" hidden="1">0.0001</definedName>
    <definedName name="solver_drv" localSheetId="5" hidden="1">1</definedName>
    <definedName name="solver_eng" localSheetId="5" hidden="1">1</definedName>
    <definedName name="solver_est" localSheetId="5" hidden="1">1</definedName>
    <definedName name="solver_itr" localSheetId="5" hidden="1">2147483647</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0</definedName>
    <definedName name="solver_nwt" localSheetId="5" hidden="1">1</definedName>
    <definedName name="solver_opt" localSheetId="5" hidden="1">SOA!#REF!</definedName>
    <definedName name="solver_pre" localSheetId="5" hidden="1">0.000001</definedName>
    <definedName name="solver_rbv" localSheetId="5" hidden="1">1</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3</definedName>
    <definedName name="solver_val" localSheetId="5" hidden="1">0</definedName>
    <definedName name="solver_ver" localSheetId="5" hidden="1">3</definedName>
    <definedName name="ss_rate">Equations!$F$62</definedName>
    <definedName name="T_cap_charge" localSheetId="5">[1]ILIM_SOA_considerations!$C$45</definedName>
    <definedName name="T_cap_charge">[2]ILIM_SOA_considerations!$C$45</definedName>
    <definedName name="T_margin" localSheetId="5">[1]ILIM_SOA_considerations!$C$9</definedName>
    <definedName name="T_margin">[2]ILIM_SOA_considerations!$C$9</definedName>
    <definedName name="T_total" localSheetId="5">[1]ILIM_SOA_considerations!$C$47</definedName>
    <definedName name="T_total">[2]ILIM_SOA_considerations!$C$47</definedName>
    <definedName name="TAMB">'Design Calculator'!$F$32</definedName>
    <definedName name="Tfault">'Design Calculator'!$F$77</definedName>
    <definedName name="Tfaultmax">'Design Calculator'!#REF!</definedName>
    <definedName name="ThetaJA">'Design Calculator'!$F$51</definedName>
    <definedName name="TINSERT">'Design Calculator'!#REF!</definedName>
    <definedName name="TINSERTMAX">Equations!#REF!</definedName>
    <definedName name="TINSERTMIN">Equations!#REF!</definedName>
    <definedName name="TJ">'Design Calculator'!$F$61</definedName>
    <definedName name="TJMAX">'Design Calculator'!$AN$54</definedName>
    <definedName name="Tsd" localSheetId="5">[1]ILIM_SOA_considerations!$C$67</definedName>
    <definedName name="Tsd">[2]ILIM_SOA_considerations!$C$67</definedName>
    <definedName name="TSTARTMAX">Equations!#REF!</definedName>
    <definedName name="TSTARTMIN">Equations!#REF!</definedName>
    <definedName name="TSTARTNOM">Equations!#REF!</definedName>
    <definedName name="V_sns_cl_max" localSheetId="5">[1]ILIM_SOA_considerations!$C$15</definedName>
    <definedName name="V_sns_cl_max">[2]ILIM_SOA_considerations!$C$15</definedName>
    <definedName name="Vbus" localSheetId="5">[1]ILIM_SOA_considerations!$C$23</definedName>
    <definedName name="Vbus">[2]ILIM_SOA_considerations!$C$23</definedName>
    <definedName name="VINMAX">'Design Calculator'!$F$29</definedName>
    <definedName name="VINMIN">'Design Calculator'!$F$27</definedName>
    <definedName name="VINNOM">'Design Calculator'!$F$28</definedName>
    <definedName name="yesno">'Design Calculator'!$AS$8:$AS$9</definedName>
  </definedNames>
  <calcPr calcId="191029"/>
</workbook>
</file>

<file path=xl/calcChain.xml><?xml version="1.0" encoding="utf-8"?>
<calcChain xmlns="http://schemas.openxmlformats.org/spreadsheetml/2006/main">
  <c r="A10" i="13" l="1"/>
  <c r="F115" i="1" l="1"/>
  <c r="F105" i="1"/>
  <c r="F114" i="1"/>
  <c r="F113" i="1"/>
  <c r="F111" i="1"/>
  <c r="F110" i="1"/>
  <c r="F109" i="1"/>
  <c r="F108" i="1"/>
  <c r="F107" i="1"/>
  <c r="F106" i="1"/>
  <c r="F90" i="3"/>
  <c r="F87" i="3"/>
  <c r="F88" i="3"/>
  <c r="F86" i="3"/>
  <c r="F89" i="3" l="1"/>
  <c r="F95" i="1" s="1"/>
  <c r="E94" i="3"/>
  <c r="D99" i="1" s="1"/>
  <c r="G95" i="3"/>
  <c r="F100" i="1" s="1"/>
  <c r="F95" i="3"/>
  <c r="E100" i="1" s="1"/>
  <c r="F94" i="3"/>
  <c r="E99" i="1" s="1"/>
  <c r="E95" i="3"/>
  <c r="D100" i="1" s="1"/>
  <c r="G94" i="3"/>
  <c r="F99" i="1" s="1"/>
  <c r="F57" i="3"/>
  <c r="D16" i="6"/>
  <c r="F44" i="3" l="1"/>
  <c r="F41" i="3"/>
  <c r="F20" i="3"/>
  <c r="F38" i="1" s="1"/>
  <c r="F46" i="3" l="1"/>
  <c r="AN54" i="1" l="1"/>
  <c r="AN55" i="1"/>
  <c r="AN56" i="1"/>
  <c r="AN57" i="1"/>
  <c r="AN58" i="1"/>
  <c r="AN59" i="1"/>
  <c r="AN53" i="1"/>
  <c r="F60" i="1" s="1"/>
  <c r="F61" i="1" s="1"/>
  <c r="C25" i="7" l="1"/>
  <c r="E27" i="14"/>
  <c r="E26" i="14"/>
  <c r="E25" i="14"/>
  <c r="E21" i="14"/>
  <c r="H24" i="7"/>
  <c r="H25" i="7" s="1"/>
  <c r="H9" i="7"/>
  <c r="C9" i="7"/>
  <c r="E19" i="14" l="1"/>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 i="13"/>
  <c r="B12" i="13"/>
  <c r="B10" i="13"/>
  <c r="B4" i="7"/>
  <c r="C4" i="7"/>
  <c r="D4" i="7"/>
  <c r="E4" i="7"/>
  <c r="F4" i="7"/>
  <c r="C34" i="7" l="1"/>
  <c r="C33" i="7" s="1"/>
  <c r="J24" i="14" s="1"/>
  <c r="E34" i="7"/>
  <c r="L25" i="14" s="1"/>
  <c r="F34" i="7"/>
  <c r="M25" i="14" s="1"/>
  <c r="D34" i="7"/>
  <c r="H27" i="7"/>
  <c r="E43" i="14"/>
  <c r="E44" i="14" s="1"/>
  <c r="F62" i="3"/>
  <c r="F63" i="3" l="1"/>
  <c r="J25" i="14"/>
  <c r="E33" i="7"/>
  <c r="L24" i="14" s="1"/>
  <c r="D33" i="7"/>
  <c r="K24" i="14" s="1"/>
  <c r="K25" i="14"/>
  <c r="F33" i="7"/>
  <c r="M24" i="14" s="1"/>
  <c r="F43" i="14"/>
  <c r="F44" i="14" s="1"/>
  <c r="F78" i="3"/>
  <c r="F79" i="3" s="1"/>
  <c r="F76" i="3"/>
  <c r="F2" i="13"/>
  <c r="G43" i="14" l="1"/>
  <c r="G44" i="14" s="1"/>
  <c r="H43" i="14" l="1"/>
  <c r="H44" i="14" s="1"/>
  <c r="I43" i="14" l="1"/>
  <c r="I44" i="14" s="1"/>
  <c r="F90" i="1"/>
  <c r="F77" i="3"/>
  <c r="F88" i="1" s="1"/>
  <c r="J43" i="14" l="1"/>
  <c r="J44" i="14" s="1"/>
  <c r="F64" i="3"/>
  <c r="F65" i="3" s="1"/>
  <c r="R2" i="13"/>
  <c r="Q2" i="13"/>
  <c r="A114" i="13"/>
  <c r="A113" i="13"/>
  <c r="A112" i="13"/>
  <c r="H2" i="13"/>
  <c r="F67" i="3" l="1"/>
  <c r="F66" i="3"/>
  <c r="K43" i="14"/>
  <c r="K44" i="14" s="1"/>
  <c r="F54" i="3"/>
  <c r="O164" i="3"/>
  <c r="E168" i="3"/>
  <c r="E166" i="3"/>
  <c r="L43" i="14" l="1"/>
  <c r="L44" i="14" s="1"/>
  <c r="F58" i="3"/>
  <c r="F77" i="1" s="1"/>
  <c r="F83" i="1"/>
  <c r="D2" i="13"/>
  <c r="G2" i="13"/>
  <c r="F39" i="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Y22" i="13"/>
  <c r="Y15" i="13"/>
  <c r="Y18" i="13" s="1"/>
  <c r="C8" i="7" l="1"/>
  <c r="C10" i="7" s="1"/>
  <c r="C12" i="7" s="1"/>
  <c r="C13" i="7" s="1"/>
  <c r="C15" i="7" s="1"/>
  <c r="K110" i="1"/>
  <c r="M43" i="14"/>
  <c r="M44" i="14" s="1"/>
  <c r="F85" i="1"/>
  <c r="C114" i="13"/>
  <c r="C113" i="13"/>
  <c r="C112" i="13"/>
  <c r="C80" i="13"/>
  <c r="C62" i="13"/>
  <c r="C111" i="13"/>
  <c r="C75" i="13"/>
  <c r="C43" i="13"/>
  <c r="C95" i="13"/>
  <c r="C91" i="13"/>
  <c r="C102" i="13"/>
  <c r="C76" i="13"/>
  <c r="C72" i="13"/>
  <c r="C15" i="13"/>
  <c r="C11" i="13"/>
  <c r="C101" i="13"/>
  <c r="C100" i="13"/>
  <c r="C98" i="13"/>
  <c r="C90" i="13"/>
  <c r="C79" i="13"/>
  <c r="C74" i="13"/>
  <c r="C58" i="13"/>
  <c r="C54" i="13"/>
  <c r="C49" i="13"/>
  <c r="C47" i="13"/>
  <c r="C39" i="13"/>
  <c r="C32" i="13"/>
  <c r="C23" i="13"/>
  <c r="C19" i="13"/>
  <c r="C110" i="13"/>
  <c r="C109" i="13"/>
  <c r="C107" i="13"/>
  <c r="C99" i="13"/>
  <c r="C96" i="13"/>
  <c r="C84" i="13"/>
  <c r="C82" i="13"/>
  <c r="C69" i="13"/>
  <c r="C67" i="13"/>
  <c r="C65" i="13"/>
  <c r="C63" i="13"/>
  <c r="C59" i="13"/>
  <c r="C36" i="13"/>
  <c r="C20" i="13"/>
  <c r="C105" i="13"/>
  <c r="C103" i="13"/>
  <c r="C92" i="13"/>
  <c r="C88" i="13"/>
  <c r="C87" i="13"/>
  <c r="C83" i="13"/>
  <c r="C71" i="13"/>
  <c r="C68" i="13"/>
  <c r="C66" i="13"/>
  <c r="C57" i="13"/>
  <c r="C55" i="13"/>
  <c r="C51" i="13"/>
  <c r="C46" i="13"/>
  <c r="C44" i="13"/>
  <c r="C40" i="13"/>
  <c r="C35" i="13"/>
  <c r="C31" i="13"/>
  <c r="C27" i="13"/>
  <c r="C50" i="13"/>
  <c r="C28" i="13"/>
  <c r="C24" i="13"/>
  <c r="C16" i="13"/>
  <c r="C12" i="13"/>
  <c r="C108" i="13"/>
  <c r="C94" i="13"/>
  <c r="C77" i="13"/>
  <c r="C106" i="13"/>
  <c r="C93" i="13"/>
  <c r="C86" i="13"/>
  <c r="C104" i="13"/>
  <c r="C85" i="13"/>
  <c r="C78" i="13"/>
  <c r="C97" i="13"/>
  <c r="C89" i="13"/>
  <c r="C81" i="13"/>
  <c r="C73" i="13"/>
  <c r="C61" i="13"/>
  <c r="C53" i="13"/>
  <c r="C70" i="13"/>
  <c r="C60" i="13"/>
  <c r="C52" i="13"/>
  <c r="C64" i="13"/>
  <c r="C56" i="13"/>
  <c r="C48" i="13"/>
  <c r="C45" i="13"/>
  <c r="C42" i="13"/>
  <c r="C41" i="13"/>
  <c r="C38" i="13"/>
  <c r="C37" i="13"/>
  <c r="C34" i="13"/>
  <c r="C33" i="13"/>
  <c r="C30" i="13"/>
  <c r="C29" i="13"/>
  <c r="C26" i="13"/>
  <c r="C25" i="13"/>
  <c r="C22" i="13"/>
  <c r="C21" i="13"/>
  <c r="C18" i="13"/>
  <c r="C17" i="13"/>
  <c r="C14" i="13"/>
  <c r="C13" i="13"/>
  <c r="Y24" i="13"/>
  <c r="C10" i="13"/>
  <c r="AN43" i="1"/>
  <c r="C11" i="7" l="1"/>
  <c r="C14" i="7" s="1"/>
  <c r="C19" i="7" s="1"/>
  <c r="C18" i="7" s="1"/>
  <c r="C20" i="7" s="1"/>
  <c r="C22" i="7" s="1"/>
  <c r="N43" i="14"/>
  <c r="N44" i="14" s="1"/>
  <c r="E23" i="14"/>
  <c r="F104" i="1"/>
  <c r="O43" i="14" l="1"/>
  <c r="O44" i="14" s="1"/>
  <c r="P43" i="14" l="1"/>
  <c r="P44" i="14" s="1"/>
  <c r="Q43" i="14" l="1"/>
  <c r="Q44" i="14" s="1"/>
  <c r="R43" i="14" l="1"/>
  <c r="R44" i="14" s="1"/>
  <c r="AO51" i="1"/>
  <c r="S43" i="14" l="1"/>
  <c r="S44" i="14" s="1"/>
  <c r="T43" i="14" l="1"/>
  <c r="T44" i="14" s="1"/>
  <c r="U43" i="14" l="1"/>
  <c r="U44" i="14" s="1"/>
  <c r="F21" i="3" l="1"/>
  <c r="F41" i="1" s="1"/>
  <c r="V43" i="14"/>
  <c r="V44" i="14" s="1"/>
  <c r="F22" i="3" l="1"/>
  <c r="W43" i="14"/>
  <c r="W44" i="14" s="1"/>
  <c r="F23" i="3"/>
  <c r="E167" i="3" l="1"/>
  <c r="X43" i="14"/>
  <c r="X44" i="14" s="1"/>
  <c r="I2" i="13"/>
  <c r="F25" i="3"/>
  <c r="F38" i="3" s="1"/>
  <c r="F62" i="1" s="1"/>
  <c r="F45" i="1"/>
  <c r="F26" i="3"/>
  <c r="F24" i="3"/>
  <c r="F42" i="1"/>
  <c r="F47" i="3" l="1"/>
  <c r="F67" i="1" s="1"/>
  <c r="F135" i="3" s="1"/>
  <c r="F40" i="3"/>
  <c r="F42" i="3" s="1"/>
  <c r="F43" i="3" s="1"/>
  <c r="F65" i="1" s="1"/>
  <c r="F47" i="1"/>
  <c r="K108" i="1" s="1"/>
  <c r="F131" i="3"/>
  <c r="F46" i="1"/>
  <c r="F48" i="1"/>
  <c r="F27" i="3"/>
  <c r="F49" i="1" s="1"/>
  <c r="AN51" i="1"/>
  <c r="B2" i="13" l="1"/>
  <c r="D114" i="13" s="1"/>
  <c r="E29" i="14"/>
  <c r="E30" i="14" s="1"/>
  <c r="C2" i="13"/>
  <c r="E114" i="13" s="1"/>
  <c r="M114" i="13" s="1"/>
  <c r="K109" i="1"/>
  <c r="C26" i="7"/>
  <c r="F59" i="3" s="1"/>
  <c r="F78" i="1" s="1"/>
  <c r="E113" i="13" l="1"/>
  <c r="M113" i="13" s="1"/>
  <c r="E33" i="14"/>
  <c r="E37" i="14"/>
  <c r="E111" i="13"/>
  <c r="M111" i="13" s="1"/>
  <c r="E112" i="13"/>
  <c r="M112" i="13" s="1"/>
  <c r="D10" i="13"/>
  <c r="E10" i="13" s="1"/>
  <c r="D14" i="13"/>
  <c r="E14" i="13" s="1"/>
  <c r="D18" i="13"/>
  <c r="E18" i="13" s="1"/>
  <c r="D22" i="13"/>
  <c r="E22" i="13" s="1"/>
  <c r="D26" i="13"/>
  <c r="E26" i="13" s="1"/>
  <c r="D30" i="13"/>
  <c r="E30" i="13" s="1"/>
  <c r="D34" i="13"/>
  <c r="E34" i="13" s="1"/>
  <c r="D38" i="13"/>
  <c r="E38" i="13" s="1"/>
  <c r="D42" i="13"/>
  <c r="E42" i="13" s="1"/>
  <c r="D46" i="13"/>
  <c r="E46" i="13" s="1"/>
  <c r="D50" i="13"/>
  <c r="E50" i="13" s="1"/>
  <c r="D54" i="13"/>
  <c r="E54" i="13" s="1"/>
  <c r="D58" i="13"/>
  <c r="E58" i="13" s="1"/>
  <c r="D62" i="13"/>
  <c r="E62" i="13" s="1"/>
  <c r="D66" i="13"/>
  <c r="E66" i="13" s="1"/>
  <c r="D70" i="13"/>
  <c r="E70" i="13" s="1"/>
  <c r="D74" i="13"/>
  <c r="E74" i="13" s="1"/>
  <c r="D78" i="13"/>
  <c r="E78" i="13" s="1"/>
  <c r="D82" i="13"/>
  <c r="E82" i="13" s="1"/>
  <c r="D86" i="13"/>
  <c r="E86" i="13" s="1"/>
  <c r="D90" i="13"/>
  <c r="E90" i="13" s="1"/>
  <c r="D94" i="13"/>
  <c r="E94" i="13" s="1"/>
  <c r="D98" i="13"/>
  <c r="E98" i="13" s="1"/>
  <c r="D102" i="13"/>
  <c r="E102" i="13" s="1"/>
  <c r="D106" i="13"/>
  <c r="E106" i="13" s="1"/>
  <c r="D110" i="13"/>
  <c r="E110" i="13" s="1"/>
  <c r="D11" i="13"/>
  <c r="E11" i="13" s="1"/>
  <c r="D15" i="13"/>
  <c r="E15" i="13" s="1"/>
  <c r="M15" i="13" s="1"/>
  <c r="D19" i="13"/>
  <c r="E19" i="13" s="1"/>
  <c r="D23" i="13"/>
  <c r="E23" i="13" s="1"/>
  <c r="M23" i="13" s="1"/>
  <c r="D27" i="13"/>
  <c r="E27" i="13" s="1"/>
  <c r="D31" i="13"/>
  <c r="E31" i="13" s="1"/>
  <c r="D35" i="13"/>
  <c r="E35" i="13" s="1"/>
  <c r="D39" i="13"/>
  <c r="E39" i="13" s="1"/>
  <c r="D43" i="13"/>
  <c r="E43" i="13" s="1"/>
  <c r="D47" i="13"/>
  <c r="E47" i="13" s="1"/>
  <c r="M47" i="13" s="1"/>
  <c r="D51" i="13"/>
  <c r="E51" i="13" s="1"/>
  <c r="D55" i="13"/>
  <c r="E55" i="13" s="1"/>
  <c r="D59" i="13"/>
  <c r="E59" i="13" s="1"/>
  <c r="D63" i="13"/>
  <c r="E63" i="13" s="1"/>
  <c r="D67" i="13"/>
  <c r="E67" i="13" s="1"/>
  <c r="D71" i="13"/>
  <c r="E71" i="13" s="1"/>
  <c r="D75" i="13"/>
  <c r="E75" i="13" s="1"/>
  <c r="D79" i="13"/>
  <c r="E79" i="13" s="1"/>
  <c r="D83" i="13"/>
  <c r="E83" i="13" s="1"/>
  <c r="D87" i="13"/>
  <c r="E87" i="13" s="1"/>
  <c r="D91" i="13"/>
  <c r="E91" i="13" s="1"/>
  <c r="D95" i="13"/>
  <c r="E95" i="13" s="1"/>
  <c r="D99" i="13"/>
  <c r="E99" i="13" s="1"/>
  <c r="D103" i="13"/>
  <c r="E103" i="13" s="1"/>
  <c r="D107" i="13"/>
  <c r="E107" i="13" s="1"/>
  <c r="D111" i="13"/>
  <c r="D12" i="13"/>
  <c r="E12" i="13" s="1"/>
  <c r="D16" i="13"/>
  <c r="E16" i="13" s="1"/>
  <c r="D20" i="13"/>
  <c r="E20" i="13" s="1"/>
  <c r="D24" i="13"/>
  <c r="E24" i="13" s="1"/>
  <c r="D28" i="13"/>
  <c r="E28" i="13" s="1"/>
  <c r="D32" i="13"/>
  <c r="E32" i="13" s="1"/>
  <c r="D36" i="13"/>
  <c r="E36" i="13" s="1"/>
  <c r="D40" i="13"/>
  <c r="E40" i="13" s="1"/>
  <c r="D44" i="13"/>
  <c r="E44" i="13" s="1"/>
  <c r="D48" i="13"/>
  <c r="E48" i="13" s="1"/>
  <c r="D52" i="13"/>
  <c r="E52" i="13" s="1"/>
  <c r="D56" i="13"/>
  <c r="E56" i="13" s="1"/>
  <c r="D60" i="13"/>
  <c r="E60" i="13" s="1"/>
  <c r="D64" i="13"/>
  <c r="E64" i="13" s="1"/>
  <c r="D68" i="13"/>
  <c r="E68" i="13" s="1"/>
  <c r="D72" i="13"/>
  <c r="E72" i="13" s="1"/>
  <c r="D76" i="13"/>
  <c r="E76" i="13" s="1"/>
  <c r="D80" i="13"/>
  <c r="E80" i="13" s="1"/>
  <c r="D84" i="13"/>
  <c r="E84" i="13" s="1"/>
  <c r="D88" i="13"/>
  <c r="E88" i="13" s="1"/>
  <c r="D92" i="13"/>
  <c r="E92" i="13" s="1"/>
  <c r="D96" i="13"/>
  <c r="E96" i="13" s="1"/>
  <c r="D100" i="13"/>
  <c r="E100" i="13" s="1"/>
  <c r="D104" i="13"/>
  <c r="E104" i="13" s="1"/>
  <c r="D108" i="13"/>
  <c r="E108" i="13" s="1"/>
  <c r="D112" i="13"/>
  <c r="D13" i="13"/>
  <c r="E13" i="13" s="1"/>
  <c r="D17" i="13"/>
  <c r="E17" i="13" s="1"/>
  <c r="D21" i="13"/>
  <c r="E21" i="13" s="1"/>
  <c r="D25" i="13"/>
  <c r="E25" i="13" s="1"/>
  <c r="D29" i="13"/>
  <c r="E29" i="13" s="1"/>
  <c r="D33" i="13"/>
  <c r="E33" i="13" s="1"/>
  <c r="D37" i="13"/>
  <c r="D53" i="13"/>
  <c r="E53" i="13" s="1"/>
  <c r="D69" i="13"/>
  <c r="E69" i="13" s="1"/>
  <c r="D85" i="13"/>
  <c r="E85" i="13" s="1"/>
  <c r="D101" i="13"/>
  <c r="E101" i="13" s="1"/>
  <c r="D41" i="13"/>
  <c r="E41" i="13" s="1"/>
  <c r="D57" i="13"/>
  <c r="E57" i="13" s="1"/>
  <c r="D73" i="13"/>
  <c r="E73" i="13" s="1"/>
  <c r="D89" i="13"/>
  <c r="E89" i="13" s="1"/>
  <c r="D105" i="13"/>
  <c r="E105" i="13" s="1"/>
  <c r="D61" i="13"/>
  <c r="E61" i="13" s="1"/>
  <c r="D77" i="13"/>
  <c r="E77" i="13" s="1"/>
  <c r="D93" i="13"/>
  <c r="E93" i="13" s="1"/>
  <c r="D109" i="13"/>
  <c r="E109" i="13" s="1"/>
  <c r="D65" i="13"/>
  <c r="E65" i="13" s="1"/>
  <c r="D81" i="13"/>
  <c r="E81" i="13" s="1"/>
  <c r="D97" i="13"/>
  <c r="E97" i="13" s="1"/>
  <c r="D45" i="13"/>
  <c r="E45" i="13" s="1"/>
  <c r="D49" i="13"/>
  <c r="E49" i="13" s="1"/>
  <c r="D113" i="13"/>
  <c r="E37" i="13"/>
  <c r="M37" i="13" s="1"/>
  <c r="C40" i="7"/>
  <c r="C39" i="7"/>
  <c r="C41" i="7"/>
  <c r="X146" i="3"/>
  <c r="F80" i="3"/>
  <c r="F81" i="3" l="1"/>
  <c r="F91" i="1" s="1"/>
  <c r="F37" i="14"/>
  <c r="E39" i="14"/>
  <c r="E38" i="14"/>
  <c r="E61" i="14"/>
  <c r="M51" i="13"/>
  <c r="M35" i="13"/>
  <c r="M79" i="13"/>
  <c r="M99" i="13"/>
  <c r="M34" i="13"/>
  <c r="M18" i="13"/>
  <c r="M105" i="13"/>
  <c r="M17" i="13"/>
  <c r="M53" i="13"/>
  <c r="M55" i="13"/>
  <c r="M61" i="13"/>
  <c r="M90" i="13"/>
  <c r="M16" i="13"/>
  <c r="M52" i="13"/>
  <c r="M106" i="13"/>
  <c r="M66" i="13"/>
  <c r="M33" i="13"/>
  <c r="M59" i="13"/>
  <c r="M69" i="13"/>
  <c r="M100" i="13"/>
  <c r="M56" i="13"/>
  <c r="M72" i="13"/>
  <c r="M45" i="13"/>
  <c r="M71" i="13"/>
  <c r="M26" i="13"/>
  <c r="M68" i="13"/>
  <c r="M31" i="13"/>
  <c r="M74" i="13"/>
  <c r="M46" i="13"/>
  <c r="M11" i="13"/>
  <c r="M38" i="13"/>
  <c r="M36" i="13"/>
  <c r="M73" i="13"/>
  <c r="M20" i="13"/>
  <c r="M93" i="13"/>
  <c r="M27" i="13"/>
  <c r="M78" i="13"/>
  <c r="M41" i="13"/>
  <c r="M13" i="13"/>
  <c r="M96" i="13"/>
  <c r="M77" i="13"/>
  <c r="M60" i="13"/>
  <c r="M30" i="13"/>
  <c r="M95" i="13"/>
  <c r="M67" i="13"/>
  <c r="M50" i="13"/>
  <c r="M65" i="13"/>
  <c r="M25" i="13"/>
  <c r="M94" i="13"/>
  <c r="M21" i="13"/>
  <c r="M63" i="13"/>
  <c r="M80" i="13"/>
  <c r="M40" i="13"/>
  <c r="M91" i="13"/>
  <c r="M19" i="13"/>
  <c r="M89" i="13"/>
  <c r="M58" i="13"/>
  <c r="M76" i="13"/>
  <c r="M57" i="13"/>
  <c r="M49" i="13"/>
  <c r="M44" i="13"/>
  <c r="M22" i="13"/>
  <c r="M85" i="13"/>
  <c r="M108" i="13"/>
  <c r="M107" i="13"/>
  <c r="M88" i="13"/>
  <c r="M104" i="13"/>
  <c r="M42" i="13"/>
  <c r="M64" i="13"/>
  <c r="M84" i="13"/>
  <c r="M92" i="13"/>
  <c r="M102" i="13"/>
  <c r="M98" i="13"/>
  <c r="M12" i="13"/>
  <c r="M48" i="13"/>
  <c r="M70" i="13"/>
  <c r="M32" i="13"/>
  <c r="M62" i="13"/>
  <c r="M103" i="13"/>
  <c r="M28" i="13"/>
  <c r="M39" i="13"/>
  <c r="M24" i="13"/>
  <c r="M86" i="13"/>
  <c r="M110" i="13"/>
  <c r="M101" i="13"/>
  <c r="M10" i="13"/>
  <c r="M97" i="13"/>
  <c r="M75" i="13"/>
  <c r="M82" i="13"/>
  <c r="M81" i="13"/>
  <c r="M43" i="13"/>
  <c r="M87" i="13"/>
  <c r="M83" i="13"/>
  <c r="M54" i="13"/>
  <c r="M109" i="13"/>
  <c r="M29" i="13"/>
  <c r="M14" i="13"/>
  <c r="F36" i="3"/>
  <c r="F35" i="3"/>
  <c r="F34" i="3"/>
  <c r="F33" i="3"/>
  <c r="E41" i="14" l="1"/>
  <c r="E42" i="14"/>
  <c r="F39" i="14"/>
  <c r="F38" i="14"/>
  <c r="G37" i="14"/>
  <c r="N4" i="13"/>
  <c r="H37" i="14" l="1"/>
  <c r="G39" i="14"/>
  <c r="G38" i="14"/>
  <c r="E46" i="14"/>
  <c r="F42" i="14"/>
  <c r="F41" i="14"/>
  <c r="G70" i="1"/>
  <c r="F46" i="14" l="1"/>
  <c r="G41" i="14"/>
  <c r="G42" i="14"/>
  <c r="I37" i="14"/>
  <c r="H39" i="14"/>
  <c r="H38" i="14"/>
  <c r="G46" i="14" l="1"/>
  <c r="H41" i="14"/>
  <c r="H42" i="14"/>
  <c r="J37" i="14"/>
  <c r="I38" i="14"/>
  <c r="I39" i="14"/>
  <c r="H35" i="3"/>
  <c r="H33" i="3"/>
  <c r="H36" i="3"/>
  <c r="H34" i="3"/>
  <c r="O165" i="3"/>
  <c r="O166" i="3"/>
  <c r="F129" i="3"/>
  <c r="F128" i="3"/>
  <c r="F133" i="3"/>
  <c r="U165" i="3" l="1"/>
  <c r="D150" i="3"/>
  <c r="D154" i="3"/>
  <c r="D158" i="3"/>
  <c r="D162" i="3"/>
  <c r="D147" i="3"/>
  <c r="D151" i="3"/>
  <c r="D155" i="3"/>
  <c r="D159" i="3"/>
  <c r="D146" i="3"/>
  <c r="D148" i="3"/>
  <c r="D152" i="3"/>
  <c r="D156" i="3"/>
  <c r="D160" i="3"/>
  <c r="D149" i="3"/>
  <c r="D153" i="3"/>
  <c r="D157" i="3"/>
  <c r="D161" i="3"/>
  <c r="H46" i="14"/>
  <c r="J38" i="14"/>
  <c r="K37" i="14"/>
  <c r="J39" i="14"/>
  <c r="I42" i="14"/>
  <c r="I41" i="14"/>
  <c r="K111" i="1"/>
  <c r="K112" i="1"/>
  <c r="F132" i="3"/>
  <c r="T163" i="3"/>
  <c r="T164" i="3"/>
  <c r="T165" i="3"/>
  <c r="S163" i="3"/>
  <c r="U163" i="3"/>
  <c r="S164" i="3"/>
  <c r="U164" i="3"/>
  <c r="S165" i="3"/>
  <c r="I153" i="3" l="1"/>
  <c r="F153" i="3"/>
  <c r="B153" i="3" s="1"/>
  <c r="F152" i="3"/>
  <c r="B152" i="3" s="1"/>
  <c r="I152" i="3"/>
  <c r="I155" i="3"/>
  <c r="F155" i="3"/>
  <c r="K155" i="3" s="1"/>
  <c r="F158" i="3"/>
  <c r="I158" i="3"/>
  <c r="I149" i="3"/>
  <c r="F149" i="3"/>
  <c r="F148" i="3"/>
  <c r="B148" i="3" s="1"/>
  <c r="I148" i="3"/>
  <c r="F151" i="3"/>
  <c r="B151" i="3" s="1"/>
  <c r="I151" i="3"/>
  <c r="I154" i="3"/>
  <c r="F154" i="3"/>
  <c r="I161" i="3"/>
  <c r="F161" i="3"/>
  <c r="B161" i="3" s="1"/>
  <c r="F160" i="3"/>
  <c r="K160" i="3" s="1"/>
  <c r="I160" i="3"/>
  <c r="I146" i="3"/>
  <c r="F146" i="3"/>
  <c r="I147" i="3"/>
  <c r="F147" i="3"/>
  <c r="K147" i="3" s="1"/>
  <c r="I150" i="3"/>
  <c r="F150" i="3"/>
  <c r="K150" i="3" s="1"/>
  <c r="I157" i="3"/>
  <c r="F157" i="3"/>
  <c r="K157" i="3" s="1"/>
  <c r="I156" i="3"/>
  <c r="F156" i="3"/>
  <c r="K156" i="3" s="1"/>
  <c r="F159" i="3"/>
  <c r="K159" i="3" s="1"/>
  <c r="I159" i="3"/>
  <c r="I162" i="3"/>
  <c r="F162" i="3"/>
  <c r="B162" i="3" s="1"/>
  <c r="I46" i="14"/>
  <c r="J42" i="14"/>
  <c r="J41" i="14"/>
  <c r="L37" i="14"/>
  <c r="K38" i="14"/>
  <c r="K39" i="14"/>
  <c r="B157" i="3" l="1"/>
  <c r="K148" i="3"/>
  <c r="K153" i="3"/>
  <c r="K151" i="3"/>
  <c r="K152" i="3"/>
  <c r="B160" i="3"/>
  <c r="B147" i="3"/>
  <c r="B150" i="3"/>
  <c r="E159" i="3"/>
  <c r="J159" i="3" s="1"/>
  <c r="G159" i="3"/>
  <c r="L159" i="3" s="1"/>
  <c r="R147" i="3"/>
  <c r="T147" i="3" s="1"/>
  <c r="N151" i="3"/>
  <c r="R154" i="3"/>
  <c r="N158" i="3"/>
  <c r="G149" i="3"/>
  <c r="L149" i="3" s="1"/>
  <c r="E149" i="3"/>
  <c r="J149" i="3" s="1"/>
  <c r="E158" i="3"/>
  <c r="J158" i="3" s="1"/>
  <c r="G158" i="3"/>
  <c r="L158" i="3" s="1"/>
  <c r="B159" i="3"/>
  <c r="E156" i="3"/>
  <c r="J156" i="3" s="1"/>
  <c r="G156" i="3"/>
  <c r="L156" i="3" s="1"/>
  <c r="R157" i="3"/>
  <c r="T157" i="3" s="1"/>
  <c r="N161" i="3"/>
  <c r="E146" i="3"/>
  <c r="J146" i="3" s="1"/>
  <c r="G146" i="3"/>
  <c r="L146" i="3" s="1"/>
  <c r="E160" i="3"/>
  <c r="J160" i="3" s="1"/>
  <c r="G160" i="3"/>
  <c r="L160" i="3" s="1"/>
  <c r="E154" i="3"/>
  <c r="J154" i="3" s="1"/>
  <c r="G154" i="3"/>
  <c r="L154" i="3" s="1"/>
  <c r="U154" i="3" s="1"/>
  <c r="R151" i="3"/>
  <c r="N155" i="3"/>
  <c r="E148" i="3"/>
  <c r="J148" i="3" s="1"/>
  <c r="G148" i="3"/>
  <c r="L148" i="3" s="1"/>
  <c r="B158" i="3"/>
  <c r="E155" i="3"/>
  <c r="J155" i="3" s="1"/>
  <c r="G155" i="3"/>
  <c r="E152" i="3"/>
  <c r="J152" i="3" s="1"/>
  <c r="G152" i="3"/>
  <c r="L152" i="3" s="1"/>
  <c r="K161" i="3"/>
  <c r="K162" i="3"/>
  <c r="K154" i="3"/>
  <c r="K146" i="3"/>
  <c r="R159" i="3"/>
  <c r="T159" i="3" s="1"/>
  <c r="N163" i="3"/>
  <c r="R156" i="3"/>
  <c r="T156" i="3" s="1"/>
  <c r="N160" i="3"/>
  <c r="G150" i="3"/>
  <c r="L150" i="3" s="1"/>
  <c r="E150" i="3"/>
  <c r="J150" i="3" s="1"/>
  <c r="G147" i="3"/>
  <c r="L147" i="3" s="1"/>
  <c r="E147" i="3"/>
  <c r="J147" i="3" s="1"/>
  <c r="R146" i="3"/>
  <c r="V146" i="3" s="1"/>
  <c r="N150" i="3"/>
  <c r="B154" i="3"/>
  <c r="E151" i="3"/>
  <c r="J151" i="3" s="1"/>
  <c r="S151" i="3" s="1"/>
  <c r="G151" i="3"/>
  <c r="L151" i="3" s="1"/>
  <c r="B149" i="3"/>
  <c r="R158" i="3"/>
  <c r="N162" i="3"/>
  <c r="R155" i="3"/>
  <c r="T155" i="3" s="1"/>
  <c r="N159" i="3"/>
  <c r="G153" i="3"/>
  <c r="L153" i="3" s="1"/>
  <c r="E153" i="3"/>
  <c r="J153" i="3" s="1"/>
  <c r="G162" i="3"/>
  <c r="L162" i="3" s="1"/>
  <c r="E162" i="3"/>
  <c r="J162" i="3" s="1"/>
  <c r="E161" i="3"/>
  <c r="J161" i="3" s="1"/>
  <c r="G161" i="3"/>
  <c r="L161" i="3" s="1"/>
  <c r="K149" i="3"/>
  <c r="K158" i="3"/>
  <c r="R162" i="3"/>
  <c r="N166" i="3"/>
  <c r="B156" i="3"/>
  <c r="E157" i="3"/>
  <c r="J157" i="3" s="1"/>
  <c r="G157" i="3"/>
  <c r="L157" i="3" s="1"/>
  <c r="N154" i="3"/>
  <c r="R150" i="3"/>
  <c r="T150" i="3" s="1"/>
  <c r="B146" i="3"/>
  <c r="R160" i="3"/>
  <c r="T160" i="3" s="1"/>
  <c r="N164" i="3"/>
  <c r="R161" i="3"/>
  <c r="N165" i="3"/>
  <c r="R148" i="3"/>
  <c r="N152" i="3"/>
  <c r="R149" i="3"/>
  <c r="N153" i="3"/>
  <c r="B155" i="3"/>
  <c r="R152" i="3"/>
  <c r="N156" i="3"/>
  <c r="R153" i="3"/>
  <c r="N157" i="3"/>
  <c r="K42" i="14"/>
  <c r="K41" i="14"/>
  <c r="M37" i="14"/>
  <c r="L39" i="14"/>
  <c r="L38" i="14"/>
  <c r="J46" i="14"/>
  <c r="L155" i="3"/>
  <c r="T154" i="3" l="1"/>
  <c r="T148" i="3"/>
  <c r="S147" i="3"/>
  <c r="U155" i="3"/>
  <c r="U147" i="3"/>
  <c r="T153" i="3"/>
  <c r="S157" i="3"/>
  <c r="U159" i="3"/>
  <c r="T151" i="3"/>
  <c r="U157" i="3"/>
  <c r="S161" i="3"/>
  <c r="U160" i="3"/>
  <c r="S154" i="3"/>
  <c r="T152" i="3"/>
  <c r="U151" i="3"/>
  <c r="U156" i="3"/>
  <c r="S149" i="3"/>
  <c r="U150" i="3"/>
  <c r="T161" i="3"/>
  <c r="U161" i="3"/>
  <c r="U152" i="3"/>
  <c r="S160" i="3"/>
  <c r="S162" i="3"/>
  <c r="U146" i="3"/>
  <c r="U153" i="3"/>
  <c r="U148" i="3"/>
  <c r="U158" i="3"/>
  <c r="S158" i="3"/>
  <c r="S150" i="3"/>
  <c r="S146" i="3"/>
  <c r="T149" i="3"/>
  <c r="S159" i="3"/>
  <c r="U162" i="3"/>
  <c r="S155" i="3"/>
  <c r="S153" i="3"/>
  <c r="T146" i="3"/>
  <c r="U149" i="3"/>
  <c r="S152" i="3"/>
  <c r="S148" i="3"/>
  <c r="T162" i="3"/>
  <c r="S156" i="3"/>
  <c r="T158" i="3"/>
  <c r="L41" i="14"/>
  <c r="L42" i="14"/>
  <c r="N37" i="14"/>
  <c r="M38" i="14"/>
  <c r="M39" i="14"/>
  <c r="K46" i="14"/>
  <c r="V162" i="3"/>
  <c r="V164" i="3"/>
  <c r="V158" i="3"/>
  <c r="V165" i="3"/>
  <c r="V151" i="3"/>
  <c r="V163" i="3"/>
  <c r="V156" i="3"/>
  <c r="V150" i="3"/>
  <c r="V157" i="3"/>
  <c r="V153" i="3"/>
  <c r="V147" i="3"/>
  <c r="V159" i="3"/>
  <c r="V161" i="3"/>
  <c r="V149" i="3"/>
  <c r="V152" i="3"/>
  <c r="V148" i="3"/>
  <c r="V160" i="3"/>
  <c r="V154" i="3"/>
  <c r="V155" i="3"/>
  <c r="L46" i="14" l="1"/>
  <c r="M42" i="14"/>
  <c r="M41" i="14"/>
  <c r="O37" i="14"/>
  <c r="N39" i="14"/>
  <c r="N38" i="14"/>
  <c r="P67" i="13"/>
  <c r="Q81" i="13"/>
  <c r="P86" i="13"/>
  <c r="P46" i="13"/>
  <c r="Q16" i="13"/>
  <c r="P37" i="13"/>
  <c r="Q40" i="13"/>
  <c r="P12" i="13"/>
  <c r="P65" i="13"/>
  <c r="Q69" i="13"/>
  <c r="Q92" i="13"/>
  <c r="P32" i="13"/>
  <c r="P55" i="13"/>
  <c r="P82" i="13"/>
  <c r="Q37" i="13"/>
  <c r="Q13" i="13"/>
  <c r="P38" i="13"/>
  <c r="P41" i="13"/>
  <c r="P100" i="13"/>
  <c r="Q103" i="13"/>
  <c r="P77" i="13"/>
  <c r="Q53" i="13"/>
  <c r="Q26" i="13"/>
  <c r="Q60" i="13"/>
  <c r="Q111" i="13"/>
  <c r="P85" i="13"/>
  <c r="Q85" i="13"/>
  <c r="P27" i="13"/>
  <c r="Q68" i="13"/>
  <c r="Q93" i="13"/>
  <c r="P48" i="13"/>
  <c r="P113" i="13"/>
  <c r="Q28" i="13"/>
  <c r="P112" i="13"/>
  <c r="P71" i="13"/>
  <c r="P11" i="13"/>
  <c r="P91" i="13"/>
  <c r="Q55" i="13"/>
  <c r="P57" i="13"/>
  <c r="Q107" i="13"/>
  <c r="P107" i="13"/>
  <c r="Q50" i="13"/>
  <c r="Q42" i="13"/>
  <c r="Q70" i="13"/>
  <c r="Q31" i="13"/>
  <c r="P79" i="13"/>
  <c r="Q99" i="13"/>
  <c r="P87" i="13"/>
  <c r="P110" i="13"/>
  <c r="Q32" i="13"/>
  <c r="P20" i="13"/>
  <c r="P72" i="13"/>
  <c r="P81" i="13"/>
  <c r="Q17" i="13"/>
  <c r="Q66" i="13"/>
  <c r="P54" i="13"/>
  <c r="P31" i="13"/>
  <c r="P44" i="13"/>
  <c r="Q20" i="13"/>
  <c r="P25" i="13"/>
  <c r="P64" i="13"/>
  <c r="Q97" i="13"/>
  <c r="Q96" i="13"/>
  <c r="Q36" i="13"/>
  <c r="Q88" i="13"/>
  <c r="Q86" i="13"/>
  <c r="Q84" i="13"/>
  <c r="P90" i="13"/>
  <c r="P61" i="13"/>
  <c r="P24" i="13"/>
  <c r="Q113" i="13"/>
  <c r="Q80" i="13"/>
  <c r="Q72" i="13"/>
  <c r="Q63" i="13"/>
  <c r="P13" i="13"/>
  <c r="Q35" i="13"/>
  <c r="P99" i="13"/>
  <c r="P33" i="13"/>
  <c r="Q45" i="13"/>
  <c r="Q14" i="13"/>
  <c r="P42" i="13"/>
  <c r="P40" i="13"/>
  <c r="Q82" i="13"/>
  <c r="P98" i="13"/>
  <c r="P95" i="13"/>
  <c r="Q38" i="13"/>
  <c r="P80" i="13"/>
  <c r="P111" i="13"/>
  <c r="P43" i="13"/>
  <c r="P63" i="13"/>
  <c r="P47" i="13"/>
  <c r="Q24" i="13"/>
  <c r="Q29" i="13"/>
  <c r="Q73" i="13"/>
  <c r="P76" i="13"/>
  <c r="P34" i="13"/>
  <c r="Q34" i="13"/>
  <c r="P66" i="13"/>
  <c r="P58" i="13"/>
  <c r="Q74" i="13"/>
  <c r="P93" i="13"/>
  <c r="Q71" i="13"/>
  <c r="Q109" i="13"/>
  <c r="P56" i="13"/>
  <c r="Q105" i="13"/>
  <c r="Q104" i="13"/>
  <c r="P60" i="13"/>
  <c r="Q18" i="13"/>
  <c r="P84" i="13"/>
  <c r="Q41" i="13"/>
  <c r="P62" i="13"/>
  <c r="Q52" i="13"/>
  <c r="P104" i="13"/>
  <c r="P94" i="13"/>
  <c r="P30" i="13"/>
  <c r="Q95" i="13"/>
  <c r="P16" i="13"/>
  <c r="Q98" i="13"/>
  <c r="P22" i="13"/>
  <c r="Q94" i="13"/>
  <c r="P50" i="13"/>
  <c r="Q61" i="13"/>
  <c r="Q90" i="13"/>
  <c r="Q100" i="13"/>
  <c r="Q47" i="13"/>
  <c r="P51" i="13"/>
  <c r="Q76" i="13"/>
  <c r="Q25" i="13"/>
  <c r="Q12" i="13"/>
  <c r="Q65" i="13"/>
  <c r="P68" i="13"/>
  <c r="Q108" i="13"/>
  <c r="Q78" i="13"/>
  <c r="Q59" i="13"/>
  <c r="P17" i="13"/>
  <c r="P29" i="13"/>
  <c r="P74" i="13"/>
  <c r="Q75" i="13"/>
  <c r="Q46" i="13"/>
  <c r="Q101" i="13"/>
  <c r="P103" i="13"/>
  <c r="Q77" i="13"/>
  <c r="Q19" i="13"/>
  <c r="Q21" i="13"/>
  <c r="P92" i="13"/>
  <c r="P69" i="13"/>
  <c r="Q11" i="13"/>
  <c r="P70" i="13"/>
  <c r="Q23" i="13"/>
  <c r="P114" i="13"/>
  <c r="P83" i="13"/>
  <c r="Q79" i="13"/>
  <c r="P96" i="13"/>
  <c r="Q110" i="13"/>
  <c r="Q30" i="13"/>
  <c r="Q106" i="13"/>
  <c r="Q33" i="13"/>
  <c r="P59" i="13"/>
  <c r="Q87" i="13"/>
  <c r="Q89" i="13"/>
  <c r="Q67" i="13"/>
  <c r="Q57" i="13"/>
  <c r="Q51" i="13"/>
  <c r="Q54" i="13"/>
  <c r="P23" i="13"/>
  <c r="P14" i="13"/>
  <c r="Q15" i="13"/>
  <c r="Q114" i="13"/>
  <c r="Q102" i="13"/>
  <c r="P36" i="13"/>
  <c r="P88" i="13"/>
  <c r="P39" i="13"/>
  <c r="P89" i="13"/>
  <c r="Q83" i="13"/>
  <c r="P52" i="13"/>
  <c r="Q112" i="13"/>
  <c r="P28" i="13"/>
  <c r="P106" i="13"/>
  <c r="Q64" i="13"/>
  <c r="P105" i="13"/>
  <c r="Q48" i="13"/>
  <c r="P102" i="13"/>
  <c r="Q91" i="13"/>
  <c r="Q44" i="13"/>
  <c r="P19" i="13"/>
  <c r="P18" i="13"/>
  <c r="Q43" i="13"/>
  <c r="P49" i="13"/>
  <c r="P15" i="13"/>
  <c r="P75" i="13"/>
  <c r="Q27" i="13"/>
  <c r="P101" i="13"/>
  <c r="P35" i="13"/>
  <c r="Q62" i="13"/>
  <c r="P73" i="13"/>
  <c r="Q58" i="13"/>
  <c r="Q39" i="13"/>
  <c r="P78" i="13"/>
  <c r="P45" i="13"/>
  <c r="Q56" i="13"/>
  <c r="Q49" i="13"/>
  <c r="P108" i="13"/>
  <c r="P97" i="13"/>
  <c r="P26" i="13"/>
  <c r="Q22" i="13"/>
  <c r="P21" i="13"/>
  <c r="P109" i="13"/>
  <c r="P53" i="13"/>
  <c r="P10" i="13"/>
  <c r="F37" i="13"/>
  <c r="G37" i="13" s="1"/>
  <c r="F44" i="13"/>
  <c r="G44" i="13" s="1"/>
  <c r="H44" i="13" s="1"/>
  <c r="I44" i="13" s="1"/>
  <c r="F86" i="13"/>
  <c r="G86" i="13" s="1"/>
  <c r="O86" i="13" s="1"/>
  <c r="F51" i="13"/>
  <c r="G51" i="13" s="1"/>
  <c r="O51" i="13" s="1"/>
  <c r="F113" i="13"/>
  <c r="G113" i="13" s="1"/>
  <c r="O113" i="13" s="1"/>
  <c r="F112" i="13"/>
  <c r="G112" i="13" s="1"/>
  <c r="H112" i="13" s="1"/>
  <c r="I112" i="13" s="1"/>
  <c r="F78" i="13"/>
  <c r="G78" i="13" s="1"/>
  <c r="H78" i="13" s="1"/>
  <c r="I78" i="13" s="1"/>
  <c r="F93" i="13"/>
  <c r="G93" i="13" s="1"/>
  <c r="H93" i="13" s="1"/>
  <c r="I93" i="13" s="1"/>
  <c r="F30" i="13"/>
  <c r="G30" i="13" s="1"/>
  <c r="H30" i="13" s="1"/>
  <c r="I30" i="13" s="1"/>
  <c r="F81" i="13"/>
  <c r="G81" i="13" s="1"/>
  <c r="H81" i="13" s="1"/>
  <c r="I81" i="13" s="1"/>
  <c r="F91" i="13"/>
  <c r="G91" i="13" s="1"/>
  <c r="O91" i="13" s="1"/>
  <c r="F31" i="13"/>
  <c r="G31" i="13" s="1"/>
  <c r="O31" i="13" s="1"/>
  <c r="F12" i="13"/>
  <c r="G12" i="13" s="1"/>
  <c r="O12" i="13" s="1"/>
  <c r="F68" i="13"/>
  <c r="G68" i="13" s="1"/>
  <c r="O68" i="13" s="1"/>
  <c r="F26" i="13"/>
  <c r="G26" i="13" s="1"/>
  <c r="H26" i="13" s="1"/>
  <c r="I26" i="13" s="1"/>
  <c r="F25" i="13"/>
  <c r="G25" i="13" s="1"/>
  <c r="F24" i="13"/>
  <c r="G24" i="13" s="1"/>
  <c r="F40" i="13"/>
  <c r="G40" i="13" s="1"/>
  <c r="O40" i="13" s="1"/>
  <c r="F36" i="13"/>
  <c r="G36" i="13" s="1"/>
  <c r="F67" i="13"/>
  <c r="G67" i="13" s="1"/>
  <c r="F62" i="13"/>
  <c r="G62" i="13" s="1"/>
  <c r="O62" i="13" s="1"/>
  <c r="F73" i="13"/>
  <c r="G73" i="13" s="1"/>
  <c r="O73" i="13" s="1"/>
  <c r="F22" i="13"/>
  <c r="G22" i="13" s="1"/>
  <c r="O22" i="13" s="1"/>
  <c r="F60" i="13"/>
  <c r="G60" i="13" s="1"/>
  <c r="H60" i="13" s="1"/>
  <c r="I60" i="13" s="1"/>
  <c r="F46" i="13"/>
  <c r="G46" i="13" s="1"/>
  <c r="H46" i="13" s="1"/>
  <c r="I46" i="13" s="1"/>
  <c r="F101" i="13"/>
  <c r="G101" i="13" s="1"/>
  <c r="F43" i="13"/>
  <c r="G43" i="13" s="1"/>
  <c r="F82" i="13"/>
  <c r="G82" i="13" s="1"/>
  <c r="F111" i="13"/>
  <c r="G111" i="13" s="1"/>
  <c r="F69" i="13"/>
  <c r="G69" i="13" s="1"/>
  <c r="F95" i="13"/>
  <c r="G95" i="13" s="1"/>
  <c r="F21" i="13"/>
  <c r="G21" i="13" s="1"/>
  <c r="F66" i="13"/>
  <c r="G66" i="13" s="1"/>
  <c r="F49" i="13"/>
  <c r="G49" i="13" s="1"/>
  <c r="O49" i="13" s="1"/>
  <c r="F90" i="13"/>
  <c r="G90" i="13" s="1"/>
  <c r="F77" i="13"/>
  <c r="G77" i="13" s="1"/>
  <c r="F100" i="13"/>
  <c r="G100" i="13" s="1"/>
  <c r="F38" i="13"/>
  <c r="G38" i="13" s="1"/>
  <c r="H38" i="13" s="1"/>
  <c r="I38" i="13" s="1"/>
  <c r="F64" i="13"/>
  <c r="G64" i="13" s="1"/>
  <c r="F56" i="13"/>
  <c r="G56" i="13" s="1"/>
  <c r="H56" i="13" s="1"/>
  <c r="I56" i="13" s="1"/>
  <c r="F87" i="13"/>
  <c r="G87" i="13" s="1"/>
  <c r="O87" i="13" s="1"/>
  <c r="Q10" i="13"/>
  <c r="F110" i="13"/>
  <c r="G110" i="13" s="1"/>
  <c r="F28" i="13"/>
  <c r="G28" i="13" s="1"/>
  <c r="F92" i="13"/>
  <c r="G92" i="13" s="1"/>
  <c r="F105" i="13"/>
  <c r="G105" i="13" s="1"/>
  <c r="O105" i="13" s="1"/>
  <c r="F103" i="13"/>
  <c r="G103" i="13" s="1"/>
  <c r="O103" i="13" s="1"/>
  <c r="F71" i="13"/>
  <c r="G71" i="13" s="1"/>
  <c r="F57" i="13"/>
  <c r="G57" i="13" s="1"/>
  <c r="F50" i="13"/>
  <c r="G50" i="13" s="1"/>
  <c r="F98" i="13"/>
  <c r="G98" i="13" s="1"/>
  <c r="H98" i="13" s="1"/>
  <c r="I98" i="13" s="1"/>
  <c r="F70" i="13"/>
  <c r="G70" i="13" s="1"/>
  <c r="O70" i="13" s="1"/>
  <c r="F114" i="13"/>
  <c r="G114" i="13" s="1"/>
  <c r="F47" i="13"/>
  <c r="G47" i="13" s="1"/>
  <c r="H47" i="13" s="1"/>
  <c r="I47" i="13" s="1"/>
  <c r="F15" i="13"/>
  <c r="G15" i="13" s="1"/>
  <c r="O15" i="13" s="1"/>
  <c r="F23" i="13"/>
  <c r="G23" i="13" s="1"/>
  <c r="H23" i="13" s="1"/>
  <c r="I23" i="13" s="1"/>
  <c r="F108" i="13"/>
  <c r="G108" i="13" s="1"/>
  <c r="F94" i="13"/>
  <c r="G94" i="13" s="1"/>
  <c r="F107" i="13"/>
  <c r="G107" i="13" s="1"/>
  <c r="F32" i="13"/>
  <c r="G32" i="13" s="1"/>
  <c r="F104" i="13"/>
  <c r="G104" i="13" s="1"/>
  <c r="F29" i="13"/>
  <c r="G29" i="13" s="1"/>
  <c r="O29" i="13" s="1"/>
  <c r="F54" i="13"/>
  <c r="G54" i="13" s="1"/>
  <c r="H54" i="13" s="1"/>
  <c r="I54" i="13" s="1"/>
  <c r="F109" i="13"/>
  <c r="G109" i="13" s="1"/>
  <c r="F13" i="13"/>
  <c r="G13" i="13" s="1"/>
  <c r="F35" i="13"/>
  <c r="G35" i="13" s="1"/>
  <c r="H35" i="13" s="1"/>
  <c r="I35" i="13" s="1"/>
  <c r="F14" i="13"/>
  <c r="G14" i="13" s="1"/>
  <c r="O14" i="13" s="1"/>
  <c r="F65" i="13"/>
  <c r="G65" i="13" s="1"/>
  <c r="F55" i="13"/>
  <c r="G55" i="13" s="1"/>
  <c r="O55" i="13" s="1"/>
  <c r="F106" i="13"/>
  <c r="G106" i="13" s="1"/>
  <c r="O106" i="13" s="1"/>
  <c r="F19" i="13"/>
  <c r="G19" i="13" s="1"/>
  <c r="F58" i="13"/>
  <c r="G58" i="13" s="1"/>
  <c r="O58" i="13" s="1"/>
  <c r="F83" i="13"/>
  <c r="G83" i="13" s="1"/>
  <c r="O83" i="13" s="1"/>
  <c r="F63" i="13"/>
  <c r="G63" i="13" s="1"/>
  <c r="O63" i="13" s="1"/>
  <c r="F45" i="13"/>
  <c r="G45" i="13" s="1"/>
  <c r="F76" i="13"/>
  <c r="G76" i="13" s="1"/>
  <c r="H76" i="13" s="1"/>
  <c r="I76" i="13" s="1"/>
  <c r="F97" i="13"/>
  <c r="G97" i="13" s="1"/>
  <c r="F18" i="13"/>
  <c r="G18" i="13" s="1"/>
  <c r="O18" i="13" s="1"/>
  <c r="F74" i="13"/>
  <c r="G74" i="13" s="1"/>
  <c r="H74" i="13" s="1"/>
  <c r="I74" i="13" s="1"/>
  <c r="F80" i="13"/>
  <c r="G80" i="13" s="1"/>
  <c r="F41" i="13"/>
  <c r="G41" i="13" s="1"/>
  <c r="O41" i="13" s="1"/>
  <c r="F27" i="13"/>
  <c r="G27" i="13" s="1"/>
  <c r="F61" i="13"/>
  <c r="G61" i="13" s="1"/>
  <c r="F42" i="13"/>
  <c r="G42" i="13" s="1"/>
  <c r="O42" i="13" s="1"/>
  <c r="F53" i="13"/>
  <c r="G53" i="13" s="1"/>
  <c r="H53" i="13" s="1"/>
  <c r="I53" i="13" s="1"/>
  <c r="F102" i="13"/>
  <c r="G102" i="13" s="1"/>
  <c r="F48" i="13"/>
  <c r="G48" i="13" s="1"/>
  <c r="O48" i="13" s="1"/>
  <c r="F88" i="13"/>
  <c r="G88" i="13" s="1"/>
  <c r="H88" i="13" s="1"/>
  <c r="I88" i="13" s="1"/>
  <c r="F33" i="13"/>
  <c r="G33" i="13" s="1"/>
  <c r="F20" i="13"/>
  <c r="G20" i="13" s="1"/>
  <c r="F89" i="13"/>
  <c r="G89" i="13" s="1"/>
  <c r="F96" i="13"/>
  <c r="G96" i="13" s="1"/>
  <c r="O96" i="13" s="1"/>
  <c r="F85" i="13"/>
  <c r="G85" i="13" s="1"/>
  <c r="F39" i="13"/>
  <c r="G39" i="13" s="1"/>
  <c r="F99" i="13"/>
  <c r="G99" i="13" s="1"/>
  <c r="F11" i="13"/>
  <c r="G11" i="13" s="1"/>
  <c r="O11" i="13" s="1"/>
  <c r="F34" i="13"/>
  <c r="G34" i="13" s="1"/>
  <c r="H34" i="13" s="1"/>
  <c r="I34" i="13" s="1"/>
  <c r="F59" i="13"/>
  <c r="G59" i="13" s="1"/>
  <c r="F72" i="13"/>
  <c r="G72" i="13" s="1"/>
  <c r="F16" i="13"/>
  <c r="G16" i="13" s="1"/>
  <c r="O16" i="13" s="1"/>
  <c r="F79" i="13"/>
  <c r="G79" i="13" s="1"/>
  <c r="F52" i="13"/>
  <c r="G52" i="13" s="1"/>
  <c r="F75" i="13"/>
  <c r="G75" i="13" s="1"/>
  <c r="F17" i="13"/>
  <c r="G17" i="13" s="1"/>
  <c r="F84" i="13"/>
  <c r="G84" i="13" s="1"/>
  <c r="F10" i="13"/>
  <c r="G10" i="13" s="1"/>
  <c r="O10" i="13" s="1"/>
  <c r="M46" i="14" l="1"/>
  <c r="N42" i="14"/>
  <c r="N41" i="14"/>
  <c r="O39" i="14"/>
  <c r="O38" i="14"/>
  <c r="P37" i="14"/>
  <c r="N54" i="13"/>
  <c r="L38" i="13"/>
  <c r="L44" i="13"/>
  <c r="L74" i="13"/>
  <c r="N47" i="13"/>
  <c r="H42" i="13"/>
  <c r="I42" i="13" s="1"/>
  <c r="O114" i="13"/>
  <c r="H114" i="13"/>
  <c r="H11" i="13"/>
  <c r="I11" i="13" s="1"/>
  <c r="L34" i="13"/>
  <c r="H10" i="13"/>
  <c r="H62" i="13"/>
  <c r="I62" i="13" s="1"/>
  <c r="O38" i="13"/>
  <c r="H63" i="13"/>
  <c r="I63" i="13" s="1"/>
  <c r="H55" i="13"/>
  <c r="I55" i="13" s="1"/>
  <c r="H49" i="13"/>
  <c r="I49" i="13" s="1"/>
  <c r="H68" i="13"/>
  <c r="I68" i="13" s="1"/>
  <c r="H89" i="13"/>
  <c r="I89" i="13" s="1"/>
  <c r="O89" i="13"/>
  <c r="N93" i="13"/>
  <c r="L93" i="13"/>
  <c r="O17" i="13"/>
  <c r="H17" i="13"/>
  <c r="I17" i="13" s="1"/>
  <c r="O39" i="13"/>
  <c r="H39" i="13"/>
  <c r="I39" i="13" s="1"/>
  <c r="O20" i="13"/>
  <c r="H20" i="13"/>
  <c r="I20" i="13" s="1"/>
  <c r="H108" i="13"/>
  <c r="I108" i="13" s="1"/>
  <c r="O108" i="13"/>
  <c r="L81" i="13"/>
  <c r="O37" i="13"/>
  <c r="H37" i="13"/>
  <c r="I37" i="13" s="1"/>
  <c r="H85" i="13"/>
  <c r="I85" i="13" s="1"/>
  <c r="O85" i="13"/>
  <c r="O33" i="13"/>
  <c r="H33" i="13"/>
  <c r="O13" i="13"/>
  <c r="H13" i="13"/>
  <c r="I13" i="13" s="1"/>
  <c r="O90" i="13"/>
  <c r="H90" i="13"/>
  <c r="I90" i="13" s="1"/>
  <c r="O21" i="13"/>
  <c r="H21" i="13"/>
  <c r="I21" i="13" s="1"/>
  <c r="O27" i="13"/>
  <c r="H27" i="13"/>
  <c r="I27" i="13" s="1"/>
  <c r="O109" i="13"/>
  <c r="H109" i="13"/>
  <c r="I109" i="13" s="1"/>
  <c r="H106" i="13"/>
  <c r="I106" i="13" s="1"/>
  <c r="O81" i="13"/>
  <c r="L46" i="13"/>
  <c r="O74" i="13"/>
  <c r="H40" i="13"/>
  <c r="I40" i="13" s="1"/>
  <c r="H31" i="13"/>
  <c r="I31" i="13" s="1"/>
  <c r="H113" i="13"/>
  <c r="H91" i="13"/>
  <c r="I91" i="13" s="1"/>
  <c r="H16" i="13"/>
  <c r="I16" i="13" s="1"/>
  <c r="O34" i="13"/>
  <c r="H96" i="13"/>
  <c r="I96" i="13" s="1"/>
  <c r="H83" i="13"/>
  <c r="I83" i="13" s="1"/>
  <c r="H29" i="13"/>
  <c r="I29" i="13" s="1"/>
  <c r="H18" i="13"/>
  <c r="I18" i="13" s="1"/>
  <c r="O46" i="13"/>
  <c r="H22" i="13"/>
  <c r="I22" i="13" s="1"/>
  <c r="H12" i="13"/>
  <c r="I12" i="13" s="1"/>
  <c r="O44" i="13"/>
  <c r="O80" i="13"/>
  <c r="H80" i="13"/>
  <c r="L76" i="13"/>
  <c r="H100" i="13"/>
  <c r="I100" i="13" s="1"/>
  <c r="O100" i="13"/>
  <c r="O84" i="13"/>
  <c r="H84" i="13"/>
  <c r="I84" i="13" s="1"/>
  <c r="H45" i="13"/>
  <c r="O45" i="13"/>
  <c r="O19" i="13"/>
  <c r="H19" i="13"/>
  <c r="I19" i="13" s="1"/>
  <c r="O65" i="13"/>
  <c r="H65" i="13"/>
  <c r="I65" i="13" s="1"/>
  <c r="O64" i="13"/>
  <c r="H64" i="13"/>
  <c r="I64" i="13" s="1"/>
  <c r="O102" i="13"/>
  <c r="H102" i="13"/>
  <c r="I102" i="13" s="1"/>
  <c r="L98" i="13"/>
  <c r="L23" i="13"/>
  <c r="O66" i="13"/>
  <c r="H66" i="13"/>
  <c r="I66" i="13" s="1"/>
  <c r="O104" i="13"/>
  <c r="H104" i="13"/>
  <c r="I104" i="13" s="1"/>
  <c r="L53" i="13"/>
  <c r="H107" i="13"/>
  <c r="I107" i="13" s="1"/>
  <c r="O107" i="13"/>
  <c r="O76" i="13"/>
  <c r="L56" i="13"/>
  <c r="O82" i="13"/>
  <c r="H82" i="13"/>
  <c r="I82" i="13" s="1"/>
  <c r="O25" i="13"/>
  <c r="H25" i="13"/>
  <c r="I25" i="13" s="1"/>
  <c r="H87" i="13"/>
  <c r="L112" i="13"/>
  <c r="N112" i="13"/>
  <c r="O112" i="13"/>
  <c r="O79" i="13"/>
  <c r="H79" i="13"/>
  <c r="I79" i="13" s="1"/>
  <c r="H32" i="13"/>
  <c r="I32" i="13" s="1"/>
  <c r="O32" i="13"/>
  <c r="H58" i="13"/>
  <c r="I58" i="13" s="1"/>
  <c r="L47" i="13"/>
  <c r="H71" i="13"/>
  <c r="I71" i="13" s="1"/>
  <c r="O71" i="13"/>
  <c r="O98" i="13"/>
  <c r="O54" i="13"/>
  <c r="N38" i="13"/>
  <c r="Q5" i="13"/>
  <c r="O61" i="13"/>
  <c r="H61" i="13"/>
  <c r="I61" i="13" s="1"/>
  <c r="N35" i="13"/>
  <c r="L35" i="13"/>
  <c r="H94" i="13"/>
  <c r="I94" i="13" s="1"/>
  <c r="O94" i="13"/>
  <c r="Q6" i="13"/>
  <c r="O77" i="13"/>
  <c r="H77" i="13"/>
  <c r="O95" i="13"/>
  <c r="H95" i="13"/>
  <c r="I95" i="13" s="1"/>
  <c r="O111" i="13"/>
  <c r="H111" i="13"/>
  <c r="I111" i="13" s="1"/>
  <c r="O43" i="13"/>
  <c r="H43" i="13"/>
  <c r="O36" i="13"/>
  <c r="H36" i="13"/>
  <c r="I36" i="13" s="1"/>
  <c r="O24" i="13"/>
  <c r="H24" i="13"/>
  <c r="I24" i="13" s="1"/>
  <c r="N26" i="13"/>
  <c r="L26" i="13"/>
  <c r="O26" i="13"/>
  <c r="O56" i="13"/>
  <c r="O59" i="13"/>
  <c r="H59" i="13"/>
  <c r="I59" i="13" s="1"/>
  <c r="O57" i="13"/>
  <c r="H57" i="13"/>
  <c r="I57" i="13" s="1"/>
  <c r="O110" i="13"/>
  <c r="H110" i="13"/>
  <c r="I110" i="13" s="1"/>
  <c r="H69" i="13"/>
  <c r="I69" i="13" s="1"/>
  <c r="O69" i="13"/>
  <c r="O67" i="13"/>
  <c r="H67" i="13"/>
  <c r="I67" i="13" s="1"/>
  <c r="L30" i="13"/>
  <c r="H73" i="13"/>
  <c r="L54" i="13"/>
  <c r="O23" i="13"/>
  <c r="O88" i="13"/>
  <c r="O75" i="13"/>
  <c r="H75" i="13"/>
  <c r="O97" i="13"/>
  <c r="H97" i="13"/>
  <c r="O50" i="13"/>
  <c r="H50" i="13"/>
  <c r="I50" i="13" s="1"/>
  <c r="O92" i="13"/>
  <c r="H92" i="13"/>
  <c r="I92" i="13" s="1"/>
  <c r="N60" i="13"/>
  <c r="L60" i="13"/>
  <c r="O47" i="13"/>
  <c r="O99" i="13"/>
  <c r="H99" i="13"/>
  <c r="I99" i="13" s="1"/>
  <c r="O52" i="13"/>
  <c r="H52" i="13"/>
  <c r="O72" i="13"/>
  <c r="H72" i="13"/>
  <c r="I72" i="13" s="1"/>
  <c r="H48" i="13"/>
  <c r="I48" i="13" s="1"/>
  <c r="H41" i="13"/>
  <c r="I41" i="13" s="1"/>
  <c r="H14" i="13"/>
  <c r="I14" i="13" s="1"/>
  <c r="H15" i="13"/>
  <c r="I15" i="13" s="1"/>
  <c r="H70" i="13"/>
  <c r="I70" i="13" s="1"/>
  <c r="H103" i="13"/>
  <c r="I103" i="13" s="1"/>
  <c r="H105" i="13"/>
  <c r="I105" i="13" s="1"/>
  <c r="O28" i="13"/>
  <c r="H28" i="13"/>
  <c r="I28" i="13" s="1"/>
  <c r="O60" i="13"/>
  <c r="H86" i="13"/>
  <c r="I86" i="13" s="1"/>
  <c r="O53" i="13"/>
  <c r="O30" i="13"/>
  <c r="L88" i="13"/>
  <c r="O35" i="13"/>
  <c r="H101" i="13"/>
  <c r="I101" i="13" s="1"/>
  <c r="O101" i="13"/>
  <c r="L78" i="13"/>
  <c r="H51" i="13"/>
  <c r="I51" i="13" s="1"/>
  <c r="O78" i="13"/>
  <c r="O93" i="13"/>
  <c r="N46" i="14" l="1"/>
  <c r="O42" i="14"/>
  <c r="O41" i="14"/>
  <c r="P39" i="14"/>
  <c r="P38" i="14"/>
  <c r="Q37" i="14"/>
  <c r="N98" i="13"/>
  <c r="I97" i="13"/>
  <c r="N97" i="13" s="1"/>
  <c r="N81" i="13"/>
  <c r="I80" i="13"/>
  <c r="N80" i="13" s="1"/>
  <c r="N53" i="13"/>
  <c r="I52" i="13"/>
  <c r="N52" i="13" s="1"/>
  <c r="N78" i="13"/>
  <c r="I77" i="13"/>
  <c r="N77" i="13" s="1"/>
  <c r="I113" i="13"/>
  <c r="N113" i="13" s="1"/>
  <c r="N76" i="13"/>
  <c r="I75" i="13"/>
  <c r="N75" i="13" s="1"/>
  <c r="N46" i="13"/>
  <c r="I45" i="13"/>
  <c r="N45" i="13" s="1"/>
  <c r="N34" i="13"/>
  <c r="I33" i="13"/>
  <c r="N33" i="13" s="1"/>
  <c r="I114" i="13"/>
  <c r="N114" i="13" s="1"/>
  <c r="N74" i="13"/>
  <c r="I73" i="13"/>
  <c r="N73" i="13" s="1"/>
  <c r="N44" i="13"/>
  <c r="I43" i="13"/>
  <c r="N43" i="13" s="1"/>
  <c r="N88" i="13"/>
  <c r="I87" i="13"/>
  <c r="N87" i="13" s="1"/>
  <c r="N23" i="13"/>
  <c r="N83" i="13"/>
  <c r="N108" i="13"/>
  <c r="N109" i="13"/>
  <c r="L49" i="13"/>
  <c r="L62" i="13"/>
  <c r="N63" i="13"/>
  <c r="N11" i="13"/>
  <c r="N22" i="13"/>
  <c r="N13" i="13"/>
  <c r="N20" i="13"/>
  <c r="N21" i="13"/>
  <c r="N55" i="13"/>
  <c r="N56" i="13"/>
  <c r="L18" i="13"/>
  <c r="N19" i="13"/>
  <c r="L31" i="13"/>
  <c r="L63" i="13"/>
  <c r="L29" i="13"/>
  <c r="N30" i="13"/>
  <c r="L16" i="13"/>
  <c r="N17" i="13"/>
  <c r="N90" i="13"/>
  <c r="N39" i="13"/>
  <c r="N40" i="13"/>
  <c r="N68" i="13"/>
  <c r="N42" i="13"/>
  <c r="Q4" i="13"/>
  <c r="F69" i="3" s="1"/>
  <c r="L90" i="13"/>
  <c r="L42" i="13"/>
  <c r="N62" i="13"/>
  <c r="L68" i="13"/>
  <c r="N18" i="13"/>
  <c r="N31" i="13"/>
  <c r="L13" i="13"/>
  <c r="L55" i="13"/>
  <c r="N29" i="13"/>
  <c r="L114" i="13"/>
  <c r="L22" i="13"/>
  <c r="L108" i="13"/>
  <c r="L11" i="13"/>
  <c r="N49" i="13"/>
  <c r="L113" i="13"/>
  <c r="L10" i="13"/>
  <c r="I10" i="13"/>
  <c r="N10" i="13" s="1"/>
  <c r="L109" i="13"/>
  <c r="L17" i="13"/>
  <c r="N16" i="13"/>
  <c r="L40" i="13"/>
  <c r="L85" i="13"/>
  <c r="N85" i="13"/>
  <c r="L89" i="13"/>
  <c r="N89" i="13"/>
  <c r="L21" i="13"/>
  <c r="L83" i="13"/>
  <c r="L96" i="13"/>
  <c r="N96" i="13"/>
  <c r="N91" i="13"/>
  <c r="L91" i="13"/>
  <c r="L27" i="13"/>
  <c r="N27" i="13"/>
  <c r="L33" i="13"/>
  <c r="L37" i="13"/>
  <c r="N37" i="13"/>
  <c r="L20" i="13"/>
  <c r="L39" i="13"/>
  <c r="L12" i="13"/>
  <c r="N12" i="13"/>
  <c r="N106" i="13"/>
  <c r="L106" i="13"/>
  <c r="L70" i="13"/>
  <c r="N70" i="13"/>
  <c r="L73" i="13"/>
  <c r="L43" i="13"/>
  <c r="L95" i="13"/>
  <c r="N95" i="13"/>
  <c r="N58" i="13"/>
  <c r="L58" i="13"/>
  <c r="L101" i="13"/>
  <c r="N101" i="13"/>
  <c r="N15" i="13"/>
  <c r="L15" i="13"/>
  <c r="L97" i="13"/>
  <c r="L57" i="13"/>
  <c r="N57" i="13"/>
  <c r="L71" i="13"/>
  <c r="N71" i="13"/>
  <c r="L107" i="13"/>
  <c r="N107" i="13"/>
  <c r="N102" i="13"/>
  <c r="L102" i="13"/>
  <c r="N65" i="13"/>
  <c r="L65" i="13"/>
  <c r="L80" i="13"/>
  <c r="N105" i="13"/>
  <c r="L105" i="13"/>
  <c r="N32" i="13"/>
  <c r="L32" i="13"/>
  <c r="L87" i="13"/>
  <c r="L45" i="13"/>
  <c r="L100" i="13"/>
  <c r="N100" i="13"/>
  <c r="L28" i="13"/>
  <c r="N28" i="13"/>
  <c r="L41" i="13"/>
  <c r="N41" i="13"/>
  <c r="L52" i="13"/>
  <c r="L94" i="13"/>
  <c r="N94" i="13"/>
  <c r="N61" i="13"/>
  <c r="L61" i="13"/>
  <c r="N48" i="13"/>
  <c r="L48" i="13"/>
  <c r="L92" i="13"/>
  <c r="N92" i="13"/>
  <c r="L24" i="13"/>
  <c r="N24" i="13"/>
  <c r="N82" i="13"/>
  <c r="L82" i="13"/>
  <c r="N51" i="13"/>
  <c r="L51" i="13"/>
  <c r="L72" i="13"/>
  <c r="N72" i="13"/>
  <c r="L99" i="13"/>
  <c r="N99" i="13"/>
  <c r="N69" i="13"/>
  <c r="L69" i="13"/>
  <c r="L111" i="13"/>
  <c r="N111" i="13"/>
  <c r="L77" i="13"/>
  <c r="L86" i="13"/>
  <c r="N86" i="13"/>
  <c r="L103" i="13"/>
  <c r="N103" i="13"/>
  <c r="L14" i="13"/>
  <c r="N14" i="13"/>
  <c r="L50" i="13"/>
  <c r="N50" i="13"/>
  <c r="L75" i="13"/>
  <c r="N67" i="13"/>
  <c r="L67" i="13"/>
  <c r="L110" i="13"/>
  <c r="N110" i="13"/>
  <c r="L59" i="13"/>
  <c r="N59" i="13"/>
  <c r="L36" i="13"/>
  <c r="N36" i="13"/>
  <c r="L79" i="13"/>
  <c r="N79" i="13"/>
  <c r="N25" i="13"/>
  <c r="L25" i="13"/>
  <c r="L104" i="13"/>
  <c r="N104" i="13"/>
  <c r="L66" i="13"/>
  <c r="N66" i="13"/>
  <c r="N64" i="13"/>
  <c r="L64" i="13"/>
  <c r="L19" i="13"/>
  <c r="N84" i="13"/>
  <c r="L84" i="13"/>
  <c r="O46" i="14" l="1"/>
  <c r="P42" i="14"/>
  <c r="P41" i="14"/>
  <c r="R37" i="14"/>
  <c r="Q39" i="14"/>
  <c r="Q38" i="14"/>
  <c r="N5" i="13"/>
  <c r="O2" i="13"/>
  <c r="F73" i="1" s="1"/>
  <c r="J10" i="13"/>
  <c r="P46" i="14" l="1"/>
  <c r="R39" i="14"/>
  <c r="R38" i="14"/>
  <c r="S37" i="14"/>
  <c r="Q41" i="14"/>
  <c r="Q42" i="14"/>
  <c r="F68" i="3"/>
  <c r="F70" i="3" s="1"/>
  <c r="H8" i="7" s="1"/>
  <c r="J11" i="13"/>
  <c r="K10" i="13"/>
  <c r="T37" i="14" l="1"/>
  <c r="S38" i="14"/>
  <c r="S39" i="14"/>
  <c r="Q46" i="14"/>
  <c r="R41" i="14"/>
  <c r="R42" i="14"/>
  <c r="E22" i="14"/>
  <c r="H10" i="7"/>
  <c r="H12" i="7" s="1"/>
  <c r="H13" i="7" s="1"/>
  <c r="H15" i="7" s="1"/>
  <c r="J12" i="13"/>
  <c r="K11" i="13"/>
  <c r="S42" i="14" l="1"/>
  <c r="S41" i="14"/>
  <c r="R46" i="14"/>
  <c r="T39" i="14"/>
  <c r="T38" i="14"/>
  <c r="T40" i="14" s="1"/>
  <c r="U37" i="14"/>
  <c r="G40" i="14"/>
  <c r="G47" i="14" s="1"/>
  <c r="K40" i="14"/>
  <c r="K47" i="14" s="1"/>
  <c r="O40" i="14"/>
  <c r="O47" i="14" s="1"/>
  <c r="S40" i="14"/>
  <c r="H40" i="14"/>
  <c r="H47" i="14" s="1"/>
  <c r="L40" i="14"/>
  <c r="L47" i="14" s="1"/>
  <c r="E40" i="14"/>
  <c r="E47" i="14" s="1"/>
  <c r="I40" i="14"/>
  <c r="I47" i="14" s="1"/>
  <c r="M40" i="14"/>
  <c r="M47" i="14" s="1"/>
  <c r="Q40" i="14"/>
  <c r="Q47" i="14" s="1"/>
  <c r="P40" i="14"/>
  <c r="P47" i="14" s="1"/>
  <c r="F40" i="14"/>
  <c r="F47" i="14" s="1"/>
  <c r="J40" i="14"/>
  <c r="J47" i="14" s="1"/>
  <c r="N40" i="14"/>
  <c r="N47" i="14" s="1"/>
  <c r="R40" i="14"/>
  <c r="H11" i="7"/>
  <c r="H14" i="7" s="1"/>
  <c r="H19" i="7" s="1"/>
  <c r="H18" i="7" s="1"/>
  <c r="H20" i="7" s="1"/>
  <c r="H22" i="7" s="1"/>
  <c r="J13" i="13"/>
  <c r="K12" i="13"/>
  <c r="S46" i="14" l="1"/>
  <c r="S47" i="14" s="1"/>
  <c r="S49" i="14" s="1"/>
  <c r="T42" i="14"/>
  <c r="T41" i="14"/>
  <c r="R47" i="14"/>
  <c r="R49" i="14" s="1"/>
  <c r="V37" i="14"/>
  <c r="U39" i="14"/>
  <c r="U38" i="14"/>
  <c r="U40" i="14" s="1"/>
  <c r="N49" i="14"/>
  <c r="N50" i="14"/>
  <c r="P50" i="14"/>
  <c r="P49" i="14"/>
  <c r="Q49" i="14"/>
  <c r="Q50" i="14"/>
  <c r="M50" i="14"/>
  <c r="M49" i="14"/>
  <c r="L50" i="14"/>
  <c r="L49" i="14"/>
  <c r="O50" i="14"/>
  <c r="O49" i="14"/>
  <c r="J49" i="14"/>
  <c r="J50" i="14"/>
  <c r="I50" i="14"/>
  <c r="I49" i="14"/>
  <c r="H50" i="14"/>
  <c r="H49" i="14"/>
  <c r="K49" i="14"/>
  <c r="K50" i="14"/>
  <c r="F49" i="14"/>
  <c r="F50" i="14"/>
  <c r="E49" i="14"/>
  <c r="E50" i="14"/>
  <c r="G49" i="14"/>
  <c r="G50" i="14"/>
  <c r="H28" i="7"/>
  <c r="F71" i="3" s="1"/>
  <c r="F72" i="3" s="1"/>
  <c r="J14" i="13"/>
  <c r="K13" i="13"/>
  <c r="S50" i="14" l="1"/>
  <c r="S52" i="14" s="1"/>
  <c r="S53" i="14" s="1"/>
  <c r="S54" i="14" s="1"/>
  <c r="S56" i="14" s="1"/>
  <c r="T46" i="14"/>
  <c r="T47" i="14" s="1"/>
  <c r="T50" i="14" s="1"/>
  <c r="U42" i="14"/>
  <c r="U41" i="14"/>
  <c r="H52" i="14"/>
  <c r="H53" i="14" s="1"/>
  <c r="H54" i="14" s="1"/>
  <c r="H56" i="14" s="1"/>
  <c r="O52" i="14"/>
  <c r="O53" i="14" s="1"/>
  <c r="O54" i="14" s="1"/>
  <c r="O56" i="14" s="1"/>
  <c r="M52" i="14"/>
  <c r="M53" i="14" s="1"/>
  <c r="M54" i="14" s="1"/>
  <c r="M56" i="14" s="1"/>
  <c r="P52" i="14"/>
  <c r="P53" i="14" s="1"/>
  <c r="P54" i="14" s="1"/>
  <c r="P56" i="14" s="1"/>
  <c r="R50" i="14"/>
  <c r="R52" i="14" s="1"/>
  <c r="R53" i="14" s="1"/>
  <c r="R54" i="14" s="1"/>
  <c r="R56" i="14" s="1"/>
  <c r="V39" i="14"/>
  <c r="V38" i="14"/>
  <c r="V40" i="14" s="1"/>
  <c r="W37" i="14"/>
  <c r="K52" i="14"/>
  <c r="K53" i="14" s="1"/>
  <c r="K54" i="14" s="1"/>
  <c r="K56" i="14" s="1"/>
  <c r="J52" i="14"/>
  <c r="J53" i="14" s="1"/>
  <c r="J54" i="14" s="1"/>
  <c r="J56" i="14" s="1"/>
  <c r="Q52" i="14"/>
  <c r="Q53" i="14" s="1"/>
  <c r="Q54" i="14" s="1"/>
  <c r="Q56" i="14" s="1"/>
  <c r="N52" i="14"/>
  <c r="N53" i="14" s="1"/>
  <c r="N54" i="14" s="1"/>
  <c r="N56" i="14" s="1"/>
  <c r="G52" i="14"/>
  <c r="G53" i="14" s="1"/>
  <c r="G54" i="14" s="1"/>
  <c r="G56" i="14" s="1"/>
  <c r="E52" i="14"/>
  <c r="E53" i="14" s="1"/>
  <c r="E54" i="14" s="1"/>
  <c r="E56" i="14" s="1"/>
  <c r="E57" i="14" s="1"/>
  <c r="E60" i="14" s="1"/>
  <c r="F52" i="14"/>
  <c r="F53" i="14" s="1"/>
  <c r="F54" i="14" s="1"/>
  <c r="F56" i="14" s="1"/>
  <c r="I52" i="14"/>
  <c r="I53" i="14" s="1"/>
  <c r="I54" i="14" s="1"/>
  <c r="I56" i="14" s="1"/>
  <c r="L52" i="14"/>
  <c r="L53" i="14" s="1"/>
  <c r="L54" i="14" s="1"/>
  <c r="L56" i="14" s="1"/>
  <c r="F86" i="1"/>
  <c r="O159" i="3"/>
  <c r="O160" i="3" s="1"/>
  <c r="O150" i="3"/>
  <c r="O154" i="3"/>
  <c r="J15" i="13"/>
  <c r="K14" i="13"/>
  <c r="M58" i="14" l="1"/>
  <c r="M61" i="14" s="1"/>
  <c r="P57" i="14"/>
  <c r="P60" i="14" s="1"/>
  <c r="M57" i="14"/>
  <c r="M60" i="14" s="1"/>
  <c r="J58" i="14"/>
  <c r="J61" i="14" s="1"/>
  <c r="O58" i="14"/>
  <c r="O61" i="14" s="1"/>
  <c r="T49" i="14"/>
  <c r="T52" i="14" s="1"/>
  <c r="T53" i="14" s="1"/>
  <c r="T54" i="14" s="1"/>
  <c r="T56" i="14" s="1"/>
  <c r="T57" i="14" s="1"/>
  <c r="T60" i="14" s="1"/>
  <c r="U46" i="14"/>
  <c r="U47" i="14" s="1"/>
  <c r="U50" i="14" s="1"/>
  <c r="V41" i="14"/>
  <c r="V42" i="14"/>
  <c r="X37" i="14"/>
  <c r="W39" i="14"/>
  <c r="W38" i="14"/>
  <c r="W40" i="14" s="1"/>
  <c r="O57" i="14"/>
  <c r="O60" i="14" s="1"/>
  <c r="R57" i="14"/>
  <c r="R60" i="14" s="1"/>
  <c r="R58" i="14"/>
  <c r="R61" i="14" s="1"/>
  <c r="K57" i="14"/>
  <c r="K60" i="14" s="1"/>
  <c r="N58" i="14"/>
  <c r="N61" i="14" s="1"/>
  <c r="Q57" i="14"/>
  <c r="Q60" i="14" s="1"/>
  <c r="Q58" i="14"/>
  <c r="Q61" i="14" s="1"/>
  <c r="P58" i="14"/>
  <c r="P61" i="14" s="1"/>
  <c r="N57" i="14"/>
  <c r="N60" i="14" s="1"/>
  <c r="S57" i="14"/>
  <c r="S60" i="14" s="1"/>
  <c r="J57" i="14"/>
  <c r="J60" i="14" s="1"/>
  <c r="I58" i="14"/>
  <c r="I61" i="14" s="1"/>
  <c r="I57" i="14"/>
  <c r="I60" i="14" s="1"/>
  <c r="G57" i="14"/>
  <c r="G60" i="14" s="1"/>
  <c r="G58" i="14"/>
  <c r="G61" i="14" s="1"/>
  <c r="F57" i="14"/>
  <c r="F60" i="14" s="1"/>
  <c r="F58" i="14"/>
  <c r="F61" i="14" s="1"/>
  <c r="H58" i="14"/>
  <c r="H61" i="14" s="1"/>
  <c r="K58" i="14"/>
  <c r="K61" i="14" s="1"/>
  <c r="L57" i="14"/>
  <c r="L60" i="14" s="1"/>
  <c r="L58" i="14"/>
  <c r="L61" i="14" s="1"/>
  <c r="H57" i="14"/>
  <c r="H60" i="14" s="1"/>
  <c r="O153" i="3"/>
  <c r="O157" i="3"/>
  <c r="O151" i="3"/>
  <c r="O152" i="3"/>
  <c r="O156" i="3"/>
  <c r="O161" i="3"/>
  <c r="O162" i="3"/>
  <c r="O158" i="3"/>
  <c r="O155" i="3"/>
  <c r="O163" i="3"/>
  <c r="J16" i="13"/>
  <c r="K15" i="13"/>
  <c r="U49" i="14" l="1"/>
  <c r="U52" i="14" s="1"/>
  <c r="U53" i="14" s="1"/>
  <c r="U54" i="14" s="1"/>
  <c r="U56" i="14" s="1"/>
  <c r="U57" i="14" s="1"/>
  <c r="U60" i="14" s="1"/>
  <c r="S58" i="14"/>
  <c r="S61" i="14" s="1"/>
  <c r="X39" i="14"/>
  <c r="X38" i="14"/>
  <c r="X40" i="14" s="1"/>
  <c r="V46" i="14"/>
  <c r="V47" i="14" s="1"/>
  <c r="W42" i="14"/>
  <c r="W41" i="14"/>
  <c r="J17" i="13"/>
  <c r="K16" i="13"/>
  <c r="W46" i="14" l="1"/>
  <c r="W47" i="14" s="1"/>
  <c r="W50" i="14" s="1"/>
  <c r="T58" i="14"/>
  <c r="T61" i="14" s="1"/>
  <c r="V50" i="14"/>
  <c r="V49" i="14"/>
  <c r="X41" i="14"/>
  <c r="X42" i="14"/>
  <c r="J18" i="13"/>
  <c r="K17" i="13"/>
  <c r="W49" i="14" l="1"/>
  <c r="W52" i="14" s="1"/>
  <c r="W53" i="14" s="1"/>
  <c r="W54" i="14" s="1"/>
  <c r="W56" i="14" s="1"/>
  <c r="X46" i="14"/>
  <c r="X47" i="14" s="1"/>
  <c r="X49" i="14" s="1"/>
  <c r="V52" i="14"/>
  <c r="V53" i="14" s="1"/>
  <c r="V54" i="14" s="1"/>
  <c r="V56" i="14" s="1"/>
  <c r="J19" i="13"/>
  <c r="K18" i="13"/>
  <c r="X50" i="14" l="1"/>
  <c r="X52" i="14" s="1"/>
  <c r="X53" i="14" s="1"/>
  <c r="X54" i="14" s="1"/>
  <c r="X56" i="14" s="1"/>
  <c r="V58" i="14"/>
  <c r="V61" i="14" s="1"/>
  <c r="V57" i="14"/>
  <c r="V60" i="14" s="1"/>
  <c r="U58" i="14"/>
  <c r="U61" i="14" s="1"/>
  <c r="W57" i="14"/>
  <c r="W60" i="14" s="1"/>
  <c r="J20" i="13"/>
  <c r="K19" i="13"/>
  <c r="X58" i="14" l="1"/>
  <c r="X61" i="14" s="1"/>
  <c r="X57" i="14"/>
  <c r="X60" i="14" s="1"/>
  <c r="K29" i="14" s="1"/>
  <c r="L29" i="14" s="1"/>
  <c r="F80" i="1" s="1"/>
  <c r="W58" i="14"/>
  <c r="W61" i="14" s="1"/>
  <c r="J21" i="13"/>
  <c r="K20" i="13"/>
  <c r="K30" i="14" l="1"/>
  <c r="L30" i="14" s="1"/>
  <c r="F81" i="1" s="1"/>
  <c r="J22" i="13"/>
  <c r="K21" i="13"/>
  <c r="J23" i="13" l="1"/>
  <c r="K22" i="13"/>
  <c r="J24" i="13" l="1"/>
  <c r="K23" i="13"/>
  <c r="J25" i="13" l="1"/>
  <c r="K24" i="13"/>
  <c r="J26" i="13" l="1"/>
  <c r="K25" i="13"/>
  <c r="J27" i="13" l="1"/>
  <c r="K26" i="13"/>
  <c r="J28" i="13" l="1"/>
  <c r="K27" i="13"/>
  <c r="J29" i="13" l="1"/>
  <c r="K28" i="13"/>
  <c r="J30" i="13" l="1"/>
  <c r="K29" i="13"/>
  <c r="J31" i="13" l="1"/>
  <c r="K30" i="13"/>
  <c r="J32" i="13" l="1"/>
  <c r="K31" i="13"/>
  <c r="J33" i="13" l="1"/>
  <c r="K32" i="13"/>
  <c r="J34" i="13" l="1"/>
  <c r="K33" i="13"/>
  <c r="J35" i="13" l="1"/>
  <c r="K34" i="13"/>
  <c r="J36" i="13" l="1"/>
  <c r="K35" i="13"/>
  <c r="J37" i="13" l="1"/>
  <c r="K36" i="13"/>
  <c r="J38" i="13" l="1"/>
  <c r="K37" i="13"/>
  <c r="J39" i="13" l="1"/>
  <c r="K38" i="13"/>
  <c r="J40" i="13" l="1"/>
  <c r="K39" i="13"/>
  <c r="J41" i="13" l="1"/>
  <c r="K40" i="13"/>
  <c r="J42" i="13" l="1"/>
  <c r="K41" i="13"/>
  <c r="J43" i="13" l="1"/>
  <c r="K42" i="13"/>
  <c r="J44" i="13" l="1"/>
  <c r="K43" i="13"/>
  <c r="J45" i="13" l="1"/>
  <c r="K44" i="13"/>
  <c r="J46" i="13" l="1"/>
  <c r="K45" i="13"/>
  <c r="J47" i="13" l="1"/>
  <c r="K46" i="13"/>
  <c r="J48" i="13" l="1"/>
  <c r="K47" i="13"/>
  <c r="J49" i="13" l="1"/>
  <c r="K48" i="13"/>
  <c r="J50" i="13" l="1"/>
  <c r="K49" i="13"/>
  <c r="J51" i="13" l="1"/>
  <c r="K50" i="13"/>
  <c r="J52" i="13" l="1"/>
  <c r="K51" i="13"/>
  <c r="J53" i="13" l="1"/>
  <c r="K52" i="13"/>
  <c r="J54" i="13" l="1"/>
  <c r="K53" i="13"/>
  <c r="J55" i="13" l="1"/>
  <c r="K54" i="13"/>
  <c r="J56" i="13" l="1"/>
  <c r="K55" i="13"/>
  <c r="J57" i="13" l="1"/>
  <c r="K56" i="13"/>
  <c r="J58" i="13" l="1"/>
  <c r="K57" i="13"/>
  <c r="J59" i="13" l="1"/>
  <c r="K58" i="13"/>
  <c r="J60" i="13" l="1"/>
  <c r="K59" i="13"/>
  <c r="J61" i="13" l="1"/>
  <c r="K60" i="13"/>
  <c r="J62" i="13" l="1"/>
  <c r="K61" i="13"/>
  <c r="J63" i="13" l="1"/>
  <c r="K62" i="13"/>
  <c r="J64" i="13" l="1"/>
  <c r="K63" i="13"/>
  <c r="J65" i="13" l="1"/>
  <c r="K64" i="13"/>
  <c r="J66" i="13" l="1"/>
  <c r="K65" i="13"/>
  <c r="J67" i="13" l="1"/>
  <c r="K66" i="13"/>
  <c r="J68" i="13" l="1"/>
  <c r="K67" i="13"/>
  <c r="J69" i="13" l="1"/>
  <c r="K68" i="13"/>
  <c r="J70" i="13" l="1"/>
  <c r="K69" i="13"/>
  <c r="J71" i="13" l="1"/>
  <c r="K70" i="13"/>
  <c r="J72" i="13" l="1"/>
  <c r="K71" i="13"/>
  <c r="J73" i="13" l="1"/>
  <c r="K72" i="13"/>
  <c r="J74" i="13" l="1"/>
  <c r="K73" i="13"/>
  <c r="J75" i="13" l="1"/>
  <c r="K74" i="13"/>
  <c r="J76" i="13" l="1"/>
  <c r="K75" i="13"/>
  <c r="J77" i="13" l="1"/>
  <c r="K76" i="13"/>
  <c r="J78" i="13" l="1"/>
  <c r="K77" i="13"/>
  <c r="J79" i="13" l="1"/>
  <c r="K78" i="13"/>
  <c r="J80" i="13" l="1"/>
  <c r="K79" i="13"/>
  <c r="J81" i="13" l="1"/>
  <c r="K80" i="13"/>
  <c r="J82" i="13" l="1"/>
  <c r="K81" i="13"/>
  <c r="J83" i="13" l="1"/>
  <c r="K82" i="13"/>
  <c r="J84" i="13" l="1"/>
  <c r="K83" i="13"/>
  <c r="J85" i="13" l="1"/>
  <c r="K84" i="13"/>
  <c r="J86" i="13" l="1"/>
  <c r="K85" i="13"/>
  <c r="J87" i="13" l="1"/>
  <c r="K86" i="13"/>
  <c r="J88" i="13" l="1"/>
  <c r="K87" i="13"/>
  <c r="J89" i="13" l="1"/>
  <c r="K88" i="13"/>
  <c r="J90" i="13" l="1"/>
  <c r="K89" i="13"/>
  <c r="J91" i="13" l="1"/>
  <c r="K90" i="13"/>
  <c r="J92" i="13" l="1"/>
  <c r="K91" i="13"/>
  <c r="J93" i="13" l="1"/>
  <c r="K92" i="13"/>
  <c r="J94" i="13" l="1"/>
  <c r="K93" i="13"/>
  <c r="J95" i="13" l="1"/>
  <c r="K94" i="13"/>
  <c r="J96" i="13" l="1"/>
  <c r="K95" i="13"/>
  <c r="J97" i="13" l="1"/>
  <c r="K96" i="13"/>
  <c r="J98" i="13" l="1"/>
  <c r="K97" i="13"/>
  <c r="J99" i="13" l="1"/>
  <c r="K98" i="13"/>
  <c r="J100" i="13" l="1"/>
  <c r="K99" i="13"/>
  <c r="J101" i="13" l="1"/>
  <c r="K100" i="13"/>
  <c r="J102" i="13" l="1"/>
  <c r="K101" i="13"/>
  <c r="J103" i="13" l="1"/>
  <c r="K102" i="13"/>
  <c r="J104" i="13" l="1"/>
  <c r="K103" i="13"/>
  <c r="J105" i="13" l="1"/>
  <c r="K104" i="13"/>
  <c r="J106" i="13" l="1"/>
  <c r="K105" i="13"/>
  <c r="J107" i="13" l="1"/>
  <c r="K106" i="13"/>
  <c r="J108" i="13" l="1"/>
  <c r="K107" i="13"/>
  <c r="J109" i="13" l="1"/>
  <c r="K108" i="13"/>
  <c r="J110" i="13" l="1"/>
  <c r="K109" i="13"/>
  <c r="J111" i="13" l="1"/>
  <c r="K110" i="13"/>
  <c r="J112" i="13" l="1"/>
  <c r="K111" i="13"/>
  <c r="J113" i="13" l="1"/>
  <c r="K112" i="13"/>
  <c r="J114" i="13" l="1"/>
  <c r="K113" i="13"/>
  <c r="M2" i="13" l="1"/>
  <c r="K114" i="13"/>
  <c r="K115" i="13" s="1"/>
  <c r="F72" i="1" l="1"/>
  <c r="F53" i="3"/>
  <c r="F55" i="3" s="1"/>
  <c r="F56" i="3" s="1"/>
  <c r="F74" i="1" l="1"/>
  <c r="F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a0272042</author>
    <author>dmorgan</author>
    <author>TI User</author>
    <author>bdemsc</author>
  </authors>
  <commentList>
    <comment ref="F27" authorId="0" shapeId="0" xr:uid="{99F87146-FA20-4C7B-BD8E-BCE03C84CCAB}">
      <text>
        <r>
          <rPr>
            <sz val="10"/>
            <color rgb="FF000000"/>
            <rFont val="Calibri"/>
            <scheme val="minor"/>
          </rPr>
          <t>======
ID#AAAATmxmA7k
dmorgan    (2021-12-28 08:17:56)
The minimum system voltage must be no less than 10V</t>
        </r>
      </text>
    </comment>
    <comment ref="F29" authorId="0" shapeId="0" xr:uid="{9C87675E-5E4E-4E24-AE5E-CE8815F63A43}">
      <text>
        <r>
          <rPr>
            <sz val="10"/>
            <color rgb="FF000000"/>
            <rFont val="Calibri"/>
            <scheme val="minor"/>
          </rPr>
          <t>======
ID#AAAATmxmA58
dmorgan    (2021-12-28 08:17:56)
The maximum system voltage must be no greater than 80V.</t>
        </r>
      </text>
    </comment>
    <comment ref="F31" authorId="0" shapeId="0" xr:uid="{A00E17A5-7047-4EB5-B562-24219A7A179A}">
      <text>
        <r>
          <rPr>
            <sz val="10"/>
            <color rgb="FF000000"/>
            <rFont val="Calibri"/>
            <scheme val="minor"/>
          </rPr>
          <t>======
ID#AAAATmxmA6s
dmorgan    (2021-12-28 08:17:56)
This is the capacitance at Vout. This should not be zero. A minimum of 10 μF is recommended.</t>
        </r>
      </text>
    </comment>
    <comment ref="F39" authorId="1" shapeId="0" xr:uid="{00000000-0006-0000-0100-000004000000}">
      <text>
        <r>
          <rPr>
            <b/>
            <sz val="9"/>
            <color indexed="81"/>
            <rFont val="Tahoma"/>
            <family val="2"/>
          </rPr>
          <t xml:space="preserve">Using an External Resistor allows the user to fine tune the current limit for a given standard resistor. 
It will add error to the power limit, current limit, and telemetry (1% resistors) and should be avoided if possible. </t>
        </r>
        <r>
          <rPr>
            <sz val="9"/>
            <color indexed="81"/>
            <rFont val="Tahoma"/>
            <family val="2"/>
          </rPr>
          <t xml:space="preserve">
</t>
        </r>
      </text>
    </comment>
    <comment ref="F40" authorId="2" shapeId="0" xr:uid="{00000000-0006-0000-0100-000005000000}">
      <text>
        <r>
          <rPr>
            <b/>
            <sz val="8"/>
            <color indexed="81"/>
            <rFont val="Tahoma"/>
            <family val="2"/>
          </rPr>
          <t xml:space="preserve">When using an external resistor divider, Rs must be larger than the targeted Rs,eff.  Pick the next larger available Rs.  
When not using an external resistor divider, pick the next smallest available sense resistor. </t>
        </r>
      </text>
    </comment>
    <comment ref="F41" authorId="1" shapeId="0" xr:uid="{00000000-0006-0000-0100-000006000000}">
      <text>
        <r>
          <rPr>
            <b/>
            <sz val="9"/>
            <color indexed="81"/>
            <rFont val="Tahoma"/>
            <family val="2"/>
          </rPr>
          <t xml:space="preserve">Cell turns Red if 
When using an external resistor divider, Rs must be larger than the targeted Rs,eff.  Pick the next larger available Rs.  
</t>
        </r>
        <r>
          <rPr>
            <sz val="9"/>
            <color indexed="81"/>
            <rFont val="Tahoma"/>
            <family val="2"/>
          </rPr>
          <t xml:space="preserve">
</t>
        </r>
      </text>
    </comment>
    <comment ref="F46" authorId="1" shapeId="0" xr:uid="{00000000-0006-0000-0100-000007000000}">
      <text>
        <r>
          <rPr>
            <b/>
            <sz val="9"/>
            <color indexed="81"/>
            <rFont val="Tahoma"/>
            <family val="2"/>
          </rPr>
          <t xml:space="preserve">Ensure that the minimum current limit is above maximum load. </t>
        </r>
      </text>
    </comment>
    <comment ref="F47" authorId="1" shapeId="0" xr:uid="{00000000-0006-0000-0100-000008000000}">
      <text>
        <r>
          <rPr>
            <b/>
            <sz val="9"/>
            <color indexed="81"/>
            <rFont val="Tahoma"/>
            <family val="2"/>
          </rPr>
          <t xml:space="preserve">Ensure that the minimum current limit is above maximum load. </t>
        </r>
        <r>
          <rPr>
            <sz val="9"/>
            <color indexed="81"/>
            <rFont val="Tahoma"/>
            <family val="2"/>
          </rPr>
          <t xml:space="preserve">
</t>
        </r>
      </text>
    </comment>
    <comment ref="F48" authorId="1" shapeId="0" xr:uid="{00000000-0006-0000-0100-000009000000}">
      <text>
        <r>
          <rPr>
            <b/>
            <sz val="9"/>
            <color indexed="81"/>
            <rFont val="Tahoma"/>
            <family val="2"/>
          </rPr>
          <t xml:space="preserve">Ensure that the minimum current limit is above maximum load. </t>
        </r>
        <r>
          <rPr>
            <sz val="9"/>
            <color indexed="81"/>
            <rFont val="Tahoma"/>
            <family val="2"/>
          </rPr>
          <t xml:space="preserve">
</t>
        </r>
      </text>
    </comment>
    <comment ref="F49" authorId="2" shapeId="0" xr:uid="{00000000-0006-0000-0100-00000A000000}">
      <text>
        <r>
          <rPr>
            <b/>
            <sz val="8"/>
            <color indexed="81"/>
            <rFont val="Tahoma"/>
            <family val="2"/>
          </rPr>
          <t>The power dissipation is calculated using the maximum normal load current.
Ensure the selected resistor is rated for this power dissipation.</t>
        </r>
      </text>
    </comment>
    <comment ref="F51" authorId="0" shapeId="0" xr:uid="{22A245E5-D872-4659-AA8B-8824FD7EAB34}">
      <text>
        <r>
          <rPr>
            <sz val="10"/>
            <color rgb="FF000000"/>
            <rFont val="Calibri"/>
            <scheme val="minor"/>
          </rPr>
          <t>======
ID#AAAATmxmA6g
Alex Triano    (2021-12-28 08:17:56)
Note that this parameter is heavily dependent on the board layout and amount of copper connected to the Drain of the FET. 
The TI EVM is ~30C / W number and is a good starting point. It's recommended to measure this value again once the boards are built and plugging this back into the calculator.</t>
        </r>
      </text>
    </comment>
    <comment ref="F53" authorId="0" shapeId="0" xr:uid="{6BB04142-2887-4ECA-BF98-EB28D316FB00}">
      <text>
        <r>
          <rPr>
            <sz val="10"/>
            <color rgb="FF000000"/>
            <rFont val="Calibri"/>
            <scheme val="minor"/>
          </rPr>
          <t>======
ID#AAAATmxmA54
a0272042    (2021-12-28 08:17:56)
This number may need to be adjusted iteratively based on the result of cell C44.</t>
        </r>
      </text>
    </comment>
    <comment ref="F61" authorId="1" shapeId="0" xr:uid="{00000000-0006-0000-0100-00000D000000}">
      <text>
        <r>
          <rPr>
            <sz val="9"/>
            <color indexed="81"/>
            <rFont val="Tahoma"/>
            <family val="2"/>
          </rPr>
          <t xml:space="preserve">If FET temperature is too high, increase the # of FETs, reduce the load, or reduce the RθJA by adding more heat sinking to MOSFETs. 
</t>
        </r>
      </text>
    </comment>
    <comment ref="F63" authorId="1" shapeId="0" xr:uid="{00000000-0006-0000-0100-00000E000000}">
      <text>
        <r>
          <rPr>
            <sz val="9"/>
            <color indexed="81"/>
            <rFont val="Tahoma"/>
            <family val="2"/>
          </rPr>
          <t xml:space="preserve">Usually this can be set to PLIM,MIN.  If a load is present during start-up a higher Plim, may be preferred. </t>
        </r>
        <r>
          <rPr>
            <b/>
            <sz val="9"/>
            <color indexed="81"/>
            <rFont val="Tahoma"/>
            <family val="2"/>
          </rPr>
          <t xml:space="preserve">
</t>
        </r>
      </text>
    </comment>
    <comment ref="I66" authorId="3" shapeId="0" xr:uid="{00000000-0006-0000-0100-00000F000000}">
      <text>
        <r>
          <rPr>
            <sz val="9"/>
            <color indexed="81"/>
            <rFont val="Tahoma"/>
            <family val="2"/>
          </rPr>
          <t>3 Parameters:
Step 1: Max Ambient Operating Temperature 
Step 3: Estimated MOSFET RQJA
Step 3: FET Power Dissipation at full load 
**This includes air flow</t>
        </r>
      </text>
    </comment>
    <comment ref="F67" authorId="1" shapeId="0" xr:uid="{00000000-0006-0000-0100-000010000000}">
      <text>
        <r>
          <rPr>
            <sz val="9"/>
            <color indexed="81"/>
            <rFont val="Tahoma"/>
            <family val="2"/>
          </rPr>
          <t xml:space="preserve">Cell turns Red if the actual power limit is below Minimum Power Limit (cell F46)
</t>
        </r>
      </text>
    </comment>
    <comment ref="F69" authorId="4" shapeId="0" xr:uid="{00000000-0006-0000-0100-000011000000}">
      <text>
        <r>
          <rPr>
            <b/>
            <sz val="8"/>
            <color indexed="81"/>
            <rFont val="Tahoma"/>
            <family val="2"/>
          </rPr>
          <t>Select if the load will draw current during start-up. 
For no Load, choose constant current and set to zero</t>
        </r>
      </text>
    </comment>
    <comment ref="F71" authorId="4" shapeId="0" xr:uid="{00000000-0006-0000-0100-000012000000}">
      <text>
        <r>
          <rPr>
            <b/>
            <sz val="8"/>
            <color indexed="81"/>
            <rFont val="Tahoma"/>
            <family val="2"/>
          </rPr>
          <t>Yes or No.  Default is No.  However, DV/DT control can be useful in high current applications or applications were COUT is large.
If SOA margin is poor with a PLIM start-up, switching to a soft start can alleviate this problem.</t>
        </r>
      </text>
    </comment>
    <comment ref="F73" authorId="1" shapeId="0" xr:uid="{00000000-0006-0000-0100-000013000000}">
      <text>
        <r>
          <rPr>
            <b/>
            <sz val="9"/>
            <color indexed="81"/>
            <rFont val="Tahoma"/>
            <family val="2"/>
          </rPr>
          <t xml:space="preserve">If IFET - ILOAD margin is too low, there may be start-up issues due to variation in power limit or load profile.  A margin &gt; 25% is recommended. 
If margin is &lt; 25%, the power limit should be increased or the load should be kept completely OFF during start-up. </t>
        </r>
        <r>
          <rPr>
            <sz val="9"/>
            <color indexed="81"/>
            <rFont val="Tahoma"/>
            <family val="2"/>
          </rPr>
          <t xml:space="preserve">
</t>
        </r>
      </text>
    </comment>
    <comment ref="F74" authorId="2" shapeId="0" xr:uid="{00000000-0006-0000-0100-000014000000}">
      <text>
        <r>
          <rPr>
            <b/>
            <sz val="8"/>
            <color indexed="81"/>
            <rFont val="Tahoma"/>
            <family val="2"/>
          </rPr>
          <t xml:space="preserve">TO ensure start-up the faul time out must be longer than the start-up time. It is recommended to choose a fault timer that is larger than the typical start-time to account for variations in Plim, timer current, and timer capacitance. </t>
        </r>
      </text>
    </comment>
    <comment ref="F76" authorId="1" shapeId="0" xr:uid="{00000000-0006-0000-0100-000015000000}">
      <text>
        <r>
          <rPr>
            <b/>
            <sz val="9"/>
            <color indexed="81"/>
            <rFont val="Tahoma"/>
            <family val="2"/>
          </rPr>
          <t>Pick closest capacitor that is larger than the Target capacitance</t>
        </r>
        <r>
          <rPr>
            <sz val="9"/>
            <color indexed="81"/>
            <rFont val="Tahoma"/>
            <family val="2"/>
          </rPr>
          <t xml:space="preserve">
</t>
        </r>
      </text>
    </comment>
    <comment ref="F78" authorId="1" shapeId="0" xr:uid="{00000000-0006-0000-0100-000016000000}">
      <text>
        <r>
          <rPr>
            <sz val="9"/>
            <color indexed="81"/>
            <rFont val="Tahoma"/>
            <family val="2"/>
          </rPr>
          <t>A ratio over 1.1 is required and over 1.3 is preferred.  This will account for variation in Power limit and timer
If the margin is poor with a PLIM based start-up,  reduce timer, reduce power limit, use more FETs in parallel or switch to soft start (cell F55)</t>
        </r>
      </text>
    </comment>
    <comment ref="F79" authorId="4" shapeId="0" xr:uid="{00000000-0006-0000-0100-000017000000}">
      <text>
        <r>
          <rPr>
            <b/>
            <sz val="8"/>
            <color indexed="81"/>
            <rFont val="Tahoma"/>
            <family val="2"/>
          </rPr>
          <t xml:space="preserve">This is used to determine the maximum FET case temperature before start-up. 
A "yes" here means that a user may run a board at full current, then unplug the board and plug it back in. In that the FET is hot before hot-plug. 
If this is a "no".  FET temperature just equals the ambient temperature. </t>
        </r>
      </text>
    </comment>
    <comment ref="F80" authorId="1" shapeId="0" xr:uid="{00000000-0006-0000-0100-000018000000}">
      <text>
        <r>
          <rPr>
            <b/>
            <sz val="9"/>
            <color indexed="81"/>
            <rFont val="Tahoma"/>
            <family val="2"/>
          </rPr>
          <t xml:space="preserve">If these cells are red, there is no suitable slew rate for keeping FET whithin SOA. 
Reduce load at start-up or pick FET with better SOA. </t>
        </r>
      </text>
    </comment>
    <comment ref="F81" authorId="1" shapeId="0" xr:uid="{00000000-0006-0000-0100-000019000000}">
      <text>
        <r>
          <rPr>
            <b/>
            <sz val="9"/>
            <color indexed="81"/>
            <rFont val="Tahoma"/>
            <family val="2"/>
          </rPr>
          <t xml:space="preserve">If these cells are red, there is no suitable slew rate for keeping FET whithin SOA. 
Reduce load at start-up or pick FET with better SOA. </t>
        </r>
        <r>
          <rPr>
            <sz val="9"/>
            <color indexed="81"/>
            <rFont val="Tahoma"/>
            <family val="2"/>
          </rPr>
          <t xml:space="preserve">
</t>
        </r>
      </text>
    </comment>
    <comment ref="F82" authorId="1" shapeId="0" xr:uid="{00000000-0006-0000-0100-00001A000000}">
      <text>
        <r>
          <rPr>
            <b/>
            <sz val="9"/>
            <color indexed="81"/>
            <rFont val="Tahoma"/>
            <family val="2"/>
          </rPr>
          <t>Ensure that this is lower than max ss slew rate in the cell above</t>
        </r>
        <r>
          <rPr>
            <sz val="9"/>
            <color indexed="81"/>
            <rFont val="Tahoma"/>
            <family val="2"/>
          </rPr>
          <t xml:space="preserve">
</t>
        </r>
      </text>
    </comment>
    <comment ref="F85" authorId="1" shapeId="0" xr:uid="{00000000-0006-0000-0100-00001B000000}">
      <text>
        <r>
          <rPr>
            <b/>
            <sz val="9"/>
            <color indexed="81"/>
            <rFont val="Tahoma"/>
            <family val="2"/>
          </rPr>
          <t>Ensure that this is lower than max ss slew rate.</t>
        </r>
      </text>
    </comment>
    <comment ref="F86" authorId="1" shapeId="0" xr:uid="{00000000-0006-0000-0100-00001C000000}">
      <text>
        <r>
          <rPr>
            <sz val="9"/>
            <color indexed="81"/>
            <rFont val="Tahoma"/>
            <family val="2"/>
          </rPr>
          <t>A margin of &gt;1.1 is required and a margin of &gt;1.3 is recommended to accout for the variation in the gate current. 
Reduce dv/dt rate to reduce inrush current and increase SOA margin</t>
        </r>
      </text>
    </comment>
    <comment ref="F91" authorId="1" shapeId="0" xr:uid="{00000000-0006-0000-0100-00001D000000}">
      <text>
        <r>
          <rPr>
            <b/>
            <sz val="9"/>
            <color indexed="81"/>
            <rFont val="Tahoma"/>
            <family val="2"/>
          </rPr>
          <t xml:space="preserve">A margin of &gt;1.1 is required and a margin of &gt;1.3 is recommended to accout for the variation in the power limit and timer. 
Reduce Tfault to improve SOA margin. </t>
        </r>
        <r>
          <rPr>
            <sz val="9"/>
            <color indexed="81"/>
            <rFont val="Tahoma"/>
            <family val="2"/>
          </rPr>
          <t xml:space="preserve">
</t>
        </r>
      </text>
    </comment>
    <comment ref="F92" authorId="2" shapeId="0" xr:uid="{00000000-0006-0000-0100-00001E000000}">
      <text>
        <r>
          <rPr>
            <b/>
            <sz val="8"/>
            <color indexed="81"/>
            <rFont val="Tahoma"/>
            <family val="2"/>
          </rPr>
          <t>This threshold must be between 2.9V and 17V.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bdemsc</author>
  </authors>
  <commentList>
    <comment ref="C39" authorId="0" shapeId="0" xr:uid="{00000000-0006-0000-0500-000001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0" authorId="0" shapeId="0" xr:uid="{00000000-0006-0000-0500-000002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 ref="C41" authorId="0" shapeId="0" xr:uid="{00000000-0006-0000-0500-000003000000}">
      <text>
        <r>
          <rPr>
            <b/>
            <sz val="8"/>
            <color indexed="81"/>
            <rFont val="Tahoma"/>
            <family val="2"/>
          </rPr>
          <t xml:space="preserve">Enter data from the MOSFET's SOA chart typically found in its datasheet.
</t>
        </r>
        <r>
          <rPr>
            <b/>
            <sz val="8"/>
            <color indexed="10"/>
            <rFont val="Tahoma"/>
            <family val="2"/>
          </rPr>
          <t>Consult the MOSFET vendor for SOA performance detail and appropriate derating criteria.</t>
        </r>
      </text>
    </comment>
  </commentList>
</comments>
</file>

<file path=xl/sharedStrings.xml><?xml version="1.0" encoding="utf-8"?>
<sst xmlns="http://schemas.openxmlformats.org/spreadsheetml/2006/main" count="600" uniqueCount="403">
  <si>
    <t>Max Rs =</t>
  </si>
  <si>
    <t>Min. Current limit =</t>
  </si>
  <si>
    <t>Typ. Current limit =</t>
  </si>
  <si>
    <t>Max. Current limit =</t>
  </si>
  <si>
    <t>Rs Power Diss. =</t>
  </si>
  <si>
    <t>ms</t>
  </si>
  <si>
    <t>(V)</t>
  </si>
  <si>
    <t>(A)</t>
  </si>
  <si>
    <t>R1 =</t>
  </si>
  <si>
    <t>R2 =</t>
  </si>
  <si>
    <t>R3 =</t>
  </si>
  <si>
    <t>R4 =</t>
  </si>
  <si>
    <r>
      <t>C</t>
    </r>
    <r>
      <rPr>
        <vertAlign val="subscript"/>
        <sz val="10"/>
        <rFont val="Arial"/>
        <family val="2"/>
      </rPr>
      <t>T</t>
    </r>
    <r>
      <rPr>
        <sz val="10"/>
        <rFont val="Arial"/>
        <family val="2"/>
      </rPr>
      <t xml:space="preserve"> =</t>
    </r>
  </si>
  <si>
    <t>Notes:</t>
  </si>
  <si>
    <t>Option B</t>
  </si>
  <si>
    <t>R3</t>
  </si>
  <si>
    <t>R4</t>
  </si>
  <si>
    <t>A</t>
  </si>
  <si>
    <t>Minimum</t>
  </si>
  <si>
    <t>Typical</t>
  </si>
  <si>
    <t>Maximum</t>
  </si>
  <si>
    <t>Resulting Thresholds:</t>
  </si>
  <si>
    <r>
      <t>V</t>
    </r>
    <r>
      <rPr>
        <b/>
        <vertAlign val="subscript"/>
        <sz val="10"/>
        <rFont val="Arial"/>
        <family val="2"/>
      </rPr>
      <t>DS</t>
    </r>
  </si>
  <si>
    <t>GRAPH:</t>
  </si>
  <si>
    <t>Selected Rs =</t>
  </si>
  <si>
    <t>Max System voltage =</t>
  </si>
  <si>
    <t>Current Lim (min) =</t>
  </si>
  <si>
    <t>Current Lim (typ) =</t>
  </si>
  <si>
    <t>Current Lim (max) =</t>
  </si>
  <si>
    <t>Power Limit (typ) =</t>
  </si>
  <si>
    <t>A) This table calculates the Ids current based</t>
  </si>
  <si>
    <t>B) This table corrrects the table at left so no</t>
  </si>
  <si>
    <t>on power limit only - no current limit info.</t>
  </si>
  <si>
    <t>current is greater than the current limit.</t>
  </si>
  <si>
    <t>Vds</t>
  </si>
  <si>
    <t>Min</t>
  </si>
  <si>
    <t>Typ</t>
  </si>
  <si>
    <t>Max</t>
  </si>
  <si>
    <t>SOA data points from</t>
  </si>
  <si>
    <t>the customer's SOA</t>
  </si>
  <si>
    <t>data he entered.</t>
  </si>
  <si>
    <t>User's</t>
  </si>
  <si>
    <t>Ids</t>
  </si>
  <si>
    <t>x = customer's entry</t>
  </si>
  <si>
    <t>x</t>
  </si>
  <si>
    <t>SOA</t>
  </si>
  <si>
    <t>C) This table creates the</t>
  </si>
  <si>
    <t>µF</t>
  </si>
  <si>
    <r>
      <t>k</t>
    </r>
    <r>
      <rPr>
        <sz val="10"/>
        <rFont val="Symbol"/>
        <family val="1"/>
        <charset val="2"/>
      </rPr>
      <t>W</t>
    </r>
  </si>
  <si>
    <r>
      <t>m</t>
    </r>
    <r>
      <rPr>
        <sz val="10"/>
        <rFont val="Symbol"/>
        <family val="1"/>
        <charset val="2"/>
      </rPr>
      <t>W</t>
    </r>
  </si>
  <si>
    <t>V</t>
  </si>
  <si>
    <t>W</t>
  </si>
  <si>
    <t>D) This table changes ID values to zero for Vds&gt;Vin(max)</t>
  </si>
  <si>
    <t>and adds the SOA curve. This data is plotted.</t>
  </si>
  <si>
    <r>
      <t>1. Although not mandatory, C</t>
    </r>
    <r>
      <rPr>
        <vertAlign val="subscript"/>
        <sz val="10"/>
        <rFont val="Arial"/>
        <family val="2"/>
      </rPr>
      <t>IN</t>
    </r>
    <r>
      <rPr>
        <sz val="10"/>
        <rFont val="Arial"/>
        <family val="2"/>
      </rPr>
      <t xml:space="preserve"> provides transient suppression at the VIN pin</t>
    </r>
  </si>
  <si>
    <t xml:space="preserve">Resulting Upper UVLO Threshold = </t>
  </si>
  <si>
    <t xml:space="preserve">Resulting Lower UVLO Threshold = </t>
  </si>
  <si>
    <t>Resulting Minimum Current Limit</t>
  </si>
  <si>
    <t>Resulting Typical Current Limit</t>
  </si>
  <si>
    <t>Resulting Maximum Current Limit</t>
  </si>
  <si>
    <t>Calculated Values are shown in White Cells</t>
  </si>
  <si>
    <t>www.ti.com/hotswap</t>
  </si>
  <si>
    <r>
      <t>Enter the Resistance for R</t>
    </r>
    <r>
      <rPr>
        <vertAlign val="subscript"/>
        <sz val="10"/>
        <rFont val="Arial"/>
        <family val="2"/>
      </rPr>
      <t>S</t>
    </r>
  </si>
  <si>
    <t>2. A TVS clamp from VIN to GND is absolutely mandatory to clamp the voltage overshoot upon MOSFET turn-off, e.g. during circuit breaker</t>
  </si>
  <si>
    <r>
      <rPr>
        <sz val="11"/>
        <color theme="1"/>
        <rFont val="Arial"/>
        <family val="2"/>
      </rPr>
      <t>R</t>
    </r>
    <r>
      <rPr>
        <vertAlign val="subscript"/>
        <sz val="11"/>
        <color theme="1"/>
        <rFont val="Arial"/>
        <family val="2"/>
      </rPr>
      <t>S</t>
    </r>
    <r>
      <rPr>
        <sz val="11"/>
        <color theme="1"/>
        <rFont val="Arial"/>
        <family val="2"/>
      </rPr>
      <t xml:space="preserve"> =</t>
    </r>
  </si>
  <si>
    <r>
      <t>Minimum Input Operating Voltage: V</t>
    </r>
    <r>
      <rPr>
        <vertAlign val="subscript"/>
        <sz val="10"/>
        <rFont val="Arial"/>
        <family val="2"/>
      </rPr>
      <t>IN(MIN)</t>
    </r>
  </si>
  <si>
    <r>
      <t>Maximum Input Operating Voltage: V</t>
    </r>
    <r>
      <rPr>
        <vertAlign val="subscript"/>
        <sz val="10"/>
        <rFont val="Arial"/>
        <family val="2"/>
      </rPr>
      <t>IN(MAX)</t>
    </r>
  </si>
  <si>
    <r>
      <t>Maximum Power Dissipation in R</t>
    </r>
    <r>
      <rPr>
        <vertAlign val="subscript"/>
        <sz val="10"/>
        <rFont val="Arial"/>
        <family val="2"/>
      </rPr>
      <t>S</t>
    </r>
  </si>
  <si>
    <r>
      <t>I</t>
    </r>
    <r>
      <rPr>
        <b/>
        <vertAlign val="subscript"/>
        <sz val="10"/>
        <rFont val="Arial"/>
        <family val="2"/>
      </rPr>
      <t>D</t>
    </r>
  </si>
  <si>
    <t>nF</t>
  </si>
  <si>
    <r>
      <t>Nominal Input Operating Voltage: V</t>
    </r>
    <r>
      <rPr>
        <vertAlign val="subscript"/>
        <sz val="10"/>
        <rFont val="Arial"/>
        <family val="2"/>
      </rPr>
      <t>IN(NOM)</t>
    </r>
  </si>
  <si>
    <r>
      <t>Maximum Ambient Operating Temperature: T</t>
    </r>
    <r>
      <rPr>
        <vertAlign val="subscript"/>
        <sz val="10"/>
        <rFont val="Arial"/>
        <family val="2"/>
      </rPr>
      <t>MAX</t>
    </r>
  </si>
  <si>
    <r>
      <t>Maximum Load Current: I</t>
    </r>
    <r>
      <rPr>
        <vertAlign val="subscript"/>
        <sz val="10"/>
        <rFont val="Arial"/>
        <family val="2"/>
      </rPr>
      <t>OUT(MAX)</t>
    </r>
  </si>
  <si>
    <t>Step 3: MOSFET Selection</t>
  </si>
  <si>
    <t>Number of MosFETs</t>
  </si>
  <si>
    <t>#</t>
  </si>
  <si>
    <r>
      <rPr>
        <vertAlign val="superscript"/>
        <sz val="10"/>
        <rFont val="Arial"/>
        <family val="2"/>
      </rPr>
      <t>o</t>
    </r>
    <r>
      <rPr>
        <sz val="10"/>
        <rFont val="Arial"/>
        <family val="2"/>
      </rPr>
      <t>C</t>
    </r>
  </si>
  <si>
    <r>
      <rPr>
        <vertAlign val="superscript"/>
        <sz val="10"/>
        <rFont val="Arial"/>
        <family val="2"/>
      </rPr>
      <t>o</t>
    </r>
    <r>
      <rPr>
        <sz val="10"/>
        <rFont val="Arial"/>
        <family val="2"/>
      </rPr>
      <t>C/W</t>
    </r>
  </si>
  <si>
    <t>Maximum FET Junction Temperature</t>
  </si>
  <si>
    <t>100ms SOA Current Maximum Input Voltage</t>
  </si>
  <si>
    <t>1ms SOA Current Maximum Input Voltage</t>
  </si>
  <si>
    <t>10ms SOA Current Maximum Input Voltage</t>
  </si>
  <si>
    <t>100ms or DC SOA Current at Maximum Input Voltage</t>
  </si>
  <si>
    <t>Current Limit</t>
  </si>
  <si>
    <t>Step 4: Startup</t>
  </si>
  <si>
    <t>Startup Load Type</t>
  </si>
  <si>
    <t>Startup Load Value</t>
  </si>
  <si>
    <t>Constant Current</t>
  </si>
  <si>
    <t>Resistive</t>
  </si>
  <si>
    <t>Vout</t>
  </si>
  <si>
    <t>ILOAD</t>
  </si>
  <si>
    <t xml:space="preserve">Start-up slop </t>
  </si>
  <si>
    <t>QG</t>
  </si>
  <si>
    <t>I_Src</t>
  </si>
  <si>
    <t>RMS</t>
  </si>
  <si>
    <t>PLIM</t>
  </si>
  <si>
    <t>combined</t>
  </si>
  <si>
    <t>I_timer</t>
  </si>
  <si>
    <t>C_timer</t>
  </si>
  <si>
    <t>Final</t>
  </si>
  <si>
    <t>Step 1: Operating Conditions</t>
  </si>
  <si>
    <t>Time</t>
  </si>
  <si>
    <t>Startup</t>
  </si>
  <si>
    <t>FET Selection</t>
  </si>
  <si>
    <t>Nominal</t>
  </si>
  <si>
    <t>Derated at TJ</t>
  </si>
  <si>
    <t>Operating Conditions</t>
  </si>
  <si>
    <t>Input Voltage</t>
  </si>
  <si>
    <t>Threshold Voltage CL = VDD</t>
  </si>
  <si>
    <t>Sense input Current</t>
  </si>
  <si>
    <t>Units</t>
  </si>
  <si>
    <t>uA</t>
  </si>
  <si>
    <t>Timer</t>
  </si>
  <si>
    <t>Upper Threshold</t>
  </si>
  <si>
    <t>Fault detection current</t>
  </si>
  <si>
    <t>ICAP</t>
  </si>
  <si>
    <t>Junction Temperature</t>
  </si>
  <si>
    <t>VIN</t>
  </si>
  <si>
    <t>Power Limit</t>
  </si>
  <si>
    <t>mV</t>
  </si>
  <si>
    <t>Minimum Power Limit=</t>
  </si>
  <si>
    <t>Look Up</t>
  </si>
  <si>
    <t>1ms</t>
  </si>
  <si>
    <t>10ms</t>
  </si>
  <si>
    <t>100ms</t>
  </si>
  <si>
    <t>Final SOA</t>
  </si>
  <si>
    <t>time</t>
  </si>
  <si>
    <t>Voltage</t>
  </si>
  <si>
    <t>Lower time</t>
  </si>
  <si>
    <t>Higher timer</t>
  </si>
  <si>
    <t>I (lower time)</t>
  </si>
  <si>
    <t>I (higher time)</t>
  </si>
  <si>
    <t>a</t>
  </si>
  <si>
    <t>m</t>
  </si>
  <si>
    <t>Extr. I</t>
  </si>
  <si>
    <t>Assuming Power vs time is linear on a log-log plot</t>
  </si>
  <si>
    <r>
      <rPr>
        <vertAlign val="superscript"/>
        <sz val="10"/>
        <rFont val="Arial"/>
        <family val="2"/>
      </rPr>
      <t>o</t>
    </r>
    <r>
      <rPr>
        <sz val="10"/>
        <rFont val="Arial"/>
        <family val="2"/>
      </rPr>
      <t>C</t>
    </r>
  </si>
  <si>
    <t>Interpolated Power=</t>
  </si>
  <si>
    <t xml:space="preserve">Max Power with Temp Derating = </t>
  </si>
  <si>
    <t>Load Turn-On Threshold</t>
  </si>
  <si>
    <t>a = iSOA1/tSOA1^m</t>
  </si>
  <si>
    <t>m = log(iSOA1/iSOA2)/log(tSOA1/tSOA2)</t>
  </si>
  <si>
    <t>I = a * t^m</t>
  </si>
  <si>
    <t>Derating factor =</t>
  </si>
  <si>
    <t>No</t>
  </si>
  <si>
    <t>Use External Soft-Start Control</t>
  </si>
  <si>
    <t>Yes</t>
  </si>
  <si>
    <t>Gate</t>
  </si>
  <si>
    <r>
      <t>Use External Resistor Divider to Reduce Effecitve R</t>
    </r>
    <r>
      <rPr>
        <vertAlign val="subscript"/>
        <sz val="10"/>
        <rFont val="Arial"/>
        <family val="2"/>
      </rPr>
      <t>S</t>
    </r>
  </si>
  <si>
    <t>Gate Sourcing Current</t>
  </si>
  <si>
    <t>Recommended Value for RCL1</t>
  </si>
  <si>
    <t>Recommended Value for RCL2</t>
  </si>
  <si>
    <t>Enter value for RCL1</t>
  </si>
  <si>
    <t>Enter value for RCL2</t>
  </si>
  <si>
    <t>CLMAX =</t>
  </si>
  <si>
    <t xml:space="preserve">CLNOM = </t>
  </si>
  <si>
    <t>CLMIN =</t>
  </si>
  <si>
    <t>RCL1 Recommended  =</t>
  </si>
  <si>
    <t>RCL2 Recommmended =</t>
  </si>
  <si>
    <t>Effective Rs =</t>
  </si>
  <si>
    <t>Step 5: UVLO, OVLO &amp; PGD Thresholds</t>
  </si>
  <si>
    <r>
      <t>R</t>
    </r>
    <r>
      <rPr>
        <vertAlign val="subscript"/>
        <sz val="11"/>
        <color theme="1"/>
        <rFont val="Arial"/>
        <family val="2"/>
      </rPr>
      <t>CL1</t>
    </r>
    <r>
      <rPr>
        <sz val="11"/>
        <color theme="1"/>
        <rFont val="Arial"/>
        <family val="2"/>
      </rPr>
      <t xml:space="preserve"> =</t>
    </r>
  </si>
  <si>
    <r>
      <t>R</t>
    </r>
    <r>
      <rPr>
        <vertAlign val="subscript"/>
        <sz val="11"/>
        <color theme="1"/>
        <rFont val="Arial"/>
        <family val="2"/>
      </rPr>
      <t>CL2</t>
    </r>
    <r>
      <rPr>
        <sz val="11"/>
        <color theme="1"/>
        <rFont val="Arial"/>
        <family val="2"/>
      </rPr>
      <t xml:space="preserve"> =</t>
    </r>
  </si>
  <si>
    <t>Design Summary</t>
  </si>
  <si>
    <t>Current limit</t>
  </si>
  <si>
    <t>Fault Timeout</t>
  </si>
  <si>
    <t>Upper UVLO Threshold</t>
  </si>
  <si>
    <t>Lower UVLO Threshold</t>
  </si>
  <si>
    <t>100us</t>
  </si>
  <si>
    <t>Step 2: Current Limit and Circuit Breaker</t>
  </si>
  <si>
    <r>
      <t>Maximum Output Load Capacitance: C</t>
    </r>
    <r>
      <rPr>
        <vertAlign val="subscript"/>
        <sz val="10"/>
        <rFont val="Arial"/>
        <family val="2"/>
      </rPr>
      <t>LOAD</t>
    </r>
  </si>
  <si>
    <t>Retry</t>
  </si>
  <si>
    <t>Latch Off</t>
  </si>
  <si>
    <t>3. Componet tolerances not accounted for in Min/Max Calculations.</t>
  </si>
  <si>
    <r>
      <t>Estimated MOSFET R</t>
    </r>
    <r>
      <rPr>
        <sz val="10"/>
        <rFont val="Symbol"/>
        <family val="1"/>
        <charset val="2"/>
      </rPr>
      <t>Q</t>
    </r>
    <r>
      <rPr>
        <vertAlign val="subscript"/>
        <sz val="10"/>
        <rFont val="Arial"/>
        <family val="2"/>
      </rPr>
      <t>JA</t>
    </r>
  </si>
  <si>
    <t>Values Used</t>
  </si>
  <si>
    <t xml:space="preserve"> </t>
  </si>
  <si>
    <r>
      <t>Effective Sense Resistance (R</t>
    </r>
    <r>
      <rPr>
        <vertAlign val="subscript"/>
        <sz val="10"/>
        <rFont val="Arial"/>
        <family val="2"/>
      </rPr>
      <t>S,EFF</t>
    </r>
    <r>
      <rPr>
        <sz val="10"/>
        <rFont val="Arial"/>
        <family val="2"/>
      </rPr>
      <t>)</t>
    </r>
  </si>
  <si>
    <r>
      <t>Maximum steady state FET Junction Temperature (T</t>
    </r>
    <r>
      <rPr>
        <vertAlign val="subscript"/>
        <sz val="10"/>
        <rFont val="Arial"/>
        <family val="2"/>
      </rPr>
      <t>J,DC</t>
    </r>
    <r>
      <rPr>
        <sz val="10"/>
        <rFont val="Arial"/>
        <family val="2"/>
      </rPr>
      <t>)</t>
    </r>
  </si>
  <si>
    <r>
      <t>MOSFET On resistance @ T</t>
    </r>
    <r>
      <rPr>
        <vertAlign val="subscript"/>
        <sz val="10"/>
        <rFont val="Arial"/>
        <family val="2"/>
      </rPr>
      <t>J,DC</t>
    </r>
  </si>
  <si>
    <t>Plim</t>
  </si>
  <si>
    <t>Plim (Vds) = Plim (Vin,max) + (Vds - Vin,max)*Vos,syst/Rs</t>
  </si>
  <si>
    <t>Target Power Limit</t>
  </si>
  <si>
    <t>Target PLIM</t>
  </si>
  <si>
    <t>k-ohm</t>
  </si>
  <si>
    <t>Actual PLIM</t>
  </si>
  <si>
    <t>ILIM</t>
  </si>
  <si>
    <t>Load type</t>
  </si>
  <si>
    <t>Load Value</t>
  </si>
  <si>
    <t>Load start</t>
  </si>
  <si>
    <t>Rs</t>
  </si>
  <si>
    <t>Vos,syst</t>
  </si>
  <si>
    <r>
      <rPr>
        <b/>
        <u/>
        <sz val="10"/>
        <rFont val="Symbol"/>
        <family val="1"/>
        <charset val="2"/>
      </rPr>
      <t>D</t>
    </r>
    <r>
      <rPr>
        <b/>
        <u/>
        <sz val="10"/>
        <rFont val="Arial"/>
        <family val="2"/>
      </rPr>
      <t>t</t>
    </r>
  </si>
  <si>
    <t>IFET</t>
  </si>
  <si>
    <t>I_Fet-IL margin</t>
  </si>
  <si>
    <t>Start-time</t>
  </si>
  <si>
    <t>I_fet-I_L margin</t>
  </si>
  <si>
    <t>Slop for calculations</t>
  </si>
  <si>
    <t>Note: We get additional buffer, b/c this is designed for a Vinmax, while typically Vin = Vinnom</t>
  </si>
  <si>
    <t>&lt;= mean root square(T_start_error_Plim, timer_error, cap_error); T_start proportional to 1/Plim =&gt; T_start_error_plim = 1/(1-Plim_err) - 1 = 1/(1-0.4) - 1 = 0.66</t>
  </si>
  <si>
    <t>Computed Start - Up Slop</t>
  </si>
  <si>
    <t>Typical Start Time with Vinmax (Tstart)</t>
  </si>
  <si>
    <t>Target Fault Timer: Tstart + Margin</t>
  </si>
  <si>
    <t>Typical Start time</t>
  </si>
  <si>
    <t>Start-slop</t>
  </si>
  <si>
    <t>Target Fault Timer</t>
  </si>
  <si>
    <t>Target Timer capacitance</t>
  </si>
  <si>
    <t>Selected Timer capacitance</t>
  </si>
  <si>
    <t>IFET - ILOAD margin (lowest for Vout range)</t>
  </si>
  <si>
    <t xml:space="preserve">Selected Timer capacitance </t>
  </si>
  <si>
    <t>Final Fault Timer</t>
  </si>
  <si>
    <t>Note: I added an adjustment for the systematic offset</t>
  </si>
  <si>
    <t>Vos syst</t>
  </si>
  <si>
    <t>Rs (ohm)</t>
  </si>
  <si>
    <t>Vin, max</t>
  </si>
  <si>
    <t>Plim tolerance</t>
  </si>
  <si>
    <t>Temp Derated SOA</t>
  </si>
  <si>
    <t>Derated SOA / PLIM</t>
  </si>
  <si>
    <t>SOA / PLIM</t>
  </si>
  <si>
    <t>IFET_PLIM</t>
  </si>
  <si>
    <t>I_FET_SS</t>
  </si>
  <si>
    <t>SS</t>
  </si>
  <si>
    <t>FET Power dissapation at full load (per FET)</t>
  </si>
  <si>
    <t>With PLIM</t>
  </si>
  <si>
    <t>dv/dt rate</t>
  </si>
  <si>
    <t>V/ms</t>
  </si>
  <si>
    <t>I_Cout</t>
  </si>
  <si>
    <t>46 mV</t>
  </si>
  <si>
    <t>With SS</t>
  </si>
  <si>
    <t>To avoid timer running: Iload + Icap,ss &lt; IFET_PLIM / 2 =&gt; SS_RATE &lt; 1/Cout * (IFET_PLIM/2 - ILOAD)</t>
  </si>
  <si>
    <t>Max_SS_Rate</t>
  </si>
  <si>
    <t>FET_ENERGY</t>
  </si>
  <si>
    <t>J</t>
  </si>
  <si>
    <t>Max _allowed SS_rate</t>
  </si>
  <si>
    <t>Power (W)</t>
  </si>
  <si>
    <t>P_ fast_SS</t>
  </si>
  <si>
    <t>P_slow_SS</t>
  </si>
  <si>
    <t>I_g(hi/nom)</t>
  </si>
  <si>
    <t>I_g(low/nom)</t>
  </si>
  <si>
    <t>max_power_typ</t>
  </si>
  <si>
    <t>max_power_low</t>
  </si>
  <si>
    <t>max_power_high</t>
  </si>
  <si>
    <t>typical start time</t>
  </si>
  <si>
    <t>FET Energy dissipated at start-up (EFET)</t>
  </si>
  <si>
    <t>Peak Power dissipated  during start-up (PFET)</t>
  </si>
  <si>
    <t>Equivalent time at peak power - EFET/PFET (t_power)</t>
  </si>
  <si>
    <t>Available SOA for t_power at Vinmax</t>
  </si>
  <si>
    <t>SOA margin</t>
  </si>
  <si>
    <t>SOA Predictor - dv/dt start-up</t>
  </si>
  <si>
    <t>calculated SS capacitance</t>
  </si>
  <si>
    <t>actual SS capacitance</t>
  </si>
  <si>
    <t>actual dv/dt rate</t>
  </si>
  <si>
    <t>Target Fault Time</t>
  </si>
  <si>
    <t xml:space="preserve">Calculated Timer Capacitance </t>
  </si>
  <si>
    <t>Actual Timer Capacitance</t>
  </si>
  <si>
    <t>SOA margin during start-up</t>
  </si>
  <si>
    <t>Covering hot-short, start-into short for SS</t>
  </si>
  <si>
    <t>Available derated SOA for Tfault</t>
  </si>
  <si>
    <t>Actual Fault Time (Tfault)</t>
  </si>
  <si>
    <t>dv/dt rate on Vout</t>
  </si>
  <si>
    <t>actual dv/dt rate on Vout</t>
  </si>
  <si>
    <t>SOA Check - Based on Timer</t>
  </si>
  <si>
    <t>Final Fault Timer(Tfault)</t>
  </si>
  <si>
    <t>SOA margin during "hot-short" or "start-into short"</t>
  </si>
  <si>
    <t>timer_constant</t>
  </si>
  <si>
    <t>Enter Values in Green Shaded Cells</t>
  </si>
  <si>
    <t>1s/DC</t>
  </si>
  <si>
    <t>Can a "hot" board be hotplugged</t>
  </si>
  <si>
    <t>Temp for derating</t>
  </si>
  <si>
    <t>board hot?</t>
  </si>
  <si>
    <t>FET_Energy</t>
  </si>
  <si>
    <t>Tiime (ms)</t>
  </si>
  <si>
    <t>Recommended slew Rate (max)</t>
  </si>
  <si>
    <t>Recommended slew Rate (min)</t>
  </si>
  <si>
    <r>
      <t>100</t>
    </r>
    <r>
      <rPr>
        <sz val="10"/>
        <rFont val="Symbol"/>
        <family val="1"/>
        <charset val="2"/>
      </rPr>
      <t>m</t>
    </r>
    <r>
      <rPr>
        <sz val="10"/>
        <rFont val="Arial"/>
        <family val="2"/>
      </rPr>
      <t>s SOA Current (re-use 1ms data if unavailable) @ V</t>
    </r>
    <r>
      <rPr>
        <vertAlign val="subscript"/>
        <sz val="10"/>
        <rFont val="Arial"/>
        <family val="2"/>
      </rPr>
      <t>IN(MAX)</t>
    </r>
  </si>
  <si>
    <r>
      <t>1ms SOA Current @ V</t>
    </r>
    <r>
      <rPr>
        <vertAlign val="subscript"/>
        <sz val="10"/>
        <rFont val="Arial"/>
        <family val="2"/>
      </rPr>
      <t>IN(MAX)</t>
    </r>
  </si>
  <si>
    <r>
      <t>10ms SOA Current @ V</t>
    </r>
    <r>
      <rPr>
        <vertAlign val="subscript"/>
        <sz val="10"/>
        <rFont val="Arial"/>
        <family val="2"/>
      </rPr>
      <t>IN(MAX)</t>
    </r>
  </si>
  <si>
    <r>
      <t>100ms  Current at @ V</t>
    </r>
    <r>
      <rPr>
        <vertAlign val="subscript"/>
        <sz val="10"/>
        <rFont val="Arial"/>
        <family val="2"/>
      </rPr>
      <t>IN(MAX)</t>
    </r>
    <r>
      <rPr>
        <sz val="10"/>
        <rFont val="Arial"/>
        <family val="2"/>
      </rPr>
      <t xml:space="preserve"> (use DC if 100ms not available)</t>
    </r>
  </si>
  <si>
    <r>
      <t>1s or DC SOA Current at @ V</t>
    </r>
    <r>
      <rPr>
        <vertAlign val="subscript"/>
        <sz val="10"/>
        <rFont val="Arial"/>
        <family val="2"/>
      </rPr>
      <t>IN(MAX)</t>
    </r>
    <r>
      <rPr>
        <sz val="10"/>
        <rFont val="Arial"/>
        <family val="2"/>
      </rPr>
      <t xml:space="preserve"> (use DC if 1s not available)</t>
    </r>
  </si>
  <si>
    <t xml:space="preserve">Key Equations for SOA margin estimate: </t>
  </si>
  <si>
    <t>1) Get total Energy = 1/2 CV^2 + E_load (t_worksheet) * t_start / t_ worksheet</t>
  </si>
  <si>
    <t xml:space="preserve">     note:  t_worksheet is the start time from the start-up worksheet.  E_load = Total Energy @ Start-up - 1/2CV^2</t>
  </si>
  <si>
    <t>2) Get peak power:  4 Possible points with peak power</t>
  </si>
  <si>
    <t>Cap Energy (J)</t>
  </si>
  <si>
    <t>slew rate (V/ms)</t>
  </si>
  <si>
    <t>E_load (t_worksheet)  (J)</t>
  </si>
  <si>
    <t>t_worksheet (ms)</t>
  </si>
  <si>
    <t>t_start (ms)</t>
  </si>
  <si>
    <t>I_cap (A)</t>
  </si>
  <si>
    <t>Total FET Energy (J)</t>
  </si>
  <si>
    <t>Power (load on), (W)</t>
  </si>
  <si>
    <t>SOA margin target</t>
  </si>
  <si>
    <t>Power (Vout= 0) , (W)</t>
  </si>
  <si>
    <t xml:space="preserve">                </t>
  </si>
  <si>
    <t xml:space="preserve"> P = (I_cap + Vout/R ) * (Vin - Vout) = Icap * Vin - Icap * Vout +Vin * Vout / R - Vout^2 / R </t>
  </si>
  <si>
    <t>Vout (dP/dVout = 0) (V)</t>
  </si>
  <si>
    <t xml:space="preserve"> =&gt;  dP/dVout =  -Icap + Vin/R -2Vout /R ;  Zero when Vout = -R*I_cap / 2 + Vin / 2</t>
  </si>
  <si>
    <t xml:space="preserve">Power (@ Vout above, if applicable) </t>
  </si>
  <si>
    <t>max power (W)</t>
  </si>
  <si>
    <t>Equivalent time for SOA (ms)</t>
  </si>
  <si>
    <t>SOA Coefficients</t>
  </si>
  <si>
    <t>0.1 to 1 ms</t>
  </si>
  <si>
    <t>1 to 10ms</t>
  </si>
  <si>
    <t>10ms to 100 ms</t>
  </si>
  <si>
    <t>100 ms to 1s</t>
  </si>
  <si>
    <t>t1</t>
  </si>
  <si>
    <t>t2</t>
  </si>
  <si>
    <t>Available SOA (W)</t>
  </si>
  <si>
    <t>Derated for Temp</t>
  </si>
  <si>
    <t>Temp_start_up</t>
  </si>
  <si>
    <t>SOA Margin</t>
  </si>
  <si>
    <t>Copied Inputs</t>
  </si>
  <si>
    <t># of points</t>
  </si>
  <si>
    <t>mult per point</t>
  </si>
  <si>
    <t xml:space="preserve">Pass? </t>
  </si>
  <si>
    <t>first yes</t>
  </si>
  <si>
    <t>2nd yes</t>
  </si>
  <si>
    <t>N</t>
  </si>
  <si>
    <t>Mult 1</t>
  </si>
  <si>
    <t>mult2</t>
  </si>
  <si>
    <t xml:space="preserve">max slew rate </t>
  </si>
  <si>
    <t>min slew rate</t>
  </si>
  <si>
    <t>Initial</t>
  </si>
  <si>
    <t xml:space="preserve">Yellow and Red cells highlight pottential issues with the design. Red highlights items that are higher risk. </t>
  </si>
  <si>
    <r>
      <t>Actual Timer Capacitance (pick one smaller than C</t>
    </r>
    <r>
      <rPr>
        <vertAlign val="subscript"/>
        <sz val="10"/>
        <rFont val="Arial"/>
        <family val="2"/>
      </rPr>
      <t>T,CALC</t>
    </r>
    <r>
      <rPr>
        <sz val="10"/>
        <rFont val="Arial"/>
        <family val="2"/>
      </rPr>
      <t xml:space="preserve">) </t>
    </r>
  </si>
  <si>
    <t>Typical design procedure</t>
  </si>
  <si>
    <t>Typical applications require multiple passes through the design tool using MOSFET factors such as transient</t>
  </si>
  <si>
    <t>thermal response and safe operating area curves. Refer to the following application reports for more detail.</t>
  </si>
  <si>
    <t>The basic design process follows:</t>
  </si>
  <si>
    <t>1. Enter operating conditions.</t>
  </si>
  <si>
    <t>2. Select current limit parameters.</t>
  </si>
  <si>
    <t>3. Enter MOSTFET SOA characteristics &amp; power limit.</t>
  </si>
  <si>
    <t>4. Select start up conditions (load and/or soft start). Check whether FET is operating with reasonable margin, within the SOA curve.</t>
  </si>
  <si>
    <t xml:space="preserve">    If not, try changing start-up conditions (soft start values, timer values), add more FETs in parallel, or switch to FET with better SOA.</t>
  </si>
  <si>
    <t>5. Enter desired UVLO and OVLO values to get recommended resistor values.</t>
  </si>
  <si>
    <t>6. Done</t>
  </si>
  <si>
    <t>Notes</t>
  </si>
  <si>
    <t>1. This worksheet is designed for use with Microsoft Excel 5.0 or later.  Its use is intended to assist power supply designers in their</t>
  </si>
  <si>
    <t xml:space="preserve">routine, day-to-day calculations.  </t>
  </si>
  <si>
    <t>2. All worksheets have light green inputs cells, white calculated cells, yellow warning cells and red high-risk cells.</t>
  </si>
  <si>
    <t>3. Formulas and device constants used in the spreadsheet are locked to prohibit them from accidentally being overwritten or deleted.</t>
  </si>
  <si>
    <t>Note: TI recommends choosing a FET with SOA current specified for 100ms and/or 1s or DC. If choosing a FET without these parameters, this calculator will estimate the values via extrapolation, which leaves an inherent associated risk.</t>
  </si>
  <si>
    <t>Q1 FET Name</t>
  </si>
  <si>
    <t>Lower time (adjusted)</t>
  </si>
  <si>
    <t>Higher time</t>
  </si>
  <si>
    <t>Higher time (adjusted)</t>
  </si>
  <si>
    <t>Upper bound Slew Rate (4ms start-up) (V/ms)</t>
  </si>
  <si>
    <t>Min Slew Rate (400 ms start - up) (V/ms)</t>
  </si>
  <si>
    <t xml:space="preserve">      a) At Vin = 0 [mainly if there is no load or constant current load that starts at Vout = 0=</t>
  </si>
  <si>
    <t xml:space="preserve">      b) At Vin = Load start [ constant current=</t>
  </si>
  <si>
    <t xml:space="preserve">      c) When derivative of power = 0  [Peak, applies to resistive loads only=</t>
  </si>
  <si>
    <t>&lt;-- Cannot plot zero on a log graph. If slope ~=0, then use 1e-12 as value</t>
  </si>
  <si>
    <t>MOSFET's SOA</t>
  </si>
  <si>
    <t>Note: This is the typical dv/dt rate, but max value can be larger. This is because the gate source current can vary from 16uA to 28uA. Thus TI recommends keeping the overall SOA margin during start-up &gt;1.5 in order to compensate for this.</t>
  </si>
  <si>
    <t xml:space="preserve">TEXAS INSTRUMENTS TEXT FILE LICENSE
Copyright (c) 2014 Texas Instruments Incorporated
All rights reserved not granted herein.
Limited License.  
Texas Instruments Incorporated grants a world-wide, royalty-free, non-exclusive license under copyrights and patents it now or hereafter owns or controls to make, have made, use, import, offer to sell and sell ("Utilize") this software subject to the terms herein.  With respect to the foregoing patent license, such license is granted  solely to the extent that any such patent is necessary to Utilize the software alone.  The patent license shall not apply to any combinations which include this software, other than combinations with devices manufactured by or for TI (“TI Devices”).  No hardware patent is licensed hereunder.
Redistributions must preserve existing copyright notices and reproduce this license (including the above copyright notice and the disclaimer and (if applicable) source code license limitations below) in the documentation and/or other materials provided with the distribution
Redistribution and use in binary form, without modification, are permitted provided that the following conditions are met:
* No reverse engineering, decompilation, or disassembly of this software is permitted with respect to any software provided in binary form.
* any redistribution and use are licensed by TI for use only with TI Devices.
* Nothing shall obligate TI to provide you with source code for the software licensed and provided to you in object code.
If software source code is provided to you, modification and redistribution of the source code are permitted provided that the following conditions are met:
* any redistribution and use of the source code, including any resulting derivative works, are licensed by TI for use only with TI Devices.
* any redistribution and use of any object code compiled from the source code and any resulting derivative works, are licensed by TI for use only with TI Devices.
Neither the name of Texas Instruments Incorporated nor the names of its suppliers may be used to endorse or promote products derived from this software without specific prior written permission.
DISCLAIMER.
THIS SOFTWARE IS PROVIDED BY TI AND TI’S LICENSORS "AS IS" AND ANY EXPRESS OR IMPLIED WARRANTIES, INCLUDING, BUT NOT LIMITED TO, THE IMPLIED WARRANTIES OF MERCHANTABILITY AND FITNESS FOR A PARTICULAR PURPOSE ARE DISCLAIMED. IN NO EVENT SHALL TI AND TI’S LICENSORS BE LIABLE FOR ANY DIRECT, INDIRECT, INCIDENTAL, SPECIAL, EXEMPLARY, OR CONSEQUENTIAL DAMAGES (INCLUDING, BUT NOT LIMITED TO, PROCUREMENT OF SUBSTITUTE GOODS OR SERVICES; LOSS OF USE, DATA, OR PROFITS; OR BUSINESS INTERRUPTION) HOWEVER CAUSED AND ON ANY THEORY OF LIABILITY, WHETHER IN CONTRACT, STRICT LIABILITY, OR TORT (INCLUDING NEGLIGENCE OR OTHERWISE) ARISING IN ANY WAY OUT OF THE USE OF THIS SOFTWARE, EVEN IF ADVISED OF THE POSSIBILITY OF SUCH DAMAGE.
</t>
  </si>
  <si>
    <t>Robust Hot Swap Design</t>
  </si>
  <si>
    <t>Q1 =</t>
  </si>
  <si>
    <r>
      <t xml:space="preserve">                       </t>
    </r>
    <r>
      <rPr>
        <sz val="22"/>
        <color theme="0"/>
        <rFont val="Arial"/>
        <family val="2"/>
      </rPr>
      <t>TPS2490/1/2/3 &amp; TPS2480/1/2/3 Hot Swap Design Tool</t>
    </r>
  </si>
  <si>
    <t>Maximum Recommended Value for Rs</t>
  </si>
  <si>
    <r>
      <t>C</t>
    </r>
    <r>
      <rPr>
        <vertAlign val="subscript"/>
        <sz val="10"/>
        <rFont val="Arial"/>
        <family val="2"/>
      </rPr>
      <t>1</t>
    </r>
    <r>
      <rPr>
        <sz val="10"/>
        <rFont val="Arial"/>
        <family val="2"/>
      </rPr>
      <t xml:space="preserve"> = </t>
    </r>
  </si>
  <si>
    <r>
      <t>R</t>
    </r>
    <r>
      <rPr>
        <vertAlign val="subscript"/>
        <sz val="11"/>
        <color theme="1"/>
        <rFont val="Arial"/>
        <family val="2"/>
      </rPr>
      <t>G</t>
    </r>
    <r>
      <rPr>
        <sz val="11"/>
        <color theme="1"/>
        <rFont val="Arial"/>
        <family val="2"/>
      </rPr>
      <t xml:space="preserve"> =</t>
    </r>
  </si>
  <si>
    <r>
      <t>C</t>
    </r>
    <r>
      <rPr>
        <vertAlign val="subscript"/>
        <sz val="11"/>
        <color theme="1"/>
        <rFont val="Arial"/>
        <family val="2"/>
      </rPr>
      <t>G</t>
    </r>
    <r>
      <rPr>
        <sz val="11"/>
        <color theme="1"/>
        <rFont val="Arial"/>
        <family val="2"/>
      </rPr>
      <t xml:space="preserve"> =</t>
    </r>
  </si>
  <si>
    <r>
      <t>Select R</t>
    </r>
    <r>
      <rPr>
        <vertAlign val="subscript"/>
        <sz val="10"/>
        <rFont val="Arial"/>
        <family val="2"/>
      </rPr>
      <t>3</t>
    </r>
  </si>
  <si>
    <r>
      <t>Calculated R</t>
    </r>
    <r>
      <rPr>
        <vertAlign val="subscript"/>
        <sz val="10"/>
        <rFont val="Arial"/>
        <family val="2"/>
      </rPr>
      <t>4</t>
    </r>
  </si>
  <si>
    <t>Target Vprog</t>
  </si>
  <si>
    <t>R = R4 / (R4+R3)</t>
  </si>
  <si>
    <t>R* R4 + R*R3 = R4</t>
  </si>
  <si>
    <t>R4(1-R) = R *R3</t>
  </si>
  <si>
    <t>Res. Div.</t>
  </si>
  <si>
    <t>R4 = R3 * R/(1-R)</t>
  </si>
  <si>
    <t>Act R4</t>
  </si>
  <si>
    <t>Vprog</t>
  </si>
  <si>
    <t>Note: For dv/dt keep inrush to be 3x lower than plim</t>
  </si>
  <si>
    <t>Max Target Iinr during start-up (A)</t>
  </si>
  <si>
    <t>UVLO</t>
  </si>
  <si>
    <t>Enable</t>
  </si>
  <si>
    <t>Rising</t>
  </si>
  <si>
    <t>Falling</t>
  </si>
  <si>
    <t>Recommended R2</t>
  </si>
  <si>
    <t>Actual R2</t>
  </si>
  <si>
    <t>Calculated R1</t>
  </si>
  <si>
    <t>Target Under - Voltage</t>
  </si>
  <si>
    <t>Actual R1</t>
  </si>
  <si>
    <t>1.35 = UV * R2/(R2+R1)</t>
  </si>
  <si>
    <t>R2+R1 = UV * R2 /1.35</t>
  </si>
  <si>
    <t>R1 = R2*(-1+UV/1.35)</t>
  </si>
  <si>
    <r>
      <t>Actual R</t>
    </r>
    <r>
      <rPr>
        <vertAlign val="subscript"/>
        <sz val="10"/>
        <rFont val="Arial"/>
        <family val="2"/>
      </rPr>
      <t xml:space="preserve">4 </t>
    </r>
    <r>
      <rPr>
        <sz val="10"/>
        <rFont val="Arial"/>
        <family val="2"/>
      </rPr>
      <t>(Select next available std. value)</t>
    </r>
  </si>
  <si>
    <t>© 2016</t>
  </si>
  <si>
    <r>
      <t>Minimum Power Limit to Ensure Vsns &gt; 5mV &amp; Vprog &gt; 0.4V (P</t>
    </r>
    <r>
      <rPr>
        <vertAlign val="subscript"/>
        <sz val="10"/>
        <rFont val="Arial"/>
        <family val="2"/>
      </rPr>
      <t>LIM,MIN</t>
    </r>
    <r>
      <rPr>
        <sz val="10"/>
        <rFont val="Arial"/>
        <family val="2"/>
      </rPr>
      <t>)</t>
    </r>
  </si>
  <si>
    <t>Step 0: Calculator Tutorials</t>
  </si>
  <si>
    <r>
      <rPr>
        <b/>
        <u/>
        <sz val="12"/>
        <color rgb="FFFF0000"/>
        <rFont val="Arial"/>
        <family val="2"/>
      </rPr>
      <t>Note</t>
    </r>
    <r>
      <rPr>
        <sz val="12"/>
        <color rgb="FFFF0000"/>
        <rFont val="Arial"/>
        <family val="2"/>
      </rPr>
      <t>: Before proceeding, please watch the video tutorials listed to ensure accurate results from this tool!</t>
    </r>
  </si>
  <si>
    <t>Steps 1 &amp; 2: Operating Conditions, Current Limit, &amp; Circuit Breaker (7:41)</t>
  </si>
  <si>
    <t>Step 3: MOSFET Selection (9:58)</t>
  </si>
  <si>
    <t>Step 4: Startup (10:32)</t>
  </si>
  <si>
    <t>Step 5: UVLO, OVLO &amp; PGD Thresholds (4:20)</t>
  </si>
  <si>
    <r>
      <rPr>
        <b/>
        <sz val="11"/>
        <rFont val="Arial"/>
        <family val="2"/>
      </rPr>
      <t>I understand and agree to watch the video tutorials if help is needed.</t>
    </r>
    <r>
      <rPr>
        <sz val="11"/>
        <rFont val="Arial"/>
        <family val="2"/>
      </rPr>
      <t xml:space="preserve"> </t>
    </r>
    <r>
      <rPr>
        <sz val="10"/>
        <rFont val="Arial"/>
        <family val="2"/>
      </rPr>
      <t>(Choose Yes to enable the calculator.)</t>
    </r>
  </si>
  <si>
    <t xml:space="preserve">Assure to follow the layout and application guidelines listed on the datasheet. </t>
  </si>
  <si>
    <r>
      <rPr>
        <sz val="10"/>
        <rFont val="Arial"/>
        <family val="2"/>
      </rPr>
      <t>*For additional questions not addressed in the videos, please post on</t>
    </r>
    <r>
      <rPr>
        <u/>
        <sz val="10"/>
        <color theme="10"/>
        <rFont val="Arial"/>
        <family val="2"/>
      </rPr>
      <t xml:space="preserve"> E2E.ti.com</t>
    </r>
  </si>
  <si>
    <t>TPS2490 Datasheet</t>
  </si>
  <si>
    <t>Steps 1 &amp; 2: Operating Conditions, Current Limit, &amp; Circuit Breaker</t>
  </si>
  <si>
    <r>
      <rPr>
        <b/>
        <u/>
        <sz val="10"/>
        <color rgb="FFFF0000"/>
        <rFont val="Arial"/>
        <family val="2"/>
      </rPr>
      <t>Note:</t>
    </r>
    <r>
      <rPr>
        <b/>
        <sz val="10"/>
        <color rgb="FFFF0000"/>
        <rFont val="Arial"/>
        <family val="2"/>
      </rPr>
      <t xml:space="preserve"> Hover here to see the 3 values affecting this curve, consult a thermal expert if you are unsure! </t>
    </r>
  </si>
  <si>
    <t>TPS249x/8x Design Tool- Rev. B</t>
  </si>
  <si>
    <t>CSD18534KCS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</si>
</sst>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E+0"/>
  </numFmts>
  <fonts count="52" x14ac:knownFonts="1">
    <font>
      <sz val="10"/>
      <name val="Arial"/>
    </font>
    <font>
      <sz val="11"/>
      <color theme="1"/>
      <name val="Calibri"/>
      <family val="2"/>
      <scheme val="minor"/>
    </font>
    <font>
      <sz val="10"/>
      <name val="Arial"/>
      <family val="2"/>
    </font>
    <font>
      <b/>
      <sz val="10"/>
      <name val="Arial"/>
      <family val="2"/>
    </font>
    <font>
      <sz val="8"/>
      <name val="Arial"/>
      <family val="2"/>
    </font>
    <font>
      <b/>
      <sz val="8"/>
      <color indexed="81"/>
      <name val="Tahoma"/>
      <family val="2"/>
    </font>
    <font>
      <vertAlign val="subscript"/>
      <sz val="10"/>
      <name val="Arial"/>
      <family val="2"/>
    </font>
    <font>
      <sz val="10"/>
      <name val="Arial"/>
      <family val="2"/>
    </font>
    <font>
      <b/>
      <sz val="10"/>
      <color indexed="10"/>
      <name val="Arial"/>
      <family val="2"/>
    </font>
    <font>
      <sz val="10"/>
      <color indexed="55"/>
      <name val="Arial"/>
      <family val="2"/>
    </font>
    <font>
      <b/>
      <vertAlign val="subscript"/>
      <sz val="10"/>
      <name val="Arial"/>
      <family val="2"/>
    </font>
    <font>
      <sz val="10"/>
      <name val="Symbol"/>
      <family val="1"/>
      <charset val="2"/>
    </font>
    <font>
      <b/>
      <sz val="9"/>
      <color indexed="81"/>
      <name val="Tahoma"/>
      <family val="2"/>
    </font>
    <font>
      <sz val="9"/>
      <color indexed="81"/>
      <name val="Tahoma"/>
      <family val="2"/>
    </font>
    <font>
      <b/>
      <sz val="12"/>
      <color rgb="FFFF0000"/>
      <name val="Calibri"/>
      <family val="2"/>
    </font>
    <font>
      <u/>
      <sz val="10"/>
      <color theme="10"/>
      <name val="Arial"/>
      <family val="2"/>
    </font>
    <font>
      <u/>
      <sz val="10"/>
      <color theme="0"/>
      <name val="Arial"/>
      <family val="2"/>
    </font>
    <font>
      <sz val="10"/>
      <name val="Calibri"/>
      <family val="2"/>
    </font>
    <font>
      <sz val="24"/>
      <color theme="0"/>
      <name val="Arial"/>
      <family val="2"/>
    </font>
    <font>
      <sz val="26"/>
      <color theme="0"/>
      <name val="Arial"/>
      <family val="2"/>
    </font>
    <font>
      <sz val="10"/>
      <color theme="0"/>
      <name val="Calibri"/>
      <family val="2"/>
    </font>
    <font>
      <b/>
      <sz val="11"/>
      <color rgb="FF0000FF"/>
      <name val="Arial"/>
      <family val="2"/>
    </font>
    <font>
      <sz val="11"/>
      <color theme="1"/>
      <name val="Arial"/>
      <family val="2"/>
    </font>
    <font>
      <vertAlign val="subscript"/>
      <sz val="11"/>
      <color theme="1"/>
      <name val="Arial"/>
      <family val="2"/>
    </font>
    <font>
      <b/>
      <sz val="11"/>
      <name val="Arial"/>
      <family val="2"/>
    </font>
    <font>
      <b/>
      <sz val="8"/>
      <color indexed="10"/>
      <name val="Tahoma"/>
      <family val="2"/>
    </font>
    <font>
      <vertAlign val="superscript"/>
      <sz val="10"/>
      <name val="Arial"/>
      <family val="2"/>
    </font>
    <font>
      <b/>
      <u/>
      <sz val="10"/>
      <name val="Arial"/>
      <family val="2"/>
    </font>
    <font>
      <u/>
      <sz val="10"/>
      <name val="Arial"/>
      <family val="2"/>
    </font>
    <font>
      <sz val="11"/>
      <color rgb="FF000000"/>
      <name val="Calibri"/>
      <family val="2"/>
      <scheme val="minor"/>
    </font>
    <font>
      <sz val="10"/>
      <color rgb="FFFF0000"/>
      <name val="Arial"/>
      <family val="2"/>
    </font>
    <font>
      <sz val="22"/>
      <color theme="0"/>
      <name val="Arial"/>
      <family val="2"/>
    </font>
    <font>
      <b/>
      <u/>
      <sz val="10"/>
      <name val="Symbol"/>
      <family val="1"/>
      <charset val="2"/>
    </font>
    <font>
      <b/>
      <sz val="24"/>
      <name val="Arial"/>
      <family val="2"/>
    </font>
    <font>
      <sz val="12"/>
      <name val="MS Sans Serif"/>
      <family val="2"/>
    </font>
    <font>
      <b/>
      <sz val="18"/>
      <name val="Arial"/>
      <family val="2"/>
    </font>
    <font>
      <b/>
      <i/>
      <sz val="16"/>
      <name val="Arial"/>
      <family val="2"/>
    </font>
    <font>
      <b/>
      <i/>
      <sz val="11"/>
      <name val="Arial"/>
      <family val="2"/>
    </font>
    <font>
      <b/>
      <i/>
      <sz val="10"/>
      <name val="Arial"/>
      <family val="2"/>
    </font>
    <font>
      <b/>
      <sz val="9"/>
      <color rgb="FFFF0000"/>
      <name val="Arial"/>
      <family val="2"/>
    </font>
    <font>
      <b/>
      <sz val="10"/>
      <color rgb="FFFF0000"/>
      <name val="Arial"/>
      <family val="2"/>
    </font>
    <font>
      <sz val="11"/>
      <color rgb="FF000000"/>
      <name val="Arial"/>
      <family val="2"/>
    </font>
    <font>
      <sz val="12"/>
      <color rgb="FF0000FF"/>
      <name val="Arial"/>
      <family val="2"/>
    </font>
    <font>
      <b/>
      <u/>
      <sz val="12"/>
      <color rgb="FFFF0000"/>
      <name val="Arial"/>
      <family val="2"/>
    </font>
    <font>
      <sz val="12"/>
      <color rgb="FFFF0000"/>
      <name val="Arial"/>
      <family val="2"/>
    </font>
    <font>
      <sz val="12"/>
      <name val="Arial"/>
      <family val="2"/>
    </font>
    <font>
      <u/>
      <sz val="12"/>
      <color theme="10"/>
      <name val="Arial"/>
      <family val="2"/>
    </font>
    <font>
      <sz val="11"/>
      <name val="Arial"/>
      <family val="2"/>
    </font>
    <font>
      <u/>
      <sz val="11"/>
      <color theme="10"/>
      <name val="Arial"/>
      <family val="2"/>
    </font>
    <font>
      <b/>
      <u/>
      <sz val="10"/>
      <color rgb="FFFF0000"/>
      <name val="Arial"/>
      <family val="2"/>
    </font>
    <font>
      <sz val="10"/>
      <color theme="1"/>
      <name val="Arial"/>
    </font>
    <font>
      <sz val="10"/>
      <color rgb="FF000000"/>
      <name val="Calibri"/>
      <scheme val="minor"/>
    </font>
  </fonts>
  <fills count="15">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indexed="13"/>
        <bgColor indexed="64"/>
      </patternFill>
    </fill>
    <fill>
      <patternFill patternType="solid">
        <fgColor theme="7"/>
        <bgColor indexed="64"/>
      </patternFill>
    </fill>
    <fill>
      <patternFill patternType="solid">
        <fgColor rgb="FFC2D69B"/>
        <bgColor rgb="FFC2D69B"/>
      </patternFill>
    </fill>
    <fill>
      <patternFill patternType="solid">
        <fgColor rgb="FFFFFF00"/>
        <bgColor rgb="FFFFFF00"/>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diagonal/>
    </border>
    <border>
      <left/>
      <right/>
      <top style="medium">
        <color auto="1"/>
      </top>
      <bottom/>
      <diagonal/>
    </border>
    <border>
      <left style="medium">
        <color indexed="64"/>
      </left>
      <right/>
      <top/>
      <bottom/>
      <diagonal/>
    </border>
    <border>
      <left/>
      <right/>
      <top/>
      <bottom style="medium">
        <color auto="1"/>
      </bottom>
      <diagonal/>
    </border>
    <border>
      <left style="medium">
        <color indexed="64"/>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indexed="64"/>
      </left>
      <right style="thin">
        <color indexed="64"/>
      </right>
      <top/>
      <bottom style="medium">
        <color auto="1"/>
      </bottom>
      <diagonal/>
    </border>
    <border>
      <left style="thin">
        <color indexed="64"/>
      </left>
      <right style="thin">
        <color indexed="64"/>
      </right>
      <top style="medium">
        <color auto="1"/>
      </top>
      <bottom/>
      <diagonal/>
    </border>
    <border>
      <left style="thick">
        <color indexed="39"/>
      </left>
      <right/>
      <top style="thick">
        <color indexed="39"/>
      </top>
      <bottom/>
      <diagonal/>
    </border>
    <border>
      <left/>
      <right/>
      <top style="thick">
        <color indexed="39"/>
      </top>
      <bottom/>
      <diagonal/>
    </border>
    <border>
      <left/>
      <right style="thick">
        <color indexed="39"/>
      </right>
      <top style="thick">
        <color indexed="39"/>
      </top>
      <bottom/>
      <diagonal/>
    </border>
    <border>
      <left style="thick">
        <color indexed="39"/>
      </left>
      <right/>
      <top/>
      <bottom/>
      <diagonal/>
    </border>
    <border>
      <left/>
      <right style="thick">
        <color indexed="39"/>
      </right>
      <top/>
      <bottom/>
      <diagonal/>
    </border>
    <border>
      <left style="thick">
        <color indexed="39"/>
      </left>
      <right/>
      <top/>
      <bottom style="thick">
        <color indexed="39"/>
      </bottom>
      <diagonal/>
    </border>
    <border>
      <left/>
      <right/>
      <top/>
      <bottom style="thick">
        <color indexed="39"/>
      </bottom>
      <diagonal/>
    </border>
    <border>
      <left/>
      <right style="thick">
        <color indexed="39"/>
      </right>
      <top/>
      <bottom style="thick">
        <color indexed="39"/>
      </bottom>
      <diagonal/>
    </border>
    <border>
      <left style="thin">
        <color indexed="64"/>
      </left>
      <right/>
      <top/>
      <bottom style="medium">
        <color auto="1"/>
      </bottom>
      <diagonal/>
    </border>
    <border>
      <left style="medium">
        <color theme="0" tint="-0.499984740745262"/>
      </left>
      <right style="thin">
        <color indexed="64"/>
      </right>
      <top style="medium">
        <color theme="0" tint="-0.499984740745262"/>
      </top>
      <bottom style="medium">
        <color theme="0" tint="-0.499984740745262"/>
      </bottom>
      <diagonal/>
    </border>
    <border>
      <left style="thin">
        <color indexed="64"/>
      </left>
      <right style="thin">
        <color indexed="64"/>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indexed="64"/>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11">
    <xf numFmtId="0" fontId="0" fillId="0" borderId="0"/>
    <xf numFmtId="0" fontId="15" fillId="0" borderId="0" applyNumberFormat="0" applyFill="0" applyBorder="0" applyAlignment="0" applyProtection="0">
      <alignment vertical="top"/>
      <protection locked="0"/>
    </xf>
    <xf numFmtId="0" fontId="2" fillId="0" borderId="0"/>
    <xf numFmtId="0" fontId="2" fillId="2" borderId="0">
      <alignment horizontal="center"/>
    </xf>
    <xf numFmtId="0" fontId="2" fillId="5" borderId="1">
      <alignment horizontal="center" vertical="center"/>
      <protection locked="0"/>
    </xf>
    <xf numFmtId="0" fontId="2" fillId="9" borderId="1">
      <alignment horizontal="center" vertical="center"/>
      <protection locked="0"/>
    </xf>
    <xf numFmtId="0" fontId="2" fillId="0" borderId="7"/>
    <xf numFmtId="0" fontId="2" fillId="9" borderId="1">
      <alignment horizontal="center" vertical="center"/>
      <protection locked="0"/>
    </xf>
    <xf numFmtId="0" fontId="2" fillId="9" borderId="1">
      <alignment horizontal="center" vertical="center"/>
      <protection locked="0"/>
    </xf>
    <xf numFmtId="0" fontId="2" fillId="9" borderId="1">
      <alignment horizontal="center" vertical="center"/>
      <protection locked="0"/>
    </xf>
    <xf numFmtId="0" fontId="1" fillId="0" borderId="0"/>
  </cellStyleXfs>
  <cellXfs count="356">
    <xf numFmtId="0" fontId="0" fillId="0" borderId="0" xfId="0"/>
    <xf numFmtId="0" fontId="0" fillId="0" borderId="0" xfId="0" applyAlignment="1">
      <alignment horizontal="center"/>
    </xf>
    <xf numFmtId="0" fontId="0" fillId="0" borderId="0" xfId="0" applyAlignment="1">
      <alignment horizontal="right"/>
    </xf>
    <xf numFmtId="0" fontId="0" fillId="0" borderId="0" xfId="0" applyFill="1" applyBorder="1" applyAlignment="1">
      <alignment horizontal="right"/>
    </xf>
    <xf numFmtId="2" fontId="0" fillId="0" borderId="0" xfId="0" applyNumberFormat="1"/>
    <xf numFmtId="0" fontId="0" fillId="0" borderId="1" xfId="0" applyBorder="1" applyAlignment="1">
      <alignment horizontal="center"/>
    </xf>
    <xf numFmtId="164" fontId="0" fillId="0" borderId="0" xfId="0" applyNumberFormat="1" applyAlignment="1">
      <alignment horizontal="center"/>
    </xf>
    <xf numFmtId="10" fontId="0" fillId="0" borderId="0" xfId="0" applyNumberFormat="1"/>
    <xf numFmtId="0" fontId="0" fillId="0" borderId="2" xfId="0" applyBorder="1" applyAlignment="1">
      <alignment horizontal="center"/>
    </xf>
    <xf numFmtId="2" fontId="0" fillId="0" borderId="0" xfId="0" applyNumberFormat="1" applyAlignment="1">
      <alignment horizontal="center"/>
    </xf>
    <xf numFmtId="0" fontId="0" fillId="0" borderId="1" xfId="0" applyFill="1" applyBorder="1" applyAlignment="1">
      <alignment horizontal="center"/>
    </xf>
    <xf numFmtId="0" fontId="3" fillId="0" borderId="0" xfId="0" applyFont="1"/>
    <xf numFmtId="2" fontId="0" fillId="0" borderId="1" xfId="0" applyNumberFormat="1" applyBorder="1" applyAlignment="1">
      <alignment horizontal="center"/>
    </xf>
    <xf numFmtId="0" fontId="0" fillId="0" borderId="5" xfId="0" applyBorder="1" applyAlignment="1">
      <alignment horizontal="center"/>
    </xf>
    <xf numFmtId="0" fontId="0" fillId="0" borderId="8" xfId="0" applyFill="1" applyBorder="1" applyAlignment="1">
      <alignment horizontal="center"/>
    </xf>
    <xf numFmtId="0" fontId="0" fillId="2" borderId="0" xfId="0" applyFill="1" applyProtection="1"/>
    <xf numFmtId="0" fontId="2" fillId="0" borderId="0" xfId="0" applyFont="1"/>
    <xf numFmtId="0" fontId="2" fillId="0" borderId="0" xfId="0" applyFont="1" applyAlignment="1">
      <alignment horizontal="right"/>
    </xf>
    <xf numFmtId="0" fontId="2" fillId="2" borderId="0" xfId="0" applyFont="1" applyFill="1" applyBorder="1" applyAlignment="1">
      <alignment horizontal="right"/>
    </xf>
    <xf numFmtId="0" fontId="16" fillId="2" borderId="0" xfId="1" applyFont="1" applyFill="1" applyAlignment="1" applyProtection="1"/>
    <xf numFmtId="0" fontId="17" fillId="3" borderId="0" xfId="0" applyFont="1" applyFill="1" applyProtection="1"/>
    <xf numFmtId="0" fontId="20" fillId="3" borderId="0" xfId="0" applyFont="1" applyFill="1" applyBorder="1" applyProtection="1"/>
    <xf numFmtId="0" fontId="20" fillId="3" borderId="0" xfId="0" applyFont="1" applyFill="1" applyProtection="1"/>
    <xf numFmtId="0" fontId="19" fillId="3" borderId="18" xfId="0" applyFont="1" applyFill="1" applyBorder="1" applyAlignment="1" applyProtection="1">
      <alignment horizontal="center" vertical="center"/>
    </xf>
    <xf numFmtId="2" fontId="0" fillId="2" borderId="10" xfId="0" applyNumberFormat="1" applyFill="1" applyBorder="1" applyAlignment="1">
      <alignment horizontal="center" vertical="center"/>
    </xf>
    <xf numFmtId="0" fontId="2" fillId="2" borderId="0" xfId="0" applyFont="1" applyFill="1" applyAlignment="1">
      <alignment horizontal="right"/>
    </xf>
    <xf numFmtId="0" fontId="0" fillId="0" borderId="1" xfId="0" applyFill="1" applyBorder="1" applyAlignment="1" applyProtection="1">
      <alignment horizontal="center" vertical="center"/>
      <protection locked="0"/>
    </xf>
    <xf numFmtId="0" fontId="2" fillId="0" borderId="0" xfId="2" applyAlignment="1" applyProtection="1">
      <alignment horizontal="center"/>
    </xf>
    <xf numFmtId="0" fontId="2" fillId="0" borderId="0" xfId="2"/>
    <xf numFmtId="164" fontId="2" fillId="0" borderId="0" xfId="2" applyNumberFormat="1" applyAlignment="1" applyProtection="1">
      <alignment horizontal="center"/>
    </xf>
    <xf numFmtId="166" fontId="2" fillId="0" borderId="0" xfId="2" applyNumberFormat="1" applyAlignment="1" applyProtection="1">
      <alignment horizontal="center"/>
    </xf>
    <xf numFmtId="2" fontId="2" fillId="0" borderId="19" xfId="2" applyNumberFormat="1" applyBorder="1" applyAlignment="1" applyProtection="1">
      <alignment horizontal="center"/>
    </xf>
    <xf numFmtId="0" fontId="2" fillId="0" borderId="1" xfId="2" applyFont="1" applyBorder="1"/>
    <xf numFmtId="0" fontId="2" fillId="0" borderId="1" xfId="2" applyBorder="1"/>
    <xf numFmtId="0" fontId="2" fillId="0" borderId="0" xfId="0" applyFont="1" applyFill="1" applyBorder="1"/>
    <xf numFmtId="0" fontId="0" fillId="0" borderId="0" xfId="0" applyFill="1" applyBorder="1" applyAlignment="1" applyProtection="1">
      <alignment horizontal="center" vertical="center"/>
      <protection locked="0"/>
    </xf>
    <xf numFmtId="0" fontId="2" fillId="0" borderId="0" xfId="0" applyFont="1" applyFill="1" applyAlignment="1">
      <alignment horizontal="right"/>
    </xf>
    <xf numFmtId="166" fontId="2" fillId="0" borderId="0" xfId="2" applyNumberFormat="1" applyAlignment="1">
      <alignment horizontal="center"/>
    </xf>
    <xf numFmtId="2" fontId="2" fillId="0" borderId="0" xfId="2" applyNumberFormat="1" applyAlignment="1">
      <alignment horizontal="center"/>
    </xf>
    <xf numFmtId="0" fontId="2" fillId="0" borderId="0" xfId="0" applyFont="1" applyAlignment="1">
      <alignment horizontal="center"/>
    </xf>
    <xf numFmtId="0" fontId="0" fillId="0" borderId="0" xfId="0" applyAlignment="1">
      <alignment horizontal="left"/>
    </xf>
    <xf numFmtId="2" fontId="2" fillId="0"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3" fillId="2" borderId="0" xfId="0" applyFont="1" applyFill="1" applyBorder="1" applyAlignment="1">
      <alignment horizontal="right"/>
    </xf>
    <xf numFmtId="0" fontId="3" fillId="2" borderId="0" xfId="0" applyFont="1" applyFill="1" applyBorder="1" applyAlignment="1">
      <alignment horizontal="center"/>
    </xf>
    <xf numFmtId="0" fontId="0" fillId="0" borderId="0" xfId="0" applyFill="1" applyBorder="1" applyAlignment="1" applyProtection="1">
      <alignment horizontal="center"/>
    </xf>
    <xf numFmtId="0" fontId="17" fillId="0" borderId="0" xfId="0" applyFont="1" applyFill="1" applyBorder="1" applyProtection="1"/>
    <xf numFmtId="0" fontId="30" fillId="0" borderId="0" xfId="0" applyFont="1"/>
    <xf numFmtId="0" fontId="3" fillId="0" borderId="0" xfId="0" applyFont="1" applyFill="1" applyAlignment="1" applyProtection="1">
      <alignment horizontal="left"/>
      <protection locked="0"/>
    </xf>
    <xf numFmtId="0" fontId="0" fillId="0" borderId="0" xfId="0" applyFill="1"/>
    <xf numFmtId="0" fontId="3" fillId="0" borderId="9" xfId="0" applyFont="1" applyFill="1" applyBorder="1" applyAlignment="1">
      <alignment horizontal="center"/>
    </xf>
    <xf numFmtId="0" fontId="3" fillId="0" borderId="11" xfId="0" applyFont="1" applyFill="1" applyBorder="1" applyAlignment="1">
      <alignment horizontal="center"/>
    </xf>
    <xf numFmtId="0" fontId="3" fillId="0" borderId="12" xfId="0" applyFont="1" applyFill="1" applyBorder="1" applyAlignment="1">
      <alignment horizontal="center"/>
    </xf>
    <xf numFmtId="0" fontId="3" fillId="0" borderId="13" xfId="0" applyFont="1" applyFill="1" applyBorder="1" applyAlignment="1">
      <alignment horizontal="center"/>
    </xf>
    <xf numFmtId="0" fontId="0" fillId="0" borderId="12"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16" xfId="0" applyFill="1" applyBorder="1" applyAlignment="1" applyProtection="1">
      <alignment horizontal="center"/>
      <protection locked="0"/>
    </xf>
    <xf numFmtId="2" fontId="0" fillId="3" borderId="1" xfId="0" applyNumberFormat="1" applyFill="1" applyBorder="1" applyAlignment="1" applyProtection="1">
      <alignment horizontal="center" vertical="center"/>
    </xf>
    <xf numFmtId="0" fontId="0" fillId="0" borderId="0" xfId="0" applyAlignment="1">
      <alignment horizontal="center"/>
    </xf>
    <xf numFmtId="0" fontId="2" fillId="0" borderId="0" xfId="0" applyFont="1" applyAlignment="1">
      <alignment horizontal="center"/>
    </xf>
    <xf numFmtId="0" fontId="0" fillId="0" borderId="0" xfId="0" applyAlignment="1">
      <alignment horizontal="center"/>
    </xf>
    <xf numFmtId="0" fontId="2" fillId="0" borderId="1" xfId="0" applyFont="1" applyBorder="1" applyAlignment="1">
      <alignment horizontal="center"/>
    </xf>
    <xf numFmtId="0" fontId="2" fillId="0" borderId="0" xfId="0" applyFont="1" applyAlignment="1">
      <alignment horizontal="left"/>
    </xf>
    <xf numFmtId="2" fontId="2" fillId="0" borderId="0" xfId="2" applyNumberFormat="1"/>
    <xf numFmtId="0" fontId="27" fillId="0" borderId="0" xfId="2" applyFont="1"/>
    <xf numFmtId="0" fontId="27" fillId="0" borderId="0" xfId="2" applyFont="1" applyAlignment="1" applyProtection="1">
      <alignment horizontal="center"/>
    </xf>
    <xf numFmtId="0" fontId="27" fillId="0" borderId="0" xfId="2" applyFont="1" applyAlignment="1">
      <alignment horizontal="center"/>
    </xf>
    <xf numFmtId="10" fontId="2" fillId="0" borderId="0" xfId="2" applyNumberFormat="1"/>
    <xf numFmtId="0" fontId="2" fillId="0" borderId="0" xfId="0" applyFont="1" applyAlignment="1">
      <alignment horizontal="center"/>
    </xf>
    <xf numFmtId="0" fontId="0" fillId="0" borderId="0" xfId="0" applyAlignment="1">
      <alignment horizontal="center"/>
    </xf>
    <xf numFmtId="0" fontId="2" fillId="0" borderId="1" xfId="0" applyFont="1" applyFill="1" applyBorder="1" applyAlignment="1">
      <alignment horizontal="center"/>
    </xf>
    <xf numFmtId="0" fontId="2" fillId="0" borderId="3" xfId="0" applyFont="1" applyFill="1" applyBorder="1" applyAlignment="1">
      <alignment horizontal="center"/>
    </xf>
    <xf numFmtId="0" fontId="28" fillId="0" borderId="0" xfId="2" applyFont="1"/>
    <xf numFmtId="165" fontId="0" fillId="0" borderId="1" xfId="0" applyNumberFormat="1" applyFill="1" applyBorder="1" applyAlignment="1" applyProtection="1">
      <alignment horizontal="center" vertical="center"/>
    </xf>
    <xf numFmtId="0" fontId="27" fillId="0" borderId="0" xfId="0" applyFont="1" applyAlignment="1">
      <alignment horizontal="center"/>
    </xf>
    <xf numFmtId="0" fontId="3" fillId="0" borderId="0" xfId="0" applyFont="1" applyAlignment="1">
      <alignment horizontal="center"/>
    </xf>
    <xf numFmtId="0" fontId="2" fillId="3" borderId="0" xfId="0" applyFont="1" applyFill="1" applyAlignment="1">
      <alignment horizontal="right"/>
    </xf>
    <xf numFmtId="0" fontId="2" fillId="0" borderId="0" xfId="0" applyFont="1" applyFill="1" applyBorder="1" applyAlignment="1">
      <alignment horizontal="right"/>
    </xf>
    <xf numFmtId="2" fontId="2" fillId="0" borderId="0" xfId="0" applyNumberFormat="1" applyFont="1"/>
    <xf numFmtId="0" fontId="0" fillId="0" borderId="0" xfId="0" applyAlignment="1">
      <alignment horizontal="center"/>
    </xf>
    <xf numFmtId="0" fontId="2" fillId="6" borderId="1" xfId="0" applyFon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65" fontId="0" fillId="6" borderId="1" xfId="0" applyNumberFormat="1"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6" borderId="1" xfId="0" applyNumberFormat="1" applyFill="1" applyBorder="1" applyAlignment="1" applyProtection="1">
      <alignment horizontal="center" vertical="center"/>
      <protection locked="0"/>
    </xf>
    <xf numFmtId="0" fontId="0" fillId="6" borderId="1" xfId="0" applyFill="1" applyBorder="1" applyAlignment="1" applyProtection="1">
      <alignment horizontal="center"/>
    </xf>
    <xf numFmtId="165" fontId="2" fillId="0" borderId="0" xfId="2" applyNumberFormat="1" applyAlignment="1">
      <alignment horizontal="center"/>
    </xf>
    <xf numFmtId="165" fontId="2" fillId="0" borderId="0" xfId="2" applyNumberFormat="1"/>
    <xf numFmtId="0" fontId="2" fillId="0" borderId="0" xfId="2"/>
    <xf numFmtId="0" fontId="2" fillId="11" borderId="27" xfId="2" applyFill="1" applyBorder="1" applyProtection="1"/>
    <xf numFmtId="0" fontId="2" fillId="11" borderId="28" xfId="2" applyFill="1" applyBorder="1" applyProtection="1"/>
    <xf numFmtId="0" fontId="2" fillId="11" borderId="29" xfId="2" applyFill="1" applyBorder="1" applyProtection="1"/>
    <xf numFmtId="0" fontId="2" fillId="11" borderId="30" xfId="2" applyFill="1" applyBorder="1" applyProtection="1"/>
    <xf numFmtId="0" fontId="2" fillId="11" borderId="0" xfId="2" applyFill="1" applyBorder="1" applyProtection="1"/>
    <xf numFmtId="0" fontId="2" fillId="11" borderId="31" xfId="2" applyFill="1" applyBorder="1" applyProtection="1"/>
    <xf numFmtId="0" fontId="33" fillId="11" borderId="0" xfId="2" applyFont="1" applyFill="1" applyBorder="1" applyProtection="1"/>
    <xf numFmtId="0" fontId="34" fillId="11" borderId="0" xfId="2" applyFont="1" applyFill="1" applyBorder="1" applyProtection="1"/>
    <xf numFmtId="0" fontId="35" fillId="11" borderId="0" xfId="2" applyFont="1" applyFill="1" applyBorder="1" applyProtection="1"/>
    <xf numFmtId="0" fontId="36" fillId="11" borderId="0" xfId="2" applyFont="1" applyFill="1" applyProtection="1"/>
    <xf numFmtId="0" fontId="2" fillId="11" borderId="0" xfId="2" applyFill="1" applyProtection="1"/>
    <xf numFmtId="0" fontId="37" fillId="11" borderId="0" xfId="2" applyFont="1" applyFill="1" applyAlignment="1" applyProtection="1"/>
    <xf numFmtId="0" fontId="37" fillId="11" borderId="0" xfId="2" applyFont="1" applyFill="1" applyAlignment="1" applyProtection="1">
      <alignment wrapText="1"/>
    </xf>
    <xf numFmtId="0" fontId="38" fillId="11" borderId="0" xfId="2" applyFont="1" applyFill="1" applyAlignment="1" applyProtection="1">
      <alignment vertical="center"/>
    </xf>
    <xf numFmtId="0" fontId="38" fillId="11" borderId="0" xfId="2" applyFont="1" applyFill="1" applyProtection="1"/>
    <xf numFmtId="0" fontId="2" fillId="11" borderId="32" xfId="2" applyFill="1" applyBorder="1" applyProtection="1"/>
    <xf numFmtId="0" fontId="2" fillId="11" borderId="33" xfId="2" applyFill="1" applyBorder="1" applyProtection="1"/>
    <xf numFmtId="0" fontId="2" fillId="11" borderId="34" xfId="2" applyFill="1" applyBorder="1" applyProtection="1"/>
    <xf numFmtId="0" fontId="2" fillId="11" borderId="0" xfId="2" applyFont="1" applyFill="1" applyBorder="1" applyProtection="1"/>
    <xf numFmtId="2" fontId="2" fillId="0" borderId="0" xfId="2" applyNumberFormat="1" applyAlignment="1">
      <alignment horizontal="center"/>
    </xf>
    <xf numFmtId="0" fontId="2" fillId="0" borderId="0" xfId="2"/>
    <xf numFmtId="0" fontId="2" fillId="0" borderId="0" xfId="2" applyAlignment="1">
      <alignment horizontal="center"/>
    </xf>
    <xf numFmtId="2" fontId="2" fillId="0" borderId="0" xfId="2" applyNumberFormat="1"/>
    <xf numFmtId="0" fontId="2" fillId="0" borderId="0" xfId="2" applyFont="1"/>
    <xf numFmtId="0" fontId="2" fillId="0" borderId="0" xfId="2" applyFont="1" applyAlignment="1">
      <alignment horizontal="center"/>
    </xf>
    <xf numFmtId="0" fontId="2" fillId="0" borderId="0" xfId="2" applyBorder="1" applyAlignment="1">
      <alignment horizontal="center"/>
    </xf>
    <xf numFmtId="2" fontId="2" fillId="0" borderId="0" xfId="2" applyNumberFormat="1" applyBorder="1" applyAlignment="1">
      <alignment horizontal="center"/>
    </xf>
    <xf numFmtId="0" fontId="28" fillId="0" borderId="0" xfId="2" applyFont="1"/>
    <xf numFmtId="0" fontId="2" fillId="0" borderId="0" xfId="2" applyFont="1" applyBorder="1" applyAlignment="1">
      <alignment horizontal="center"/>
    </xf>
    <xf numFmtId="0" fontId="28" fillId="0" borderId="0" xfId="2" applyFont="1" applyAlignment="1">
      <alignment horizontal="center"/>
    </xf>
    <xf numFmtId="0" fontId="28" fillId="10" borderId="0" xfId="2" applyFont="1" applyFill="1"/>
    <xf numFmtId="2" fontId="28" fillId="0" borderId="0" xfId="2" applyNumberFormat="1" applyFont="1" applyBorder="1" applyAlignment="1">
      <alignment horizontal="center"/>
    </xf>
    <xf numFmtId="0" fontId="2" fillId="0" borderId="0" xfId="2"/>
    <xf numFmtId="0" fontId="2" fillId="0" borderId="0" xfId="2" applyAlignment="1">
      <alignment horizontal="center"/>
    </xf>
    <xf numFmtId="0" fontId="2" fillId="0" borderId="0" xfId="2" applyBorder="1"/>
    <xf numFmtId="2" fontId="2" fillId="0" borderId="0" xfId="2" applyNumberFormat="1" applyAlignment="1">
      <alignment horizontal="center"/>
    </xf>
    <xf numFmtId="0" fontId="2" fillId="0" borderId="0" xfId="2" applyFont="1"/>
    <xf numFmtId="0" fontId="2" fillId="0" borderId="0" xfId="2" applyFont="1" applyAlignment="1">
      <alignment horizontal="right"/>
    </xf>
    <xf numFmtId="0" fontId="2" fillId="0" borderId="0" xfId="2" applyFont="1" applyAlignment="1">
      <alignment horizontal="center"/>
    </xf>
    <xf numFmtId="0" fontId="2" fillId="0" borderId="1" xfId="2" applyBorder="1"/>
    <xf numFmtId="0" fontId="2" fillId="0" borderId="0" xfId="2" applyFill="1" applyBorder="1" applyAlignment="1">
      <alignment horizontal="center"/>
    </xf>
    <xf numFmtId="0" fontId="2" fillId="0" borderId="1" xfId="2" applyFont="1" applyBorder="1"/>
    <xf numFmtId="0" fontId="2" fillId="0" borderId="0" xfId="2" applyBorder="1" applyAlignment="1">
      <alignment horizontal="center"/>
    </xf>
    <xf numFmtId="2" fontId="2" fillId="0" borderId="0" xfId="2" applyNumberFormat="1" applyBorder="1" applyAlignment="1">
      <alignment horizontal="center"/>
    </xf>
    <xf numFmtId="2" fontId="2" fillId="0" borderId="1" xfId="2" applyNumberFormat="1" applyBorder="1"/>
    <xf numFmtId="0" fontId="2" fillId="0" borderId="0" xfId="2" applyFont="1" applyBorder="1"/>
    <xf numFmtId="0" fontId="28" fillId="0" borderId="0" xfId="2" applyFont="1"/>
    <xf numFmtId="0" fontId="29" fillId="0" borderId="0" xfId="2" applyFont="1" applyBorder="1" applyAlignment="1">
      <alignment horizontal="center"/>
    </xf>
    <xf numFmtId="2" fontId="2" fillId="0" borderId="0" xfId="2" applyNumberFormat="1" applyBorder="1"/>
    <xf numFmtId="0" fontId="2" fillId="0" borderId="0" xfId="2" applyFont="1" applyBorder="1" applyAlignment="1">
      <alignment horizontal="right"/>
    </xf>
    <xf numFmtId="2" fontId="2" fillId="0" borderId="0" xfId="2" applyNumberFormat="1" applyFont="1" applyBorder="1" applyAlignment="1">
      <alignment horizontal="left"/>
    </xf>
    <xf numFmtId="0" fontId="2" fillId="0" borderId="0" xfId="2" applyFont="1" applyBorder="1" applyAlignment="1">
      <alignment horizontal="center"/>
    </xf>
    <xf numFmtId="0" fontId="28" fillId="0" borderId="0" xfId="2" applyFont="1" applyBorder="1" applyAlignment="1">
      <alignment horizontal="center"/>
    </xf>
    <xf numFmtId="0" fontId="28" fillId="0" borderId="0" xfId="2" applyFont="1" applyBorder="1" applyAlignment="1">
      <alignment horizontal="left"/>
    </xf>
    <xf numFmtId="0" fontId="2" fillId="0" borderId="5" xfId="2" applyBorder="1"/>
    <xf numFmtId="0" fontId="2" fillId="0" borderId="1" xfId="2" applyFont="1" applyFill="1" applyBorder="1"/>
    <xf numFmtId="2" fontId="28" fillId="0" borderId="0" xfId="2" applyNumberFormat="1" applyFont="1" applyBorder="1" applyAlignment="1">
      <alignment horizontal="center"/>
    </xf>
    <xf numFmtId="0" fontId="2" fillId="0" borderId="0" xfId="2" applyBorder="1" applyAlignment="1"/>
    <xf numFmtId="11" fontId="0" fillId="0" borderId="0" xfId="0" applyNumberFormat="1" applyFill="1" applyBorder="1" applyAlignment="1" applyProtection="1">
      <alignment horizontal="center" vertical="center"/>
      <protection locked="0"/>
    </xf>
    <xf numFmtId="0" fontId="0" fillId="6" borderId="8" xfId="0" applyNumberFormat="1" applyFill="1" applyBorder="1" applyAlignment="1" applyProtection="1">
      <alignment horizontal="center" vertical="center"/>
      <protection locked="0"/>
    </xf>
    <xf numFmtId="164" fontId="0" fillId="0" borderId="0" xfId="0" applyNumberFormat="1" applyFill="1" applyBorder="1" applyAlignment="1" applyProtection="1">
      <alignment horizontal="center" vertical="center"/>
      <protection locked="0"/>
    </xf>
    <xf numFmtId="2" fontId="0" fillId="0" borderId="0" xfId="0" applyNumberFormat="1" applyAlignment="1">
      <alignment horizontal="right" indent="2"/>
    </xf>
    <xf numFmtId="0" fontId="0" fillId="2" borderId="0" xfId="0" applyFill="1" applyBorder="1" applyProtection="1"/>
    <xf numFmtId="0" fontId="0" fillId="2" borderId="0" xfId="0" applyFill="1" applyAlignment="1" applyProtection="1">
      <alignment horizontal="center"/>
    </xf>
    <xf numFmtId="0" fontId="0" fillId="0" borderId="0" xfId="0" applyProtection="1"/>
    <xf numFmtId="0" fontId="9" fillId="2" borderId="0" xfId="0" applyFont="1" applyFill="1" applyAlignment="1" applyProtection="1">
      <alignment horizontal="left"/>
    </xf>
    <xf numFmtId="0" fontId="2" fillId="2" borderId="0" xfId="0" applyFont="1" applyFill="1" applyProtection="1"/>
    <xf numFmtId="14" fontId="9" fillId="2" borderId="0" xfId="0" applyNumberFormat="1" applyFont="1" applyFill="1" applyAlignment="1" applyProtection="1">
      <alignment horizontal="left"/>
    </xf>
    <xf numFmtId="0" fontId="0" fillId="2" borderId="1" xfId="0" applyFill="1" applyBorder="1" applyAlignment="1" applyProtection="1">
      <alignment horizontal="center"/>
    </xf>
    <xf numFmtId="0" fontId="0" fillId="3" borderId="0" xfId="0" applyFill="1" applyBorder="1" applyAlignment="1" applyProtection="1">
      <alignment horizontal="center"/>
    </xf>
    <xf numFmtId="0" fontId="0" fillId="5" borderId="1" xfId="0" applyFill="1" applyBorder="1" applyAlignment="1" applyProtection="1">
      <alignment horizontal="center"/>
    </xf>
    <xf numFmtId="0" fontId="30" fillId="4" borderId="1" xfId="0" applyFont="1" applyFill="1" applyBorder="1" applyAlignment="1" applyProtection="1">
      <alignment horizontal="center"/>
    </xf>
    <xf numFmtId="0" fontId="24" fillId="7" borderId="17" xfId="0" applyFont="1" applyFill="1" applyBorder="1" applyProtection="1"/>
    <xf numFmtId="0" fontId="0" fillId="2" borderId="18" xfId="0" applyFill="1" applyBorder="1" applyProtection="1"/>
    <xf numFmtId="0" fontId="2" fillId="2" borderId="18" xfId="0" applyFont="1" applyFill="1" applyBorder="1" applyAlignment="1" applyProtection="1">
      <alignment horizontal="right" vertical="center"/>
    </xf>
    <xf numFmtId="0" fontId="2" fillId="2" borderId="26" xfId="0" applyFont="1" applyFill="1" applyBorder="1" applyAlignment="1" applyProtection="1">
      <alignment horizontal="center" vertical="center"/>
    </xf>
    <xf numFmtId="0" fontId="0" fillId="2" borderId="22" xfId="0" applyFill="1" applyBorder="1" applyProtection="1"/>
    <xf numFmtId="0" fontId="21" fillId="2" borderId="19" xfId="0" applyFont="1" applyFill="1" applyBorder="1" applyProtection="1"/>
    <xf numFmtId="0" fontId="2" fillId="2" borderId="0" xfId="0" applyFont="1" applyFill="1" applyBorder="1" applyAlignment="1" applyProtection="1">
      <alignment horizontal="right" vertical="center"/>
    </xf>
    <xf numFmtId="0" fontId="2" fillId="2" borderId="7" xfId="0" applyFont="1" applyFill="1" applyBorder="1" applyAlignment="1" applyProtection="1">
      <alignment horizontal="center" vertical="center"/>
    </xf>
    <xf numFmtId="0" fontId="0" fillId="2" borderId="23" xfId="0" applyFill="1" applyBorder="1" applyProtection="1"/>
    <xf numFmtId="0" fontId="0" fillId="2" borderId="19" xfId="0" applyFill="1" applyBorder="1" applyProtection="1"/>
    <xf numFmtId="0" fontId="0" fillId="2" borderId="7" xfId="0" applyFill="1" applyBorder="1" applyAlignment="1" applyProtection="1">
      <alignment horizontal="center" vertical="center"/>
    </xf>
    <xf numFmtId="0" fontId="0" fillId="2" borderId="21" xfId="0" applyFill="1" applyBorder="1" applyProtection="1"/>
    <xf numFmtId="0" fontId="0" fillId="2" borderId="20" xfId="0" applyFill="1" applyBorder="1" applyProtection="1"/>
    <xf numFmtId="0" fontId="2" fillId="2" borderId="20" xfId="0" applyFont="1" applyFill="1" applyBorder="1" applyAlignment="1" applyProtection="1">
      <alignment horizontal="right" vertical="center"/>
    </xf>
    <xf numFmtId="0" fontId="2" fillId="2" borderId="25" xfId="0" applyFont="1" applyFill="1" applyBorder="1" applyAlignment="1" applyProtection="1">
      <alignment horizontal="center" vertical="center"/>
    </xf>
    <xf numFmtId="0" fontId="0" fillId="2" borderId="24" xfId="0" applyFill="1" applyBorder="1" applyProtection="1"/>
    <xf numFmtId="0" fontId="0" fillId="7" borderId="18" xfId="0" applyFill="1" applyBorder="1" applyProtection="1"/>
    <xf numFmtId="0" fontId="2" fillId="0" borderId="0" xfId="0" applyFont="1" applyProtection="1"/>
    <xf numFmtId="0" fontId="2" fillId="2" borderId="0" xfId="0" applyFont="1" applyFill="1" applyBorder="1" applyProtection="1"/>
    <xf numFmtId="0" fontId="11" fillId="2" borderId="7" xfId="0" applyFont="1" applyFill="1" applyBorder="1" applyAlignment="1" applyProtection="1">
      <alignment horizontal="center" vertical="center"/>
    </xf>
    <xf numFmtId="0" fontId="0" fillId="2" borderId="3" xfId="0" applyFill="1" applyBorder="1" applyProtection="1"/>
    <xf numFmtId="0" fontId="0" fillId="5" borderId="0" xfId="0" applyFill="1" applyBorder="1" applyProtection="1"/>
    <xf numFmtId="0" fontId="2" fillId="5" borderId="0" xfId="0" applyFont="1" applyFill="1" applyBorder="1" applyAlignment="1" applyProtection="1">
      <alignment horizontal="right" vertical="center"/>
    </xf>
    <xf numFmtId="165" fontId="0" fillId="2" borderId="1" xfId="0" applyNumberFormat="1" applyFill="1" applyBorder="1" applyAlignment="1" applyProtection="1">
      <alignment horizontal="center" vertical="center"/>
    </xf>
    <xf numFmtId="0" fontId="0" fillId="6" borderId="0" xfId="0" applyFill="1" applyBorder="1" applyProtection="1"/>
    <xf numFmtId="0" fontId="2" fillId="6" borderId="0" xfId="0" applyFont="1" applyFill="1" applyBorder="1" applyAlignment="1" applyProtection="1">
      <alignment horizontal="right" vertical="center"/>
    </xf>
    <xf numFmtId="0" fontId="0" fillId="8" borderId="0" xfId="0" applyFill="1" applyBorder="1" applyProtection="1"/>
    <xf numFmtId="0" fontId="2" fillId="8" borderId="0" xfId="0" applyFont="1" applyFill="1" applyBorder="1" applyAlignment="1" applyProtection="1">
      <alignment horizontal="right" vertical="center"/>
    </xf>
    <xf numFmtId="0" fontId="0" fillId="0" borderId="0" xfId="0" applyBorder="1" applyProtection="1"/>
    <xf numFmtId="165" fontId="0" fillId="2" borderId="5" xfId="0" applyNumberFormat="1" applyFill="1" applyBorder="1" applyAlignment="1" applyProtection="1">
      <alignment horizontal="center" vertical="center"/>
    </xf>
    <xf numFmtId="0" fontId="2" fillId="2" borderId="18" xfId="0" applyFont="1" applyFill="1" applyBorder="1" applyAlignment="1" applyProtection="1">
      <alignment horizontal="right"/>
    </xf>
    <xf numFmtId="0" fontId="0" fillId="2" borderId="26" xfId="0" applyFill="1" applyBorder="1" applyAlignment="1" applyProtection="1">
      <alignment horizontal="center" vertical="center"/>
    </xf>
    <xf numFmtId="0" fontId="2" fillId="2" borderId="0" xfId="0" applyFont="1" applyFill="1" applyBorder="1" applyAlignment="1" applyProtection="1">
      <alignment horizontal="right"/>
    </xf>
    <xf numFmtId="0" fontId="3" fillId="0" borderId="0" xfId="0" applyFont="1" applyProtection="1"/>
    <xf numFmtId="0" fontId="7" fillId="2" borderId="7" xfId="0" applyFont="1" applyFill="1" applyBorder="1" applyAlignment="1" applyProtection="1">
      <alignment horizontal="center" vertical="center"/>
    </xf>
    <xf numFmtId="0" fontId="0" fillId="0" borderId="19" xfId="0" applyBorder="1" applyProtection="1"/>
    <xf numFmtId="2" fontId="0" fillId="2" borderId="1" xfId="0" applyNumberFormat="1" applyFill="1" applyBorder="1" applyAlignment="1" applyProtection="1">
      <alignment horizontal="center" vertical="center"/>
    </xf>
    <xf numFmtId="9" fontId="0" fillId="2" borderId="1" xfId="0" applyNumberFormat="1" applyFill="1" applyBorder="1" applyAlignment="1" applyProtection="1">
      <alignment horizontal="center" vertical="center"/>
    </xf>
    <xf numFmtId="0" fontId="0" fillId="3" borderId="0" xfId="0"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xf>
    <xf numFmtId="0" fontId="2" fillId="0" borderId="0" xfId="0" applyFont="1" applyBorder="1" applyAlignment="1" applyProtection="1">
      <alignment horizontal="right"/>
    </xf>
    <xf numFmtId="0" fontId="2" fillId="0" borderId="7" xfId="0" applyFont="1" applyBorder="1" applyAlignment="1" applyProtection="1">
      <alignment horizontal="center"/>
    </xf>
    <xf numFmtId="0" fontId="2" fillId="0" borderId="0" xfId="0" applyFont="1" applyFill="1" applyBorder="1" applyAlignment="1" applyProtection="1">
      <alignment horizontal="right"/>
    </xf>
    <xf numFmtId="0" fontId="2" fillId="2" borderId="23" xfId="0" applyFont="1" applyFill="1" applyBorder="1" applyProtection="1"/>
    <xf numFmtId="0" fontId="0" fillId="3" borderId="20" xfId="0" applyFill="1" applyBorder="1" applyProtection="1"/>
    <xf numFmtId="0" fontId="2" fillId="3" borderId="20" xfId="0" applyFont="1" applyFill="1" applyBorder="1" applyAlignment="1" applyProtection="1">
      <alignment horizontal="right"/>
    </xf>
    <xf numFmtId="2" fontId="0" fillId="2" borderId="15" xfId="0" applyNumberFormat="1" applyFill="1" applyBorder="1" applyAlignment="1" applyProtection="1">
      <alignment horizontal="center" vertical="center"/>
    </xf>
    <xf numFmtId="0" fontId="0" fillId="2" borderId="25" xfId="0" applyFill="1" applyBorder="1" applyAlignment="1" applyProtection="1">
      <alignment horizontal="center" vertical="center"/>
    </xf>
    <xf numFmtId="0" fontId="2" fillId="2" borderId="24" xfId="0" applyFont="1" applyFill="1" applyBorder="1" applyProtection="1"/>
    <xf numFmtId="0" fontId="24" fillId="7" borderId="19" xfId="0" applyFont="1" applyFill="1" applyBorder="1" applyProtection="1"/>
    <xf numFmtId="0" fontId="0" fillId="7" borderId="0" xfId="0" applyFill="1" applyBorder="1" applyProtection="1"/>
    <xf numFmtId="0" fontId="2" fillId="0" borderId="0" xfId="0" applyFont="1" applyAlignment="1" applyProtection="1">
      <alignment horizontal="right"/>
    </xf>
    <xf numFmtId="0" fontId="2" fillId="2" borderId="4" xfId="0" applyFont="1" applyFill="1" applyBorder="1" applyAlignment="1" applyProtection="1">
      <alignment horizontal="center" vertical="center"/>
    </xf>
    <xf numFmtId="2" fontId="0" fillId="2" borderId="6" xfId="0" applyNumberFormat="1" applyFill="1" applyBorder="1" applyAlignment="1" applyProtection="1">
      <alignment horizontal="center" vertical="center"/>
    </xf>
    <xf numFmtId="0" fontId="7" fillId="2" borderId="4" xfId="0" applyFont="1" applyFill="1" applyBorder="1" applyAlignment="1" applyProtection="1">
      <alignment horizontal="center" vertical="center"/>
    </xf>
    <xf numFmtId="0" fontId="8" fillId="2" borderId="0" xfId="0" applyFont="1" applyFill="1" applyBorder="1" applyProtection="1"/>
    <xf numFmtId="0" fontId="0" fillId="2" borderId="4" xfId="0" applyFill="1" applyBorder="1" applyAlignment="1" applyProtection="1">
      <alignment horizontal="center"/>
    </xf>
    <xf numFmtId="0" fontId="3" fillId="2" borderId="0" xfId="0" applyFont="1" applyFill="1" applyBorder="1" applyAlignment="1" applyProtection="1">
      <alignment horizontal="right"/>
    </xf>
    <xf numFmtId="0" fontId="3" fillId="2" borderId="0" xfId="0" applyFont="1" applyFill="1" applyBorder="1" applyAlignment="1" applyProtection="1">
      <alignment horizontal="center"/>
    </xf>
    <xf numFmtId="2" fontId="0" fillId="2" borderId="9" xfId="0" applyNumberFormat="1" applyFill="1" applyBorder="1" applyAlignment="1" applyProtection="1">
      <alignment horizontal="center" vertical="center"/>
    </xf>
    <xf numFmtId="0" fontId="0" fillId="3" borderId="35" xfId="0" applyFill="1" applyBorder="1" applyProtection="1"/>
    <xf numFmtId="0" fontId="22" fillId="2" borderId="18" xfId="0" applyFont="1" applyFill="1" applyBorder="1" applyAlignment="1" applyProtection="1">
      <alignment horizontal="right" vertical="center"/>
    </xf>
    <xf numFmtId="0" fontId="0" fillId="2" borderId="10" xfId="0"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22" fillId="2" borderId="0" xfId="0" applyFont="1" applyFill="1" applyBorder="1" applyAlignment="1" applyProtection="1">
      <alignment horizontal="right" vertical="center"/>
    </xf>
    <xf numFmtId="0" fontId="0" fillId="2" borderId="8" xfId="0"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0" fillId="3" borderId="23" xfId="0" applyFill="1" applyBorder="1" applyProtection="1"/>
    <xf numFmtId="0" fontId="0" fillId="2" borderId="0" xfId="0" applyFill="1" applyBorder="1" applyAlignment="1" applyProtection="1">
      <alignment horizontal="right" vertical="center"/>
    </xf>
    <xf numFmtId="0" fontId="0" fillId="2" borderId="1" xfId="0" applyNumberFormat="1" applyFill="1" applyBorder="1" applyAlignment="1" applyProtection="1">
      <alignment horizontal="center" vertical="center"/>
    </xf>
    <xf numFmtId="0" fontId="7" fillId="2" borderId="0" xfId="0" applyFont="1" applyFill="1" applyBorder="1" applyAlignment="1" applyProtection="1">
      <alignment horizontal="center" vertical="center"/>
    </xf>
    <xf numFmtId="0" fontId="0" fillId="12" borderId="17" xfId="0" applyFill="1" applyBorder="1" applyProtection="1"/>
    <xf numFmtId="0" fontId="2" fillId="12" borderId="18" xfId="0" applyFont="1" applyFill="1" applyBorder="1" applyAlignment="1" applyProtection="1">
      <alignment horizontal="center"/>
    </xf>
    <xf numFmtId="0" fontId="3" fillId="12" borderId="18" xfId="0" applyFont="1" applyFill="1" applyBorder="1" applyAlignment="1" applyProtection="1">
      <alignment horizontal="center"/>
    </xf>
    <xf numFmtId="0" fontId="3" fillId="12" borderId="22" xfId="0" applyFont="1" applyFill="1" applyBorder="1" applyAlignment="1" applyProtection="1">
      <alignment horizontal="left"/>
    </xf>
    <xf numFmtId="0" fontId="3" fillId="2" borderId="0" xfId="0" applyFont="1" applyFill="1" applyBorder="1" applyProtection="1"/>
    <xf numFmtId="0" fontId="0" fillId="2" borderId="12" xfId="0" applyFill="1" applyBorder="1" applyProtection="1"/>
    <xf numFmtId="0" fontId="2" fillId="2" borderId="1" xfId="0" applyFont="1" applyFill="1" applyBorder="1" applyAlignment="1" applyProtection="1">
      <alignment horizontal="right"/>
    </xf>
    <xf numFmtId="165" fontId="0" fillId="2" borderId="1" xfId="0" applyNumberFormat="1" applyFill="1" applyBorder="1" applyAlignment="1" applyProtection="1">
      <alignment horizontal="center"/>
    </xf>
    <xf numFmtId="0" fontId="2" fillId="2" borderId="13" xfId="0" applyFont="1" applyFill="1" applyBorder="1" applyProtection="1"/>
    <xf numFmtId="165" fontId="0" fillId="2" borderId="0" xfId="0" applyNumberFormat="1" applyFill="1" applyBorder="1" applyAlignment="1" applyProtection="1">
      <alignment horizontal="center"/>
    </xf>
    <xf numFmtId="1" fontId="0" fillId="2" borderId="1" xfId="0" applyNumberFormat="1" applyFill="1" applyBorder="1" applyAlignment="1" applyProtection="1">
      <alignment horizontal="center"/>
    </xf>
    <xf numFmtId="1" fontId="0" fillId="2" borderId="0" xfId="0" applyNumberFormat="1" applyFill="1" applyBorder="1" applyAlignment="1" applyProtection="1">
      <alignment horizontal="center"/>
    </xf>
    <xf numFmtId="0" fontId="0" fillId="2" borderId="5" xfId="0" applyNumberFormat="1" applyFill="1" applyBorder="1" applyAlignment="1" applyProtection="1">
      <alignment horizontal="center" vertical="center"/>
    </xf>
    <xf numFmtId="164" fontId="0" fillId="2" borderId="1" xfId="0" applyNumberFormat="1" applyFill="1" applyBorder="1" applyAlignment="1" applyProtection="1">
      <alignment horizontal="center"/>
    </xf>
    <xf numFmtId="0" fontId="2" fillId="2" borderId="0" xfId="0" applyFont="1" applyFill="1" applyBorder="1" applyAlignment="1" applyProtection="1">
      <alignment horizontal="center" vertical="center"/>
    </xf>
    <xf numFmtId="164" fontId="2" fillId="2" borderId="1" xfId="0" applyNumberFormat="1" applyFont="1" applyFill="1" applyBorder="1" applyAlignment="1" applyProtection="1">
      <alignment horizontal="right"/>
    </xf>
    <xf numFmtId="2" fontId="0" fillId="2" borderId="0" xfId="0" applyNumberFormat="1" applyFill="1" applyBorder="1" applyAlignment="1" applyProtection="1">
      <alignment horizontal="center"/>
    </xf>
    <xf numFmtId="2" fontId="0" fillId="2" borderId="5" xfId="0" applyNumberFormat="1" applyFill="1" applyBorder="1" applyAlignment="1" applyProtection="1">
      <alignment horizontal="center" vertical="center"/>
    </xf>
    <xf numFmtId="0" fontId="2" fillId="2" borderId="0" xfId="2" applyFont="1" applyFill="1" applyBorder="1" applyAlignment="1" applyProtection="1">
      <alignment horizontal="right" vertical="center"/>
    </xf>
    <xf numFmtId="1" fontId="2" fillId="2" borderId="1" xfId="2" applyNumberFormat="1" applyFont="1" applyFill="1" applyBorder="1" applyAlignment="1" applyProtection="1">
      <alignment horizontal="center" vertical="center"/>
    </xf>
    <xf numFmtId="164" fontId="0" fillId="2" borderId="0" xfId="0" applyNumberFormat="1" applyFill="1" applyBorder="1" applyAlignment="1" applyProtection="1">
      <alignment horizontal="center"/>
    </xf>
    <xf numFmtId="0" fontId="0" fillId="2" borderId="1" xfId="0" applyFill="1" applyBorder="1" applyAlignment="1" applyProtection="1">
      <alignment horizontal="center" vertical="center"/>
    </xf>
    <xf numFmtId="0" fontId="0" fillId="0" borderId="1" xfId="0" applyBorder="1" applyAlignment="1" applyProtection="1">
      <alignment horizontal="center"/>
    </xf>
    <xf numFmtId="0" fontId="0" fillId="0" borderId="0" xfId="0" applyAlignment="1" applyProtection="1">
      <alignment horizontal="center"/>
    </xf>
    <xf numFmtId="1" fontId="2" fillId="2" borderId="0" xfId="0" applyNumberFormat="1" applyFont="1" applyFill="1" applyBorder="1" applyAlignment="1" applyProtection="1">
      <alignment horizontal="center" vertical="center"/>
    </xf>
    <xf numFmtId="0" fontId="0" fillId="2" borderId="0" xfId="0" applyFill="1" applyBorder="1" applyAlignment="1" applyProtection="1">
      <alignment horizontal="center"/>
    </xf>
    <xf numFmtId="0" fontId="2" fillId="2" borderId="19" xfId="0" applyFont="1" applyFill="1" applyBorder="1" applyAlignment="1" applyProtection="1">
      <alignment horizontal="right"/>
    </xf>
    <xf numFmtId="0" fontId="2" fillId="2" borderId="0" xfId="0" applyFont="1" applyFill="1" applyBorder="1" applyAlignment="1" applyProtection="1">
      <alignment horizontal="left"/>
    </xf>
    <xf numFmtId="0" fontId="0" fillId="2" borderId="0" xfId="0" applyFill="1" applyBorder="1" applyAlignment="1" applyProtection="1">
      <alignment horizontal="right"/>
    </xf>
    <xf numFmtId="14" fontId="2" fillId="2" borderId="0" xfId="0" applyNumberFormat="1" applyFont="1" applyFill="1" applyBorder="1" applyAlignment="1" applyProtection="1">
      <alignment horizontal="center"/>
    </xf>
    <xf numFmtId="0" fontId="2" fillId="2" borderId="20" xfId="0" applyFont="1" applyFill="1" applyBorder="1" applyAlignment="1" applyProtection="1">
      <alignment horizontal="left"/>
    </xf>
    <xf numFmtId="0" fontId="0" fillId="2" borderId="20" xfId="0" applyFill="1" applyBorder="1" applyAlignment="1" applyProtection="1">
      <alignment horizontal="center"/>
    </xf>
    <xf numFmtId="0" fontId="21" fillId="2" borderId="0" xfId="0" applyFont="1" applyFill="1" applyProtection="1"/>
    <xf numFmtId="0" fontId="0" fillId="3" borderId="0" xfId="0" applyFill="1" applyProtection="1"/>
    <xf numFmtId="0" fontId="0" fillId="3" borderId="0" xfId="0" applyFill="1" applyAlignment="1" applyProtection="1">
      <alignment horizontal="center"/>
    </xf>
    <xf numFmtId="0" fontId="24" fillId="2" borderId="0" xfId="0" applyFont="1" applyFill="1" applyProtection="1"/>
    <xf numFmtId="0" fontId="2" fillId="2" borderId="0" xfId="0" applyFont="1" applyFill="1" applyAlignment="1" applyProtection="1">
      <alignment horizontal="left" vertical="center" wrapText="1"/>
    </xf>
    <xf numFmtId="0" fontId="39" fillId="2" borderId="19" xfId="2" applyFont="1" applyFill="1" applyBorder="1" applyAlignment="1" applyProtection="1">
      <alignment horizontal="left" vertical="top" wrapText="1"/>
    </xf>
    <xf numFmtId="0" fontId="2" fillId="2" borderId="0" xfId="0" applyFont="1" applyFill="1" applyBorder="1" applyAlignment="1" applyProtection="1">
      <alignment horizontal="left" vertical="center" wrapText="1"/>
    </xf>
    <xf numFmtId="0" fontId="30" fillId="3" borderId="0" xfId="0" applyFont="1" applyFill="1" applyBorder="1" applyAlignment="1" applyProtection="1">
      <alignment horizontal="center"/>
    </xf>
    <xf numFmtId="0" fontId="2" fillId="2" borderId="0" xfId="2" applyFill="1" applyBorder="1"/>
    <xf numFmtId="0" fontId="2" fillId="2" borderId="0" xfId="2" applyFont="1" applyFill="1" applyBorder="1" applyAlignment="1">
      <alignment horizontal="right" vertical="center"/>
    </xf>
    <xf numFmtId="0" fontId="2" fillId="2" borderId="18" xfId="2" applyFill="1" applyBorder="1"/>
    <xf numFmtId="0" fontId="2" fillId="2" borderId="19" xfId="2" applyFill="1" applyBorder="1"/>
    <xf numFmtId="0" fontId="2" fillId="2" borderId="21" xfId="2" applyFill="1" applyBorder="1"/>
    <xf numFmtId="0" fontId="2" fillId="2" borderId="20" xfId="2" applyFill="1" applyBorder="1"/>
    <xf numFmtId="0" fontId="2" fillId="2" borderId="23" xfId="2" applyFill="1" applyBorder="1"/>
    <xf numFmtId="0" fontId="2" fillId="2" borderId="24" xfId="2" applyFill="1" applyBorder="1"/>
    <xf numFmtId="0" fontId="2" fillId="2" borderId="22" xfId="2" applyFill="1" applyBorder="1"/>
    <xf numFmtId="0" fontId="2" fillId="2" borderId="0" xfId="2" applyFont="1" applyFill="1" applyBorder="1"/>
    <xf numFmtId="0" fontId="24" fillId="7" borderId="17" xfId="2" applyFont="1" applyFill="1" applyBorder="1"/>
    <xf numFmtId="0" fontId="24" fillId="3" borderId="19" xfId="2" applyFont="1" applyFill="1" applyBorder="1"/>
    <xf numFmtId="0" fontId="45" fillId="2" borderId="0" xfId="2" applyFont="1" applyFill="1" applyBorder="1"/>
    <xf numFmtId="0" fontId="45" fillId="2" borderId="0" xfId="2" applyFont="1" applyFill="1" applyBorder="1" applyAlignment="1">
      <alignment horizontal="right" vertical="center"/>
    </xf>
    <xf numFmtId="0" fontId="2" fillId="2" borderId="20" xfId="2" applyFont="1" applyFill="1" applyBorder="1" applyAlignment="1">
      <alignment horizontal="center" vertical="center"/>
    </xf>
    <xf numFmtId="0" fontId="2" fillId="2" borderId="20" xfId="2" applyFont="1" applyFill="1" applyBorder="1"/>
    <xf numFmtId="0" fontId="46" fillId="2" borderId="0" xfId="1" applyFont="1" applyFill="1" applyBorder="1" applyAlignment="1" applyProtection="1">
      <alignment horizontal="left"/>
    </xf>
    <xf numFmtId="0" fontId="42" fillId="2" borderId="19" xfId="2" applyFont="1" applyFill="1" applyBorder="1" applyAlignment="1">
      <alignment vertical="top" wrapText="1"/>
    </xf>
    <xf numFmtId="0" fontId="2" fillId="2" borderId="0" xfId="2" applyFont="1" applyFill="1" applyBorder="1" applyAlignment="1">
      <alignment horizontal="center" vertical="center"/>
    </xf>
    <xf numFmtId="0" fontId="46" fillId="2" borderId="18" xfId="1" applyFont="1" applyFill="1" applyBorder="1" applyAlignment="1" applyProtection="1">
      <alignment wrapText="1"/>
    </xf>
    <xf numFmtId="0" fontId="46" fillId="2" borderId="0" xfId="1" applyFont="1" applyFill="1" applyBorder="1" applyAlignment="1" applyProtection="1">
      <alignment horizontal="left" wrapText="1"/>
    </xf>
    <xf numFmtId="0" fontId="45" fillId="3" borderId="0" xfId="2" applyFont="1" applyFill="1" applyBorder="1"/>
    <xf numFmtId="0" fontId="45" fillId="3" borderId="18" xfId="2" applyFont="1" applyFill="1" applyBorder="1"/>
    <xf numFmtId="0" fontId="2" fillId="2" borderId="20" xfId="2" applyFont="1" applyFill="1" applyBorder="1" applyAlignment="1">
      <alignment vertical="top" wrapText="1"/>
    </xf>
    <xf numFmtId="0" fontId="37" fillId="6" borderId="38" xfId="2" applyFont="1" applyFill="1" applyBorder="1" applyAlignment="1" applyProtection="1">
      <alignment horizontal="center" vertical="top"/>
      <protection locked="0"/>
    </xf>
    <xf numFmtId="0" fontId="37" fillId="6" borderId="40" xfId="2" applyFont="1" applyFill="1" applyBorder="1" applyAlignment="1" applyProtection="1">
      <alignment horizontal="center" vertical="top"/>
      <protection locked="0"/>
    </xf>
    <xf numFmtId="0" fontId="48" fillId="2" borderId="0" xfId="1" applyFont="1" applyFill="1" applyBorder="1" applyAlignment="1" applyProtection="1"/>
    <xf numFmtId="2" fontId="0" fillId="0" borderId="10" xfId="0" applyNumberFormat="1" applyBorder="1" applyAlignment="1" applyProtection="1">
      <alignment horizontal="center" vertical="center"/>
    </xf>
    <xf numFmtId="0" fontId="0" fillId="3" borderId="5" xfId="0" applyFill="1" applyBorder="1" applyAlignment="1" applyProtection="1">
      <alignment horizontal="center" vertical="center"/>
      <protection locked="0"/>
    </xf>
    <xf numFmtId="0" fontId="0" fillId="3" borderId="15" xfId="0" applyFill="1" applyBorder="1" applyAlignment="1" applyProtection="1">
      <alignment horizontal="center" vertical="center"/>
      <protection locked="0"/>
    </xf>
    <xf numFmtId="2" fontId="0" fillId="2" borderId="0" xfId="0" applyNumberFormat="1" applyFill="1" applyBorder="1" applyAlignment="1" applyProtection="1">
      <alignment horizontal="center" vertical="center"/>
    </xf>
    <xf numFmtId="0" fontId="0" fillId="2" borderId="0" xfId="0" applyFill="1" applyProtection="1"/>
    <xf numFmtId="0" fontId="15" fillId="3" borderId="19" xfId="1" applyFill="1" applyBorder="1" applyAlignment="1" applyProtection="1">
      <alignment horizontal="left"/>
    </xf>
    <xf numFmtId="0" fontId="15" fillId="3" borderId="19" xfId="1" applyFill="1" applyBorder="1" applyAlignment="1" applyProtection="1"/>
    <xf numFmtId="0" fontId="50" fillId="13" borderId="43" xfId="0" applyFont="1" applyFill="1" applyBorder="1" applyAlignment="1">
      <alignment horizontal="center" vertical="center"/>
    </xf>
    <xf numFmtId="0" fontId="50" fillId="13" borderId="44" xfId="0" applyFont="1" applyFill="1" applyBorder="1" applyAlignment="1">
      <alignment horizontal="center" vertical="center"/>
    </xf>
    <xf numFmtId="0" fontId="50" fillId="13" borderId="45" xfId="0" applyFont="1" applyFill="1" applyBorder="1" applyAlignment="1">
      <alignment horizontal="center" vertical="center"/>
    </xf>
    <xf numFmtId="0" fontId="50" fillId="14" borderId="44" xfId="0" applyFont="1" applyFill="1" applyBorder="1" applyAlignment="1">
      <alignment horizontal="center" vertical="center"/>
    </xf>
    <xf numFmtId="165" fontId="50" fillId="13" borderId="44" xfId="0" applyNumberFormat="1" applyFont="1" applyFill="1" applyBorder="1" applyAlignment="1">
      <alignment horizontal="center" vertical="center"/>
    </xf>
    <xf numFmtId="0" fontId="15" fillId="5" borderId="0" xfId="1" applyFill="1" applyAlignment="1" applyProtection="1"/>
    <xf numFmtId="0" fontId="41" fillId="0" borderId="17" xfId="0" applyFont="1" applyBorder="1" applyAlignment="1">
      <alignment horizontal="center" vertical="center" wrapText="1"/>
    </xf>
    <xf numFmtId="0" fontId="41" fillId="0" borderId="18" xfId="0" applyFont="1" applyBorder="1" applyAlignment="1">
      <alignment horizontal="center" vertical="center" wrapText="1"/>
    </xf>
    <xf numFmtId="0" fontId="41" fillId="0" borderId="22" xfId="0" applyFont="1" applyBorder="1" applyAlignment="1">
      <alignment horizontal="center" vertical="center" wrapText="1"/>
    </xf>
    <xf numFmtId="0" fontId="41" fillId="0" borderId="19" xfId="0" applyFont="1" applyBorder="1" applyAlignment="1">
      <alignment horizontal="center" vertical="center" wrapText="1"/>
    </xf>
    <xf numFmtId="0" fontId="41" fillId="0" borderId="0" xfId="0" applyFont="1" applyBorder="1" applyAlignment="1">
      <alignment horizontal="center" vertical="center" wrapText="1"/>
    </xf>
    <xf numFmtId="0" fontId="41" fillId="0" borderId="23" xfId="0" applyFont="1" applyBorder="1" applyAlignment="1">
      <alignment horizontal="center" vertical="center" wrapText="1"/>
    </xf>
    <xf numFmtId="0" fontId="41" fillId="0" borderId="21" xfId="0" applyFont="1" applyBorder="1" applyAlignment="1">
      <alignment horizontal="center" vertical="center" wrapText="1"/>
    </xf>
    <xf numFmtId="0" fontId="41" fillId="0" borderId="20" xfId="0" applyFont="1" applyBorder="1" applyAlignment="1">
      <alignment horizontal="center" vertical="center" wrapText="1"/>
    </xf>
    <xf numFmtId="0" fontId="41" fillId="0" borderId="24" xfId="0" applyFont="1" applyBorder="1" applyAlignment="1">
      <alignment horizontal="center" vertical="center" wrapText="1"/>
    </xf>
    <xf numFmtId="0" fontId="15" fillId="11" borderId="0" xfId="1" applyFill="1" applyAlignment="1" applyProtection="1">
      <alignment horizontal="left"/>
    </xf>
    <xf numFmtId="0" fontId="15" fillId="3" borderId="19" xfId="1" applyFill="1" applyBorder="1" applyAlignment="1" applyProtection="1">
      <alignment horizontal="left" wrapText="1"/>
    </xf>
    <xf numFmtId="0" fontId="15" fillId="3" borderId="19" xfId="1" applyFill="1" applyBorder="1" applyAlignment="1" applyProtection="1">
      <alignment horizontal="left" vertical="top" wrapText="1"/>
    </xf>
    <xf numFmtId="0" fontId="40" fillId="2" borderId="0" xfId="0" applyFont="1" applyFill="1" applyBorder="1" applyAlignment="1" applyProtection="1">
      <alignment horizontal="left" vertical="top" wrapText="1"/>
    </xf>
    <xf numFmtId="0" fontId="40" fillId="2" borderId="20" xfId="0" applyFont="1" applyFill="1" applyBorder="1" applyAlignment="1" applyProtection="1">
      <alignment horizontal="left" vertical="top" wrapText="1"/>
    </xf>
    <xf numFmtId="0" fontId="39" fillId="2" borderId="19" xfId="2" applyFont="1" applyFill="1" applyBorder="1" applyAlignment="1" applyProtection="1">
      <alignment horizontal="left" vertical="top" wrapText="1"/>
    </xf>
    <xf numFmtId="0" fontId="15" fillId="2" borderId="19" xfId="1" applyFill="1" applyBorder="1" applyAlignment="1" applyProtection="1">
      <alignment horizontal="left" wrapText="1"/>
    </xf>
    <xf numFmtId="0" fontId="14" fillId="3" borderId="0" xfId="0" applyFont="1" applyFill="1" applyBorder="1" applyAlignment="1" applyProtection="1">
      <alignment horizontal="center" vertical="center"/>
    </xf>
    <xf numFmtId="0" fontId="18" fillId="4" borderId="17" xfId="0" applyFont="1" applyFill="1" applyBorder="1" applyAlignment="1" applyProtection="1">
      <alignment horizontal="left" vertical="center"/>
    </xf>
    <xf numFmtId="0" fontId="18" fillId="4" borderId="18" xfId="0" applyFont="1" applyFill="1" applyBorder="1" applyAlignment="1" applyProtection="1">
      <alignment horizontal="left" vertical="center"/>
    </xf>
    <xf numFmtId="0" fontId="2" fillId="2" borderId="3" xfId="0" applyFont="1" applyFill="1" applyBorder="1" applyAlignment="1" applyProtection="1">
      <alignment horizontal="left" vertical="center" wrapText="1"/>
    </xf>
    <xf numFmtId="0" fontId="2" fillId="2" borderId="0" xfId="0" applyFont="1" applyFill="1" applyAlignment="1" applyProtection="1">
      <alignment horizontal="left" vertical="center" wrapText="1"/>
    </xf>
    <xf numFmtId="0" fontId="40" fillId="2" borderId="19" xfId="0" applyFont="1" applyFill="1" applyBorder="1" applyAlignment="1" applyProtection="1">
      <alignment horizontal="left" vertical="top" wrapText="1"/>
    </xf>
    <xf numFmtId="0" fontId="44" fillId="2" borderId="19" xfId="2" applyFont="1" applyFill="1" applyBorder="1" applyAlignment="1">
      <alignment horizontal="left" vertical="top" wrapText="1"/>
    </xf>
    <xf numFmtId="0" fontId="44" fillId="2" borderId="18" xfId="1" applyFont="1" applyFill="1" applyBorder="1" applyAlignment="1" applyProtection="1">
      <alignment horizontal="left" wrapText="1"/>
    </xf>
    <xf numFmtId="0" fontId="44" fillId="2" borderId="0" xfId="1" applyFont="1" applyFill="1" applyBorder="1" applyAlignment="1" applyProtection="1">
      <alignment horizontal="left" wrapText="1"/>
    </xf>
    <xf numFmtId="0" fontId="47" fillId="5" borderId="36" xfId="2" applyFont="1" applyFill="1" applyBorder="1" applyAlignment="1">
      <alignment horizontal="left" vertical="top" wrapText="1"/>
    </xf>
    <xf numFmtId="0" fontId="47" fillId="5" borderId="37" xfId="2" applyFont="1" applyFill="1" applyBorder="1" applyAlignment="1">
      <alignment horizontal="left" vertical="top" wrapText="1"/>
    </xf>
    <xf numFmtId="0" fontId="47" fillId="5" borderId="39" xfId="2" applyFont="1" applyFill="1" applyBorder="1" applyAlignment="1">
      <alignment horizontal="left" vertical="top" wrapText="1"/>
    </xf>
    <xf numFmtId="0" fontId="15" fillId="2" borderId="0" xfId="1" applyFill="1" applyBorder="1" applyAlignment="1" applyProtection="1">
      <alignment horizontal="left" wrapText="1"/>
    </xf>
    <xf numFmtId="0" fontId="46" fillId="2" borderId="0" xfId="1" applyFont="1" applyFill="1" applyBorder="1" applyAlignment="1" applyProtection="1">
      <alignment horizontal="left"/>
    </xf>
    <xf numFmtId="0" fontId="24" fillId="5" borderId="41" xfId="2" applyFont="1" applyFill="1" applyBorder="1" applyAlignment="1">
      <alignment horizontal="left" wrapText="1"/>
    </xf>
    <xf numFmtId="0" fontId="2" fillId="5" borderId="42" xfId="2" applyFill="1" applyBorder="1" applyAlignment="1">
      <alignment horizontal="left" wrapText="1"/>
    </xf>
    <xf numFmtId="0" fontId="2" fillId="5" borderId="38" xfId="2" applyFill="1" applyBorder="1" applyAlignment="1">
      <alignment horizontal="left" wrapText="1"/>
    </xf>
    <xf numFmtId="0" fontId="27" fillId="0" borderId="0" xfId="0" applyFont="1" applyAlignment="1">
      <alignment horizontal="center"/>
    </xf>
    <xf numFmtId="0" fontId="28" fillId="0" borderId="0" xfId="0" applyFont="1" applyAlignment="1">
      <alignment horizontal="center"/>
    </xf>
    <xf numFmtId="0" fontId="3" fillId="0" borderId="0" xfId="0" applyFont="1" applyAlignment="1">
      <alignment horizontal="center"/>
    </xf>
    <xf numFmtId="0" fontId="27" fillId="0" borderId="1" xfId="2" applyFont="1" applyBorder="1" applyAlignment="1">
      <alignment horizontal="center"/>
    </xf>
    <xf numFmtId="0" fontId="2" fillId="0" borderId="5" xfId="2" applyFont="1" applyBorder="1" applyAlignment="1">
      <alignment horizontal="center"/>
    </xf>
    <xf numFmtId="0" fontId="2" fillId="0" borderId="5" xfId="2" applyBorder="1" applyAlignment="1">
      <alignment horizontal="center"/>
    </xf>
    <xf numFmtId="0" fontId="28" fillId="0" borderId="0" xfId="2" applyFont="1" applyBorder="1" applyAlignment="1">
      <alignment horizontal="center"/>
    </xf>
    <xf numFmtId="2" fontId="2" fillId="0" borderId="0" xfId="2" applyNumberFormat="1" applyFont="1" applyBorder="1" applyAlignment="1">
      <alignment horizontal="center"/>
    </xf>
    <xf numFmtId="2" fontId="2" fillId="0" borderId="0" xfId="2" applyNumberFormat="1" applyBorder="1" applyAlignment="1">
      <alignment horizontal="center"/>
    </xf>
  </cellXfs>
  <cellStyles count="11">
    <cellStyle name="ENTER VALUE" xfId="5" xr:uid="{00000000-0005-0000-0000-000000000000}"/>
    <cellStyle name="ENTER VALUE 2" xfId="9" xr:uid="{00000000-0005-0000-0000-000001000000}"/>
    <cellStyle name="ENTER VALUE 3" xfId="8" xr:uid="{00000000-0005-0000-0000-000002000000}"/>
    <cellStyle name="ENTER VALUE 4" xfId="7" xr:uid="{00000000-0005-0000-0000-000003000000}"/>
    <cellStyle name="Hyperlink" xfId="1" builtinId="8"/>
    <cellStyle name="Normal" xfId="0" builtinId="0"/>
    <cellStyle name="Normal 2" xfId="2" xr:uid="{00000000-0005-0000-0000-000006000000}"/>
    <cellStyle name="Normal 3" xfId="10" xr:uid="{00000000-0005-0000-0000-000007000000}"/>
    <cellStyle name="Style 1" xfId="3" xr:uid="{00000000-0005-0000-0000-000008000000}"/>
    <cellStyle name="Style 2" xfId="4" xr:uid="{00000000-0005-0000-0000-000009000000}"/>
    <cellStyle name="UNIT" xfId="6" xr:uid="{00000000-0005-0000-0000-00000A000000}"/>
  </cellStyles>
  <dxfs count="31">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patternType="solid">
          <fgColor theme="0"/>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fgColor theme="0"/>
          <bgColor theme="0"/>
        </patternFill>
      </fill>
    </dxf>
    <dxf>
      <fill>
        <patternFill>
          <bgColor rgb="FFFF0000"/>
        </patternFill>
      </fill>
    </dxf>
    <dxf>
      <font>
        <color theme="0"/>
      </font>
      <fill>
        <patternFill>
          <bgColor theme="0"/>
        </patternFill>
      </fill>
    </dxf>
    <dxf>
      <font>
        <color theme="0"/>
      </font>
      <fill>
        <patternFill patternType="solid">
          <bgColor theme="0"/>
        </patternFill>
      </fill>
      <border>
        <left/>
        <right/>
      </border>
    </dxf>
    <dxf>
      <fill>
        <patternFill>
          <bgColor rgb="FFFF0000"/>
        </patternFill>
      </fill>
    </dxf>
    <dxf>
      <fill>
        <patternFill>
          <bgColor rgb="FFFF0000"/>
        </patternFill>
      </fill>
    </dxf>
    <dxf>
      <fill>
        <patternFill>
          <bgColor rgb="FFFFFF00"/>
        </patternFill>
      </fill>
    </dxf>
    <dxf>
      <fill>
        <patternFill>
          <bgColor rgb="FFFF0000"/>
        </patternFill>
      </fill>
    </dxf>
    <dxf>
      <font>
        <color theme="0"/>
      </font>
      <fill>
        <patternFill>
          <fgColor theme="0"/>
          <bgColor theme="0"/>
        </patternFill>
      </fill>
    </dxf>
    <dxf>
      <font>
        <strike val="0"/>
        <color theme="0"/>
      </font>
      <fill>
        <patternFill patternType="none">
          <bgColor auto="1"/>
        </patternFill>
      </fill>
    </dxf>
    <dxf>
      <font>
        <strike/>
        <color theme="0" tint="-0.24994659260841701"/>
      </font>
      <fill>
        <patternFill patternType="none">
          <bgColor auto="1"/>
        </patternFill>
      </fill>
    </dxf>
    <dxf>
      <font>
        <color theme="0"/>
      </font>
      <fill>
        <patternFill patternType="solid">
          <bgColor theme="0"/>
        </patternFill>
      </fill>
      <border>
        <left/>
        <right/>
      </border>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theme="5" tint="-0.24994659260841701"/>
        </patternFill>
      </fill>
    </dxf>
    <dxf>
      <fill>
        <patternFill>
          <bgColor rgb="FFFF0000"/>
        </patternFill>
      </fill>
    </dxf>
    <dxf>
      <font>
        <color theme="0"/>
      </font>
    </dxf>
    <dxf>
      <fill>
        <patternFill>
          <bgColor indexed="10"/>
        </patternFill>
      </fill>
    </dxf>
    <dxf>
      <font>
        <condense val="0"/>
        <extend val="0"/>
        <color indexed="9"/>
      </font>
      <fill>
        <patternFill>
          <bgColor indexed="9"/>
        </patternFill>
      </fill>
      <border>
        <left/>
        <right/>
        <top style="thin">
          <color indexed="64"/>
        </top>
        <bottom/>
      </border>
    </dxf>
  </dxfs>
  <tableStyles count="0" defaultTableStyle="TableStyleMedium9" defaultPivotStyle="PivotStyleLight16"/>
  <colors>
    <mruColors>
      <color rgb="FF0053FA"/>
      <color rgb="FFFF505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267237229923697"/>
          <c:y val="0.10613723813134238"/>
          <c:w val="0.83144069779259888"/>
          <c:h val="0.76916929287639557"/>
        </c:manualLayout>
      </c:layout>
      <c:scatterChart>
        <c:scatterStyle val="lineMarker"/>
        <c:varyColors val="0"/>
        <c:ser>
          <c:idx val="3"/>
          <c:order val="0"/>
          <c:tx>
            <c:v>Temp Derated FET SOA (t = Tfault)</c:v>
          </c:tx>
          <c:spPr>
            <a:ln w="25400">
              <a:solidFill>
                <a:srgbClr val="008000"/>
              </a:solidFill>
              <a:prstDash val="solid"/>
            </a:ln>
          </c:spPr>
          <c:marker>
            <c:symbol val="none"/>
          </c:marker>
          <c:xVal>
            <c:numRef>
              <c:f>Equations!$R$146:$R$162</c:f>
              <c:numCache>
                <c:formatCode>General</c:formatCode>
                <c:ptCount val="17"/>
                <c:pt idx="0">
                  <c:v>0.2</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numCache>
            </c:numRef>
          </c:xVal>
          <c:yVal>
            <c:numRef>
              <c:f>Equations!$V$146:$V$162</c:f>
              <c:numCache>
                <c:formatCode>0.00</c:formatCode>
                <c:ptCount val="17"/>
                <c:pt idx="0">
                  <c:v>363.91142302857338</c:v>
                </c:pt>
                <c:pt idx="1">
                  <c:v>36.39114230285734</c:v>
                </c:pt>
                <c:pt idx="2">
                  <c:v>18.19557115142867</c:v>
                </c:pt>
                <c:pt idx="3">
                  <c:v>12.130380767619114</c:v>
                </c:pt>
                <c:pt idx="4">
                  <c:v>9.0977855757143349</c:v>
                </c:pt>
                <c:pt idx="5">
                  <c:v>7.2782284605714676</c:v>
                </c:pt>
                <c:pt idx="6">
                  <c:v>6.0651903838095569</c:v>
                </c:pt>
                <c:pt idx="7">
                  <c:v>5.1987346146939055</c:v>
                </c:pt>
                <c:pt idx="8">
                  <c:v>4.5488927878571674</c:v>
                </c:pt>
                <c:pt idx="9">
                  <c:v>4.0434602558730379</c:v>
                </c:pt>
                <c:pt idx="10">
                  <c:v>3.6391142302857338</c:v>
                </c:pt>
                <c:pt idx="11">
                  <c:v>3.3082856638961218</c:v>
                </c:pt>
                <c:pt idx="12">
                  <c:v>3.0325951919047784</c:v>
                </c:pt>
                <c:pt idx="13">
                  <c:v>2.799318638681334</c:v>
                </c:pt>
                <c:pt idx="14">
                  <c:v>2.5993673073469528</c:v>
                </c:pt>
                <c:pt idx="15">
                  <c:v>2.4260761535238227</c:v>
                </c:pt>
                <c:pt idx="16">
                  <c:v>2.2744463939285837</c:v>
                </c:pt>
              </c:numCache>
            </c:numRef>
          </c:yVal>
          <c:smooth val="0"/>
          <c:extLst>
            <c:ext xmlns:c16="http://schemas.microsoft.com/office/drawing/2014/chart" uri="{C3380CC4-5D6E-409C-BE32-E72D297353CC}">
              <c16:uniqueId val="{00000000-DA36-4906-A8F2-F7CB3340F6A0}"/>
            </c:ext>
          </c:extLst>
        </c:ser>
        <c:ser>
          <c:idx val="1"/>
          <c:order val="1"/>
          <c:tx>
            <c:v>Typ Device SOA Limit</c:v>
          </c:tx>
          <c:spPr>
            <a:ln w="25400">
              <a:solidFill>
                <a:srgbClr val="FF0000"/>
              </a:solidFill>
              <a:prstDash val="solid"/>
            </a:ln>
          </c:spPr>
          <c:marker>
            <c:symbol val="none"/>
          </c:marker>
          <c:xVal>
            <c:numRef>
              <c:f>Equations!$R$146:$R$165</c:f>
              <c:numCache>
                <c:formatCode>General</c:formatCode>
                <c:ptCount val="20"/>
                <c:pt idx="0">
                  <c:v>0.2</c:v>
                </c:pt>
                <c:pt idx="1">
                  <c:v>2</c:v>
                </c:pt>
                <c:pt idx="2">
                  <c:v>4</c:v>
                </c:pt>
                <c:pt idx="3">
                  <c:v>6</c:v>
                </c:pt>
                <c:pt idx="4">
                  <c:v>8</c:v>
                </c:pt>
                <c:pt idx="5">
                  <c:v>10</c:v>
                </c:pt>
                <c:pt idx="6">
                  <c:v>12</c:v>
                </c:pt>
                <c:pt idx="7">
                  <c:v>14</c:v>
                </c:pt>
                <c:pt idx="8">
                  <c:v>16</c:v>
                </c:pt>
                <c:pt idx="9">
                  <c:v>18</c:v>
                </c:pt>
                <c:pt idx="10">
                  <c:v>20</c:v>
                </c:pt>
                <c:pt idx="11">
                  <c:v>22</c:v>
                </c:pt>
                <c:pt idx="12">
                  <c:v>24</c:v>
                </c:pt>
                <c:pt idx="13">
                  <c:v>26</c:v>
                </c:pt>
                <c:pt idx="14">
                  <c:v>28</c:v>
                </c:pt>
                <c:pt idx="15">
                  <c:v>30</c:v>
                </c:pt>
                <c:pt idx="16">
                  <c:v>32</c:v>
                </c:pt>
              </c:numCache>
            </c:numRef>
          </c:xVal>
          <c:yVal>
            <c:numRef>
              <c:f>Equations!$T$146:$T$165</c:f>
              <c:numCache>
                <c:formatCode>0.00</c:formatCode>
                <c:ptCount val="20"/>
                <c:pt idx="0">
                  <c:v>5.5555555555555554</c:v>
                </c:pt>
                <c:pt idx="1">
                  <c:v>5.5555555555555554</c:v>
                </c:pt>
                <c:pt idx="2">
                  <c:v>5.5555555555555554</c:v>
                </c:pt>
                <c:pt idx="3">
                  <c:v>4.3066322136089576</c:v>
                </c:pt>
                <c:pt idx="4">
                  <c:v>3.2299741602067185</c:v>
                </c:pt>
                <c:pt idx="5">
                  <c:v>2.5839793281653747</c:v>
                </c:pt>
                <c:pt idx="6">
                  <c:v>2.1533161068044788</c:v>
                </c:pt>
                <c:pt idx="7">
                  <c:v>1.8456995201181248</c:v>
                </c:pt>
                <c:pt idx="8">
                  <c:v>1.6149870801033592</c:v>
                </c:pt>
                <c:pt idx="9">
                  <c:v>1.4355440712029859</c:v>
                </c:pt>
                <c:pt idx="10">
                  <c:v>1.2919896640826873</c:v>
                </c:pt>
                <c:pt idx="11">
                  <c:v>1.1745360582569886</c:v>
                </c:pt>
                <c:pt idx="12">
                  <c:v>1.0766580534022394</c:v>
                </c:pt>
                <c:pt idx="13">
                  <c:v>5.0000000000000003E-10</c:v>
                </c:pt>
                <c:pt idx="14">
                  <c:v>5.0000000000000003E-10</c:v>
                </c:pt>
                <c:pt idx="15">
                  <c:v>5.0000000000000003E-10</c:v>
                </c:pt>
                <c:pt idx="16">
                  <c:v>5.0000000000000003E-10</c:v>
                </c:pt>
                <c:pt idx="17">
                  <c:v>0</c:v>
                </c:pt>
                <c:pt idx="18">
                  <c:v>0</c:v>
                </c:pt>
                <c:pt idx="19">
                  <c:v>0</c:v>
                </c:pt>
              </c:numCache>
            </c:numRef>
          </c:yVal>
          <c:smooth val="0"/>
          <c:extLst>
            <c:ext xmlns:c16="http://schemas.microsoft.com/office/drawing/2014/chart" uri="{C3380CC4-5D6E-409C-BE32-E72D297353CC}">
              <c16:uniqueId val="{00000001-DA36-4906-A8F2-F7CB3340F6A0}"/>
            </c:ext>
          </c:extLst>
        </c:ser>
        <c:dLbls>
          <c:showLegendKey val="0"/>
          <c:showVal val="0"/>
          <c:showCatName val="0"/>
          <c:showSerName val="0"/>
          <c:showPercent val="0"/>
          <c:showBubbleSize val="0"/>
        </c:dLbls>
        <c:axId val="214223104"/>
        <c:axId val="362365312"/>
      </c:scatterChart>
      <c:valAx>
        <c:axId val="214223104"/>
        <c:scaling>
          <c:logBase val="10"/>
          <c:orientation val="minMax"/>
          <c:max val="100"/>
          <c:min val="1"/>
        </c:scaling>
        <c:delete val="0"/>
        <c:axPos val="b"/>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V</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Voltage - V</a:t>
                </a:r>
              </a:p>
            </c:rich>
          </c:tx>
          <c:layout>
            <c:manualLayout>
              <c:xMode val="edge"/>
              <c:yMode val="edge"/>
              <c:x val="0.37459064370200507"/>
              <c:y val="0.94029461520736024"/>
            </c:manualLayout>
          </c:layout>
          <c:overlay val="0"/>
          <c:spPr>
            <a:noFill/>
            <a:ln w="25400">
              <a:noFill/>
            </a:ln>
          </c:spPr>
        </c:title>
        <c:numFmt formatCode="General" sourceLinked="1"/>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362365312"/>
        <c:crossesAt val="0.1"/>
        <c:crossBetween val="midCat"/>
      </c:valAx>
      <c:valAx>
        <c:axId val="362365312"/>
        <c:scaling>
          <c:logBase val="10"/>
          <c:orientation val="minMax"/>
          <c:max val="100"/>
          <c:min val="0.1"/>
        </c:scaling>
        <c:delete val="0"/>
        <c:axPos val="l"/>
        <c:majorGridlines>
          <c:spPr>
            <a:ln w="3175">
              <a:solidFill>
                <a:srgbClr val="000000"/>
              </a:solidFill>
              <a:prstDash val="solid"/>
            </a:ln>
          </c:spPr>
        </c:majorGridlines>
        <c:minorGridlines>
          <c:spPr>
            <a:ln w="3175">
              <a:solidFill>
                <a:srgbClr val="000000"/>
              </a:solidFill>
              <a:prstDash val="solid"/>
            </a:ln>
          </c:spPr>
        </c:minorGridlines>
        <c:title>
          <c:tx>
            <c:rich>
              <a:bodyPr/>
              <a:lstStyle/>
              <a:p>
                <a:pPr>
                  <a:defRPr sz="1125" b="0" i="0" u="none" strike="noStrike" baseline="0">
                    <a:solidFill>
                      <a:srgbClr val="000000"/>
                    </a:solidFill>
                    <a:latin typeface="Calibri"/>
                    <a:ea typeface="Calibri"/>
                    <a:cs typeface="Calibri"/>
                  </a:defRPr>
                </a:pPr>
                <a:r>
                  <a:rPr lang="en-US" sz="900" b="1" i="0" u="none" strike="noStrike" baseline="0">
                    <a:solidFill>
                      <a:srgbClr val="000000"/>
                    </a:solidFill>
                    <a:latin typeface="Arial"/>
                    <a:cs typeface="Arial"/>
                  </a:rPr>
                  <a:t>I</a:t>
                </a:r>
                <a:r>
                  <a:rPr lang="en-US" sz="900" b="1" i="0" u="none" strike="noStrike" baseline="-25000">
                    <a:solidFill>
                      <a:srgbClr val="000000"/>
                    </a:solidFill>
                    <a:latin typeface="Arial"/>
                    <a:cs typeface="Arial"/>
                  </a:rPr>
                  <a:t>DS</a:t>
                </a:r>
                <a:r>
                  <a:rPr lang="en-US" sz="900" b="1" i="0" u="none" strike="noStrike" baseline="0">
                    <a:solidFill>
                      <a:srgbClr val="000000"/>
                    </a:solidFill>
                    <a:latin typeface="Arial"/>
                    <a:cs typeface="Arial"/>
                  </a:rPr>
                  <a:t> - Drain-to-Source Current - A</a:t>
                </a:r>
              </a:p>
            </c:rich>
          </c:tx>
          <c:layout>
            <c:manualLayout>
              <c:xMode val="edge"/>
              <c:yMode val="edge"/>
              <c:x val="2.0103885280763262E-2"/>
              <c:y val="0.21497860712616401"/>
            </c:manualLayout>
          </c:layout>
          <c:overlay val="0"/>
          <c:spPr>
            <a:noFill/>
            <a:ln w="25400">
              <a:noFill/>
            </a:ln>
          </c:spPr>
        </c:title>
        <c:numFmt formatCode="General"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214223104"/>
        <c:crosses val="autoZero"/>
        <c:crossBetween val="midCat"/>
      </c:valAx>
      <c:spPr>
        <a:solidFill>
          <a:srgbClr val="FFFFFF"/>
        </a:solidFill>
        <a:ln w="12700">
          <a:solidFill>
            <a:srgbClr val="808080"/>
          </a:solidFill>
          <a:prstDash val="solid"/>
        </a:ln>
      </c:spPr>
    </c:plotArea>
    <c:legend>
      <c:legendPos val="r"/>
      <c:layout>
        <c:manualLayout>
          <c:xMode val="edge"/>
          <c:yMode val="edge"/>
          <c:x val="0.50994825783805042"/>
          <c:y val="2.4282023990083109E-2"/>
          <c:w val="0.47145813152771249"/>
          <c:h val="0.18794475132426872"/>
        </c:manualLayout>
      </c:layout>
      <c:overlay val="0"/>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legend>
    <c:plotVisOnly val="0"/>
    <c:dispBlanksAs val="gap"/>
    <c:showDLblsOverMax val="0"/>
  </c:chart>
  <c:spPr>
    <a:solidFill>
      <a:srgbClr val="FFFFFF"/>
    </a:solidFill>
    <a:ln w="12700">
      <a:solidFill>
        <a:srgbClr val="000000"/>
      </a:solidFill>
      <a:prstDash val="solid"/>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000000000000233" r="0.75000000000000233"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I</a:t>
            </a:r>
            <a:r>
              <a:rPr lang="en-US" sz="1600" baseline="-25000"/>
              <a:t>LOAD</a:t>
            </a:r>
            <a:r>
              <a:rPr lang="en-US" sz="1600" baseline="0"/>
              <a:t> and I</a:t>
            </a:r>
            <a:r>
              <a:rPr lang="en-US" sz="1600" baseline="-25000"/>
              <a:t>FET</a:t>
            </a:r>
            <a:r>
              <a:rPr lang="en-US" sz="1600" baseline="0"/>
              <a:t> vs Vout </a:t>
            </a:r>
            <a:r>
              <a:rPr lang="en-US" sz="1600" b="1" i="0" baseline="0">
                <a:effectLst/>
              </a:rPr>
              <a:t>(V</a:t>
            </a:r>
            <a:r>
              <a:rPr lang="en-US" sz="1600" b="1" i="0" baseline="-25000">
                <a:effectLst/>
              </a:rPr>
              <a:t>IN</a:t>
            </a:r>
            <a:r>
              <a:rPr lang="en-US" sz="1600" b="1" i="0" baseline="0">
                <a:effectLst/>
              </a:rPr>
              <a:t> = V</a:t>
            </a:r>
            <a:r>
              <a:rPr lang="en-US" sz="1600" b="1" i="0" baseline="-25000">
                <a:effectLst/>
              </a:rPr>
              <a:t>INMAX</a:t>
            </a:r>
            <a:r>
              <a:rPr lang="en-US" sz="1600" b="1" i="0" baseline="0">
                <a:effectLst/>
              </a:rPr>
              <a:t>)</a:t>
            </a:r>
            <a:r>
              <a:rPr lang="en-US" sz="1600" baseline="0"/>
              <a:t>                                               </a:t>
            </a:r>
            <a:endParaRPr lang="en-US" sz="1600" baseline="-25000"/>
          </a:p>
        </c:rich>
      </c:tx>
      <c:layout>
        <c:manualLayout>
          <c:xMode val="edge"/>
          <c:yMode val="edge"/>
          <c:x val="0.16494063286351637"/>
          <c:y val="3.0591748387251084E-2"/>
        </c:manualLayout>
      </c:layout>
      <c:overlay val="1"/>
      <c:spPr>
        <a:solidFill>
          <a:schemeClr val="bg1"/>
        </a:solidFill>
      </c:spPr>
    </c:title>
    <c:autoTitleDeleted val="0"/>
    <c:plotArea>
      <c:layout>
        <c:manualLayout>
          <c:layoutTarget val="inner"/>
          <c:xMode val="edge"/>
          <c:yMode val="edge"/>
          <c:x val="0.15203109554174482"/>
          <c:y val="0.13835811263066838"/>
          <c:w val="0.76865751103613689"/>
          <c:h val="0.70165890209112658"/>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0.23076923076923078</c:v>
                </c:pt>
                <c:pt idx="2">
                  <c:v>0.46153846153846156</c:v>
                </c:pt>
                <c:pt idx="3">
                  <c:v>0.69230769230769229</c:v>
                </c:pt>
                <c:pt idx="4">
                  <c:v>0.92307692307692313</c:v>
                </c:pt>
                <c:pt idx="5">
                  <c:v>1.153846153846154</c:v>
                </c:pt>
                <c:pt idx="6">
                  <c:v>1.3846153846153846</c:v>
                </c:pt>
                <c:pt idx="7">
                  <c:v>1.6153846153846154</c:v>
                </c:pt>
                <c:pt idx="8">
                  <c:v>1.8461538461538463</c:v>
                </c:pt>
                <c:pt idx="9">
                  <c:v>2.0769230769230766</c:v>
                </c:pt>
                <c:pt idx="10">
                  <c:v>2.3076923076923079</c:v>
                </c:pt>
                <c:pt idx="11">
                  <c:v>2.5384615384615383</c:v>
                </c:pt>
                <c:pt idx="12">
                  <c:v>2.7692307692307692</c:v>
                </c:pt>
                <c:pt idx="13">
                  <c:v>3</c:v>
                </c:pt>
                <c:pt idx="14">
                  <c:v>3.2307692307692308</c:v>
                </c:pt>
                <c:pt idx="15">
                  <c:v>3.4615384615384612</c:v>
                </c:pt>
                <c:pt idx="16">
                  <c:v>3.6923076923076925</c:v>
                </c:pt>
                <c:pt idx="17">
                  <c:v>3.9230769230769234</c:v>
                </c:pt>
                <c:pt idx="18">
                  <c:v>4.1538461538461533</c:v>
                </c:pt>
                <c:pt idx="19">
                  <c:v>4.3846153846153841</c:v>
                </c:pt>
                <c:pt idx="20">
                  <c:v>4.6153846153846159</c:v>
                </c:pt>
                <c:pt idx="21">
                  <c:v>4.8461538461538467</c:v>
                </c:pt>
                <c:pt idx="22">
                  <c:v>5.0769230769230766</c:v>
                </c:pt>
                <c:pt idx="23">
                  <c:v>5.3076923076923075</c:v>
                </c:pt>
                <c:pt idx="24">
                  <c:v>5.5384615384615383</c:v>
                </c:pt>
                <c:pt idx="25">
                  <c:v>5.7692307692307692</c:v>
                </c:pt>
                <c:pt idx="26">
                  <c:v>6</c:v>
                </c:pt>
                <c:pt idx="27">
                  <c:v>6.2307692307692317</c:v>
                </c:pt>
                <c:pt idx="28">
                  <c:v>6.4615384615384617</c:v>
                </c:pt>
                <c:pt idx="29">
                  <c:v>6.6923076923076925</c:v>
                </c:pt>
                <c:pt idx="30">
                  <c:v>6.9230769230769225</c:v>
                </c:pt>
                <c:pt idx="31">
                  <c:v>7.1538461538461533</c:v>
                </c:pt>
                <c:pt idx="32">
                  <c:v>7.384615384615385</c:v>
                </c:pt>
                <c:pt idx="33">
                  <c:v>7.615384615384615</c:v>
                </c:pt>
                <c:pt idx="34">
                  <c:v>7.8461538461538467</c:v>
                </c:pt>
                <c:pt idx="35">
                  <c:v>8.0769230769230766</c:v>
                </c:pt>
                <c:pt idx="36">
                  <c:v>8.3076923076923066</c:v>
                </c:pt>
                <c:pt idx="37">
                  <c:v>8.5384615384615383</c:v>
                </c:pt>
                <c:pt idx="38">
                  <c:v>8.7692307692307683</c:v>
                </c:pt>
                <c:pt idx="39">
                  <c:v>9</c:v>
                </c:pt>
                <c:pt idx="40">
                  <c:v>9.2307692307692317</c:v>
                </c:pt>
                <c:pt idx="41">
                  <c:v>9.4615384615384617</c:v>
                </c:pt>
                <c:pt idx="42">
                  <c:v>9.6923076923076934</c:v>
                </c:pt>
                <c:pt idx="43">
                  <c:v>9.9230769230769234</c:v>
                </c:pt>
                <c:pt idx="44">
                  <c:v>10.153846153846153</c:v>
                </c:pt>
                <c:pt idx="45">
                  <c:v>10.384615384615385</c:v>
                </c:pt>
                <c:pt idx="46">
                  <c:v>10.615384615384615</c:v>
                </c:pt>
                <c:pt idx="47">
                  <c:v>10.846153846153847</c:v>
                </c:pt>
                <c:pt idx="48">
                  <c:v>11.076923076923077</c:v>
                </c:pt>
                <c:pt idx="49">
                  <c:v>11.307692307692307</c:v>
                </c:pt>
                <c:pt idx="50">
                  <c:v>11.538461538461538</c:v>
                </c:pt>
                <c:pt idx="51">
                  <c:v>11.769230769230768</c:v>
                </c:pt>
                <c:pt idx="52">
                  <c:v>12</c:v>
                </c:pt>
                <c:pt idx="53">
                  <c:v>12.23076923076923</c:v>
                </c:pt>
                <c:pt idx="54">
                  <c:v>12.461538461538463</c:v>
                </c:pt>
                <c:pt idx="55">
                  <c:v>12.692307692307693</c:v>
                </c:pt>
                <c:pt idx="56">
                  <c:v>12.923076923076923</c:v>
                </c:pt>
                <c:pt idx="57">
                  <c:v>13.153846153846155</c:v>
                </c:pt>
                <c:pt idx="58">
                  <c:v>13.384615384615385</c:v>
                </c:pt>
                <c:pt idx="59">
                  <c:v>13.615384615384615</c:v>
                </c:pt>
                <c:pt idx="60">
                  <c:v>13.846153846153845</c:v>
                </c:pt>
                <c:pt idx="61">
                  <c:v>14.076923076923077</c:v>
                </c:pt>
                <c:pt idx="62">
                  <c:v>14.307692307692307</c:v>
                </c:pt>
                <c:pt idx="63">
                  <c:v>14.538461538461537</c:v>
                </c:pt>
                <c:pt idx="64">
                  <c:v>14.76923076923077</c:v>
                </c:pt>
                <c:pt idx="65">
                  <c:v>15</c:v>
                </c:pt>
                <c:pt idx="66">
                  <c:v>15.23076923076923</c:v>
                </c:pt>
                <c:pt idx="67">
                  <c:v>15.461538461538463</c:v>
                </c:pt>
                <c:pt idx="68">
                  <c:v>15.692307692307693</c:v>
                </c:pt>
                <c:pt idx="69">
                  <c:v>15.923076923076923</c:v>
                </c:pt>
                <c:pt idx="70">
                  <c:v>16.153846153846153</c:v>
                </c:pt>
                <c:pt idx="71">
                  <c:v>16.384615384615387</c:v>
                </c:pt>
                <c:pt idx="72">
                  <c:v>16.615384615384613</c:v>
                </c:pt>
                <c:pt idx="73">
                  <c:v>16.846153846153847</c:v>
                </c:pt>
                <c:pt idx="74">
                  <c:v>17.076923076923077</c:v>
                </c:pt>
                <c:pt idx="75">
                  <c:v>17.307692307692307</c:v>
                </c:pt>
                <c:pt idx="76">
                  <c:v>17.538461538461537</c:v>
                </c:pt>
                <c:pt idx="77">
                  <c:v>17.76923076923077</c:v>
                </c:pt>
                <c:pt idx="78">
                  <c:v>18</c:v>
                </c:pt>
                <c:pt idx="79">
                  <c:v>18.23076923076923</c:v>
                </c:pt>
                <c:pt idx="80">
                  <c:v>18.461538461538463</c:v>
                </c:pt>
                <c:pt idx="81">
                  <c:v>18.692307692307693</c:v>
                </c:pt>
                <c:pt idx="82">
                  <c:v>18.923076923076923</c:v>
                </c:pt>
                <c:pt idx="83">
                  <c:v>19.153846153846153</c:v>
                </c:pt>
                <c:pt idx="84">
                  <c:v>19.384615384615387</c:v>
                </c:pt>
                <c:pt idx="85">
                  <c:v>19.615384615384613</c:v>
                </c:pt>
                <c:pt idx="86">
                  <c:v>19.846153846153847</c:v>
                </c:pt>
                <c:pt idx="87">
                  <c:v>20.076923076923077</c:v>
                </c:pt>
                <c:pt idx="88">
                  <c:v>20.307692307692307</c:v>
                </c:pt>
                <c:pt idx="89">
                  <c:v>20.538461538461537</c:v>
                </c:pt>
                <c:pt idx="90">
                  <c:v>20.76923076923077</c:v>
                </c:pt>
                <c:pt idx="91">
                  <c:v>21</c:v>
                </c:pt>
                <c:pt idx="92">
                  <c:v>21.23076923076923</c:v>
                </c:pt>
                <c:pt idx="93">
                  <c:v>21.461538461538463</c:v>
                </c:pt>
                <c:pt idx="94">
                  <c:v>21.692307692307693</c:v>
                </c:pt>
                <c:pt idx="95">
                  <c:v>21.923076923076923</c:v>
                </c:pt>
                <c:pt idx="96">
                  <c:v>22.153846153846153</c:v>
                </c:pt>
                <c:pt idx="97">
                  <c:v>22.384615384615387</c:v>
                </c:pt>
                <c:pt idx="98">
                  <c:v>22.615384615384613</c:v>
                </c:pt>
                <c:pt idx="99">
                  <c:v>22.846153846153847</c:v>
                </c:pt>
                <c:pt idx="100">
                  <c:v>23.076923076923077</c:v>
                </c:pt>
                <c:pt idx="101">
                  <c:v>23.307692307692307</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9862-408D-87E8-BE6B33F4AFA7}"/>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0.23076923076923078</c:v>
                </c:pt>
                <c:pt idx="2">
                  <c:v>0.46153846153846156</c:v>
                </c:pt>
                <c:pt idx="3">
                  <c:v>0.69230769230769229</c:v>
                </c:pt>
                <c:pt idx="4">
                  <c:v>0.92307692307692313</c:v>
                </c:pt>
                <c:pt idx="5">
                  <c:v>1.153846153846154</c:v>
                </c:pt>
                <c:pt idx="6">
                  <c:v>1.3846153846153846</c:v>
                </c:pt>
                <c:pt idx="7">
                  <c:v>1.6153846153846154</c:v>
                </c:pt>
                <c:pt idx="8">
                  <c:v>1.8461538461538463</c:v>
                </c:pt>
                <c:pt idx="9">
                  <c:v>2.0769230769230766</c:v>
                </c:pt>
                <c:pt idx="10">
                  <c:v>2.3076923076923079</c:v>
                </c:pt>
                <c:pt idx="11">
                  <c:v>2.5384615384615383</c:v>
                </c:pt>
                <c:pt idx="12">
                  <c:v>2.7692307692307692</c:v>
                </c:pt>
                <c:pt idx="13">
                  <c:v>3</c:v>
                </c:pt>
                <c:pt idx="14">
                  <c:v>3.2307692307692308</c:v>
                </c:pt>
                <c:pt idx="15">
                  <c:v>3.4615384615384612</c:v>
                </c:pt>
                <c:pt idx="16">
                  <c:v>3.6923076923076925</c:v>
                </c:pt>
                <c:pt idx="17">
                  <c:v>3.9230769230769234</c:v>
                </c:pt>
                <c:pt idx="18">
                  <c:v>4.1538461538461533</c:v>
                </c:pt>
                <c:pt idx="19">
                  <c:v>4.3846153846153841</c:v>
                </c:pt>
                <c:pt idx="20">
                  <c:v>4.6153846153846159</c:v>
                </c:pt>
                <c:pt idx="21">
                  <c:v>4.8461538461538467</c:v>
                </c:pt>
                <c:pt idx="22">
                  <c:v>5.0769230769230766</c:v>
                </c:pt>
                <c:pt idx="23">
                  <c:v>5.3076923076923075</c:v>
                </c:pt>
                <c:pt idx="24">
                  <c:v>5.5384615384615383</c:v>
                </c:pt>
                <c:pt idx="25">
                  <c:v>5.7692307692307692</c:v>
                </c:pt>
                <c:pt idx="26">
                  <c:v>6</c:v>
                </c:pt>
                <c:pt idx="27">
                  <c:v>6.2307692307692317</c:v>
                </c:pt>
                <c:pt idx="28">
                  <c:v>6.4615384615384617</c:v>
                </c:pt>
                <c:pt idx="29">
                  <c:v>6.6923076923076925</c:v>
                </c:pt>
                <c:pt idx="30">
                  <c:v>6.9230769230769225</c:v>
                </c:pt>
                <c:pt idx="31">
                  <c:v>7.1538461538461533</c:v>
                </c:pt>
                <c:pt idx="32">
                  <c:v>7.384615384615385</c:v>
                </c:pt>
                <c:pt idx="33">
                  <c:v>7.615384615384615</c:v>
                </c:pt>
                <c:pt idx="34">
                  <c:v>7.8461538461538467</c:v>
                </c:pt>
                <c:pt idx="35">
                  <c:v>8.0769230769230766</c:v>
                </c:pt>
                <c:pt idx="36">
                  <c:v>8.3076923076923066</c:v>
                </c:pt>
                <c:pt idx="37">
                  <c:v>8.5384615384615383</c:v>
                </c:pt>
                <c:pt idx="38">
                  <c:v>8.7692307692307683</c:v>
                </c:pt>
                <c:pt idx="39">
                  <c:v>9</c:v>
                </c:pt>
                <c:pt idx="40">
                  <c:v>9.2307692307692317</c:v>
                </c:pt>
                <c:pt idx="41">
                  <c:v>9.4615384615384617</c:v>
                </c:pt>
                <c:pt idx="42">
                  <c:v>9.6923076923076934</c:v>
                </c:pt>
                <c:pt idx="43">
                  <c:v>9.9230769230769234</c:v>
                </c:pt>
                <c:pt idx="44">
                  <c:v>10.153846153846153</c:v>
                </c:pt>
                <c:pt idx="45">
                  <c:v>10.384615384615385</c:v>
                </c:pt>
                <c:pt idx="46">
                  <c:v>10.615384615384615</c:v>
                </c:pt>
                <c:pt idx="47">
                  <c:v>10.846153846153847</c:v>
                </c:pt>
                <c:pt idx="48">
                  <c:v>11.076923076923077</c:v>
                </c:pt>
                <c:pt idx="49">
                  <c:v>11.307692307692307</c:v>
                </c:pt>
                <c:pt idx="50">
                  <c:v>11.538461538461538</c:v>
                </c:pt>
                <c:pt idx="51">
                  <c:v>11.769230769230768</c:v>
                </c:pt>
                <c:pt idx="52">
                  <c:v>12</c:v>
                </c:pt>
                <c:pt idx="53">
                  <c:v>12.23076923076923</c:v>
                </c:pt>
                <c:pt idx="54">
                  <c:v>12.461538461538463</c:v>
                </c:pt>
                <c:pt idx="55">
                  <c:v>12.692307692307693</c:v>
                </c:pt>
                <c:pt idx="56">
                  <c:v>12.923076923076923</c:v>
                </c:pt>
                <c:pt idx="57">
                  <c:v>13.153846153846155</c:v>
                </c:pt>
                <c:pt idx="58">
                  <c:v>13.384615384615385</c:v>
                </c:pt>
                <c:pt idx="59">
                  <c:v>13.615384615384615</c:v>
                </c:pt>
                <c:pt idx="60">
                  <c:v>13.846153846153845</c:v>
                </c:pt>
                <c:pt idx="61">
                  <c:v>14.076923076923077</c:v>
                </c:pt>
                <c:pt idx="62">
                  <c:v>14.307692307692307</c:v>
                </c:pt>
                <c:pt idx="63">
                  <c:v>14.538461538461537</c:v>
                </c:pt>
                <c:pt idx="64">
                  <c:v>14.76923076923077</c:v>
                </c:pt>
                <c:pt idx="65">
                  <c:v>15</c:v>
                </c:pt>
                <c:pt idx="66">
                  <c:v>15.23076923076923</c:v>
                </c:pt>
                <c:pt idx="67">
                  <c:v>15.461538461538463</c:v>
                </c:pt>
                <c:pt idx="68">
                  <c:v>15.692307692307693</c:v>
                </c:pt>
                <c:pt idx="69">
                  <c:v>15.923076923076923</c:v>
                </c:pt>
                <c:pt idx="70">
                  <c:v>16.153846153846153</c:v>
                </c:pt>
                <c:pt idx="71">
                  <c:v>16.384615384615387</c:v>
                </c:pt>
                <c:pt idx="72">
                  <c:v>16.615384615384613</c:v>
                </c:pt>
                <c:pt idx="73">
                  <c:v>16.846153846153847</c:v>
                </c:pt>
                <c:pt idx="74">
                  <c:v>17.076923076923077</c:v>
                </c:pt>
                <c:pt idx="75">
                  <c:v>17.307692307692307</c:v>
                </c:pt>
                <c:pt idx="76">
                  <c:v>17.538461538461537</c:v>
                </c:pt>
                <c:pt idx="77">
                  <c:v>17.76923076923077</c:v>
                </c:pt>
                <c:pt idx="78">
                  <c:v>18</c:v>
                </c:pt>
                <c:pt idx="79">
                  <c:v>18.23076923076923</c:v>
                </c:pt>
                <c:pt idx="80">
                  <c:v>18.461538461538463</c:v>
                </c:pt>
                <c:pt idx="81">
                  <c:v>18.692307692307693</c:v>
                </c:pt>
                <c:pt idx="82">
                  <c:v>18.923076923076923</c:v>
                </c:pt>
                <c:pt idx="83">
                  <c:v>19.153846153846153</c:v>
                </c:pt>
                <c:pt idx="84">
                  <c:v>19.384615384615387</c:v>
                </c:pt>
                <c:pt idx="85">
                  <c:v>19.615384615384613</c:v>
                </c:pt>
                <c:pt idx="86">
                  <c:v>19.846153846153847</c:v>
                </c:pt>
                <c:pt idx="87">
                  <c:v>20.076923076923077</c:v>
                </c:pt>
                <c:pt idx="88">
                  <c:v>20.307692307692307</c:v>
                </c:pt>
                <c:pt idx="89">
                  <c:v>20.538461538461537</c:v>
                </c:pt>
                <c:pt idx="90">
                  <c:v>20.76923076923077</c:v>
                </c:pt>
                <c:pt idx="91">
                  <c:v>21</c:v>
                </c:pt>
                <c:pt idx="92">
                  <c:v>21.23076923076923</c:v>
                </c:pt>
                <c:pt idx="93">
                  <c:v>21.461538461538463</c:v>
                </c:pt>
                <c:pt idx="94">
                  <c:v>21.692307692307693</c:v>
                </c:pt>
                <c:pt idx="95">
                  <c:v>21.923076923076923</c:v>
                </c:pt>
                <c:pt idx="96">
                  <c:v>22.153846153846153</c:v>
                </c:pt>
                <c:pt idx="97">
                  <c:v>22.384615384615387</c:v>
                </c:pt>
                <c:pt idx="98">
                  <c:v>22.615384615384613</c:v>
                </c:pt>
                <c:pt idx="99">
                  <c:v>22.846153846153847</c:v>
                </c:pt>
                <c:pt idx="100">
                  <c:v>23.076923076923077</c:v>
                </c:pt>
                <c:pt idx="101">
                  <c:v>23.307692307692307</c:v>
                </c:pt>
              </c:numCache>
            </c:numRef>
          </c:xVal>
          <c:yVal>
            <c:numRef>
              <c:f>Start_up!$G$10:$G$112</c:f>
              <c:numCache>
                <c:formatCode>General</c:formatCode>
                <c:ptCount val="103"/>
                <c:pt idx="0">
                  <c:v>1.0999999999999999E-2</c:v>
                </c:pt>
                <c:pt idx="1">
                  <c:v>1.0999999999999999E-2</c:v>
                </c:pt>
                <c:pt idx="2">
                  <c:v>1.0999999999999999E-2</c:v>
                </c:pt>
                <c:pt idx="3">
                  <c:v>1.0999999999999999E-2</c:v>
                </c:pt>
                <c:pt idx="4">
                  <c:v>1.0999999999999999E-2</c:v>
                </c:pt>
                <c:pt idx="5">
                  <c:v>1.0999999999999999E-2</c:v>
                </c:pt>
                <c:pt idx="6">
                  <c:v>1.0999999999999999E-2</c:v>
                </c:pt>
                <c:pt idx="7">
                  <c:v>1.0999999999999999E-2</c:v>
                </c:pt>
                <c:pt idx="8">
                  <c:v>1.0999999999999999E-2</c:v>
                </c:pt>
                <c:pt idx="9">
                  <c:v>1.0999999999999999E-2</c:v>
                </c:pt>
                <c:pt idx="10">
                  <c:v>1.0999999999999999E-2</c:v>
                </c:pt>
                <c:pt idx="11">
                  <c:v>1.0999999999999999E-2</c:v>
                </c:pt>
                <c:pt idx="12">
                  <c:v>1.0999999999999999E-2</c:v>
                </c:pt>
                <c:pt idx="13">
                  <c:v>1.0999999999999999E-2</c:v>
                </c:pt>
                <c:pt idx="14">
                  <c:v>1.0999999999999999E-2</c:v>
                </c:pt>
                <c:pt idx="15">
                  <c:v>1.0999999999999999E-2</c:v>
                </c:pt>
                <c:pt idx="16">
                  <c:v>1.0999999999999999E-2</c:v>
                </c:pt>
                <c:pt idx="17">
                  <c:v>1.0999999999999999E-2</c:v>
                </c:pt>
                <c:pt idx="18">
                  <c:v>1.0999999999999999E-2</c:v>
                </c:pt>
                <c:pt idx="19">
                  <c:v>1.0999999999999999E-2</c:v>
                </c:pt>
                <c:pt idx="20">
                  <c:v>1.0999999999999999E-2</c:v>
                </c:pt>
                <c:pt idx="21">
                  <c:v>1.0999999999999999E-2</c:v>
                </c:pt>
                <c:pt idx="22">
                  <c:v>1.0999999999999999E-2</c:v>
                </c:pt>
                <c:pt idx="23">
                  <c:v>1.0999999999999999E-2</c:v>
                </c:pt>
                <c:pt idx="24">
                  <c:v>1.0999999999999999E-2</c:v>
                </c:pt>
                <c:pt idx="25">
                  <c:v>1.0999999999999999E-2</c:v>
                </c:pt>
                <c:pt idx="26">
                  <c:v>1.0999999999999999E-2</c:v>
                </c:pt>
                <c:pt idx="27">
                  <c:v>1.0999999999999999E-2</c:v>
                </c:pt>
                <c:pt idx="28">
                  <c:v>1.0999999999999999E-2</c:v>
                </c:pt>
                <c:pt idx="29">
                  <c:v>1.0999999999999999E-2</c:v>
                </c:pt>
                <c:pt idx="30">
                  <c:v>1.0999999999999999E-2</c:v>
                </c:pt>
                <c:pt idx="31">
                  <c:v>1.0999999999999999E-2</c:v>
                </c:pt>
                <c:pt idx="32">
                  <c:v>1.0999999999999999E-2</c:v>
                </c:pt>
                <c:pt idx="33">
                  <c:v>1.0999999999999999E-2</c:v>
                </c:pt>
                <c:pt idx="34">
                  <c:v>1.0999999999999999E-2</c:v>
                </c:pt>
                <c:pt idx="35">
                  <c:v>1.0999999999999999E-2</c:v>
                </c:pt>
                <c:pt idx="36">
                  <c:v>1.0999999999999999E-2</c:v>
                </c:pt>
                <c:pt idx="37">
                  <c:v>1.0999999999999999E-2</c:v>
                </c:pt>
                <c:pt idx="38">
                  <c:v>1.0999999999999999E-2</c:v>
                </c:pt>
                <c:pt idx="39">
                  <c:v>1.0999999999999999E-2</c:v>
                </c:pt>
                <c:pt idx="40">
                  <c:v>1.0999999999999999E-2</c:v>
                </c:pt>
                <c:pt idx="41">
                  <c:v>1.0999999999999999E-2</c:v>
                </c:pt>
                <c:pt idx="42">
                  <c:v>1.0999999999999999E-2</c:v>
                </c:pt>
                <c:pt idx="43">
                  <c:v>1.0999999999999999E-2</c:v>
                </c:pt>
                <c:pt idx="44">
                  <c:v>1.0999999999999999E-2</c:v>
                </c:pt>
                <c:pt idx="45">
                  <c:v>1.0999999999999999E-2</c:v>
                </c:pt>
                <c:pt idx="46">
                  <c:v>1.0999999999999999E-2</c:v>
                </c:pt>
                <c:pt idx="47">
                  <c:v>1.0999999999999999E-2</c:v>
                </c:pt>
                <c:pt idx="48">
                  <c:v>1.0999999999999999E-2</c:v>
                </c:pt>
                <c:pt idx="49">
                  <c:v>1.0999999999999999E-2</c:v>
                </c:pt>
                <c:pt idx="50">
                  <c:v>1.0999999999999999E-2</c:v>
                </c:pt>
                <c:pt idx="51">
                  <c:v>1.0999999999999999E-2</c:v>
                </c:pt>
                <c:pt idx="52">
                  <c:v>1.0999999999999999E-2</c:v>
                </c:pt>
                <c:pt idx="53">
                  <c:v>1.0999999999999999E-2</c:v>
                </c:pt>
                <c:pt idx="54">
                  <c:v>1.0999999999999999E-2</c:v>
                </c:pt>
                <c:pt idx="55">
                  <c:v>1.0999999999999999E-2</c:v>
                </c:pt>
                <c:pt idx="56">
                  <c:v>1.0999999999999999E-2</c:v>
                </c:pt>
                <c:pt idx="57">
                  <c:v>1.0999999999999999E-2</c:v>
                </c:pt>
                <c:pt idx="58">
                  <c:v>1.0999999999999999E-2</c:v>
                </c:pt>
                <c:pt idx="59">
                  <c:v>1.0999999999999999E-2</c:v>
                </c:pt>
                <c:pt idx="60">
                  <c:v>1.0999999999999999E-2</c:v>
                </c:pt>
                <c:pt idx="61">
                  <c:v>1.0999999999999999E-2</c:v>
                </c:pt>
                <c:pt idx="62">
                  <c:v>1.0999999999999999E-2</c:v>
                </c:pt>
                <c:pt idx="63">
                  <c:v>1.0999999999999999E-2</c:v>
                </c:pt>
                <c:pt idx="64">
                  <c:v>1.0999999999999999E-2</c:v>
                </c:pt>
                <c:pt idx="65">
                  <c:v>1.0999999999999999E-2</c:v>
                </c:pt>
                <c:pt idx="66">
                  <c:v>1.0999999999999999E-2</c:v>
                </c:pt>
                <c:pt idx="67">
                  <c:v>1.0999999999999999E-2</c:v>
                </c:pt>
                <c:pt idx="68">
                  <c:v>1.0999999999999999E-2</c:v>
                </c:pt>
                <c:pt idx="69">
                  <c:v>1.0999999999999999E-2</c:v>
                </c:pt>
                <c:pt idx="70">
                  <c:v>1.0999999999999999E-2</c:v>
                </c:pt>
                <c:pt idx="71">
                  <c:v>1.0999999999999999E-2</c:v>
                </c:pt>
                <c:pt idx="72">
                  <c:v>1.0999999999999999E-2</c:v>
                </c:pt>
                <c:pt idx="73">
                  <c:v>1.0999999999999999E-2</c:v>
                </c:pt>
                <c:pt idx="74">
                  <c:v>1.0999999999999999E-2</c:v>
                </c:pt>
                <c:pt idx="75">
                  <c:v>1.0999999999999999E-2</c:v>
                </c:pt>
                <c:pt idx="76">
                  <c:v>1.0999999999999999E-2</c:v>
                </c:pt>
                <c:pt idx="77">
                  <c:v>1.0999999999999999E-2</c:v>
                </c:pt>
                <c:pt idx="78">
                  <c:v>1.0999999999999999E-2</c:v>
                </c:pt>
                <c:pt idx="79">
                  <c:v>1.0999999999999999E-2</c:v>
                </c:pt>
                <c:pt idx="80">
                  <c:v>1.0999999999999999E-2</c:v>
                </c:pt>
                <c:pt idx="81">
                  <c:v>1.0999999999999999E-2</c:v>
                </c:pt>
                <c:pt idx="82">
                  <c:v>1.0999999999999999E-2</c:v>
                </c:pt>
                <c:pt idx="83">
                  <c:v>1.0999999999999999E-2</c:v>
                </c:pt>
                <c:pt idx="84">
                  <c:v>1.0999999999999999E-2</c:v>
                </c:pt>
                <c:pt idx="85">
                  <c:v>1.0999999999999999E-2</c:v>
                </c:pt>
                <c:pt idx="86">
                  <c:v>1.0999999999999999E-2</c:v>
                </c:pt>
                <c:pt idx="87">
                  <c:v>1.0999999999999999E-2</c:v>
                </c:pt>
                <c:pt idx="88">
                  <c:v>1.0999999999999999E-2</c:v>
                </c:pt>
                <c:pt idx="89">
                  <c:v>1.0999999999999999E-2</c:v>
                </c:pt>
                <c:pt idx="90">
                  <c:v>1.0999999999999999E-2</c:v>
                </c:pt>
                <c:pt idx="91">
                  <c:v>1.0999999999999999E-2</c:v>
                </c:pt>
                <c:pt idx="92">
                  <c:v>1.0999999999999999E-2</c:v>
                </c:pt>
                <c:pt idx="93">
                  <c:v>1.0999999999999999E-2</c:v>
                </c:pt>
                <c:pt idx="94">
                  <c:v>1.0999999999999999E-2</c:v>
                </c:pt>
                <c:pt idx="95">
                  <c:v>1.0999999999999999E-2</c:v>
                </c:pt>
                <c:pt idx="96">
                  <c:v>1.0999999999999999E-2</c:v>
                </c:pt>
                <c:pt idx="97">
                  <c:v>1.0999999999999999E-2</c:v>
                </c:pt>
                <c:pt idx="98">
                  <c:v>1.0999999999999999E-2</c:v>
                </c:pt>
                <c:pt idx="99">
                  <c:v>1.0999999999999999E-2</c:v>
                </c:pt>
                <c:pt idx="100">
                  <c:v>1.0999999999999999E-2</c:v>
                </c:pt>
                <c:pt idx="101">
                  <c:v>1.0999999999999999E-2</c:v>
                </c:pt>
                <c:pt idx="102">
                  <c:v>1.0999999999999999E-2</c:v>
                </c:pt>
              </c:numCache>
            </c:numRef>
          </c:yVal>
          <c:smooth val="1"/>
          <c:extLst>
            <c:ext xmlns:c16="http://schemas.microsoft.com/office/drawing/2014/chart" uri="{C3380CC4-5D6E-409C-BE32-E72D297353CC}">
              <c16:uniqueId val="{00000001-9862-408D-87E8-BE6B33F4AFA7}"/>
            </c:ext>
          </c:extLst>
        </c:ser>
        <c:dLbls>
          <c:showLegendKey val="0"/>
          <c:showVal val="0"/>
          <c:showCatName val="0"/>
          <c:showSerName val="0"/>
          <c:showPercent val="0"/>
          <c:showBubbleSize val="0"/>
        </c:dLbls>
        <c:axId val="203982336"/>
        <c:axId val="203984256"/>
      </c:scatterChart>
      <c:valAx>
        <c:axId val="203982336"/>
        <c:scaling>
          <c:orientation val="minMax"/>
        </c:scaling>
        <c:delete val="0"/>
        <c:axPos val="b"/>
        <c:majorGridlines/>
        <c:minorGridlines/>
        <c:title>
          <c:tx>
            <c:rich>
              <a:bodyPr/>
              <a:lstStyle/>
              <a:p>
                <a:pPr>
                  <a:defRPr/>
                </a:pPr>
                <a:r>
                  <a:rPr lang="en-US"/>
                  <a:t>Output</a:t>
                </a:r>
                <a:r>
                  <a:rPr lang="en-US" baseline="0"/>
                  <a:t> Voltage (V)</a:t>
                </a:r>
                <a:endParaRPr lang="en-US"/>
              </a:p>
            </c:rich>
          </c:tx>
          <c:layout>
            <c:manualLayout>
              <c:xMode val="edge"/>
              <c:yMode val="edge"/>
              <c:x val="0.40914479681091759"/>
              <c:y val="0.92545001031614371"/>
            </c:manualLayout>
          </c:layout>
          <c:overlay val="0"/>
        </c:title>
        <c:numFmt formatCode="0.0" sourceLinked="0"/>
        <c:majorTickMark val="out"/>
        <c:minorTickMark val="none"/>
        <c:tickLblPos val="nextTo"/>
        <c:txPr>
          <a:bodyPr/>
          <a:lstStyle/>
          <a:p>
            <a:pPr>
              <a:defRPr b="1"/>
            </a:pPr>
            <a:endParaRPr lang="en-US"/>
          </a:p>
        </c:txPr>
        <c:crossAx val="203984256"/>
        <c:crosses val="autoZero"/>
        <c:crossBetween val="midCat"/>
      </c:valAx>
      <c:valAx>
        <c:axId val="203984256"/>
        <c:scaling>
          <c:orientation val="minMax"/>
        </c:scaling>
        <c:delete val="0"/>
        <c:axPos val="l"/>
        <c:majorGridlines/>
        <c:minorGridlines/>
        <c:title>
          <c:tx>
            <c:rich>
              <a:bodyPr rot="-5400000" vert="horz"/>
              <a:lstStyle/>
              <a:p>
                <a:pPr>
                  <a:defRPr/>
                </a:pPr>
                <a:r>
                  <a:rPr lang="en-US"/>
                  <a:t>Current (A)</a:t>
                </a:r>
              </a:p>
            </c:rich>
          </c:tx>
          <c:layout>
            <c:manualLayout>
              <c:xMode val="edge"/>
              <c:yMode val="edge"/>
              <c:x val="2.2822940901788977E-2"/>
              <c:y val="0.40230001943237698"/>
            </c:manualLayout>
          </c:layout>
          <c:overlay val="0"/>
        </c:title>
        <c:numFmt formatCode="0.00" sourceLinked="0"/>
        <c:majorTickMark val="out"/>
        <c:minorTickMark val="none"/>
        <c:tickLblPos val="nextTo"/>
        <c:txPr>
          <a:bodyPr/>
          <a:lstStyle/>
          <a:p>
            <a:pPr>
              <a:defRPr b="1"/>
            </a:pPr>
            <a:endParaRPr lang="en-US"/>
          </a:p>
        </c:txPr>
        <c:crossAx val="203982336"/>
        <c:crosses val="autoZero"/>
        <c:crossBetween val="midCat"/>
      </c:valAx>
    </c:plotArea>
    <c:legend>
      <c:legendPos val="r"/>
      <c:layout>
        <c:manualLayout>
          <c:xMode val="edge"/>
          <c:yMode val="edge"/>
          <c:x val="0.20097942842412428"/>
          <c:y val="0.16726500821758991"/>
          <c:w val="0.21462230092985587"/>
          <c:h val="0.18516649249275954"/>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600"/>
              <a:t>Start</a:t>
            </a:r>
            <a:r>
              <a:rPr lang="en-US" sz="1600" baseline="0"/>
              <a:t> - up: </a:t>
            </a:r>
            <a:r>
              <a:rPr lang="en-US" sz="1600"/>
              <a:t>FET</a:t>
            </a:r>
            <a:r>
              <a:rPr lang="en-US" sz="1600" baseline="0"/>
              <a:t> Power (</a:t>
            </a:r>
            <a:r>
              <a:rPr lang="en-US" sz="1600" b="1" i="0" u="none" strike="noStrike" baseline="0">
                <a:effectLst/>
              </a:rPr>
              <a:t>V</a:t>
            </a:r>
            <a:r>
              <a:rPr lang="en-US" sz="1600" b="1" i="0" u="none" strike="noStrike" baseline="-25000">
                <a:effectLst/>
              </a:rPr>
              <a:t>IN</a:t>
            </a:r>
            <a:r>
              <a:rPr lang="en-US" sz="1600" b="1" i="0" u="none" strike="noStrike" baseline="0">
                <a:effectLst/>
              </a:rPr>
              <a:t> = </a:t>
            </a:r>
            <a:r>
              <a:rPr lang="en-US" sz="1600" b="1" i="0" baseline="0">
                <a:effectLst/>
              </a:rPr>
              <a:t>V</a:t>
            </a:r>
            <a:r>
              <a:rPr lang="en-US" sz="1600" b="1" i="0" baseline="-25000">
                <a:effectLst/>
              </a:rPr>
              <a:t>INMAX</a:t>
            </a:r>
            <a:r>
              <a:rPr lang="en-US" sz="1600" b="1" i="0" u="none" strike="noStrike" baseline="0">
                <a:effectLst/>
              </a:rPr>
              <a:t>)</a:t>
            </a:r>
            <a:endParaRPr lang="en-US" sz="1600"/>
          </a:p>
        </c:rich>
      </c:tx>
      <c:layout>
        <c:manualLayout>
          <c:xMode val="edge"/>
          <c:yMode val="edge"/>
          <c:x val="0.19627129299304633"/>
          <c:y val="4.7011518577863782E-3"/>
        </c:manualLayout>
      </c:layout>
      <c:overlay val="0"/>
      <c:spPr>
        <a:solidFill>
          <a:schemeClr val="bg1"/>
        </a:solidFill>
      </c:spPr>
    </c:title>
    <c:autoTitleDeleted val="0"/>
    <c:plotArea>
      <c:layout>
        <c:manualLayout>
          <c:layoutTarget val="inner"/>
          <c:xMode val="edge"/>
          <c:yMode val="edge"/>
          <c:x val="0.13897705213713227"/>
          <c:y val="8.0967958803185414E-2"/>
          <c:w val="0.7676811886700865"/>
          <c:h val="0.71875545525738083"/>
        </c:manualLayout>
      </c:layout>
      <c:scatterChart>
        <c:scatterStyle val="lineMarker"/>
        <c:varyColors val="0"/>
        <c:ser>
          <c:idx val="0"/>
          <c:order val="0"/>
          <c:tx>
            <c:v>FET power dissipation</c:v>
          </c:tx>
          <c:marker>
            <c:symbol val="none"/>
          </c:marker>
          <c:xVal>
            <c:numRef>
              <c:f>Start_up!$K$8:$K$115</c:f>
              <c:numCache>
                <c:formatCode>0.00</c:formatCode>
                <c:ptCount val="108"/>
                <c:pt idx="0" formatCode="0.0">
                  <c:v>-10</c:v>
                </c:pt>
                <c:pt idx="1">
                  <c:v>-0.01</c:v>
                </c:pt>
                <c:pt idx="2" formatCode="0.0">
                  <c:v>0</c:v>
                </c:pt>
                <c:pt idx="3" formatCode="0.0">
                  <c:v>1.0489510489510492</c:v>
                </c:pt>
                <c:pt idx="4" formatCode="0.0">
                  <c:v>2.0979020979020984</c:v>
                </c:pt>
                <c:pt idx="5" formatCode="0.0">
                  <c:v>3.1468531468531471</c:v>
                </c:pt>
                <c:pt idx="6" formatCode="0.0">
                  <c:v>4.1958041958041967</c:v>
                </c:pt>
                <c:pt idx="7" formatCode="0.0">
                  <c:v>5.2447552447552459</c:v>
                </c:pt>
                <c:pt idx="8" formatCode="0.0">
                  <c:v>6.2937062937062942</c:v>
                </c:pt>
                <c:pt idx="9" formatCode="0.0">
                  <c:v>7.3426573426573434</c:v>
                </c:pt>
                <c:pt idx="10" formatCode="0.0">
                  <c:v>8.3916083916083934</c:v>
                </c:pt>
                <c:pt idx="11" formatCode="0.0">
                  <c:v>9.44055944055944</c:v>
                </c:pt>
                <c:pt idx="12" formatCode="0.0">
                  <c:v>10.489510489510492</c:v>
                </c:pt>
                <c:pt idx="13" formatCode="0.0">
                  <c:v>11.538461538461538</c:v>
                </c:pt>
                <c:pt idx="14" formatCode="0.0">
                  <c:v>12.587412587412588</c:v>
                </c:pt>
                <c:pt idx="15" formatCode="0.0">
                  <c:v>13.636363636363637</c:v>
                </c:pt>
                <c:pt idx="16" formatCode="0.0">
                  <c:v>14.685314685314687</c:v>
                </c:pt>
                <c:pt idx="17" formatCode="0.0">
                  <c:v>15.734265734265735</c:v>
                </c:pt>
                <c:pt idx="18" formatCode="0.0">
                  <c:v>16.783216783216787</c:v>
                </c:pt>
                <c:pt idx="19" formatCode="0.0">
                  <c:v>17.832167832167837</c:v>
                </c:pt>
                <c:pt idx="20" formatCode="0.0">
                  <c:v>18.88111888111888</c:v>
                </c:pt>
                <c:pt idx="21" formatCode="0.0">
                  <c:v>19.930069930069934</c:v>
                </c:pt>
                <c:pt idx="22" formatCode="0.0">
                  <c:v>20.979020979020987</c:v>
                </c:pt>
                <c:pt idx="23" formatCode="0.0">
                  <c:v>22.027972027972037</c:v>
                </c:pt>
                <c:pt idx="24" formatCode="0.0">
                  <c:v>23.07692307692308</c:v>
                </c:pt>
                <c:pt idx="25" formatCode="0.0">
                  <c:v>24.125874125874134</c:v>
                </c:pt>
                <c:pt idx="26" formatCode="0.0">
                  <c:v>25.174825174825184</c:v>
                </c:pt>
                <c:pt idx="27" formatCode="0.0">
                  <c:v>26.223776223776234</c:v>
                </c:pt>
                <c:pt idx="28" formatCode="0.0">
                  <c:v>27.272727272727284</c:v>
                </c:pt>
                <c:pt idx="29" formatCode="0.0">
                  <c:v>28.321678321678341</c:v>
                </c:pt>
                <c:pt idx="30" formatCode="0.0">
                  <c:v>29.370629370629384</c:v>
                </c:pt>
                <c:pt idx="31" formatCode="0.0">
                  <c:v>30.419580419580434</c:v>
                </c:pt>
                <c:pt idx="32" formatCode="0.0">
                  <c:v>31.468531468531477</c:v>
                </c:pt>
                <c:pt idx="33" formatCode="0.0">
                  <c:v>32.517482517482527</c:v>
                </c:pt>
                <c:pt idx="34" formatCode="0.0">
                  <c:v>33.566433566433581</c:v>
                </c:pt>
                <c:pt idx="35" formatCode="0.0">
                  <c:v>34.615384615384627</c:v>
                </c:pt>
                <c:pt idx="36" formatCode="0.0">
                  <c:v>35.664335664335674</c:v>
                </c:pt>
                <c:pt idx="37" formatCode="0.0">
                  <c:v>36.71328671328672</c:v>
                </c:pt>
                <c:pt idx="38" formatCode="0.0">
                  <c:v>37.76223776223776</c:v>
                </c:pt>
                <c:pt idx="39" formatCode="0.0">
                  <c:v>38.811188811188813</c:v>
                </c:pt>
                <c:pt idx="40" formatCode="0.0">
                  <c:v>39.86013986013986</c:v>
                </c:pt>
                <c:pt idx="41" formatCode="0.0">
                  <c:v>40.909090909090907</c:v>
                </c:pt>
                <c:pt idx="42" formatCode="0.0">
                  <c:v>41.95804195804196</c:v>
                </c:pt>
                <c:pt idx="43" formatCode="0.0">
                  <c:v>43.006993006993007</c:v>
                </c:pt>
                <c:pt idx="44" formatCode="0.0">
                  <c:v>44.055944055944053</c:v>
                </c:pt>
                <c:pt idx="45" formatCode="0.0">
                  <c:v>45.1048951048951</c:v>
                </c:pt>
                <c:pt idx="46" formatCode="0.0">
                  <c:v>46.153846153846139</c:v>
                </c:pt>
                <c:pt idx="47" formatCode="0.0">
                  <c:v>47.202797202797193</c:v>
                </c:pt>
                <c:pt idx="48" formatCode="0.0">
                  <c:v>48.251748251748239</c:v>
                </c:pt>
                <c:pt idx="49" formatCode="0.0">
                  <c:v>49.300699300699286</c:v>
                </c:pt>
                <c:pt idx="50" formatCode="0.0">
                  <c:v>50.349650349650332</c:v>
                </c:pt>
                <c:pt idx="51" formatCode="0.0">
                  <c:v>51.398601398601379</c:v>
                </c:pt>
                <c:pt idx="52" formatCode="0.0">
                  <c:v>52.447552447552425</c:v>
                </c:pt>
                <c:pt idx="53" formatCode="0.0">
                  <c:v>53.496503496503472</c:v>
                </c:pt>
                <c:pt idx="54" formatCode="0.0">
                  <c:v>54.545454545454525</c:v>
                </c:pt>
                <c:pt idx="55" formatCode="0.0">
                  <c:v>55.594405594405565</c:v>
                </c:pt>
                <c:pt idx="56" formatCode="0.0">
                  <c:v>56.643356643356633</c:v>
                </c:pt>
                <c:pt idx="57" formatCode="0.0">
                  <c:v>57.692307692307672</c:v>
                </c:pt>
                <c:pt idx="58" formatCode="0.0">
                  <c:v>58.741258741258719</c:v>
                </c:pt>
                <c:pt idx="59" formatCode="0.0">
                  <c:v>59.790209790209772</c:v>
                </c:pt>
                <c:pt idx="60" formatCode="0.0">
                  <c:v>60.839160839160812</c:v>
                </c:pt>
                <c:pt idx="61" formatCode="0.0">
                  <c:v>61.888111888111858</c:v>
                </c:pt>
                <c:pt idx="62" formatCode="0.0">
                  <c:v>62.937062937062905</c:v>
                </c:pt>
                <c:pt idx="63" formatCode="0.0">
                  <c:v>63.986013986013958</c:v>
                </c:pt>
                <c:pt idx="64" formatCode="0.0">
                  <c:v>65.034965034964998</c:v>
                </c:pt>
                <c:pt idx="65" formatCode="0.0">
                  <c:v>66.083916083916051</c:v>
                </c:pt>
                <c:pt idx="66" formatCode="0.0">
                  <c:v>67.132867132867105</c:v>
                </c:pt>
                <c:pt idx="67" formatCode="0.0">
                  <c:v>68.181818181818144</c:v>
                </c:pt>
                <c:pt idx="68" formatCode="0.0">
                  <c:v>69.230769230769198</c:v>
                </c:pt>
                <c:pt idx="69" formatCode="0.0">
                  <c:v>70.279720279720252</c:v>
                </c:pt>
                <c:pt idx="70" formatCode="0.0">
                  <c:v>71.328671328671291</c:v>
                </c:pt>
                <c:pt idx="71" formatCode="0.0">
                  <c:v>72.377622377622345</c:v>
                </c:pt>
                <c:pt idx="72" formatCode="0.0">
                  <c:v>73.426573426573384</c:v>
                </c:pt>
                <c:pt idx="73" formatCode="0.0">
                  <c:v>74.475524475524438</c:v>
                </c:pt>
                <c:pt idx="74" formatCode="0.0">
                  <c:v>75.524475524475477</c:v>
                </c:pt>
                <c:pt idx="75" formatCode="0.0">
                  <c:v>76.573426573426531</c:v>
                </c:pt>
                <c:pt idx="76" formatCode="0.0">
                  <c:v>77.62237762237757</c:v>
                </c:pt>
                <c:pt idx="77" formatCode="0.0">
                  <c:v>78.67132867132861</c:v>
                </c:pt>
                <c:pt idx="78" formatCode="0.0">
                  <c:v>79.720279720279663</c:v>
                </c:pt>
                <c:pt idx="79" formatCode="0.0">
                  <c:v>80.769230769230717</c:v>
                </c:pt>
                <c:pt idx="80" formatCode="0.0">
                  <c:v>81.818181818181756</c:v>
                </c:pt>
                <c:pt idx="81" formatCode="0.0">
                  <c:v>82.86713286713281</c:v>
                </c:pt>
                <c:pt idx="82" formatCode="0.0">
                  <c:v>83.916083916083863</c:v>
                </c:pt>
                <c:pt idx="83" formatCode="0.0">
                  <c:v>84.965034965034903</c:v>
                </c:pt>
                <c:pt idx="84" formatCode="0.0">
                  <c:v>86.013986013985956</c:v>
                </c:pt>
                <c:pt idx="85" formatCode="0.0">
                  <c:v>87.062937062936996</c:v>
                </c:pt>
                <c:pt idx="86" formatCode="0.0">
                  <c:v>88.111888111888049</c:v>
                </c:pt>
                <c:pt idx="87" formatCode="0.0">
                  <c:v>89.160839160839089</c:v>
                </c:pt>
                <c:pt idx="88" formatCode="0.0">
                  <c:v>90.209790209790143</c:v>
                </c:pt>
                <c:pt idx="89" formatCode="0.0">
                  <c:v>91.258741258741182</c:v>
                </c:pt>
                <c:pt idx="90" formatCode="0.0">
                  <c:v>92.307692307692236</c:v>
                </c:pt>
                <c:pt idx="91" formatCode="0.0">
                  <c:v>93.356643356643275</c:v>
                </c:pt>
                <c:pt idx="92" formatCode="0.0">
                  <c:v>94.405594405594329</c:v>
                </c:pt>
                <c:pt idx="93" formatCode="0.0">
                  <c:v>95.454545454545382</c:v>
                </c:pt>
                <c:pt idx="94" formatCode="0.0">
                  <c:v>96.503496503496422</c:v>
                </c:pt>
                <c:pt idx="95" formatCode="0.0">
                  <c:v>97.552447552447475</c:v>
                </c:pt>
                <c:pt idx="96" formatCode="0.0">
                  <c:v>98.601398601398515</c:v>
                </c:pt>
                <c:pt idx="97" formatCode="0.0">
                  <c:v>99.650349650349568</c:v>
                </c:pt>
                <c:pt idx="98" formatCode="0.0">
                  <c:v>100.69930069930061</c:v>
                </c:pt>
                <c:pt idx="99" formatCode="0.0">
                  <c:v>101.74825174825166</c:v>
                </c:pt>
                <c:pt idx="100" formatCode="0.0">
                  <c:v>102.7972027972027</c:v>
                </c:pt>
                <c:pt idx="101" formatCode="0.0">
                  <c:v>103.84615384615375</c:v>
                </c:pt>
                <c:pt idx="102" formatCode="0.0">
                  <c:v>104.89510489510479</c:v>
                </c:pt>
                <c:pt idx="103" formatCode="0.0">
                  <c:v>105.94405594405585</c:v>
                </c:pt>
                <c:pt idx="104" formatCode="0.0">
                  <c:v>106.99300699300689</c:v>
                </c:pt>
                <c:pt idx="105" formatCode="0.0">
                  <c:v>108.04195804195794</c:v>
                </c:pt>
                <c:pt idx="106" formatCode="0.0">
                  <c:v>109.09090909090901</c:v>
                </c:pt>
                <c:pt idx="107" formatCode="0.0">
                  <c:v>109.59090909090901</c:v>
                </c:pt>
              </c:numCache>
            </c:numRef>
          </c:xVal>
          <c:yVal>
            <c:numRef>
              <c:f>Start_up!$O$8:$O$115</c:f>
              <c:numCache>
                <c:formatCode>General</c:formatCode>
                <c:ptCount val="108"/>
                <c:pt idx="0">
                  <c:v>0</c:v>
                </c:pt>
                <c:pt idx="1">
                  <c:v>0</c:v>
                </c:pt>
                <c:pt idx="2">
                  <c:v>0.26400000000000001</c:v>
                </c:pt>
                <c:pt idx="3">
                  <c:v>0.26146153846153847</c:v>
                </c:pt>
                <c:pt idx="4">
                  <c:v>0.25892307692307692</c:v>
                </c:pt>
                <c:pt idx="5">
                  <c:v>0.25638461538461538</c:v>
                </c:pt>
                <c:pt idx="6">
                  <c:v>0.25384615384615383</c:v>
                </c:pt>
                <c:pt idx="7">
                  <c:v>0.25130769230769229</c:v>
                </c:pt>
                <c:pt idx="8">
                  <c:v>0.24876923076923077</c:v>
                </c:pt>
                <c:pt idx="9">
                  <c:v>0.2462307692307692</c:v>
                </c:pt>
                <c:pt idx="10">
                  <c:v>0.24369230769230768</c:v>
                </c:pt>
                <c:pt idx="11">
                  <c:v>0.24115384615384614</c:v>
                </c:pt>
                <c:pt idx="12">
                  <c:v>0.23861538461538462</c:v>
                </c:pt>
                <c:pt idx="13">
                  <c:v>0.23607692307692305</c:v>
                </c:pt>
                <c:pt idx="14">
                  <c:v>0.23353846153846153</c:v>
                </c:pt>
                <c:pt idx="15">
                  <c:v>0.23099999999999998</c:v>
                </c:pt>
                <c:pt idx="16">
                  <c:v>0.22846153846153847</c:v>
                </c:pt>
                <c:pt idx="17">
                  <c:v>0.22592307692307692</c:v>
                </c:pt>
                <c:pt idx="18">
                  <c:v>0.22338461538461535</c:v>
                </c:pt>
                <c:pt idx="19">
                  <c:v>0.22084615384615383</c:v>
                </c:pt>
                <c:pt idx="20">
                  <c:v>0.21830769230769231</c:v>
                </c:pt>
                <c:pt idx="21">
                  <c:v>0.21576923076923077</c:v>
                </c:pt>
                <c:pt idx="22">
                  <c:v>0.2132307692307692</c:v>
                </c:pt>
                <c:pt idx="23">
                  <c:v>0.21069230769230768</c:v>
                </c:pt>
                <c:pt idx="24">
                  <c:v>0.20815384615384613</c:v>
                </c:pt>
                <c:pt idx="25">
                  <c:v>0.20561538461538462</c:v>
                </c:pt>
                <c:pt idx="26">
                  <c:v>0.20307692307692304</c:v>
                </c:pt>
                <c:pt idx="27">
                  <c:v>0.20053846153846153</c:v>
                </c:pt>
                <c:pt idx="28">
                  <c:v>0.19799999999999998</c:v>
                </c:pt>
                <c:pt idx="29">
                  <c:v>0.19546153846153841</c:v>
                </c:pt>
                <c:pt idx="30">
                  <c:v>0.19292307692307692</c:v>
                </c:pt>
                <c:pt idx="31">
                  <c:v>0.19038461538461537</c:v>
                </c:pt>
                <c:pt idx="32">
                  <c:v>0.18784615384615383</c:v>
                </c:pt>
                <c:pt idx="33">
                  <c:v>0.18530769230769231</c:v>
                </c:pt>
                <c:pt idx="34">
                  <c:v>0.18276923076923074</c:v>
                </c:pt>
                <c:pt idx="35">
                  <c:v>0.18023076923076925</c:v>
                </c:pt>
                <c:pt idx="36">
                  <c:v>0.17769230769230768</c:v>
                </c:pt>
                <c:pt idx="37">
                  <c:v>0.17515384615384616</c:v>
                </c:pt>
                <c:pt idx="38">
                  <c:v>0.17261538461538461</c:v>
                </c:pt>
                <c:pt idx="39">
                  <c:v>0.17007692307692307</c:v>
                </c:pt>
                <c:pt idx="40">
                  <c:v>0.16753846153846155</c:v>
                </c:pt>
                <c:pt idx="41">
                  <c:v>0.16499999999999998</c:v>
                </c:pt>
                <c:pt idx="42">
                  <c:v>0.16246153846153844</c:v>
                </c:pt>
                <c:pt idx="43">
                  <c:v>0.15992307692307692</c:v>
                </c:pt>
                <c:pt idx="44">
                  <c:v>0.15738461538461537</c:v>
                </c:pt>
                <c:pt idx="45">
                  <c:v>0.15484615384615383</c:v>
                </c:pt>
                <c:pt idx="46">
                  <c:v>0.15230769230769231</c:v>
                </c:pt>
                <c:pt idx="47">
                  <c:v>0.14976923076923077</c:v>
                </c:pt>
                <c:pt idx="48">
                  <c:v>0.14723076923076922</c:v>
                </c:pt>
                <c:pt idx="49">
                  <c:v>0.14469230769230768</c:v>
                </c:pt>
                <c:pt idx="50">
                  <c:v>0.14215384615384616</c:v>
                </c:pt>
                <c:pt idx="51">
                  <c:v>0.13961538461538461</c:v>
                </c:pt>
                <c:pt idx="52">
                  <c:v>0.13707692307692307</c:v>
                </c:pt>
                <c:pt idx="53">
                  <c:v>0.13453846153846155</c:v>
                </c:pt>
                <c:pt idx="54">
                  <c:v>0.13200000000000001</c:v>
                </c:pt>
                <c:pt idx="55">
                  <c:v>0.12946153846153846</c:v>
                </c:pt>
                <c:pt idx="56">
                  <c:v>0.12692307692307689</c:v>
                </c:pt>
                <c:pt idx="57">
                  <c:v>0.12438461538461537</c:v>
                </c:pt>
                <c:pt idx="58">
                  <c:v>0.12184615384615384</c:v>
                </c:pt>
                <c:pt idx="59">
                  <c:v>0.11930769230769228</c:v>
                </c:pt>
                <c:pt idx="60">
                  <c:v>0.11676923076923076</c:v>
                </c:pt>
                <c:pt idx="61">
                  <c:v>0.11423076923076923</c:v>
                </c:pt>
                <c:pt idx="62">
                  <c:v>0.1116923076923077</c:v>
                </c:pt>
                <c:pt idx="63">
                  <c:v>0.10915384615384616</c:v>
                </c:pt>
                <c:pt idx="64">
                  <c:v>0.10661538461538463</c:v>
                </c:pt>
                <c:pt idx="65">
                  <c:v>0.10407692307692309</c:v>
                </c:pt>
                <c:pt idx="66">
                  <c:v>0.10153846153846152</c:v>
                </c:pt>
                <c:pt idx="67">
                  <c:v>9.8999999999999991E-2</c:v>
                </c:pt>
                <c:pt idx="68">
                  <c:v>9.646153846153846E-2</c:v>
                </c:pt>
                <c:pt idx="69">
                  <c:v>9.3923076923076901E-2</c:v>
                </c:pt>
                <c:pt idx="70">
                  <c:v>9.138461538461537E-2</c:v>
                </c:pt>
                <c:pt idx="71">
                  <c:v>8.8846153846153839E-2</c:v>
                </c:pt>
                <c:pt idx="72">
                  <c:v>8.6307692307692307E-2</c:v>
                </c:pt>
                <c:pt idx="73">
                  <c:v>8.3769230769230735E-2</c:v>
                </c:pt>
                <c:pt idx="74">
                  <c:v>8.1230769230769245E-2</c:v>
                </c:pt>
                <c:pt idx="75">
                  <c:v>7.8692307692307686E-2</c:v>
                </c:pt>
                <c:pt idx="76">
                  <c:v>7.6153846153846155E-2</c:v>
                </c:pt>
                <c:pt idx="77">
                  <c:v>7.3615384615384624E-2</c:v>
                </c:pt>
                <c:pt idx="78">
                  <c:v>7.1076923076923093E-2</c:v>
                </c:pt>
                <c:pt idx="79">
                  <c:v>6.853846153846152E-2</c:v>
                </c:pt>
                <c:pt idx="80">
                  <c:v>6.6000000000000003E-2</c:v>
                </c:pt>
                <c:pt idx="81">
                  <c:v>6.3461538461538472E-2</c:v>
                </c:pt>
                <c:pt idx="82">
                  <c:v>6.0923076923076899E-2</c:v>
                </c:pt>
                <c:pt idx="83">
                  <c:v>5.8384615384615368E-2</c:v>
                </c:pt>
                <c:pt idx="84">
                  <c:v>5.5846153846153837E-2</c:v>
                </c:pt>
                <c:pt idx="85">
                  <c:v>5.3307692307692313E-2</c:v>
                </c:pt>
                <c:pt idx="86">
                  <c:v>5.076923076923074E-2</c:v>
                </c:pt>
                <c:pt idx="87">
                  <c:v>4.8230769230769251E-2</c:v>
                </c:pt>
                <c:pt idx="88">
                  <c:v>4.5692307692307685E-2</c:v>
                </c:pt>
                <c:pt idx="89">
                  <c:v>4.3153846153846154E-2</c:v>
                </c:pt>
                <c:pt idx="90">
                  <c:v>4.0615384615384623E-2</c:v>
                </c:pt>
                <c:pt idx="91">
                  <c:v>3.8076923076923098E-2</c:v>
                </c:pt>
                <c:pt idx="92">
                  <c:v>3.5538461538461526E-2</c:v>
                </c:pt>
                <c:pt idx="93">
                  <c:v>3.3000000000000002E-2</c:v>
                </c:pt>
                <c:pt idx="94">
                  <c:v>3.046153846153847E-2</c:v>
                </c:pt>
                <c:pt idx="95">
                  <c:v>2.7923076923076901E-2</c:v>
                </c:pt>
                <c:pt idx="96">
                  <c:v>2.538461538461537E-2</c:v>
                </c:pt>
                <c:pt idx="97">
                  <c:v>2.2846153846153842E-2</c:v>
                </c:pt>
                <c:pt idx="98">
                  <c:v>2.0307692307692311E-2</c:v>
                </c:pt>
                <c:pt idx="99">
                  <c:v>1.7769230769230746E-2</c:v>
                </c:pt>
                <c:pt idx="100">
                  <c:v>1.5230769230769254E-2</c:v>
                </c:pt>
                <c:pt idx="101">
                  <c:v>1.2692307692307685E-2</c:v>
                </c:pt>
                <c:pt idx="102">
                  <c:v>1.0153846153846156E-2</c:v>
                </c:pt>
                <c:pt idx="103">
                  <c:v>7.6153846153846272E-3</c:v>
                </c:pt>
                <c:pt idx="104">
                  <c:v>5.0769230769230978E-3</c:v>
                </c:pt>
                <c:pt idx="105">
                  <c:v>2.5384615384615294E-3</c:v>
                </c:pt>
                <c:pt idx="106">
                  <c:v>0</c:v>
                </c:pt>
                <c:pt idx="107">
                  <c:v>0</c:v>
                </c:pt>
              </c:numCache>
            </c:numRef>
          </c:yVal>
          <c:smooth val="0"/>
          <c:extLst>
            <c:ext xmlns:c16="http://schemas.microsoft.com/office/drawing/2014/chart" uri="{C3380CC4-5D6E-409C-BE32-E72D297353CC}">
              <c16:uniqueId val="{00000000-3BA0-40CD-BECC-FF457F9CCB6C}"/>
            </c:ext>
          </c:extLst>
        </c:ser>
        <c:dLbls>
          <c:showLegendKey val="0"/>
          <c:showVal val="0"/>
          <c:showCatName val="0"/>
          <c:showSerName val="0"/>
          <c:showPercent val="0"/>
          <c:showBubbleSize val="0"/>
        </c:dLbls>
        <c:axId val="204009472"/>
        <c:axId val="204011392"/>
      </c:scatterChart>
      <c:valAx>
        <c:axId val="204009472"/>
        <c:scaling>
          <c:orientation val="minMax"/>
          <c:min val="-1"/>
        </c:scaling>
        <c:delete val="0"/>
        <c:axPos val="b"/>
        <c:minorGridlines/>
        <c:title>
          <c:tx>
            <c:rich>
              <a:bodyPr/>
              <a:lstStyle/>
              <a:p>
                <a:pPr>
                  <a:defRPr/>
                </a:pPr>
                <a:r>
                  <a:rPr lang="en-US"/>
                  <a:t>Time (ms)</a:t>
                </a:r>
              </a:p>
            </c:rich>
          </c:tx>
          <c:layout>
            <c:manualLayout>
              <c:xMode val="edge"/>
              <c:yMode val="edge"/>
              <c:x val="0.44799096768442925"/>
              <c:y val="0.90583847854517363"/>
            </c:manualLayout>
          </c:layout>
          <c:overlay val="0"/>
        </c:title>
        <c:numFmt formatCode="0.0" sourceLinked="1"/>
        <c:majorTickMark val="out"/>
        <c:minorTickMark val="none"/>
        <c:tickLblPos val="nextTo"/>
        <c:txPr>
          <a:bodyPr/>
          <a:lstStyle/>
          <a:p>
            <a:pPr>
              <a:defRPr b="1"/>
            </a:pPr>
            <a:endParaRPr lang="en-US"/>
          </a:p>
        </c:txPr>
        <c:crossAx val="204011392"/>
        <c:crosses val="autoZero"/>
        <c:crossBetween val="midCat"/>
      </c:valAx>
      <c:valAx>
        <c:axId val="204011392"/>
        <c:scaling>
          <c:orientation val="minMax"/>
          <c:min val="0"/>
        </c:scaling>
        <c:delete val="0"/>
        <c:axPos val="l"/>
        <c:majorGridlines/>
        <c:minorGridlines/>
        <c:title>
          <c:tx>
            <c:rich>
              <a:bodyPr rot="-5400000" vert="horz"/>
              <a:lstStyle/>
              <a:p>
                <a:pPr>
                  <a:defRPr/>
                </a:pPr>
                <a:r>
                  <a:rPr lang="en-US"/>
                  <a:t>FET Power (W)</a:t>
                </a:r>
              </a:p>
            </c:rich>
          </c:tx>
          <c:layout>
            <c:manualLayout>
              <c:xMode val="edge"/>
              <c:yMode val="edge"/>
              <c:x val="1.2836103229293341E-2"/>
              <c:y val="0.25775146359374557"/>
            </c:manualLayout>
          </c:layout>
          <c:overlay val="0"/>
        </c:title>
        <c:numFmt formatCode="General" sourceLinked="1"/>
        <c:majorTickMark val="out"/>
        <c:minorTickMark val="none"/>
        <c:tickLblPos val="nextTo"/>
        <c:txPr>
          <a:bodyPr/>
          <a:lstStyle/>
          <a:p>
            <a:pPr>
              <a:defRPr b="1"/>
            </a:pPr>
            <a:endParaRPr lang="en-US"/>
          </a:p>
        </c:txPr>
        <c:crossAx val="204009472"/>
        <c:crossesAt val="-1"/>
        <c:crossBetween val="midCat"/>
      </c:valAx>
    </c:plotArea>
    <c:legend>
      <c:legendPos val="r"/>
      <c:layout>
        <c:manualLayout>
          <c:xMode val="edge"/>
          <c:yMode val="edge"/>
          <c:x val="0.58243391004423017"/>
          <c:y val="0.29201739268437199"/>
          <c:w val="0.39515213037394709"/>
          <c:h val="0.10848830734152082"/>
        </c:manualLayout>
      </c:layout>
      <c:overlay val="0"/>
      <c:spPr>
        <a:solidFill>
          <a:schemeClr val="bg1"/>
        </a:solidFill>
        <a:ln>
          <a:solidFill>
            <a:schemeClr val="tx1"/>
          </a:solidFill>
        </a:ln>
      </c:sp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Load and FET</a:t>
            </a:r>
            <a:r>
              <a:rPr lang="en-US" baseline="0"/>
              <a:t> current vs Vout</a:t>
            </a:r>
            <a:endParaRPr lang="en-US"/>
          </a:p>
        </c:rich>
      </c:tx>
      <c:overlay val="1"/>
    </c:title>
    <c:autoTitleDeleted val="0"/>
    <c:plotArea>
      <c:layout>
        <c:manualLayout>
          <c:layoutTarget val="inner"/>
          <c:xMode val="edge"/>
          <c:yMode val="edge"/>
          <c:x val="0.20280211116986058"/>
          <c:y val="0.14177960397727438"/>
          <c:w val="0.69967132057676096"/>
          <c:h val="0.7119118368882501"/>
        </c:manualLayout>
      </c:layout>
      <c:scatterChart>
        <c:scatterStyle val="smoothMarker"/>
        <c:varyColors val="0"/>
        <c:ser>
          <c:idx val="0"/>
          <c:order val="0"/>
          <c:tx>
            <c:strRef>
              <c:f>Start_up!$C$7</c:f>
              <c:strCache>
                <c:ptCount val="1"/>
                <c:pt idx="0">
                  <c:v>ILOAD</c:v>
                </c:pt>
              </c:strCache>
            </c:strRef>
          </c:tx>
          <c:marker>
            <c:symbol val="none"/>
          </c:marker>
          <c:xVal>
            <c:numRef>
              <c:f>Start_up!$B$10:$B$111</c:f>
              <c:numCache>
                <c:formatCode>0.00</c:formatCode>
                <c:ptCount val="102"/>
                <c:pt idx="0">
                  <c:v>0</c:v>
                </c:pt>
                <c:pt idx="1">
                  <c:v>0.23076923076923078</c:v>
                </c:pt>
                <c:pt idx="2">
                  <c:v>0.46153846153846156</c:v>
                </c:pt>
                <c:pt idx="3">
                  <c:v>0.69230769230769229</c:v>
                </c:pt>
                <c:pt idx="4">
                  <c:v>0.92307692307692313</c:v>
                </c:pt>
                <c:pt idx="5">
                  <c:v>1.153846153846154</c:v>
                </c:pt>
                <c:pt idx="6">
                  <c:v>1.3846153846153846</c:v>
                </c:pt>
                <c:pt idx="7">
                  <c:v>1.6153846153846154</c:v>
                </c:pt>
                <c:pt idx="8">
                  <c:v>1.8461538461538463</c:v>
                </c:pt>
                <c:pt idx="9">
                  <c:v>2.0769230769230766</c:v>
                </c:pt>
                <c:pt idx="10">
                  <c:v>2.3076923076923079</c:v>
                </c:pt>
                <c:pt idx="11">
                  <c:v>2.5384615384615383</c:v>
                </c:pt>
                <c:pt idx="12">
                  <c:v>2.7692307692307692</c:v>
                </c:pt>
                <c:pt idx="13">
                  <c:v>3</c:v>
                </c:pt>
                <c:pt idx="14">
                  <c:v>3.2307692307692308</c:v>
                </c:pt>
                <c:pt idx="15">
                  <c:v>3.4615384615384612</c:v>
                </c:pt>
                <c:pt idx="16">
                  <c:v>3.6923076923076925</c:v>
                </c:pt>
                <c:pt idx="17">
                  <c:v>3.9230769230769234</c:v>
                </c:pt>
                <c:pt idx="18">
                  <c:v>4.1538461538461533</c:v>
                </c:pt>
                <c:pt idx="19">
                  <c:v>4.3846153846153841</c:v>
                </c:pt>
                <c:pt idx="20">
                  <c:v>4.6153846153846159</c:v>
                </c:pt>
                <c:pt idx="21">
                  <c:v>4.8461538461538467</c:v>
                </c:pt>
                <c:pt idx="22">
                  <c:v>5.0769230769230766</c:v>
                </c:pt>
                <c:pt idx="23">
                  <c:v>5.3076923076923075</c:v>
                </c:pt>
                <c:pt idx="24">
                  <c:v>5.5384615384615383</c:v>
                </c:pt>
                <c:pt idx="25">
                  <c:v>5.7692307692307692</c:v>
                </c:pt>
                <c:pt idx="26">
                  <c:v>6</c:v>
                </c:pt>
                <c:pt idx="27">
                  <c:v>6.2307692307692317</c:v>
                </c:pt>
                <c:pt idx="28">
                  <c:v>6.4615384615384617</c:v>
                </c:pt>
                <c:pt idx="29">
                  <c:v>6.6923076923076925</c:v>
                </c:pt>
                <c:pt idx="30">
                  <c:v>6.9230769230769225</c:v>
                </c:pt>
                <c:pt idx="31">
                  <c:v>7.1538461538461533</c:v>
                </c:pt>
                <c:pt idx="32">
                  <c:v>7.384615384615385</c:v>
                </c:pt>
                <c:pt idx="33">
                  <c:v>7.615384615384615</c:v>
                </c:pt>
                <c:pt idx="34">
                  <c:v>7.8461538461538467</c:v>
                </c:pt>
                <c:pt idx="35">
                  <c:v>8.0769230769230766</c:v>
                </c:pt>
                <c:pt idx="36">
                  <c:v>8.3076923076923066</c:v>
                </c:pt>
                <c:pt idx="37">
                  <c:v>8.5384615384615383</c:v>
                </c:pt>
                <c:pt idx="38">
                  <c:v>8.7692307692307683</c:v>
                </c:pt>
                <c:pt idx="39">
                  <c:v>9</c:v>
                </c:pt>
                <c:pt idx="40">
                  <c:v>9.2307692307692317</c:v>
                </c:pt>
                <c:pt idx="41">
                  <c:v>9.4615384615384617</c:v>
                </c:pt>
                <c:pt idx="42">
                  <c:v>9.6923076923076934</c:v>
                </c:pt>
                <c:pt idx="43">
                  <c:v>9.9230769230769234</c:v>
                </c:pt>
                <c:pt idx="44">
                  <c:v>10.153846153846153</c:v>
                </c:pt>
                <c:pt idx="45">
                  <c:v>10.384615384615385</c:v>
                </c:pt>
                <c:pt idx="46">
                  <c:v>10.615384615384615</c:v>
                </c:pt>
                <c:pt idx="47">
                  <c:v>10.846153846153847</c:v>
                </c:pt>
                <c:pt idx="48">
                  <c:v>11.076923076923077</c:v>
                </c:pt>
                <c:pt idx="49">
                  <c:v>11.307692307692307</c:v>
                </c:pt>
                <c:pt idx="50">
                  <c:v>11.538461538461538</c:v>
                </c:pt>
                <c:pt idx="51">
                  <c:v>11.769230769230768</c:v>
                </c:pt>
                <c:pt idx="52">
                  <c:v>12</c:v>
                </c:pt>
                <c:pt idx="53">
                  <c:v>12.23076923076923</c:v>
                </c:pt>
                <c:pt idx="54">
                  <c:v>12.461538461538463</c:v>
                </c:pt>
                <c:pt idx="55">
                  <c:v>12.692307692307693</c:v>
                </c:pt>
                <c:pt idx="56">
                  <c:v>12.923076923076923</c:v>
                </c:pt>
                <c:pt idx="57">
                  <c:v>13.153846153846155</c:v>
                </c:pt>
                <c:pt idx="58">
                  <c:v>13.384615384615385</c:v>
                </c:pt>
                <c:pt idx="59">
                  <c:v>13.615384615384615</c:v>
                </c:pt>
                <c:pt idx="60">
                  <c:v>13.846153846153845</c:v>
                </c:pt>
                <c:pt idx="61">
                  <c:v>14.076923076923077</c:v>
                </c:pt>
                <c:pt idx="62">
                  <c:v>14.307692307692307</c:v>
                </c:pt>
                <c:pt idx="63">
                  <c:v>14.538461538461537</c:v>
                </c:pt>
                <c:pt idx="64">
                  <c:v>14.76923076923077</c:v>
                </c:pt>
                <c:pt idx="65">
                  <c:v>15</c:v>
                </c:pt>
                <c:pt idx="66">
                  <c:v>15.23076923076923</c:v>
                </c:pt>
                <c:pt idx="67">
                  <c:v>15.461538461538463</c:v>
                </c:pt>
                <c:pt idx="68">
                  <c:v>15.692307692307693</c:v>
                </c:pt>
                <c:pt idx="69">
                  <c:v>15.923076923076923</c:v>
                </c:pt>
                <c:pt idx="70">
                  <c:v>16.153846153846153</c:v>
                </c:pt>
                <c:pt idx="71">
                  <c:v>16.384615384615387</c:v>
                </c:pt>
                <c:pt idx="72">
                  <c:v>16.615384615384613</c:v>
                </c:pt>
                <c:pt idx="73">
                  <c:v>16.846153846153847</c:v>
                </c:pt>
                <c:pt idx="74">
                  <c:v>17.076923076923077</c:v>
                </c:pt>
                <c:pt idx="75">
                  <c:v>17.307692307692307</c:v>
                </c:pt>
                <c:pt idx="76">
                  <c:v>17.538461538461537</c:v>
                </c:pt>
                <c:pt idx="77">
                  <c:v>17.76923076923077</c:v>
                </c:pt>
                <c:pt idx="78">
                  <c:v>18</c:v>
                </c:pt>
                <c:pt idx="79">
                  <c:v>18.23076923076923</c:v>
                </c:pt>
                <c:pt idx="80">
                  <c:v>18.461538461538463</c:v>
                </c:pt>
                <c:pt idx="81">
                  <c:v>18.692307692307693</c:v>
                </c:pt>
                <c:pt idx="82">
                  <c:v>18.923076923076923</c:v>
                </c:pt>
                <c:pt idx="83">
                  <c:v>19.153846153846153</c:v>
                </c:pt>
                <c:pt idx="84">
                  <c:v>19.384615384615387</c:v>
                </c:pt>
                <c:pt idx="85">
                  <c:v>19.615384615384613</c:v>
                </c:pt>
                <c:pt idx="86">
                  <c:v>19.846153846153847</c:v>
                </c:pt>
                <c:pt idx="87">
                  <c:v>20.076923076923077</c:v>
                </c:pt>
                <c:pt idx="88">
                  <c:v>20.307692307692307</c:v>
                </c:pt>
                <c:pt idx="89">
                  <c:v>20.538461538461537</c:v>
                </c:pt>
                <c:pt idx="90">
                  <c:v>20.76923076923077</c:v>
                </c:pt>
                <c:pt idx="91">
                  <c:v>21</c:v>
                </c:pt>
                <c:pt idx="92">
                  <c:v>21.23076923076923</c:v>
                </c:pt>
                <c:pt idx="93">
                  <c:v>21.461538461538463</c:v>
                </c:pt>
                <c:pt idx="94">
                  <c:v>21.692307692307693</c:v>
                </c:pt>
                <c:pt idx="95">
                  <c:v>21.923076923076923</c:v>
                </c:pt>
                <c:pt idx="96">
                  <c:v>22.153846153846153</c:v>
                </c:pt>
                <c:pt idx="97">
                  <c:v>22.384615384615387</c:v>
                </c:pt>
                <c:pt idx="98">
                  <c:v>22.615384615384613</c:v>
                </c:pt>
                <c:pt idx="99">
                  <c:v>22.846153846153847</c:v>
                </c:pt>
                <c:pt idx="100">
                  <c:v>23.076923076923077</c:v>
                </c:pt>
                <c:pt idx="101">
                  <c:v>23.307692307692307</c:v>
                </c:pt>
              </c:numCache>
            </c:numRef>
          </c:xVal>
          <c:yVal>
            <c:numRef>
              <c:f>Start_up!$C$10:$C$111</c:f>
              <c:numCache>
                <c:formatCode>0.000</c:formatCode>
                <c:ptCount val="10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numCache>
            </c:numRef>
          </c:yVal>
          <c:smooth val="1"/>
          <c:extLst>
            <c:ext xmlns:c16="http://schemas.microsoft.com/office/drawing/2014/chart" uri="{C3380CC4-5D6E-409C-BE32-E72D297353CC}">
              <c16:uniqueId val="{00000000-E2AF-478E-8E3B-A9112767B544}"/>
            </c:ext>
          </c:extLst>
        </c:ser>
        <c:ser>
          <c:idx val="1"/>
          <c:order val="1"/>
          <c:tx>
            <c:strRef>
              <c:f>Start_up!$G$7</c:f>
              <c:strCache>
                <c:ptCount val="1"/>
                <c:pt idx="0">
                  <c:v>IFET</c:v>
                </c:pt>
              </c:strCache>
            </c:strRef>
          </c:tx>
          <c:marker>
            <c:symbol val="none"/>
          </c:marker>
          <c:xVal>
            <c:numRef>
              <c:f>Start_up!$B$10:$B$111</c:f>
              <c:numCache>
                <c:formatCode>0.00</c:formatCode>
                <c:ptCount val="102"/>
                <c:pt idx="0">
                  <c:v>0</c:v>
                </c:pt>
                <c:pt idx="1">
                  <c:v>0.23076923076923078</c:v>
                </c:pt>
                <c:pt idx="2">
                  <c:v>0.46153846153846156</c:v>
                </c:pt>
                <c:pt idx="3">
                  <c:v>0.69230769230769229</c:v>
                </c:pt>
                <c:pt idx="4">
                  <c:v>0.92307692307692313</c:v>
                </c:pt>
                <c:pt idx="5">
                  <c:v>1.153846153846154</c:v>
                </c:pt>
                <c:pt idx="6">
                  <c:v>1.3846153846153846</c:v>
                </c:pt>
                <c:pt idx="7">
                  <c:v>1.6153846153846154</c:v>
                </c:pt>
                <c:pt idx="8">
                  <c:v>1.8461538461538463</c:v>
                </c:pt>
                <c:pt idx="9">
                  <c:v>2.0769230769230766</c:v>
                </c:pt>
                <c:pt idx="10">
                  <c:v>2.3076923076923079</c:v>
                </c:pt>
                <c:pt idx="11">
                  <c:v>2.5384615384615383</c:v>
                </c:pt>
                <c:pt idx="12">
                  <c:v>2.7692307692307692</c:v>
                </c:pt>
                <c:pt idx="13">
                  <c:v>3</c:v>
                </c:pt>
                <c:pt idx="14">
                  <c:v>3.2307692307692308</c:v>
                </c:pt>
                <c:pt idx="15">
                  <c:v>3.4615384615384612</c:v>
                </c:pt>
                <c:pt idx="16">
                  <c:v>3.6923076923076925</c:v>
                </c:pt>
                <c:pt idx="17">
                  <c:v>3.9230769230769234</c:v>
                </c:pt>
                <c:pt idx="18">
                  <c:v>4.1538461538461533</c:v>
                </c:pt>
                <c:pt idx="19">
                  <c:v>4.3846153846153841</c:v>
                </c:pt>
                <c:pt idx="20">
                  <c:v>4.6153846153846159</c:v>
                </c:pt>
                <c:pt idx="21">
                  <c:v>4.8461538461538467</c:v>
                </c:pt>
                <c:pt idx="22">
                  <c:v>5.0769230769230766</c:v>
                </c:pt>
                <c:pt idx="23">
                  <c:v>5.3076923076923075</c:v>
                </c:pt>
                <c:pt idx="24">
                  <c:v>5.5384615384615383</c:v>
                </c:pt>
                <c:pt idx="25">
                  <c:v>5.7692307692307692</c:v>
                </c:pt>
                <c:pt idx="26">
                  <c:v>6</c:v>
                </c:pt>
                <c:pt idx="27">
                  <c:v>6.2307692307692317</c:v>
                </c:pt>
                <c:pt idx="28">
                  <c:v>6.4615384615384617</c:v>
                </c:pt>
                <c:pt idx="29">
                  <c:v>6.6923076923076925</c:v>
                </c:pt>
                <c:pt idx="30">
                  <c:v>6.9230769230769225</c:v>
                </c:pt>
                <c:pt idx="31">
                  <c:v>7.1538461538461533</c:v>
                </c:pt>
                <c:pt idx="32">
                  <c:v>7.384615384615385</c:v>
                </c:pt>
                <c:pt idx="33">
                  <c:v>7.615384615384615</c:v>
                </c:pt>
                <c:pt idx="34">
                  <c:v>7.8461538461538467</c:v>
                </c:pt>
                <c:pt idx="35">
                  <c:v>8.0769230769230766</c:v>
                </c:pt>
                <c:pt idx="36">
                  <c:v>8.3076923076923066</c:v>
                </c:pt>
                <c:pt idx="37">
                  <c:v>8.5384615384615383</c:v>
                </c:pt>
                <c:pt idx="38">
                  <c:v>8.7692307692307683</c:v>
                </c:pt>
                <c:pt idx="39">
                  <c:v>9</c:v>
                </c:pt>
                <c:pt idx="40">
                  <c:v>9.2307692307692317</c:v>
                </c:pt>
                <c:pt idx="41">
                  <c:v>9.4615384615384617</c:v>
                </c:pt>
                <c:pt idx="42">
                  <c:v>9.6923076923076934</c:v>
                </c:pt>
                <c:pt idx="43">
                  <c:v>9.9230769230769234</c:v>
                </c:pt>
                <c:pt idx="44">
                  <c:v>10.153846153846153</c:v>
                </c:pt>
                <c:pt idx="45">
                  <c:v>10.384615384615385</c:v>
                </c:pt>
                <c:pt idx="46">
                  <c:v>10.615384615384615</c:v>
                </c:pt>
                <c:pt idx="47">
                  <c:v>10.846153846153847</c:v>
                </c:pt>
                <c:pt idx="48">
                  <c:v>11.076923076923077</c:v>
                </c:pt>
                <c:pt idx="49">
                  <c:v>11.307692307692307</c:v>
                </c:pt>
                <c:pt idx="50">
                  <c:v>11.538461538461538</c:v>
                </c:pt>
                <c:pt idx="51">
                  <c:v>11.769230769230768</c:v>
                </c:pt>
                <c:pt idx="52">
                  <c:v>12</c:v>
                </c:pt>
                <c:pt idx="53">
                  <c:v>12.23076923076923</c:v>
                </c:pt>
                <c:pt idx="54">
                  <c:v>12.461538461538463</c:v>
                </c:pt>
                <c:pt idx="55">
                  <c:v>12.692307692307693</c:v>
                </c:pt>
                <c:pt idx="56">
                  <c:v>12.923076923076923</c:v>
                </c:pt>
                <c:pt idx="57">
                  <c:v>13.153846153846155</c:v>
                </c:pt>
                <c:pt idx="58">
                  <c:v>13.384615384615385</c:v>
                </c:pt>
                <c:pt idx="59">
                  <c:v>13.615384615384615</c:v>
                </c:pt>
                <c:pt idx="60">
                  <c:v>13.846153846153845</c:v>
                </c:pt>
                <c:pt idx="61">
                  <c:v>14.076923076923077</c:v>
                </c:pt>
                <c:pt idx="62">
                  <c:v>14.307692307692307</c:v>
                </c:pt>
                <c:pt idx="63">
                  <c:v>14.538461538461537</c:v>
                </c:pt>
                <c:pt idx="64">
                  <c:v>14.76923076923077</c:v>
                </c:pt>
                <c:pt idx="65">
                  <c:v>15</c:v>
                </c:pt>
                <c:pt idx="66">
                  <c:v>15.23076923076923</c:v>
                </c:pt>
                <c:pt idx="67">
                  <c:v>15.461538461538463</c:v>
                </c:pt>
                <c:pt idx="68">
                  <c:v>15.692307692307693</c:v>
                </c:pt>
                <c:pt idx="69">
                  <c:v>15.923076923076923</c:v>
                </c:pt>
                <c:pt idx="70">
                  <c:v>16.153846153846153</c:v>
                </c:pt>
                <c:pt idx="71">
                  <c:v>16.384615384615387</c:v>
                </c:pt>
                <c:pt idx="72">
                  <c:v>16.615384615384613</c:v>
                </c:pt>
                <c:pt idx="73">
                  <c:v>16.846153846153847</c:v>
                </c:pt>
                <c:pt idx="74">
                  <c:v>17.076923076923077</c:v>
                </c:pt>
                <c:pt idx="75">
                  <c:v>17.307692307692307</c:v>
                </c:pt>
                <c:pt idx="76">
                  <c:v>17.538461538461537</c:v>
                </c:pt>
                <c:pt idx="77">
                  <c:v>17.76923076923077</c:v>
                </c:pt>
                <c:pt idx="78">
                  <c:v>18</c:v>
                </c:pt>
                <c:pt idx="79">
                  <c:v>18.23076923076923</c:v>
                </c:pt>
                <c:pt idx="80">
                  <c:v>18.461538461538463</c:v>
                </c:pt>
                <c:pt idx="81">
                  <c:v>18.692307692307693</c:v>
                </c:pt>
                <c:pt idx="82">
                  <c:v>18.923076923076923</c:v>
                </c:pt>
                <c:pt idx="83">
                  <c:v>19.153846153846153</c:v>
                </c:pt>
                <c:pt idx="84">
                  <c:v>19.384615384615387</c:v>
                </c:pt>
                <c:pt idx="85">
                  <c:v>19.615384615384613</c:v>
                </c:pt>
                <c:pt idx="86">
                  <c:v>19.846153846153847</c:v>
                </c:pt>
                <c:pt idx="87">
                  <c:v>20.076923076923077</c:v>
                </c:pt>
                <c:pt idx="88">
                  <c:v>20.307692307692307</c:v>
                </c:pt>
                <c:pt idx="89">
                  <c:v>20.538461538461537</c:v>
                </c:pt>
                <c:pt idx="90">
                  <c:v>20.76923076923077</c:v>
                </c:pt>
                <c:pt idx="91">
                  <c:v>21</c:v>
                </c:pt>
                <c:pt idx="92">
                  <c:v>21.23076923076923</c:v>
                </c:pt>
                <c:pt idx="93">
                  <c:v>21.461538461538463</c:v>
                </c:pt>
                <c:pt idx="94">
                  <c:v>21.692307692307693</c:v>
                </c:pt>
                <c:pt idx="95">
                  <c:v>21.923076923076923</c:v>
                </c:pt>
                <c:pt idx="96">
                  <c:v>22.153846153846153</c:v>
                </c:pt>
                <c:pt idx="97">
                  <c:v>22.384615384615387</c:v>
                </c:pt>
                <c:pt idx="98">
                  <c:v>22.615384615384613</c:v>
                </c:pt>
                <c:pt idx="99">
                  <c:v>22.846153846153847</c:v>
                </c:pt>
                <c:pt idx="100">
                  <c:v>23.076923076923077</c:v>
                </c:pt>
                <c:pt idx="101">
                  <c:v>23.307692307692307</c:v>
                </c:pt>
              </c:numCache>
            </c:numRef>
          </c:xVal>
          <c:yVal>
            <c:numRef>
              <c:f>Start_up!$G$10:$G$112</c:f>
              <c:numCache>
                <c:formatCode>General</c:formatCode>
                <c:ptCount val="103"/>
                <c:pt idx="0">
                  <c:v>1.0999999999999999E-2</c:v>
                </c:pt>
                <c:pt idx="1">
                  <c:v>1.0999999999999999E-2</c:v>
                </c:pt>
                <c:pt idx="2">
                  <c:v>1.0999999999999999E-2</c:v>
                </c:pt>
                <c:pt idx="3">
                  <c:v>1.0999999999999999E-2</c:v>
                </c:pt>
                <c:pt idx="4">
                  <c:v>1.0999999999999999E-2</c:v>
                </c:pt>
                <c:pt idx="5">
                  <c:v>1.0999999999999999E-2</c:v>
                </c:pt>
                <c:pt idx="6">
                  <c:v>1.0999999999999999E-2</c:v>
                </c:pt>
                <c:pt idx="7">
                  <c:v>1.0999999999999999E-2</c:v>
                </c:pt>
                <c:pt idx="8">
                  <c:v>1.0999999999999999E-2</c:v>
                </c:pt>
                <c:pt idx="9">
                  <c:v>1.0999999999999999E-2</c:v>
                </c:pt>
                <c:pt idx="10">
                  <c:v>1.0999999999999999E-2</c:v>
                </c:pt>
                <c:pt idx="11">
                  <c:v>1.0999999999999999E-2</c:v>
                </c:pt>
                <c:pt idx="12">
                  <c:v>1.0999999999999999E-2</c:v>
                </c:pt>
                <c:pt idx="13">
                  <c:v>1.0999999999999999E-2</c:v>
                </c:pt>
                <c:pt idx="14">
                  <c:v>1.0999999999999999E-2</c:v>
                </c:pt>
                <c:pt idx="15">
                  <c:v>1.0999999999999999E-2</c:v>
                </c:pt>
                <c:pt idx="16">
                  <c:v>1.0999999999999999E-2</c:v>
                </c:pt>
                <c:pt idx="17">
                  <c:v>1.0999999999999999E-2</c:v>
                </c:pt>
                <c:pt idx="18">
                  <c:v>1.0999999999999999E-2</c:v>
                </c:pt>
                <c:pt idx="19">
                  <c:v>1.0999999999999999E-2</c:v>
                </c:pt>
                <c:pt idx="20">
                  <c:v>1.0999999999999999E-2</c:v>
                </c:pt>
                <c:pt idx="21">
                  <c:v>1.0999999999999999E-2</c:v>
                </c:pt>
                <c:pt idx="22">
                  <c:v>1.0999999999999999E-2</c:v>
                </c:pt>
                <c:pt idx="23">
                  <c:v>1.0999999999999999E-2</c:v>
                </c:pt>
                <c:pt idx="24">
                  <c:v>1.0999999999999999E-2</c:v>
                </c:pt>
                <c:pt idx="25">
                  <c:v>1.0999999999999999E-2</c:v>
                </c:pt>
                <c:pt idx="26">
                  <c:v>1.0999999999999999E-2</c:v>
                </c:pt>
                <c:pt idx="27">
                  <c:v>1.0999999999999999E-2</c:v>
                </c:pt>
                <c:pt idx="28">
                  <c:v>1.0999999999999999E-2</c:v>
                </c:pt>
                <c:pt idx="29">
                  <c:v>1.0999999999999999E-2</c:v>
                </c:pt>
                <c:pt idx="30">
                  <c:v>1.0999999999999999E-2</c:v>
                </c:pt>
                <c:pt idx="31">
                  <c:v>1.0999999999999999E-2</c:v>
                </c:pt>
                <c:pt idx="32">
                  <c:v>1.0999999999999999E-2</c:v>
                </c:pt>
                <c:pt idx="33">
                  <c:v>1.0999999999999999E-2</c:v>
                </c:pt>
                <c:pt idx="34">
                  <c:v>1.0999999999999999E-2</c:v>
                </c:pt>
                <c:pt idx="35">
                  <c:v>1.0999999999999999E-2</c:v>
                </c:pt>
                <c:pt idx="36">
                  <c:v>1.0999999999999999E-2</c:v>
                </c:pt>
                <c:pt idx="37">
                  <c:v>1.0999999999999999E-2</c:v>
                </c:pt>
                <c:pt idx="38">
                  <c:v>1.0999999999999999E-2</c:v>
                </c:pt>
                <c:pt idx="39">
                  <c:v>1.0999999999999999E-2</c:v>
                </c:pt>
                <c:pt idx="40">
                  <c:v>1.0999999999999999E-2</c:v>
                </c:pt>
                <c:pt idx="41">
                  <c:v>1.0999999999999999E-2</c:v>
                </c:pt>
                <c:pt idx="42">
                  <c:v>1.0999999999999999E-2</c:v>
                </c:pt>
                <c:pt idx="43">
                  <c:v>1.0999999999999999E-2</c:v>
                </c:pt>
                <c:pt idx="44">
                  <c:v>1.0999999999999999E-2</c:v>
                </c:pt>
                <c:pt idx="45">
                  <c:v>1.0999999999999999E-2</c:v>
                </c:pt>
                <c:pt idx="46">
                  <c:v>1.0999999999999999E-2</c:v>
                </c:pt>
                <c:pt idx="47">
                  <c:v>1.0999999999999999E-2</c:v>
                </c:pt>
                <c:pt idx="48">
                  <c:v>1.0999999999999999E-2</c:v>
                </c:pt>
                <c:pt idx="49">
                  <c:v>1.0999999999999999E-2</c:v>
                </c:pt>
                <c:pt idx="50">
                  <c:v>1.0999999999999999E-2</c:v>
                </c:pt>
                <c:pt idx="51">
                  <c:v>1.0999999999999999E-2</c:v>
                </c:pt>
                <c:pt idx="52">
                  <c:v>1.0999999999999999E-2</c:v>
                </c:pt>
                <c:pt idx="53">
                  <c:v>1.0999999999999999E-2</c:v>
                </c:pt>
                <c:pt idx="54">
                  <c:v>1.0999999999999999E-2</c:v>
                </c:pt>
                <c:pt idx="55">
                  <c:v>1.0999999999999999E-2</c:v>
                </c:pt>
                <c:pt idx="56">
                  <c:v>1.0999999999999999E-2</c:v>
                </c:pt>
                <c:pt idx="57">
                  <c:v>1.0999999999999999E-2</c:v>
                </c:pt>
                <c:pt idx="58">
                  <c:v>1.0999999999999999E-2</c:v>
                </c:pt>
                <c:pt idx="59">
                  <c:v>1.0999999999999999E-2</c:v>
                </c:pt>
                <c:pt idx="60">
                  <c:v>1.0999999999999999E-2</c:v>
                </c:pt>
                <c:pt idx="61">
                  <c:v>1.0999999999999999E-2</c:v>
                </c:pt>
                <c:pt idx="62">
                  <c:v>1.0999999999999999E-2</c:v>
                </c:pt>
                <c:pt idx="63">
                  <c:v>1.0999999999999999E-2</c:v>
                </c:pt>
                <c:pt idx="64">
                  <c:v>1.0999999999999999E-2</c:v>
                </c:pt>
                <c:pt idx="65">
                  <c:v>1.0999999999999999E-2</c:v>
                </c:pt>
                <c:pt idx="66">
                  <c:v>1.0999999999999999E-2</c:v>
                </c:pt>
                <c:pt idx="67">
                  <c:v>1.0999999999999999E-2</c:v>
                </c:pt>
                <c:pt idx="68">
                  <c:v>1.0999999999999999E-2</c:v>
                </c:pt>
                <c:pt idx="69">
                  <c:v>1.0999999999999999E-2</c:v>
                </c:pt>
                <c:pt idx="70">
                  <c:v>1.0999999999999999E-2</c:v>
                </c:pt>
                <c:pt idx="71">
                  <c:v>1.0999999999999999E-2</c:v>
                </c:pt>
                <c:pt idx="72">
                  <c:v>1.0999999999999999E-2</c:v>
                </c:pt>
                <c:pt idx="73">
                  <c:v>1.0999999999999999E-2</c:v>
                </c:pt>
                <c:pt idx="74">
                  <c:v>1.0999999999999999E-2</c:v>
                </c:pt>
                <c:pt idx="75">
                  <c:v>1.0999999999999999E-2</c:v>
                </c:pt>
                <c:pt idx="76">
                  <c:v>1.0999999999999999E-2</c:v>
                </c:pt>
                <c:pt idx="77">
                  <c:v>1.0999999999999999E-2</c:v>
                </c:pt>
                <c:pt idx="78">
                  <c:v>1.0999999999999999E-2</c:v>
                </c:pt>
                <c:pt idx="79">
                  <c:v>1.0999999999999999E-2</c:v>
                </c:pt>
                <c:pt idx="80">
                  <c:v>1.0999999999999999E-2</c:v>
                </c:pt>
                <c:pt idx="81">
                  <c:v>1.0999999999999999E-2</c:v>
                </c:pt>
                <c:pt idx="82">
                  <c:v>1.0999999999999999E-2</c:v>
                </c:pt>
                <c:pt idx="83">
                  <c:v>1.0999999999999999E-2</c:v>
                </c:pt>
                <c:pt idx="84">
                  <c:v>1.0999999999999999E-2</c:v>
                </c:pt>
                <c:pt idx="85">
                  <c:v>1.0999999999999999E-2</c:v>
                </c:pt>
                <c:pt idx="86">
                  <c:v>1.0999999999999999E-2</c:v>
                </c:pt>
                <c:pt idx="87">
                  <c:v>1.0999999999999999E-2</c:v>
                </c:pt>
                <c:pt idx="88">
                  <c:v>1.0999999999999999E-2</c:v>
                </c:pt>
                <c:pt idx="89">
                  <c:v>1.0999999999999999E-2</c:v>
                </c:pt>
                <c:pt idx="90">
                  <c:v>1.0999999999999999E-2</c:v>
                </c:pt>
                <c:pt idx="91">
                  <c:v>1.0999999999999999E-2</c:v>
                </c:pt>
                <c:pt idx="92">
                  <c:v>1.0999999999999999E-2</c:v>
                </c:pt>
                <c:pt idx="93">
                  <c:v>1.0999999999999999E-2</c:v>
                </c:pt>
                <c:pt idx="94">
                  <c:v>1.0999999999999999E-2</c:v>
                </c:pt>
                <c:pt idx="95">
                  <c:v>1.0999999999999999E-2</c:v>
                </c:pt>
                <c:pt idx="96">
                  <c:v>1.0999999999999999E-2</c:v>
                </c:pt>
                <c:pt idx="97">
                  <c:v>1.0999999999999999E-2</c:v>
                </c:pt>
                <c:pt idx="98">
                  <c:v>1.0999999999999999E-2</c:v>
                </c:pt>
                <c:pt idx="99">
                  <c:v>1.0999999999999999E-2</c:v>
                </c:pt>
                <c:pt idx="100">
                  <c:v>1.0999999999999999E-2</c:v>
                </c:pt>
                <c:pt idx="101">
                  <c:v>1.0999999999999999E-2</c:v>
                </c:pt>
                <c:pt idx="102">
                  <c:v>1.0999999999999999E-2</c:v>
                </c:pt>
              </c:numCache>
            </c:numRef>
          </c:yVal>
          <c:smooth val="1"/>
          <c:extLst>
            <c:ext xmlns:c16="http://schemas.microsoft.com/office/drawing/2014/chart" uri="{C3380CC4-5D6E-409C-BE32-E72D297353CC}">
              <c16:uniqueId val="{00000001-E2AF-478E-8E3B-A9112767B544}"/>
            </c:ext>
          </c:extLst>
        </c:ser>
        <c:dLbls>
          <c:showLegendKey val="0"/>
          <c:showVal val="0"/>
          <c:showCatName val="0"/>
          <c:showSerName val="0"/>
          <c:showPercent val="0"/>
          <c:showBubbleSize val="0"/>
        </c:dLbls>
        <c:axId val="206551296"/>
        <c:axId val="206557568"/>
      </c:scatterChart>
      <c:valAx>
        <c:axId val="206551296"/>
        <c:scaling>
          <c:orientation val="minMax"/>
        </c:scaling>
        <c:delete val="0"/>
        <c:axPos val="b"/>
        <c:title>
          <c:tx>
            <c:rich>
              <a:bodyPr/>
              <a:lstStyle/>
              <a:p>
                <a:pPr>
                  <a:defRPr/>
                </a:pPr>
                <a:r>
                  <a:rPr lang="en-US"/>
                  <a:t>Output</a:t>
                </a:r>
                <a:r>
                  <a:rPr lang="en-US" baseline="0"/>
                  <a:t> Voltage (V)</a:t>
                </a:r>
                <a:endParaRPr lang="en-US"/>
              </a:p>
            </c:rich>
          </c:tx>
          <c:overlay val="0"/>
        </c:title>
        <c:numFmt formatCode="0.00" sourceLinked="1"/>
        <c:majorTickMark val="out"/>
        <c:minorTickMark val="none"/>
        <c:tickLblPos val="nextTo"/>
        <c:crossAx val="206557568"/>
        <c:crosses val="autoZero"/>
        <c:crossBetween val="midCat"/>
      </c:valAx>
      <c:valAx>
        <c:axId val="206557568"/>
        <c:scaling>
          <c:orientation val="minMax"/>
          <c:min val="0"/>
        </c:scaling>
        <c:delete val="0"/>
        <c:axPos val="l"/>
        <c:majorGridlines/>
        <c:title>
          <c:tx>
            <c:rich>
              <a:bodyPr rot="-5400000" vert="horz"/>
              <a:lstStyle/>
              <a:p>
                <a:pPr>
                  <a:defRPr/>
                </a:pPr>
                <a:r>
                  <a:rPr lang="en-US"/>
                  <a:t>Current (A)</a:t>
                </a:r>
              </a:p>
            </c:rich>
          </c:tx>
          <c:overlay val="0"/>
        </c:title>
        <c:numFmt formatCode="0.000" sourceLinked="1"/>
        <c:majorTickMark val="out"/>
        <c:minorTickMark val="none"/>
        <c:tickLblPos val="nextTo"/>
        <c:crossAx val="206551296"/>
        <c:crosses val="autoZero"/>
        <c:crossBetween val="midCat"/>
      </c:valAx>
    </c:plotArea>
    <c:legend>
      <c:legendPos val="r"/>
      <c:layout>
        <c:manualLayout>
          <c:xMode val="edge"/>
          <c:yMode val="edge"/>
          <c:x val="0.34624252358789726"/>
          <c:y val="0.24479126489117176"/>
          <c:w val="0.21462230092985587"/>
          <c:h val="0.16792443955258282"/>
        </c:manualLayout>
      </c:layout>
      <c:overlay val="0"/>
      <c:spPr>
        <a:solidFill>
          <a:sysClr val="window" lastClr="FFFFFF"/>
        </a:solidFill>
        <a:ln>
          <a:solidFill>
            <a:schemeClr val="tx1"/>
          </a:solidFill>
        </a:ln>
      </c:spPr>
      <c:txPr>
        <a:bodyPr/>
        <a:lstStyle/>
        <a:p>
          <a:pPr>
            <a:defRPr>
              <a:ln>
                <a:solidFill>
                  <a:sysClr val="windowText" lastClr="000000"/>
                </a:solidFill>
              </a:ln>
            </a:defRPr>
          </a:pPr>
          <a:endParaRPr lang="en-US"/>
        </a:p>
      </c:txPr>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8" Type="http://schemas.openxmlformats.org/officeDocument/2006/relationships/image" Target="../media/image5.png"/><Relationship Id="rId13" Type="http://schemas.openxmlformats.org/officeDocument/2006/relationships/image" Target="../media/image8.png"/><Relationship Id="rId18" Type="http://schemas.openxmlformats.org/officeDocument/2006/relationships/hyperlink" Target="https://training.ti.com/node/1133681" TargetMode="External"/><Relationship Id="rId3" Type="http://schemas.openxmlformats.org/officeDocument/2006/relationships/image" Target="../media/image3.emf"/><Relationship Id="rId7" Type="http://schemas.openxmlformats.org/officeDocument/2006/relationships/chart" Target="../charts/chart3.xml"/><Relationship Id="rId12" Type="http://schemas.openxmlformats.org/officeDocument/2006/relationships/hyperlink" Target="https://training.ti.com/node/1133677" TargetMode="External"/><Relationship Id="rId17" Type="http://schemas.openxmlformats.org/officeDocument/2006/relationships/image" Target="../media/image10.png"/><Relationship Id="rId2" Type="http://schemas.openxmlformats.org/officeDocument/2006/relationships/image" Target="../media/image2.png"/><Relationship Id="rId16" Type="http://schemas.openxmlformats.org/officeDocument/2006/relationships/hyperlink" Target="https://training.ti.com/node/1133664" TargetMode="External"/><Relationship Id="rId1" Type="http://schemas.openxmlformats.org/officeDocument/2006/relationships/hyperlink" Target="http://www.ti.com" TargetMode="External"/><Relationship Id="rId6" Type="http://schemas.openxmlformats.org/officeDocument/2006/relationships/chart" Target="../charts/chart2.xml"/><Relationship Id="rId11" Type="http://schemas.openxmlformats.org/officeDocument/2006/relationships/image" Target="../media/image7.png"/><Relationship Id="rId5" Type="http://schemas.openxmlformats.org/officeDocument/2006/relationships/chart" Target="../charts/chart1.xml"/><Relationship Id="rId15" Type="http://schemas.openxmlformats.org/officeDocument/2006/relationships/image" Target="../media/image9.png"/><Relationship Id="rId10" Type="http://schemas.openxmlformats.org/officeDocument/2006/relationships/hyperlink" Target="http://www.ti.com/power-management/protection-monitoring-hot-swap/controllers/support-training.html#videos" TargetMode="External"/><Relationship Id="rId19" Type="http://schemas.openxmlformats.org/officeDocument/2006/relationships/image" Target="../media/image11.png"/><Relationship Id="rId4" Type="http://schemas.openxmlformats.org/officeDocument/2006/relationships/image" Target="../media/image4.png"/><Relationship Id="rId9" Type="http://schemas.openxmlformats.org/officeDocument/2006/relationships/image" Target="../media/image6.png"/><Relationship Id="rId14" Type="http://schemas.openxmlformats.org/officeDocument/2006/relationships/hyperlink" Target="https://training.ti.com/node/1133673" TargetMode="Externa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95250</xdr:rowOff>
    </xdr:from>
    <xdr:to>
      <xdr:col>15</xdr:col>
      <xdr:colOff>581025</xdr:colOff>
      <xdr:row>5</xdr:row>
      <xdr:rowOff>28575</xdr:rowOff>
    </xdr:to>
    <xdr:sp macro="" textlink="">
      <xdr:nvSpPr>
        <xdr:cNvPr id="2" name="Rectangle 1">
          <a:extLst>
            <a:ext uri="{FF2B5EF4-FFF2-40B4-BE49-F238E27FC236}">
              <a16:creationId xmlns:a16="http://schemas.microsoft.com/office/drawing/2014/main" id="{00000000-0008-0000-0000-000002000000}"/>
            </a:ext>
          </a:extLst>
        </xdr:cNvPr>
        <xdr:cNvSpPr>
          <a:spLocks noChangeArrowheads="1"/>
        </xdr:cNvSpPr>
      </xdr:nvSpPr>
      <xdr:spPr bwMode="auto">
        <a:xfrm>
          <a:off x="0" y="266700"/>
          <a:ext cx="9725025" cy="9334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114300</xdr:colOff>
      <xdr:row>2</xdr:row>
      <xdr:rowOff>0</xdr:rowOff>
    </xdr:from>
    <xdr:to>
      <xdr:col>4</xdr:col>
      <xdr:colOff>0</xdr:colOff>
      <xdr:row>4</xdr:row>
      <xdr:rowOff>104775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333375"/>
          <a:ext cx="2324100"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26669</xdr:colOff>
      <xdr:row>1</xdr:row>
      <xdr:rowOff>104775</xdr:rowOff>
    </xdr:from>
    <xdr:to>
      <xdr:col>7</xdr:col>
      <xdr:colOff>19050</xdr:colOff>
      <xdr:row>7</xdr:row>
      <xdr:rowOff>33617</xdr:rowOff>
    </xdr:to>
    <xdr:sp macro="" textlink="">
      <xdr:nvSpPr>
        <xdr:cNvPr id="1025" name="Text Box 1">
          <a:extLst>
            <a:ext uri="{FF2B5EF4-FFF2-40B4-BE49-F238E27FC236}">
              <a16:creationId xmlns:a16="http://schemas.microsoft.com/office/drawing/2014/main" id="{00000000-0008-0000-0100-000001040000}"/>
            </a:ext>
          </a:extLst>
        </xdr:cNvPr>
        <xdr:cNvSpPr txBox="1">
          <a:spLocks noChangeArrowheads="1"/>
        </xdr:cNvSpPr>
      </xdr:nvSpPr>
      <xdr:spPr bwMode="auto">
        <a:xfrm>
          <a:off x="26669" y="877981"/>
          <a:ext cx="6973646" cy="91496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1" i="0" u="sng" strike="noStrike" baseline="0">
              <a:solidFill>
                <a:srgbClr val="FF0000"/>
              </a:solidFill>
              <a:latin typeface="Arial"/>
              <a:cs typeface="Arial"/>
            </a:rPr>
            <a:t>Note</a:t>
          </a:r>
          <a:r>
            <a:rPr lang="en-US" sz="1200" b="1" i="0" u="none" strike="noStrike" baseline="0">
              <a:solidFill>
                <a:srgbClr val="FF0000"/>
              </a:solidFill>
              <a:latin typeface="Arial"/>
              <a:cs typeface="Arial"/>
            </a:rPr>
            <a:t>:</a:t>
          </a:r>
          <a:r>
            <a:rPr lang="en-US" sz="1200" b="0" i="0" u="none" strike="noStrike" baseline="0">
              <a:solidFill>
                <a:srgbClr val="FF0000"/>
              </a:solidFill>
              <a:latin typeface="Arial"/>
              <a:cs typeface="Arial"/>
            </a:rPr>
            <a:t> The components calculated in this worksheet are reasonable starting values for a design using the TPS249x and TPS248x series of Hot-swap Controller. As such, they are not optimized for any particular performance attribute. Tolerances of the components are not included in the calculations. See the Instructions tab for additional information.</a:t>
          </a:r>
        </a:p>
        <a:p>
          <a:pPr algn="l" rtl="0">
            <a:defRPr sz="1000"/>
          </a:pPr>
          <a:r>
            <a:rPr lang="en-US" sz="1200" b="1" i="0" u="none" strike="noStrike" baseline="0">
              <a:solidFill>
                <a:sysClr val="windowText" lastClr="000000"/>
              </a:solidFill>
              <a:latin typeface="Arial"/>
              <a:cs typeface="Arial"/>
            </a:rPr>
            <a:t>Consult the TPS249x datasheet for more detail.</a:t>
          </a:r>
        </a:p>
      </xdr:txBody>
    </xdr:sp>
    <xdr:clientData/>
  </xdr:twoCellAnchor>
  <xdr:twoCellAnchor>
    <xdr:from>
      <xdr:col>39</xdr:col>
      <xdr:colOff>0</xdr:colOff>
      <xdr:row>59</xdr:row>
      <xdr:rowOff>0</xdr:rowOff>
    </xdr:from>
    <xdr:to>
      <xdr:col>39</xdr:col>
      <xdr:colOff>0</xdr:colOff>
      <xdr:row>67</xdr:row>
      <xdr:rowOff>0</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16821150" y="4267200"/>
          <a:ext cx="2276475" cy="847725"/>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Max R</a:t>
          </a:r>
          <a:r>
            <a:rPr lang="en-US" sz="1000" b="0" i="0" u="none" strike="noStrike" baseline="-25000">
              <a:solidFill>
                <a:srgbClr val="000000"/>
              </a:solidFill>
              <a:latin typeface="Arial"/>
              <a:cs typeface="Arial"/>
            </a:rPr>
            <a:t>S</a:t>
          </a:r>
          <a:r>
            <a:rPr lang="en-US" sz="1000" b="0" i="0" u="none" strike="noStrike" baseline="0">
              <a:solidFill>
                <a:srgbClr val="000000"/>
              </a:solidFill>
              <a:latin typeface="Arial"/>
              <a:cs typeface="Arial"/>
            </a:rPr>
            <a:t> = </a:t>
          </a:r>
          <a:r>
            <a:rPr lang="en-US" sz="1000" b="0" i="0" u="sng" strike="noStrike" baseline="0">
              <a:solidFill>
                <a:srgbClr val="000000"/>
              </a:solidFill>
              <a:latin typeface="Arial"/>
              <a:cs typeface="Arial"/>
            </a:rPr>
            <a:t>            45 mV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                (Max Load Current x 1.01)</a:t>
          </a:r>
        </a:p>
        <a:p>
          <a:pPr algn="l" rtl="0">
            <a:defRPr sz="1000"/>
          </a:pPr>
          <a:endParaRPr lang="en-US" sz="10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The 1.01 factor provides 1% margin from the max. normal load current.</a:t>
          </a:r>
        </a:p>
      </xdr:txBody>
    </xdr:sp>
    <xdr:clientData/>
  </xdr:twoCellAnchor>
  <xdr:twoCellAnchor editAs="oneCell">
    <xdr:from>
      <xdr:col>1</xdr:col>
      <xdr:colOff>50987</xdr:colOff>
      <xdr:row>0</xdr:row>
      <xdr:rowOff>171450</xdr:rowOff>
    </xdr:from>
    <xdr:to>
      <xdr:col>1</xdr:col>
      <xdr:colOff>1713717</xdr:colOff>
      <xdr:row>0</xdr:row>
      <xdr:rowOff>609600</xdr:rowOff>
    </xdr:to>
    <xdr:pic>
      <xdr:nvPicPr>
        <xdr:cNvPr id="10" name="Picture 9">
          <a:hlinkClick xmlns:r="http://schemas.openxmlformats.org/officeDocument/2006/relationships" r:id="rId1"/>
          <a:extLst>
            <a:ext uri="{FF2B5EF4-FFF2-40B4-BE49-F238E27FC236}">
              <a16:creationId xmlns:a16="http://schemas.microsoft.com/office/drawing/2014/main" id="{00000000-0008-0000-0100-00000A000000}"/>
            </a:ext>
          </a:extLst>
        </xdr:cNvPr>
        <xdr:cNvPicPr/>
      </xdr:nvPicPr>
      <xdr:blipFill>
        <a:blip xmlns:r="http://schemas.openxmlformats.org/officeDocument/2006/relationships" r:embed="rId2" cstate="print"/>
        <a:srcRect r="26499"/>
        <a:stretch>
          <a:fillRect/>
        </a:stretch>
      </xdr:blipFill>
      <xdr:spPr bwMode="auto">
        <a:xfrm>
          <a:off x="84605" y="171450"/>
          <a:ext cx="1662730" cy="438150"/>
        </a:xfrm>
        <a:prstGeom prst="rect">
          <a:avLst/>
        </a:prstGeom>
        <a:noFill/>
        <a:ln w="9525">
          <a:noFill/>
          <a:miter lim="800000"/>
          <a:headEnd/>
          <a:tailEnd/>
        </a:ln>
      </xdr:spPr>
    </xdr:pic>
    <xdr:clientData/>
  </xdr:twoCellAnchor>
  <xdr:twoCellAnchor editAs="oneCell">
    <xdr:from>
      <xdr:col>5</xdr:col>
      <xdr:colOff>95251</xdr:colOff>
      <xdr:row>133</xdr:row>
      <xdr:rowOff>95251</xdr:rowOff>
    </xdr:from>
    <xdr:to>
      <xdr:col>10</xdr:col>
      <xdr:colOff>632842</xdr:colOff>
      <xdr:row>133</xdr:row>
      <xdr:rowOff>97409</xdr:rowOff>
    </xdr:to>
    <xdr:pic>
      <xdr:nvPicPr>
        <xdr:cNvPr id="3" name="Picture 216">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5467351" y="15116176"/>
          <a:ext cx="4019549" cy="653471"/>
        </a:xfrm>
        <a:prstGeom prst="rect">
          <a:avLst/>
        </a:prstGeom>
        <a:noFill/>
      </xdr:spPr>
    </xdr:pic>
    <xdr:clientData/>
  </xdr:twoCellAnchor>
  <xdr:twoCellAnchor>
    <xdr:from>
      <xdr:col>16</xdr:col>
      <xdr:colOff>714375</xdr:colOff>
      <xdr:row>0</xdr:row>
      <xdr:rowOff>114871</xdr:rowOff>
    </xdr:from>
    <xdr:to>
      <xdr:col>16</xdr:col>
      <xdr:colOff>2247900</xdr:colOff>
      <xdr:row>0</xdr:row>
      <xdr:rowOff>516906</xdr:rowOff>
    </xdr:to>
    <xdr:pic>
      <xdr:nvPicPr>
        <xdr:cNvPr id="11" name="Picture 84">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982325" y="114871"/>
          <a:ext cx="1533525" cy="402035"/>
        </a:xfrm>
        <a:prstGeom prst="rect">
          <a:avLst/>
        </a:prstGeom>
        <a:noFill/>
        <a:ln w="1">
          <a:noFill/>
          <a:miter lim="800000"/>
          <a:headEnd/>
          <a:tailEnd type="none" w="med" len="med"/>
        </a:ln>
        <a:effectLst/>
      </xdr:spPr>
    </xdr:pic>
    <xdr:clientData/>
  </xdr:twoCellAnchor>
  <xdr:twoCellAnchor>
    <xdr:from>
      <xdr:col>7</xdr:col>
      <xdr:colOff>274320</xdr:colOff>
      <xdr:row>49</xdr:row>
      <xdr:rowOff>76201</xdr:rowOff>
    </xdr:from>
    <xdr:to>
      <xdr:col>38</xdr:col>
      <xdr:colOff>310443</xdr:colOff>
      <xdr:row>64</xdr:row>
      <xdr:rowOff>98778</xdr:rowOff>
    </xdr:to>
    <xdr:graphicFrame macro="">
      <xdr:nvGraphicFramePr>
        <xdr:cNvPr id="19" name="Chart 100">
          <a:extLst>
            <a:ext uri="{FF2B5EF4-FFF2-40B4-BE49-F238E27FC236}">
              <a16:creationId xmlns:a16="http://schemas.microsoft.com/office/drawing/2014/main" id="{00000000-0008-0000-01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oneCellAnchor>
    <xdr:from>
      <xdr:col>8</xdr:col>
      <xdr:colOff>53340</xdr:colOff>
      <xdr:row>43</xdr:row>
      <xdr:rowOff>175260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7726680" y="519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220084</xdr:colOff>
      <xdr:row>67</xdr:row>
      <xdr:rowOff>94131</xdr:rowOff>
    </xdr:from>
    <xdr:to>
      <xdr:col>38</xdr:col>
      <xdr:colOff>215153</xdr:colOff>
      <xdr:row>81</xdr:row>
      <xdr:rowOff>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oneCellAnchor>
    <xdr:from>
      <xdr:col>11</xdr:col>
      <xdr:colOff>434340</xdr:colOff>
      <xdr:row>55</xdr:row>
      <xdr:rowOff>91440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0309860" y="7741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7</xdr:col>
      <xdr:colOff>236405</xdr:colOff>
      <xdr:row>81</xdr:row>
      <xdr:rowOff>57275</xdr:rowOff>
    </xdr:from>
    <xdr:to>
      <xdr:col>38</xdr:col>
      <xdr:colOff>326519</xdr:colOff>
      <xdr:row>90</xdr:row>
      <xdr:rowOff>347133</xdr:rowOff>
    </xdr:to>
    <xdr:graphicFrame macro="">
      <xdr:nvGraphicFramePr>
        <xdr:cNvPr id="18" name="Chart 17">
          <a:extLst>
            <a:ext uri="{FF2B5EF4-FFF2-40B4-BE49-F238E27FC236}">
              <a16:creationId xmlns:a16="http://schemas.microsoft.com/office/drawing/2014/main" id="{00000000-0008-0000-01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12</xdr:col>
      <xdr:colOff>662940</xdr:colOff>
      <xdr:row>69</xdr:row>
      <xdr:rowOff>30480</xdr:rowOff>
    </xdr:from>
    <xdr:ext cx="184731" cy="264560"/>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1193780" y="9860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8</xdr:col>
      <xdr:colOff>67683</xdr:colOff>
      <xdr:row>37</xdr:row>
      <xdr:rowOff>152400</xdr:rowOff>
    </xdr:from>
    <xdr:to>
      <xdr:col>11</xdr:col>
      <xdr:colOff>499533</xdr:colOff>
      <xdr:row>48</xdr:row>
      <xdr:rowOff>35437</xdr:rowOff>
    </xdr:to>
    <xdr:grpSp>
      <xdr:nvGrpSpPr>
        <xdr:cNvPr id="20" name="Group 19">
          <a:extLst>
            <a:ext uri="{FF2B5EF4-FFF2-40B4-BE49-F238E27FC236}">
              <a16:creationId xmlns:a16="http://schemas.microsoft.com/office/drawing/2014/main" id="{00000000-0008-0000-0100-000014000000}"/>
            </a:ext>
          </a:extLst>
        </xdr:cNvPr>
        <xdr:cNvGrpSpPr/>
      </xdr:nvGrpSpPr>
      <xdr:grpSpPr>
        <a:xfrm>
          <a:off x="8724003" y="8488680"/>
          <a:ext cx="2626410" cy="1978537"/>
          <a:chOff x="8025536" y="4434091"/>
          <a:chExt cx="2861885" cy="2548942"/>
        </a:xfrm>
      </xdr:grpSpPr>
      <xdr:grpSp>
        <xdr:nvGrpSpPr>
          <xdr:cNvPr id="21" name="Group 20">
            <a:extLst>
              <a:ext uri="{FF2B5EF4-FFF2-40B4-BE49-F238E27FC236}">
                <a16:creationId xmlns:a16="http://schemas.microsoft.com/office/drawing/2014/main" id="{00000000-0008-0000-0100-000015000000}"/>
              </a:ext>
            </a:extLst>
          </xdr:cNvPr>
          <xdr:cNvGrpSpPr/>
        </xdr:nvGrpSpPr>
        <xdr:grpSpPr>
          <a:xfrm>
            <a:off x="8025536" y="4434091"/>
            <a:ext cx="2861885" cy="2548942"/>
            <a:chOff x="7532443" y="4392378"/>
            <a:chExt cx="2857500" cy="2548942"/>
          </a:xfrm>
        </xdr:grpSpPr>
        <xdr:pic>
          <xdr:nvPicPr>
            <xdr:cNvPr id="23" name="Picture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8"/>
            <a:stretch>
              <a:fillRect/>
            </a:stretch>
          </xdr:blipFill>
          <xdr:spPr>
            <a:xfrm>
              <a:off x="7532443" y="4392378"/>
              <a:ext cx="2857500" cy="2548942"/>
            </a:xfrm>
            <a:prstGeom prst="rect">
              <a:avLst/>
            </a:prstGeom>
          </xdr:spPr>
        </xdr:pic>
        <xdr:sp macro="" textlink="">
          <xdr:nvSpPr>
            <xdr:cNvPr id="24" name="TextBox 23">
              <a:extLst>
                <a:ext uri="{FF2B5EF4-FFF2-40B4-BE49-F238E27FC236}">
                  <a16:creationId xmlns:a16="http://schemas.microsoft.com/office/drawing/2014/main" id="{00000000-0008-0000-0100-000018000000}"/>
                </a:ext>
              </a:extLst>
            </xdr:cNvPr>
            <xdr:cNvSpPr txBox="1"/>
          </xdr:nvSpPr>
          <xdr:spPr>
            <a:xfrm>
              <a:off x="8430621" y="5127689"/>
              <a:ext cx="593913" cy="29081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CL1</a:t>
              </a:r>
            </a:p>
          </xdr:txBody>
        </xdr:sp>
        <xdr:sp macro="" textlink="">
          <xdr:nvSpPr>
            <xdr:cNvPr id="25" name="TextBox 24">
              <a:extLst>
                <a:ext uri="{FF2B5EF4-FFF2-40B4-BE49-F238E27FC236}">
                  <a16:creationId xmlns:a16="http://schemas.microsoft.com/office/drawing/2014/main" id="{00000000-0008-0000-0100-000019000000}"/>
                </a:ext>
              </a:extLst>
            </xdr:cNvPr>
            <xdr:cNvSpPr txBox="1"/>
          </xdr:nvSpPr>
          <xdr:spPr>
            <a:xfrm>
              <a:off x="9397253" y="5038165"/>
              <a:ext cx="593913" cy="377687"/>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a:latin typeface="Arial" panose="020B0604020202020204" pitchFamily="34" charset="0"/>
                  <a:cs typeface="Arial" panose="020B0604020202020204" pitchFamily="34" charset="0"/>
                </a:rPr>
                <a:t>R</a:t>
              </a:r>
              <a:r>
                <a:rPr lang="en-US" sz="1200" b="0" baseline="-25000">
                  <a:latin typeface="Arial" panose="020B0604020202020204" pitchFamily="34" charset="0"/>
                  <a:cs typeface="Arial" panose="020B0604020202020204" pitchFamily="34" charset="0"/>
                </a:rPr>
                <a:t>CL2</a:t>
              </a:r>
            </a:p>
          </xdr:txBody>
        </xdr:sp>
      </xdr:grpSp>
      <xdr:sp macro="" textlink="">
        <xdr:nvSpPr>
          <xdr:cNvPr id="22" name="Rectangle 21">
            <a:extLst>
              <a:ext uri="{FF2B5EF4-FFF2-40B4-BE49-F238E27FC236}">
                <a16:creationId xmlns:a16="http://schemas.microsoft.com/office/drawing/2014/main" id="{00000000-0008-0000-0100-000016000000}"/>
              </a:ext>
            </a:extLst>
          </xdr:cNvPr>
          <xdr:cNvSpPr/>
        </xdr:nvSpPr>
        <xdr:spPr>
          <a:xfrm>
            <a:off x="10510630" y="6493565"/>
            <a:ext cx="99392" cy="28160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9</xdr:col>
      <xdr:colOff>232829</xdr:colOff>
      <xdr:row>45</xdr:row>
      <xdr:rowOff>93973</xdr:rowOff>
    </xdr:from>
    <xdr:ext cx="1303020" cy="405432"/>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8928096" y="5944440"/>
          <a:ext cx="1303020" cy="40543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t>TPS249x</a:t>
          </a:r>
        </a:p>
      </xdr:txBody>
    </xdr:sp>
    <xdr:clientData/>
  </xdr:oneCellAnchor>
  <xdr:oneCellAnchor>
    <xdr:from>
      <xdr:col>8</xdr:col>
      <xdr:colOff>570231</xdr:colOff>
      <xdr:row>43</xdr:row>
      <xdr:rowOff>144355</xdr:rowOff>
    </xdr:from>
    <xdr:ext cx="533400" cy="236221"/>
    <xdr:sp macro="" textlink="">
      <xdr:nvSpPr>
        <xdr:cNvPr id="12" name="TextBox 11">
          <a:extLst>
            <a:ext uri="{FF2B5EF4-FFF2-40B4-BE49-F238E27FC236}">
              <a16:creationId xmlns:a16="http://schemas.microsoft.com/office/drawing/2014/main" id="{00000000-0008-0000-0100-00000C000000}"/>
            </a:ext>
          </a:extLst>
        </xdr:cNvPr>
        <xdr:cNvSpPr txBox="1"/>
      </xdr:nvSpPr>
      <xdr:spPr>
        <a:xfrm>
          <a:off x="8158481" y="5478355"/>
          <a:ext cx="533400" cy="2362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t>VCC</a:t>
          </a:r>
        </a:p>
      </xdr:txBody>
    </xdr:sp>
    <xdr:clientData/>
  </xdr:oneCellAnchor>
  <xdr:oneCellAnchor>
    <xdr:from>
      <xdr:col>9</xdr:col>
      <xdr:colOff>571500</xdr:colOff>
      <xdr:row>43</xdr:row>
      <xdr:rowOff>145202</xdr:rowOff>
    </xdr:from>
    <xdr:ext cx="640080" cy="236221"/>
    <xdr:sp macro="" textlink="">
      <xdr:nvSpPr>
        <xdr:cNvPr id="27" name="TextBox 26">
          <a:extLst>
            <a:ext uri="{FF2B5EF4-FFF2-40B4-BE49-F238E27FC236}">
              <a16:creationId xmlns:a16="http://schemas.microsoft.com/office/drawing/2014/main" id="{00000000-0008-0000-0100-00001B000000}"/>
            </a:ext>
          </a:extLst>
        </xdr:cNvPr>
        <xdr:cNvSpPr txBox="1"/>
      </xdr:nvSpPr>
      <xdr:spPr>
        <a:xfrm>
          <a:off x="9017000" y="5479202"/>
          <a:ext cx="640080" cy="23622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t>SENSE</a:t>
          </a:r>
        </a:p>
      </xdr:txBody>
    </xdr:sp>
    <xdr:clientData/>
  </xdr:oneCellAnchor>
  <xdr:twoCellAnchor editAs="oneCell">
    <xdr:from>
      <xdr:col>1</xdr:col>
      <xdr:colOff>53341</xdr:colOff>
      <xdr:row>104</xdr:row>
      <xdr:rowOff>122184</xdr:rowOff>
    </xdr:from>
    <xdr:to>
      <xdr:col>3</xdr:col>
      <xdr:colOff>913696</xdr:colOff>
      <xdr:row>119</xdr:row>
      <xdr:rowOff>7895</xdr:rowOff>
    </xdr:to>
    <xdr:pic>
      <xdr:nvPicPr>
        <xdr:cNvPr id="15" name="Picture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9"/>
        <a:stretch>
          <a:fillRect/>
        </a:stretch>
      </xdr:blipFill>
      <xdr:spPr>
        <a:xfrm>
          <a:off x="83821" y="20917164"/>
          <a:ext cx="4762500" cy="2727971"/>
        </a:xfrm>
        <a:prstGeom prst="rect">
          <a:avLst/>
        </a:prstGeom>
      </xdr:spPr>
    </xdr:pic>
    <xdr:clientData/>
  </xdr:twoCellAnchor>
  <xdr:oneCellAnchor>
    <xdr:from>
      <xdr:col>2</xdr:col>
      <xdr:colOff>419100</xdr:colOff>
      <xdr:row>104</xdr:row>
      <xdr:rowOff>60960</xdr:rowOff>
    </xdr:from>
    <xdr:ext cx="480060" cy="280205"/>
    <xdr:sp macro="" textlink="">
      <xdr:nvSpPr>
        <xdr:cNvPr id="26" name="TextBox 25">
          <a:extLst>
            <a:ext uri="{FF2B5EF4-FFF2-40B4-BE49-F238E27FC236}">
              <a16:creationId xmlns:a16="http://schemas.microsoft.com/office/drawing/2014/main" id="{00000000-0008-0000-0100-00001A000000}"/>
            </a:ext>
          </a:extLst>
        </xdr:cNvPr>
        <xdr:cNvSpPr txBox="1"/>
      </xdr:nvSpPr>
      <xdr:spPr>
        <a:xfrm>
          <a:off x="2506980" y="20855940"/>
          <a:ext cx="480060" cy="28020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t>Q</a:t>
          </a:r>
          <a:r>
            <a:rPr lang="en-US" sz="1200" baseline="-25000"/>
            <a:t>1</a:t>
          </a:r>
        </a:p>
      </xdr:txBody>
    </xdr:sp>
    <xdr:clientData/>
  </xdr:oneCellAnchor>
  <xdr:twoCellAnchor editAs="oneCell">
    <xdr:from>
      <xdr:col>1</xdr:col>
      <xdr:colOff>84666</xdr:colOff>
      <xdr:row>14</xdr:row>
      <xdr:rowOff>35279</xdr:rowOff>
    </xdr:from>
    <xdr:to>
      <xdr:col>1</xdr:col>
      <xdr:colOff>1785055</xdr:colOff>
      <xdr:row>21</xdr:row>
      <xdr:rowOff>220524</xdr:rowOff>
    </xdr:to>
    <xdr:pic>
      <xdr:nvPicPr>
        <xdr:cNvPr id="28" name="Picture 27">
          <a:hlinkClick xmlns:r="http://schemas.openxmlformats.org/officeDocument/2006/relationships" r:id="rId10"/>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11"/>
        <a:stretch>
          <a:fillRect/>
        </a:stretch>
      </xdr:blipFill>
      <xdr:spPr>
        <a:xfrm>
          <a:off x="119944" y="3471335"/>
          <a:ext cx="1700389" cy="1723356"/>
        </a:xfrm>
        <a:prstGeom prst="rect">
          <a:avLst/>
        </a:prstGeom>
      </xdr:spPr>
    </xdr:pic>
    <xdr:clientData/>
  </xdr:twoCellAnchor>
  <xdr:twoCellAnchor editAs="oneCell">
    <xdr:from>
      <xdr:col>1</xdr:col>
      <xdr:colOff>42333</xdr:colOff>
      <xdr:row>27</xdr:row>
      <xdr:rowOff>14111</xdr:rowOff>
    </xdr:from>
    <xdr:to>
      <xdr:col>1</xdr:col>
      <xdr:colOff>1788818</xdr:colOff>
      <xdr:row>32</xdr:row>
      <xdr:rowOff>4166</xdr:rowOff>
    </xdr:to>
    <xdr:pic>
      <xdr:nvPicPr>
        <xdr:cNvPr id="29" name="Picture 28">
          <a:hlinkClick xmlns:r="http://schemas.openxmlformats.org/officeDocument/2006/relationships" r:id="rId12"/>
          <a:extLst>
            <a:ext uri="{FF2B5EF4-FFF2-40B4-BE49-F238E27FC236}">
              <a16:creationId xmlns:a16="http://schemas.microsoft.com/office/drawing/2014/main" id="{00000000-0008-0000-0100-00001D000000}"/>
            </a:ext>
          </a:extLst>
        </xdr:cNvPr>
        <xdr:cNvPicPr>
          <a:picLocks noChangeAspect="1"/>
        </xdr:cNvPicPr>
      </xdr:nvPicPr>
      <xdr:blipFill>
        <a:blip xmlns:r="http://schemas.openxmlformats.org/officeDocument/2006/relationships" r:embed="rId13"/>
        <a:stretch>
          <a:fillRect/>
        </a:stretch>
      </xdr:blipFill>
      <xdr:spPr>
        <a:xfrm>
          <a:off x="77611" y="6455833"/>
          <a:ext cx="1746485" cy="942555"/>
        </a:xfrm>
        <a:prstGeom prst="rect">
          <a:avLst/>
        </a:prstGeom>
      </xdr:spPr>
    </xdr:pic>
    <xdr:clientData/>
  </xdr:twoCellAnchor>
  <xdr:twoCellAnchor editAs="oneCell">
    <xdr:from>
      <xdr:col>1</xdr:col>
      <xdr:colOff>49388</xdr:colOff>
      <xdr:row>38</xdr:row>
      <xdr:rowOff>21166</xdr:rowOff>
    </xdr:from>
    <xdr:to>
      <xdr:col>2</xdr:col>
      <xdr:colOff>13165</xdr:colOff>
      <xdr:row>44</xdr:row>
      <xdr:rowOff>21166</xdr:rowOff>
    </xdr:to>
    <xdr:pic>
      <xdr:nvPicPr>
        <xdr:cNvPr id="30" name="Picture 29">
          <a:hlinkClick xmlns:r="http://schemas.openxmlformats.org/officeDocument/2006/relationships" r:id="rId12"/>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13"/>
        <a:stretch>
          <a:fillRect/>
        </a:stretch>
      </xdr:blipFill>
      <xdr:spPr>
        <a:xfrm>
          <a:off x="77963" y="8493654"/>
          <a:ext cx="1849727" cy="1143000"/>
        </a:xfrm>
        <a:prstGeom prst="rect">
          <a:avLst/>
        </a:prstGeom>
      </xdr:spPr>
    </xdr:pic>
    <xdr:clientData/>
  </xdr:twoCellAnchor>
  <xdr:twoCellAnchor editAs="oneCell">
    <xdr:from>
      <xdr:col>1</xdr:col>
      <xdr:colOff>63500</xdr:colOff>
      <xdr:row>50</xdr:row>
      <xdr:rowOff>14111</xdr:rowOff>
    </xdr:from>
    <xdr:to>
      <xdr:col>2</xdr:col>
      <xdr:colOff>79088</xdr:colOff>
      <xdr:row>55</xdr:row>
      <xdr:rowOff>107062</xdr:rowOff>
    </xdr:to>
    <xdr:pic>
      <xdr:nvPicPr>
        <xdr:cNvPr id="31" name="Picture 30">
          <a:hlinkClick xmlns:r="http://schemas.openxmlformats.org/officeDocument/2006/relationships" r:id="rId14"/>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15"/>
        <a:stretch>
          <a:fillRect/>
        </a:stretch>
      </xdr:blipFill>
      <xdr:spPr>
        <a:xfrm>
          <a:off x="98778" y="10823222"/>
          <a:ext cx="1857088" cy="1031340"/>
        </a:xfrm>
        <a:prstGeom prst="rect">
          <a:avLst/>
        </a:prstGeom>
      </xdr:spPr>
    </xdr:pic>
    <xdr:clientData/>
  </xdr:twoCellAnchor>
  <xdr:twoCellAnchor editAs="oneCell">
    <xdr:from>
      <xdr:col>1</xdr:col>
      <xdr:colOff>63500</xdr:colOff>
      <xdr:row>68</xdr:row>
      <xdr:rowOff>21167</xdr:rowOff>
    </xdr:from>
    <xdr:to>
      <xdr:col>2</xdr:col>
      <xdr:colOff>181580</xdr:colOff>
      <xdr:row>75</xdr:row>
      <xdr:rowOff>101269</xdr:rowOff>
    </xdr:to>
    <xdr:pic>
      <xdr:nvPicPr>
        <xdr:cNvPr id="32" name="Picture 31">
          <a:hlinkClick xmlns:r="http://schemas.openxmlformats.org/officeDocument/2006/relationships" r:id="rId16"/>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17"/>
        <a:stretch>
          <a:fillRect/>
        </a:stretch>
      </xdr:blipFill>
      <xdr:spPr>
        <a:xfrm>
          <a:off x="98778" y="14259278"/>
          <a:ext cx="1959580" cy="1216047"/>
        </a:xfrm>
        <a:prstGeom prst="rect">
          <a:avLst/>
        </a:prstGeom>
      </xdr:spPr>
    </xdr:pic>
    <xdr:clientData/>
  </xdr:twoCellAnchor>
  <xdr:twoCellAnchor editAs="oneCell">
    <xdr:from>
      <xdr:col>1</xdr:col>
      <xdr:colOff>0</xdr:colOff>
      <xdr:row>92</xdr:row>
      <xdr:rowOff>0</xdr:rowOff>
    </xdr:from>
    <xdr:to>
      <xdr:col>2</xdr:col>
      <xdr:colOff>167286</xdr:colOff>
      <xdr:row>97</xdr:row>
      <xdr:rowOff>126999</xdr:rowOff>
    </xdr:to>
    <xdr:pic>
      <xdr:nvPicPr>
        <xdr:cNvPr id="33" name="Picture 32">
          <a:hlinkClick xmlns:r="http://schemas.openxmlformats.org/officeDocument/2006/relationships" r:id="rId18"/>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19"/>
        <a:stretch>
          <a:fillRect/>
        </a:stretch>
      </xdr:blipFill>
      <xdr:spPr>
        <a:xfrm>
          <a:off x="35278" y="18908889"/>
          <a:ext cx="2008786" cy="10794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563880</xdr:colOff>
      <xdr:row>26</xdr:row>
      <xdr:rowOff>87630</xdr:rowOff>
    </xdr:from>
    <xdr:to>
      <xdr:col>28</xdr:col>
      <xdr:colOff>388620</xdr:colOff>
      <xdr:row>46</xdr:row>
      <xdr:rowOff>137160</xdr:rowOff>
    </xdr:to>
    <xdr:graphicFrame macro="">
      <xdr:nvGraphicFramePr>
        <xdr:cNvPr id="5" name="Chart 4">
          <a:extLst>
            <a:ext uri="{FF2B5EF4-FFF2-40B4-BE49-F238E27FC236}">
              <a16:creationId xmlns:a16="http://schemas.microsoft.com/office/drawing/2014/main" id="{00000000-0008-0000-04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ps08.itg.ti.com/Users/a0872642/Desktop/Excell%20Tools/TPS24720_design_calc_1_14_14_74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1.2333333333333334</v>
          </cell>
        </row>
        <row r="47">
          <cell r="C47">
            <v>14.44821271299568</v>
          </cell>
        </row>
        <row r="52">
          <cell r="C52">
            <v>61.344890223835883</v>
          </cell>
        </row>
        <row r="61">
          <cell r="C61">
            <v>1650</v>
          </cell>
        </row>
        <row r="67">
          <cell r="C67">
            <v>2.2000000000000001E-7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ILIM_SOA_considerations"/>
      <sheetName val="Worksheet"/>
      <sheetName val="SOA"/>
    </sheetNames>
    <sheetDataSet>
      <sheetData sheetId="0"/>
      <sheetData sheetId="1">
        <row r="9">
          <cell r="C9">
            <v>0.5</v>
          </cell>
        </row>
        <row r="15">
          <cell r="C15">
            <v>50</v>
          </cell>
        </row>
        <row r="23">
          <cell r="C23">
            <v>12.6</v>
          </cell>
        </row>
        <row r="25">
          <cell r="C25">
            <v>42</v>
          </cell>
        </row>
        <row r="30">
          <cell r="C30">
            <v>1</v>
          </cell>
        </row>
        <row r="40">
          <cell r="C40">
            <v>45</v>
          </cell>
        </row>
        <row r="45">
          <cell r="C45">
            <v>13.214879379662346</v>
          </cell>
        </row>
        <row r="46">
          <cell r="C46">
            <v>0.74</v>
          </cell>
        </row>
        <row r="47">
          <cell r="C47">
            <v>13.954879379662346</v>
          </cell>
        </row>
        <row r="52">
          <cell r="C52">
            <v>62.580553546791855</v>
          </cell>
        </row>
        <row r="61">
          <cell r="C61">
            <v>1650</v>
          </cell>
        </row>
        <row r="67">
          <cell r="C67">
            <v>2.2000000000000001E-7</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ti.com/lit/pdf/slva673"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ti.com/general/docs/video/watch.tsp?entryid=4609733745001" TargetMode="External"/><Relationship Id="rId13" Type="http://schemas.openxmlformats.org/officeDocument/2006/relationships/hyperlink" Target="https://training.ti.com/node/1133677" TargetMode="External"/><Relationship Id="rId18" Type="http://schemas.openxmlformats.org/officeDocument/2006/relationships/printerSettings" Target="../printerSettings/printerSettings1.bin"/><Relationship Id="rId3" Type="http://schemas.openxmlformats.org/officeDocument/2006/relationships/hyperlink" Target="http://www.ti.com/product/TPS2490" TargetMode="External"/><Relationship Id="rId21" Type="http://schemas.openxmlformats.org/officeDocument/2006/relationships/comments" Target="../comments1.xml"/><Relationship Id="rId7" Type="http://schemas.openxmlformats.org/officeDocument/2006/relationships/hyperlink" Target="https://training.ti.com/node/1133664" TargetMode="External"/><Relationship Id="rId12" Type="http://schemas.openxmlformats.org/officeDocument/2006/relationships/hyperlink" Target="http://www.ti.com/general/docs/video/watch.tsp?entryid=4607940999001" TargetMode="External"/><Relationship Id="rId17" Type="http://schemas.openxmlformats.org/officeDocument/2006/relationships/hyperlink" Target="https://training.ti.com/node/1133681" TargetMode="External"/><Relationship Id="rId2" Type="http://schemas.openxmlformats.org/officeDocument/2006/relationships/hyperlink" Target="http://e2e.ti.com/" TargetMode="External"/><Relationship Id="rId16" Type="http://schemas.openxmlformats.org/officeDocument/2006/relationships/hyperlink" Target="https://training.ti.com/node/1133681" TargetMode="External"/><Relationship Id="rId20" Type="http://schemas.openxmlformats.org/officeDocument/2006/relationships/vmlDrawing" Target="../drawings/vmlDrawing1.vml"/><Relationship Id="rId1" Type="http://schemas.openxmlformats.org/officeDocument/2006/relationships/hyperlink" Target="http://www.ti.com/hotswap" TargetMode="External"/><Relationship Id="rId6" Type="http://schemas.openxmlformats.org/officeDocument/2006/relationships/hyperlink" Target="https://training.ti.com/node/1133673" TargetMode="External"/><Relationship Id="rId11" Type="http://schemas.openxmlformats.org/officeDocument/2006/relationships/hyperlink" Target="http://www.ti.com/general/docs/video/watch.tsp?entryid=4609077027001" TargetMode="External"/><Relationship Id="rId5" Type="http://schemas.openxmlformats.org/officeDocument/2006/relationships/hyperlink" Target="https://training.ti.com/node/1133677" TargetMode="External"/><Relationship Id="rId15" Type="http://schemas.openxmlformats.org/officeDocument/2006/relationships/hyperlink" Target="https://training.ti.com/node/1133664" TargetMode="External"/><Relationship Id="rId10" Type="http://schemas.openxmlformats.org/officeDocument/2006/relationships/hyperlink" Target="http://www.ti.com/general/docs/video/watch.tsp?entryid=4609077122001" TargetMode="External"/><Relationship Id="rId19" Type="http://schemas.openxmlformats.org/officeDocument/2006/relationships/drawing" Target="../drawings/drawing2.xml"/><Relationship Id="rId4" Type="http://schemas.openxmlformats.org/officeDocument/2006/relationships/hyperlink" Target="https://training.ti.com/node/1133677" TargetMode="External"/><Relationship Id="rId9" Type="http://schemas.openxmlformats.org/officeDocument/2006/relationships/hyperlink" Target="http://www.ti.com/general/docs/video/watch.tsp?entryid=4609733745001" TargetMode="External"/><Relationship Id="rId14" Type="http://schemas.openxmlformats.org/officeDocument/2006/relationships/hyperlink" Target="https://training.ti.com/node/113367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7"/>
  <sheetViews>
    <sheetView workbookViewId="0">
      <selection activeCell="B9" sqref="B9"/>
    </sheetView>
  </sheetViews>
  <sheetFormatPr defaultRowHeight="13.2" x14ac:dyDescent="0.25"/>
  <sheetData>
    <row r="1" spans="1:16" ht="13.8" thickTop="1" x14ac:dyDescent="0.25">
      <c r="A1" s="90"/>
      <c r="B1" s="91"/>
      <c r="C1" s="91"/>
      <c r="D1" s="91"/>
      <c r="E1" s="91"/>
      <c r="F1" s="91"/>
      <c r="G1" s="91"/>
      <c r="H1" s="91"/>
      <c r="I1" s="91"/>
      <c r="J1" s="91"/>
      <c r="K1" s="91"/>
      <c r="L1" s="91"/>
      <c r="M1" s="91"/>
      <c r="N1" s="91"/>
      <c r="O1" s="91"/>
      <c r="P1" s="92"/>
    </row>
    <row r="2" spans="1:16" x14ac:dyDescent="0.25">
      <c r="A2" s="93"/>
      <c r="B2" s="94"/>
      <c r="C2" s="94"/>
      <c r="D2" s="94"/>
      <c r="E2" s="94"/>
      <c r="F2" s="94"/>
      <c r="G2" s="94"/>
      <c r="H2" s="94"/>
      <c r="I2" s="94"/>
      <c r="J2" s="94"/>
      <c r="K2" s="94"/>
      <c r="L2" s="94"/>
      <c r="M2" s="94"/>
      <c r="N2" s="94"/>
      <c r="O2" s="94"/>
      <c r="P2" s="95"/>
    </row>
    <row r="3" spans="1:16" ht="30" x14ac:dyDescent="0.5">
      <c r="A3" s="93"/>
      <c r="B3" s="94"/>
      <c r="C3" s="94"/>
      <c r="D3" s="96"/>
      <c r="E3" s="94"/>
      <c r="F3" s="94"/>
      <c r="G3" s="94"/>
      <c r="H3" s="94"/>
      <c r="I3" s="94"/>
      <c r="J3" s="94"/>
      <c r="K3" s="94"/>
      <c r="L3" s="97"/>
      <c r="M3" s="94"/>
      <c r="N3" s="94"/>
      <c r="O3" s="94"/>
      <c r="P3" s="95"/>
    </row>
    <row r="4" spans="1:16" ht="22.8" x14ac:dyDescent="0.4">
      <c r="A4" s="93"/>
      <c r="B4" s="94"/>
      <c r="C4" s="94"/>
      <c r="D4" s="98"/>
      <c r="E4" s="94"/>
      <c r="F4" s="94"/>
      <c r="G4" s="94"/>
      <c r="H4" s="94"/>
      <c r="I4" s="94"/>
      <c r="J4" s="94"/>
      <c r="K4" s="94"/>
      <c r="L4" s="94"/>
      <c r="M4" s="94"/>
      <c r="N4" s="94"/>
      <c r="O4" s="94"/>
      <c r="P4" s="95"/>
    </row>
    <row r="5" spans="1:16" x14ac:dyDescent="0.25">
      <c r="A5" s="93"/>
      <c r="B5" s="94"/>
      <c r="C5" s="94"/>
      <c r="D5" s="94"/>
      <c r="E5" s="94"/>
      <c r="F5" s="94"/>
      <c r="G5" s="94"/>
      <c r="H5" s="94"/>
      <c r="I5" s="94"/>
      <c r="J5" s="94"/>
      <c r="K5" s="94"/>
      <c r="L5" s="94"/>
      <c r="M5" s="94"/>
      <c r="N5" s="94"/>
      <c r="O5" s="94"/>
      <c r="P5" s="95"/>
    </row>
    <row r="6" spans="1:16" x14ac:dyDescent="0.25">
      <c r="A6" s="93"/>
      <c r="B6" s="94"/>
      <c r="C6" s="94"/>
      <c r="D6" s="94"/>
      <c r="E6" s="94"/>
      <c r="F6" s="94"/>
      <c r="G6" s="94"/>
      <c r="H6" s="94"/>
      <c r="I6" s="94"/>
      <c r="J6" s="94"/>
      <c r="K6" s="94"/>
      <c r="L6" s="94"/>
      <c r="M6" s="94"/>
      <c r="N6" s="94"/>
      <c r="O6" s="94"/>
      <c r="P6" s="95"/>
    </row>
    <row r="7" spans="1:16" ht="15.6" x14ac:dyDescent="0.3">
      <c r="A7" s="93"/>
      <c r="B7" s="94"/>
      <c r="C7" s="94"/>
      <c r="D7" s="94"/>
      <c r="E7" s="94"/>
      <c r="F7" s="94"/>
      <c r="G7" s="94"/>
      <c r="H7" s="94"/>
      <c r="I7" s="94"/>
      <c r="J7" s="94"/>
      <c r="K7" s="94"/>
      <c r="L7" s="94"/>
      <c r="M7" s="97" t="s">
        <v>387</v>
      </c>
      <c r="N7" s="94"/>
      <c r="O7" s="94"/>
      <c r="P7" s="95"/>
    </row>
    <row r="8" spans="1:16" ht="30" x14ac:dyDescent="0.5">
      <c r="A8" s="93"/>
      <c r="B8" s="96" t="s">
        <v>401</v>
      </c>
      <c r="C8" s="94"/>
      <c r="D8" s="94"/>
      <c r="E8" s="94"/>
      <c r="F8" s="94"/>
      <c r="G8" s="94"/>
      <c r="H8" s="94"/>
      <c r="I8" s="94"/>
      <c r="J8" s="94"/>
      <c r="K8" s="94"/>
      <c r="L8" s="94"/>
      <c r="M8" s="94"/>
      <c r="N8" s="94"/>
      <c r="O8" s="94"/>
      <c r="P8" s="95"/>
    </row>
    <row r="9" spans="1:16" x14ac:dyDescent="0.25">
      <c r="A9" s="93"/>
      <c r="B9" s="94"/>
      <c r="C9" s="94"/>
      <c r="D9" s="94"/>
      <c r="E9" s="94"/>
      <c r="F9" s="94"/>
      <c r="G9" s="94"/>
      <c r="H9" s="94"/>
      <c r="I9" s="94"/>
      <c r="J9" s="94"/>
      <c r="K9" s="94"/>
      <c r="L9" s="94"/>
      <c r="M9" s="94"/>
      <c r="N9" s="94"/>
      <c r="O9" s="94"/>
      <c r="P9" s="95"/>
    </row>
    <row r="10" spans="1:16" ht="20.399999999999999" x14ac:dyDescent="0.35">
      <c r="A10" s="93"/>
      <c r="B10" s="99" t="s">
        <v>325</v>
      </c>
      <c r="C10" s="100"/>
      <c r="D10" s="100"/>
      <c r="E10" s="100"/>
      <c r="F10" s="94"/>
      <c r="G10" s="94"/>
      <c r="H10" s="94"/>
      <c r="I10" s="94"/>
      <c r="J10" s="94"/>
      <c r="K10" s="94"/>
      <c r="L10" s="94"/>
      <c r="M10" s="94"/>
      <c r="N10" s="94"/>
      <c r="O10" s="94"/>
      <c r="P10" s="95"/>
    </row>
    <row r="11" spans="1:16" ht="13.8" x14ac:dyDescent="0.25">
      <c r="A11" s="93"/>
      <c r="B11" s="101" t="s">
        <v>326</v>
      </c>
      <c r="C11" s="102"/>
      <c r="D11" s="102"/>
      <c r="E11" s="102"/>
      <c r="F11" s="94"/>
      <c r="G11" s="94"/>
      <c r="H11" s="94"/>
      <c r="I11" s="94"/>
      <c r="J11" s="94"/>
      <c r="K11" s="94"/>
      <c r="L11" s="94"/>
      <c r="M11" s="94"/>
      <c r="N11" s="94"/>
      <c r="O11" s="94"/>
      <c r="P11" s="95"/>
    </row>
    <row r="12" spans="1:16" ht="13.8" x14ac:dyDescent="0.25">
      <c r="A12" s="93"/>
      <c r="B12" s="101" t="s">
        <v>327</v>
      </c>
      <c r="C12" s="102"/>
      <c r="D12" s="102"/>
      <c r="E12" s="102"/>
      <c r="F12" s="94"/>
      <c r="G12" s="94"/>
      <c r="H12" s="94"/>
      <c r="I12" s="94"/>
      <c r="J12" s="94"/>
      <c r="K12" s="94"/>
      <c r="L12" s="94"/>
      <c r="M12" s="94"/>
      <c r="N12" s="94"/>
      <c r="O12" s="94"/>
      <c r="P12" s="95"/>
    </row>
    <row r="13" spans="1:16" ht="13.8" x14ac:dyDescent="0.25">
      <c r="A13" s="93"/>
      <c r="B13" s="101"/>
      <c r="C13" s="102"/>
      <c r="D13" s="102"/>
      <c r="E13" s="102"/>
      <c r="F13" s="94"/>
      <c r="G13" s="94"/>
      <c r="H13" s="94"/>
      <c r="I13" s="94"/>
      <c r="J13" s="94"/>
      <c r="K13" s="94"/>
      <c r="L13" s="94"/>
      <c r="M13" s="94"/>
      <c r="N13" s="94"/>
      <c r="O13" s="94"/>
      <c r="P13" s="95"/>
    </row>
    <row r="14" spans="1:16" x14ac:dyDescent="0.25">
      <c r="A14" s="93"/>
      <c r="B14" s="323" t="s">
        <v>355</v>
      </c>
      <c r="C14" s="323"/>
      <c r="D14" s="323"/>
      <c r="E14" s="100"/>
      <c r="F14" s="94"/>
      <c r="G14" s="94"/>
      <c r="H14" s="94"/>
      <c r="I14" s="94"/>
      <c r="J14" s="94"/>
      <c r="K14" s="94"/>
      <c r="L14" s="94"/>
      <c r="M14" s="94"/>
      <c r="N14" s="94"/>
      <c r="O14" s="94"/>
      <c r="P14" s="95"/>
    </row>
    <row r="15" spans="1:16" x14ac:dyDescent="0.25">
      <c r="A15" s="93"/>
      <c r="B15" s="313"/>
      <c r="C15" s="313"/>
      <c r="D15" s="313"/>
      <c r="E15" s="313"/>
      <c r="F15" s="313"/>
      <c r="G15" s="313"/>
      <c r="H15" s="313"/>
      <c r="I15" s="313"/>
      <c r="J15" s="94"/>
      <c r="K15" s="94"/>
      <c r="L15" s="94"/>
      <c r="M15" s="94"/>
      <c r="N15" s="94"/>
      <c r="O15" s="94"/>
      <c r="P15" s="95"/>
    </row>
    <row r="16" spans="1:16" x14ac:dyDescent="0.25">
      <c r="A16" s="93"/>
      <c r="B16" s="100"/>
      <c r="C16" s="100"/>
      <c r="D16" s="100"/>
      <c r="E16" s="100"/>
      <c r="F16" s="94"/>
      <c r="G16" s="94"/>
      <c r="H16" s="94"/>
      <c r="I16" s="94"/>
      <c r="J16" s="94"/>
      <c r="K16" s="94"/>
      <c r="L16" s="94"/>
      <c r="M16" s="94"/>
      <c r="N16" s="94"/>
      <c r="O16" s="94"/>
      <c r="P16" s="95"/>
    </row>
    <row r="17" spans="1:16" x14ac:dyDescent="0.25">
      <c r="A17" s="93"/>
      <c r="B17" s="103" t="s">
        <v>328</v>
      </c>
      <c r="C17" s="100"/>
      <c r="D17" s="100"/>
      <c r="E17" s="100"/>
      <c r="F17" s="94"/>
      <c r="G17" s="94"/>
      <c r="H17" s="94"/>
      <c r="I17" s="94"/>
      <c r="J17" s="94"/>
      <c r="K17" s="94"/>
      <c r="L17" s="94"/>
      <c r="M17" s="94"/>
      <c r="N17" s="94"/>
      <c r="O17" s="94"/>
      <c r="P17" s="95"/>
    </row>
    <row r="18" spans="1:16" x14ac:dyDescent="0.25">
      <c r="A18" s="93"/>
      <c r="B18" s="104" t="s">
        <v>329</v>
      </c>
      <c r="C18" s="100"/>
      <c r="D18" s="100"/>
      <c r="E18" s="100"/>
      <c r="F18" s="94"/>
      <c r="G18" s="94"/>
      <c r="H18" s="94"/>
      <c r="I18" s="94"/>
      <c r="J18" s="94"/>
      <c r="K18" s="94"/>
      <c r="L18" s="94"/>
      <c r="M18" s="94"/>
      <c r="N18" s="94"/>
      <c r="O18" s="94"/>
      <c r="P18" s="95"/>
    </row>
    <row r="19" spans="1:16" x14ac:dyDescent="0.25">
      <c r="A19" s="93"/>
      <c r="B19" s="104" t="s">
        <v>330</v>
      </c>
      <c r="C19" s="100"/>
      <c r="D19" s="100"/>
      <c r="E19" s="100"/>
      <c r="F19" s="94"/>
      <c r="G19" s="94"/>
      <c r="H19" s="94"/>
      <c r="I19" s="94"/>
      <c r="J19" s="94"/>
      <c r="K19" s="94"/>
      <c r="L19" s="94"/>
      <c r="M19" s="94"/>
      <c r="N19" s="94"/>
      <c r="O19" s="94"/>
      <c r="P19" s="95"/>
    </row>
    <row r="20" spans="1:16" x14ac:dyDescent="0.25">
      <c r="A20" s="93"/>
      <c r="B20" s="104" t="s">
        <v>331</v>
      </c>
      <c r="C20" s="100"/>
      <c r="D20" s="100"/>
      <c r="E20" s="100"/>
      <c r="F20" s="94"/>
      <c r="G20" s="94"/>
      <c r="H20" s="94"/>
      <c r="I20" s="94"/>
      <c r="J20" s="94"/>
      <c r="K20" s="94"/>
      <c r="L20" s="94"/>
      <c r="M20" s="94"/>
      <c r="N20" s="94"/>
      <c r="O20" s="94"/>
      <c r="P20" s="95"/>
    </row>
    <row r="21" spans="1:16" x14ac:dyDescent="0.25">
      <c r="A21" s="93"/>
      <c r="B21" s="104" t="s">
        <v>332</v>
      </c>
      <c r="C21" s="100"/>
      <c r="D21" s="100"/>
      <c r="E21" s="100"/>
      <c r="F21" s="94"/>
      <c r="G21" s="94"/>
      <c r="H21" s="94"/>
      <c r="I21" s="94"/>
      <c r="J21" s="94"/>
      <c r="K21" s="94"/>
      <c r="L21" s="94"/>
      <c r="M21" s="94"/>
      <c r="N21" s="94"/>
      <c r="O21" s="94"/>
      <c r="P21" s="95"/>
    </row>
    <row r="22" spans="1:16" x14ac:dyDescent="0.25">
      <c r="A22" s="93"/>
      <c r="B22" s="104" t="s">
        <v>333</v>
      </c>
      <c r="C22" s="100"/>
      <c r="D22" s="100"/>
      <c r="E22" s="100"/>
      <c r="F22" s="94"/>
      <c r="G22" s="94"/>
      <c r="H22" s="94"/>
      <c r="I22" s="94"/>
      <c r="J22" s="94"/>
      <c r="K22" s="94"/>
      <c r="L22" s="94"/>
      <c r="M22" s="94"/>
      <c r="N22" s="94"/>
      <c r="O22" s="94"/>
      <c r="P22" s="95"/>
    </row>
    <row r="23" spans="1:16" x14ac:dyDescent="0.25">
      <c r="A23" s="93"/>
      <c r="B23" s="104" t="s">
        <v>334</v>
      </c>
      <c r="C23" s="100"/>
      <c r="D23" s="100"/>
      <c r="E23" s="100"/>
      <c r="F23" s="94"/>
      <c r="G23" s="94"/>
      <c r="H23" s="94"/>
      <c r="I23" s="94"/>
      <c r="J23" s="94"/>
      <c r="K23" s="94"/>
      <c r="L23" s="94"/>
      <c r="M23" s="94"/>
      <c r="N23" s="94"/>
      <c r="O23" s="94"/>
      <c r="P23" s="95"/>
    </row>
    <row r="24" spans="1:16" x14ac:dyDescent="0.25">
      <c r="A24" s="93"/>
      <c r="B24" s="104" t="s">
        <v>335</v>
      </c>
      <c r="C24" s="100"/>
      <c r="D24" s="100"/>
      <c r="E24" s="100"/>
      <c r="F24" s="94"/>
      <c r="G24" s="94"/>
      <c r="H24" s="94"/>
      <c r="I24" s="94"/>
      <c r="J24" s="94"/>
      <c r="K24" s="94"/>
      <c r="L24" s="94"/>
      <c r="M24" s="94"/>
      <c r="N24" s="94"/>
      <c r="O24" s="94"/>
      <c r="P24" s="95"/>
    </row>
    <row r="25" spans="1:16" x14ac:dyDescent="0.25">
      <c r="A25" s="93"/>
      <c r="B25" s="104"/>
      <c r="C25" s="100"/>
      <c r="D25" s="100"/>
      <c r="E25" s="100"/>
      <c r="F25" s="94"/>
      <c r="G25" s="94"/>
      <c r="H25" s="94"/>
      <c r="I25" s="94"/>
      <c r="J25" s="94"/>
      <c r="K25" s="94"/>
      <c r="L25" s="94"/>
      <c r="M25" s="94"/>
      <c r="N25" s="94"/>
      <c r="O25" s="94"/>
      <c r="P25" s="95"/>
    </row>
    <row r="26" spans="1:16" ht="20.399999999999999" x14ac:dyDescent="0.35">
      <c r="A26" s="93"/>
      <c r="B26" s="99" t="s">
        <v>336</v>
      </c>
      <c r="C26" s="94"/>
      <c r="D26" s="94"/>
      <c r="E26" s="94"/>
      <c r="F26" s="94"/>
      <c r="G26" s="94"/>
      <c r="H26" s="94"/>
      <c r="I26" s="94"/>
      <c r="J26" s="94"/>
      <c r="K26" s="94"/>
      <c r="L26" s="94"/>
      <c r="M26" s="94"/>
      <c r="N26" s="94"/>
      <c r="O26" s="94"/>
      <c r="P26" s="95"/>
    </row>
    <row r="27" spans="1:16" x14ac:dyDescent="0.25">
      <c r="A27" s="93"/>
      <c r="B27" s="108" t="s">
        <v>337</v>
      </c>
      <c r="C27" s="94"/>
      <c r="D27" s="94"/>
      <c r="E27" s="94"/>
      <c r="F27" s="94"/>
      <c r="G27" s="94"/>
      <c r="H27" s="94"/>
      <c r="I27" s="94"/>
      <c r="J27" s="94"/>
      <c r="K27" s="94"/>
      <c r="L27" s="94"/>
      <c r="M27" s="94"/>
      <c r="N27" s="94"/>
      <c r="O27" s="94"/>
      <c r="P27" s="95"/>
    </row>
    <row r="28" spans="1:16" x14ac:dyDescent="0.25">
      <c r="A28" s="93"/>
      <c r="B28" s="94" t="s">
        <v>338</v>
      </c>
      <c r="C28" s="94"/>
      <c r="D28" s="94"/>
      <c r="E28" s="94"/>
      <c r="F28" s="94"/>
      <c r="G28" s="94"/>
      <c r="H28" s="94"/>
      <c r="I28" s="94"/>
      <c r="J28" s="94"/>
      <c r="K28" s="94"/>
      <c r="L28" s="94"/>
      <c r="M28" s="94"/>
      <c r="N28" s="94"/>
      <c r="O28" s="94"/>
      <c r="P28" s="95"/>
    </row>
    <row r="29" spans="1:16" x14ac:dyDescent="0.25">
      <c r="A29" s="93"/>
      <c r="B29" s="94"/>
      <c r="C29" s="94"/>
      <c r="D29" s="94"/>
      <c r="E29" s="94"/>
      <c r="F29" s="94"/>
      <c r="G29" s="94"/>
      <c r="H29" s="94"/>
      <c r="I29" s="94"/>
      <c r="J29" s="94"/>
      <c r="K29" s="94"/>
      <c r="L29" s="94"/>
      <c r="M29" s="94"/>
      <c r="N29" s="94"/>
      <c r="O29" s="94"/>
      <c r="P29" s="95"/>
    </row>
    <row r="30" spans="1:16" x14ac:dyDescent="0.25">
      <c r="A30" s="93"/>
      <c r="B30" s="108" t="s">
        <v>339</v>
      </c>
      <c r="C30" s="94"/>
      <c r="D30" s="94"/>
      <c r="E30" s="94"/>
      <c r="F30" s="94"/>
      <c r="G30" s="94"/>
      <c r="H30" s="94"/>
      <c r="I30" s="94"/>
      <c r="J30" s="94"/>
      <c r="K30" s="94"/>
      <c r="L30" s="94"/>
      <c r="M30" s="94"/>
      <c r="N30" s="94"/>
      <c r="O30" s="94"/>
      <c r="P30" s="95"/>
    </row>
    <row r="31" spans="1:16" x14ac:dyDescent="0.25">
      <c r="A31" s="93"/>
      <c r="B31" s="94"/>
      <c r="C31" s="94"/>
      <c r="D31" s="94"/>
      <c r="E31" s="94"/>
      <c r="F31" s="94"/>
      <c r="G31" s="94"/>
      <c r="H31" s="94"/>
      <c r="I31" s="94"/>
      <c r="J31" s="94"/>
      <c r="K31" s="94"/>
      <c r="L31" s="94"/>
      <c r="M31" s="94"/>
      <c r="N31" s="94"/>
      <c r="O31" s="94"/>
      <c r="P31" s="95"/>
    </row>
    <row r="32" spans="1:16" x14ac:dyDescent="0.25">
      <c r="A32" s="93"/>
      <c r="B32" s="94" t="s">
        <v>340</v>
      </c>
      <c r="C32" s="94"/>
      <c r="D32" s="94"/>
      <c r="E32" s="94"/>
      <c r="F32" s="94"/>
      <c r="G32" s="94"/>
      <c r="H32" s="94"/>
      <c r="I32" s="94"/>
      <c r="J32" s="94"/>
      <c r="K32" s="94"/>
      <c r="L32" s="94"/>
      <c r="M32" s="94"/>
      <c r="N32" s="94"/>
      <c r="O32" s="94"/>
      <c r="P32" s="95"/>
    </row>
    <row r="33" spans="1:16" ht="13.8" thickBot="1" x14ac:dyDescent="0.3">
      <c r="A33" s="93"/>
      <c r="B33" s="108"/>
      <c r="C33" s="94"/>
      <c r="D33" s="94"/>
      <c r="E33" s="94"/>
      <c r="F33" s="94"/>
      <c r="G33" s="94"/>
      <c r="H33" s="94"/>
      <c r="I33" s="94"/>
      <c r="J33" s="94"/>
      <c r="K33" s="94"/>
      <c r="L33" s="94"/>
      <c r="M33" s="94"/>
      <c r="N33" s="94"/>
      <c r="O33" s="94"/>
      <c r="P33" s="95"/>
    </row>
    <row r="34" spans="1:16" x14ac:dyDescent="0.25">
      <c r="A34" s="93"/>
      <c r="B34" s="314" t="s">
        <v>354</v>
      </c>
      <c r="C34" s="315"/>
      <c r="D34" s="315"/>
      <c r="E34" s="315"/>
      <c r="F34" s="315"/>
      <c r="G34" s="315"/>
      <c r="H34" s="315"/>
      <c r="I34" s="315"/>
      <c r="J34" s="315"/>
      <c r="K34" s="315"/>
      <c r="L34" s="315"/>
      <c r="M34" s="316"/>
      <c r="N34" s="94"/>
      <c r="O34" s="94"/>
      <c r="P34" s="95"/>
    </row>
    <row r="35" spans="1:16" x14ac:dyDescent="0.25">
      <c r="A35" s="93"/>
      <c r="B35" s="317"/>
      <c r="C35" s="318"/>
      <c r="D35" s="318"/>
      <c r="E35" s="318"/>
      <c r="F35" s="318"/>
      <c r="G35" s="318"/>
      <c r="H35" s="318"/>
      <c r="I35" s="318"/>
      <c r="J35" s="318"/>
      <c r="K35" s="318"/>
      <c r="L35" s="318"/>
      <c r="M35" s="319"/>
      <c r="N35" s="94"/>
      <c r="O35" s="94"/>
      <c r="P35" s="95"/>
    </row>
    <row r="36" spans="1:16" x14ac:dyDescent="0.25">
      <c r="A36" s="93"/>
      <c r="B36" s="317"/>
      <c r="C36" s="318"/>
      <c r="D36" s="318"/>
      <c r="E36" s="318"/>
      <c r="F36" s="318"/>
      <c r="G36" s="318"/>
      <c r="H36" s="318"/>
      <c r="I36" s="318"/>
      <c r="J36" s="318"/>
      <c r="K36" s="318"/>
      <c r="L36" s="318"/>
      <c r="M36" s="319"/>
      <c r="N36" s="94"/>
      <c r="O36" s="94"/>
      <c r="P36" s="95"/>
    </row>
    <row r="37" spans="1:16" x14ac:dyDescent="0.25">
      <c r="A37" s="93"/>
      <c r="B37" s="317"/>
      <c r="C37" s="318"/>
      <c r="D37" s="318"/>
      <c r="E37" s="318"/>
      <c r="F37" s="318"/>
      <c r="G37" s="318"/>
      <c r="H37" s="318"/>
      <c r="I37" s="318"/>
      <c r="J37" s="318"/>
      <c r="K37" s="318"/>
      <c r="L37" s="318"/>
      <c r="M37" s="319"/>
      <c r="N37" s="94"/>
      <c r="O37" s="94"/>
      <c r="P37" s="95"/>
    </row>
    <row r="38" spans="1:16" x14ac:dyDescent="0.25">
      <c r="A38" s="93"/>
      <c r="B38" s="317"/>
      <c r="C38" s="318"/>
      <c r="D38" s="318"/>
      <c r="E38" s="318"/>
      <c r="F38" s="318"/>
      <c r="G38" s="318"/>
      <c r="H38" s="318"/>
      <c r="I38" s="318"/>
      <c r="J38" s="318"/>
      <c r="K38" s="318"/>
      <c r="L38" s="318"/>
      <c r="M38" s="319"/>
      <c r="N38" s="94"/>
      <c r="O38" s="94"/>
      <c r="P38" s="95"/>
    </row>
    <row r="39" spans="1:16" x14ac:dyDescent="0.25">
      <c r="A39" s="93"/>
      <c r="B39" s="317"/>
      <c r="C39" s="318"/>
      <c r="D39" s="318"/>
      <c r="E39" s="318"/>
      <c r="F39" s="318"/>
      <c r="G39" s="318"/>
      <c r="H39" s="318"/>
      <c r="I39" s="318"/>
      <c r="J39" s="318"/>
      <c r="K39" s="318"/>
      <c r="L39" s="318"/>
      <c r="M39" s="319"/>
      <c r="N39" s="94"/>
      <c r="O39" s="94"/>
      <c r="P39" s="95"/>
    </row>
    <row r="40" spans="1:16" x14ac:dyDescent="0.25">
      <c r="A40" s="93"/>
      <c r="B40" s="317"/>
      <c r="C40" s="318"/>
      <c r="D40" s="318"/>
      <c r="E40" s="318"/>
      <c r="F40" s="318"/>
      <c r="G40" s="318"/>
      <c r="H40" s="318"/>
      <c r="I40" s="318"/>
      <c r="J40" s="318"/>
      <c r="K40" s="318"/>
      <c r="L40" s="318"/>
      <c r="M40" s="319"/>
      <c r="N40" s="94"/>
      <c r="O40" s="94"/>
      <c r="P40" s="95"/>
    </row>
    <row r="41" spans="1:16" x14ac:dyDescent="0.25">
      <c r="A41" s="93"/>
      <c r="B41" s="317"/>
      <c r="C41" s="318"/>
      <c r="D41" s="318"/>
      <c r="E41" s="318"/>
      <c r="F41" s="318"/>
      <c r="G41" s="318"/>
      <c r="H41" s="318"/>
      <c r="I41" s="318"/>
      <c r="J41" s="318"/>
      <c r="K41" s="318"/>
      <c r="L41" s="318"/>
      <c r="M41" s="319"/>
      <c r="N41" s="94"/>
      <c r="O41" s="94"/>
      <c r="P41" s="95"/>
    </row>
    <row r="42" spans="1:16" x14ac:dyDescent="0.25">
      <c r="A42" s="93"/>
      <c r="B42" s="317"/>
      <c r="C42" s="318"/>
      <c r="D42" s="318"/>
      <c r="E42" s="318"/>
      <c r="F42" s="318"/>
      <c r="G42" s="318"/>
      <c r="H42" s="318"/>
      <c r="I42" s="318"/>
      <c r="J42" s="318"/>
      <c r="K42" s="318"/>
      <c r="L42" s="318"/>
      <c r="M42" s="319"/>
      <c r="N42" s="94"/>
      <c r="O42" s="94"/>
      <c r="P42" s="95"/>
    </row>
    <row r="43" spans="1:16" x14ac:dyDescent="0.25">
      <c r="A43" s="93"/>
      <c r="B43" s="317"/>
      <c r="C43" s="318"/>
      <c r="D43" s="318"/>
      <c r="E43" s="318"/>
      <c r="F43" s="318"/>
      <c r="G43" s="318"/>
      <c r="H43" s="318"/>
      <c r="I43" s="318"/>
      <c r="J43" s="318"/>
      <c r="K43" s="318"/>
      <c r="L43" s="318"/>
      <c r="M43" s="319"/>
      <c r="N43" s="94"/>
      <c r="O43" s="94"/>
      <c r="P43" s="95"/>
    </row>
    <row r="44" spans="1:16" x14ac:dyDescent="0.25">
      <c r="A44" s="93"/>
      <c r="B44" s="317"/>
      <c r="C44" s="318"/>
      <c r="D44" s="318"/>
      <c r="E44" s="318"/>
      <c r="F44" s="318"/>
      <c r="G44" s="318"/>
      <c r="H44" s="318"/>
      <c r="I44" s="318"/>
      <c r="J44" s="318"/>
      <c r="K44" s="318"/>
      <c r="L44" s="318"/>
      <c r="M44" s="319"/>
      <c r="N44" s="94"/>
      <c r="O44" s="94"/>
      <c r="P44" s="95"/>
    </row>
    <row r="45" spans="1:16" x14ac:dyDescent="0.25">
      <c r="A45" s="93"/>
      <c r="B45" s="317"/>
      <c r="C45" s="318"/>
      <c r="D45" s="318"/>
      <c r="E45" s="318"/>
      <c r="F45" s="318"/>
      <c r="G45" s="318"/>
      <c r="H45" s="318"/>
      <c r="I45" s="318"/>
      <c r="J45" s="318"/>
      <c r="K45" s="318"/>
      <c r="L45" s="318"/>
      <c r="M45" s="319"/>
      <c r="N45" s="94"/>
      <c r="O45" s="94"/>
      <c r="P45" s="95"/>
    </row>
    <row r="46" spans="1:16" x14ac:dyDescent="0.25">
      <c r="A46" s="93"/>
      <c r="B46" s="317"/>
      <c r="C46" s="318"/>
      <c r="D46" s="318"/>
      <c r="E46" s="318"/>
      <c r="F46" s="318"/>
      <c r="G46" s="318"/>
      <c r="H46" s="318"/>
      <c r="I46" s="318"/>
      <c r="J46" s="318"/>
      <c r="K46" s="318"/>
      <c r="L46" s="318"/>
      <c r="M46" s="319"/>
      <c r="N46" s="94"/>
      <c r="O46" s="94"/>
      <c r="P46" s="95"/>
    </row>
    <row r="47" spans="1:16" x14ac:dyDescent="0.25">
      <c r="A47" s="93"/>
      <c r="B47" s="317"/>
      <c r="C47" s="318"/>
      <c r="D47" s="318"/>
      <c r="E47" s="318"/>
      <c r="F47" s="318"/>
      <c r="G47" s="318"/>
      <c r="H47" s="318"/>
      <c r="I47" s="318"/>
      <c r="J47" s="318"/>
      <c r="K47" s="318"/>
      <c r="L47" s="318"/>
      <c r="M47" s="319"/>
      <c r="N47" s="94"/>
      <c r="O47" s="94"/>
      <c r="P47" s="95"/>
    </row>
    <row r="48" spans="1:16" x14ac:dyDescent="0.25">
      <c r="A48" s="93"/>
      <c r="B48" s="317"/>
      <c r="C48" s="318"/>
      <c r="D48" s="318"/>
      <c r="E48" s="318"/>
      <c r="F48" s="318"/>
      <c r="G48" s="318"/>
      <c r="H48" s="318"/>
      <c r="I48" s="318"/>
      <c r="J48" s="318"/>
      <c r="K48" s="318"/>
      <c r="L48" s="318"/>
      <c r="M48" s="319"/>
      <c r="N48" s="94"/>
      <c r="O48" s="94"/>
      <c r="P48" s="95"/>
    </row>
    <row r="49" spans="1:16" x14ac:dyDescent="0.25">
      <c r="A49" s="93"/>
      <c r="B49" s="317"/>
      <c r="C49" s="318"/>
      <c r="D49" s="318"/>
      <c r="E49" s="318"/>
      <c r="F49" s="318"/>
      <c r="G49" s="318"/>
      <c r="H49" s="318"/>
      <c r="I49" s="318"/>
      <c r="J49" s="318"/>
      <c r="K49" s="318"/>
      <c r="L49" s="318"/>
      <c r="M49" s="319"/>
      <c r="N49" s="94"/>
      <c r="O49" s="94"/>
      <c r="P49" s="95"/>
    </row>
    <row r="50" spans="1:16" x14ac:dyDescent="0.25">
      <c r="A50" s="93"/>
      <c r="B50" s="317"/>
      <c r="C50" s="318"/>
      <c r="D50" s="318"/>
      <c r="E50" s="318"/>
      <c r="F50" s="318"/>
      <c r="G50" s="318"/>
      <c r="H50" s="318"/>
      <c r="I50" s="318"/>
      <c r="J50" s="318"/>
      <c r="K50" s="318"/>
      <c r="L50" s="318"/>
      <c r="M50" s="319"/>
      <c r="N50" s="94"/>
      <c r="O50" s="94"/>
      <c r="P50" s="95"/>
    </row>
    <row r="51" spans="1:16" x14ac:dyDescent="0.25">
      <c r="A51" s="93"/>
      <c r="B51" s="317"/>
      <c r="C51" s="318"/>
      <c r="D51" s="318"/>
      <c r="E51" s="318"/>
      <c r="F51" s="318"/>
      <c r="G51" s="318"/>
      <c r="H51" s="318"/>
      <c r="I51" s="318"/>
      <c r="J51" s="318"/>
      <c r="K51" s="318"/>
      <c r="L51" s="318"/>
      <c r="M51" s="319"/>
      <c r="N51" s="94"/>
      <c r="O51" s="94"/>
      <c r="P51" s="95"/>
    </row>
    <row r="52" spans="1:16" x14ac:dyDescent="0.25">
      <c r="A52" s="93"/>
      <c r="B52" s="317"/>
      <c r="C52" s="318"/>
      <c r="D52" s="318"/>
      <c r="E52" s="318"/>
      <c r="F52" s="318"/>
      <c r="G52" s="318"/>
      <c r="H52" s="318"/>
      <c r="I52" s="318"/>
      <c r="J52" s="318"/>
      <c r="K52" s="318"/>
      <c r="L52" s="318"/>
      <c r="M52" s="319"/>
      <c r="N52" s="94"/>
      <c r="O52" s="94"/>
      <c r="P52" s="95"/>
    </row>
    <row r="53" spans="1:16" x14ac:dyDescent="0.25">
      <c r="A53" s="93"/>
      <c r="B53" s="317"/>
      <c r="C53" s="318"/>
      <c r="D53" s="318"/>
      <c r="E53" s="318"/>
      <c r="F53" s="318"/>
      <c r="G53" s="318"/>
      <c r="H53" s="318"/>
      <c r="I53" s="318"/>
      <c r="J53" s="318"/>
      <c r="K53" s="318"/>
      <c r="L53" s="318"/>
      <c r="M53" s="319"/>
      <c r="N53" s="94"/>
      <c r="O53" s="94"/>
      <c r="P53" s="95"/>
    </row>
    <row r="54" spans="1:16" x14ac:dyDescent="0.25">
      <c r="A54" s="93"/>
      <c r="B54" s="317"/>
      <c r="C54" s="318"/>
      <c r="D54" s="318"/>
      <c r="E54" s="318"/>
      <c r="F54" s="318"/>
      <c r="G54" s="318"/>
      <c r="H54" s="318"/>
      <c r="I54" s="318"/>
      <c r="J54" s="318"/>
      <c r="K54" s="318"/>
      <c r="L54" s="318"/>
      <c r="M54" s="319"/>
      <c r="N54" s="94"/>
      <c r="O54" s="94"/>
      <c r="P54" s="95"/>
    </row>
    <row r="55" spans="1:16" x14ac:dyDescent="0.25">
      <c r="A55" s="93"/>
      <c r="B55" s="317"/>
      <c r="C55" s="318"/>
      <c r="D55" s="318"/>
      <c r="E55" s="318"/>
      <c r="F55" s="318"/>
      <c r="G55" s="318"/>
      <c r="H55" s="318"/>
      <c r="I55" s="318"/>
      <c r="J55" s="318"/>
      <c r="K55" s="318"/>
      <c r="L55" s="318"/>
      <c r="M55" s="319"/>
      <c r="N55" s="94"/>
      <c r="O55" s="94"/>
      <c r="P55" s="95"/>
    </row>
    <row r="56" spans="1:16" x14ac:dyDescent="0.25">
      <c r="A56" s="93"/>
      <c r="B56" s="317"/>
      <c r="C56" s="318"/>
      <c r="D56" s="318"/>
      <c r="E56" s="318"/>
      <c r="F56" s="318"/>
      <c r="G56" s="318"/>
      <c r="H56" s="318"/>
      <c r="I56" s="318"/>
      <c r="J56" s="318"/>
      <c r="K56" s="318"/>
      <c r="L56" s="318"/>
      <c r="M56" s="319"/>
      <c r="N56" s="94"/>
      <c r="O56" s="94"/>
      <c r="P56" s="95"/>
    </row>
    <row r="57" spans="1:16" x14ac:dyDescent="0.25">
      <c r="A57" s="93"/>
      <c r="B57" s="317"/>
      <c r="C57" s="318"/>
      <c r="D57" s="318"/>
      <c r="E57" s="318"/>
      <c r="F57" s="318"/>
      <c r="G57" s="318"/>
      <c r="H57" s="318"/>
      <c r="I57" s="318"/>
      <c r="J57" s="318"/>
      <c r="K57" s="318"/>
      <c r="L57" s="318"/>
      <c r="M57" s="319"/>
      <c r="N57" s="94"/>
      <c r="O57" s="94"/>
      <c r="P57" s="95"/>
    </row>
    <row r="58" spans="1:16" x14ac:dyDescent="0.25">
      <c r="A58" s="93"/>
      <c r="B58" s="317"/>
      <c r="C58" s="318"/>
      <c r="D58" s="318"/>
      <c r="E58" s="318"/>
      <c r="F58" s="318"/>
      <c r="G58" s="318"/>
      <c r="H58" s="318"/>
      <c r="I58" s="318"/>
      <c r="J58" s="318"/>
      <c r="K58" s="318"/>
      <c r="L58" s="318"/>
      <c r="M58" s="319"/>
      <c r="N58" s="94"/>
      <c r="O58" s="94"/>
      <c r="P58" s="95"/>
    </row>
    <row r="59" spans="1:16" x14ac:dyDescent="0.25">
      <c r="A59" s="93"/>
      <c r="B59" s="317"/>
      <c r="C59" s="318"/>
      <c r="D59" s="318"/>
      <c r="E59" s="318"/>
      <c r="F59" s="318"/>
      <c r="G59" s="318"/>
      <c r="H59" s="318"/>
      <c r="I59" s="318"/>
      <c r="J59" s="318"/>
      <c r="K59" s="318"/>
      <c r="L59" s="318"/>
      <c r="M59" s="319"/>
      <c r="N59" s="94"/>
      <c r="O59" s="94"/>
      <c r="P59" s="95"/>
    </row>
    <row r="60" spans="1:16" x14ac:dyDescent="0.25">
      <c r="A60" s="93"/>
      <c r="B60" s="317"/>
      <c r="C60" s="318"/>
      <c r="D60" s="318"/>
      <c r="E60" s="318"/>
      <c r="F60" s="318"/>
      <c r="G60" s="318"/>
      <c r="H60" s="318"/>
      <c r="I60" s="318"/>
      <c r="J60" s="318"/>
      <c r="K60" s="318"/>
      <c r="L60" s="318"/>
      <c r="M60" s="319"/>
      <c r="N60" s="94"/>
      <c r="O60" s="94"/>
      <c r="P60" s="95"/>
    </row>
    <row r="61" spans="1:16" x14ac:dyDescent="0.25">
      <c r="A61" s="93"/>
      <c r="B61" s="317"/>
      <c r="C61" s="318"/>
      <c r="D61" s="318"/>
      <c r="E61" s="318"/>
      <c r="F61" s="318"/>
      <c r="G61" s="318"/>
      <c r="H61" s="318"/>
      <c r="I61" s="318"/>
      <c r="J61" s="318"/>
      <c r="K61" s="318"/>
      <c r="L61" s="318"/>
      <c r="M61" s="319"/>
      <c r="N61" s="94"/>
      <c r="O61" s="94"/>
      <c r="P61" s="95"/>
    </row>
    <row r="62" spans="1:16" x14ac:dyDescent="0.25">
      <c r="A62" s="93"/>
      <c r="B62" s="317"/>
      <c r="C62" s="318"/>
      <c r="D62" s="318"/>
      <c r="E62" s="318"/>
      <c r="F62" s="318"/>
      <c r="G62" s="318"/>
      <c r="H62" s="318"/>
      <c r="I62" s="318"/>
      <c r="J62" s="318"/>
      <c r="K62" s="318"/>
      <c r="L62" s="318"/>
      <c r="M62" s="319"/>
      <c r="N62" s="94"/>
      <c r="O62" s="94"/>
      <c r="P62" s="95"/>
    </row>
    <row r="63" spans="1:16" x14ac:dyDescent="0.25">
      <c r="A63" s="93"/>
      <c r="B63" s="317"/>
      <c r="C63" s="318"/>
      <c r="D63" s="318"/>
      <c r="E63" s="318"/>
      <c r="F63" s="318"/>
      <c r="G63" s="318"/>
      <c r="H63" s="318"/>
      <c r="I63" s="318"/>
      <c r="J63" s="318"/>
      <c r="K63" s="318"/>
      <c r="L63" s="318"/>
      <c r="M63" s="319"/>
      <c r="N63" s="94"/>
      <c r="O63" s="94"/>
      <c r="P63" s="95"/>
    </row>
    <row r="64" spans="1:16" x14ac:dyDescent="0.25">
      <c r="A64" s="93"/>
      <c r="B64" s="317"/>
      <c r="C64" s="318"/>
      <c r="D64" s="318"/>
      <c r="E64" s="318"/>
      <c r="F64" s="318"/>
      <c r="G64" s="318"/>
      <c r="H64" s="318"/>
      <c r="I64" s="318"/>
      <c r="J64" s="318"/>
      <c r="K64" s="318"/>
      <c r="L64" s="318"/>
      <c r="M64" s="319"/>
      <c r="N64" s="94"/>
      <c r="O64" s="94"/>
      <c r="P64" s="95"/>
    </row>
    <row r="65" spans="1:16" x14ac:dyDescent="0.25">
      <c r="A65" s="93"/>
      <c r="B65" s="317"/>
      <c r="C65" s="318"/>
      <c r="D65" s="318"/>
      <c r="E65" s="318"/>
      <c r="F65" s="318"/>
      <c r="G65" s="318"/>
      <c r="H65" s="318"/>
      <c r="I65" s="318"/>
      <c r="J65" s="318"/>
      <c r="K65" s="318"/>
      <c r="L65" s="318"/>
      <c r="M65" s="319"/>
      <c r="N65" s="94"/>
      <c r="O65" s="94"/>
      <c r="P65" s="95"/>
    </row>
    <row r="66" spans="1:16" x14ac:dyDescent="0.25">
      <c r="A66" s="93"/>
      <c r="B66" s="317"/>
      <c r="C66" s="318"/>
      <c r="D66" s="318"/>
      <c r="E66" s="318"/>
      <c r="F66" s="318"/>
      <c r="G66" s="318"/>
      <c r="H66" s="318"/>
      <c r="I66" s="318"/>
      <c r="J66" s="318"/>
      <c r="K66" s="318"/>
      <c r="L66" s="318"/>
      <c r="M66" s="319"/>
      <c r="N66" s="94"/>
      <c r="O66" s="94"/>
      <c r="P66" s="95"/>
    </row>
    <row r="67" spans="1:16" x14ac:dyDescent="0.25">
      <c r="A67" s="93"/>
      <c r="B67" s="317"/>
      <c r="C67" s="318"/>
      <c r="D67" s="318"/>
      <c r="E67" s="318"/>
      <c r="F67" s="318"/>
      <c r="G67" s="318"/>
      <c r="H67" s="318"/>
      <c r="I67" s="318"/>
      <c r="J67" s="318"/>
      <c r="K67" s="318"/>
      <c r="L67" s="318"/>
      <c r="M67" s="319"/>
      <c r="N67" s="94"/>
      <c r="O67" s="94"/>
      <c r="P67" s="95"/>
    </row>
    <row r="68" spans="1:16" x14ac:dyDescent="0.25">
      <c r="A68" s="93"/>
      <c r="B68" s="317"/>
      <c r="C68" s="318"/>
      <c r="D68" s="318"/>
      <c r="E68" s="318"/>
      <c r="F68" s="318"/>
      <c r="G68" s="318"/>
      <c r="H68" s="318"/>
      <c r="I68" s="318"/>
      <c r="J68" s="318"/>
      <c r="K68" s="318"/>
      <c r="L68" s="318"/>
      <c r="M68" s="319"/>
      <c r="N68" s="94"/>
      <c r="O68" s="94"/>
      <c r="P68" s="95"/>
    </row>
    <row r="69" spans="1:16" x14ac:dyDescent="0.25">
      <c r="A69" s="93"/>
      <c r="B69" s="317"/>
      <c r="C69" s="318"/>
      <c r="D69" s="318"/>
      <c r="E69" s="318"/>
      <c r="F69" s="318"/>
      <c r="G69" s="318"/>
      <c r="H69" s="318"/>
      <c r="I69" s="318"/>
      <c r="J69" s="318"/>
      <c r="K69" s="318"/>
      <c r="L69" s="318"/>
      <c r="M69" s="319"/>
      <c r="N69" s="94"/>
      <c r="O69" s="94"/>
      <c r="P69" s="95"/>
    </row>
    <row r="70" spans="1:16" x14ac:dyDescent="0.25">
      <c r="A70" s="93"/>
      <c r="B70" s="317"/>
      <c r="C70" s="318"/>
      <c r="D70" s="318"/>
      <c r="E70" s="318"/>
      <c r="F70" s="318"/>
      <c r="G70" s="318"/>
      <c r="H70" s="318"/>
      <c r="I70" s="318"/>
      <c r="J70" s="318"/>
      <c r="K70" s="318"/>
      <c r="L70" s="318"/>
      <c r="M70" s="319"/>
      <c r="N70" s="94"/>
      <c r="O70" s="94"/>
      <c r="P70" s="95"/>
    </row>
    <row r="71" spans="1:16" x14ac:dyDescent="0.25">
      <c r="A71" s="93"/>
      <c r="B71" s="317"/>
      <c r="C71" s="318"/>
      <c r="D71" s="318"/>
      <c r="E71" s="318"/>
      <c r="F71" s="318"/>
      <c r="G71" s="318"/>
      <c r="H71" s="318"/>
      <c r="I71" s="318"/>
      <c r="J71" s="318"/>
      <c r="K71" s="318"/>
      <c r="L71" s="318"/>
      <c r="M71" s="319"/>
      <c r="N71" s="94"/>
      <c r="O71" s="94"/>
      <c r="P71" s="95"/>
    </row>
    <row r="72" spans="1:16" x14ac:dyDescent="0.25">
      <c r="A72" s="93"/>
      <c r="B72" s="317"/>
      <c r="C72" s="318"/>
      <c r="D72" s="318"/>
      <c r="E72" s="318"/>
      <c r="F72" s="318"/>
      <c r="G72" s="318"/>
      <c r="H72" s="318"/>
      <c r="I72" s="318"/>
      <c r="J72" s="318"/>
      <c r="K72" s="318"/>
      <c r="L72" s="318"/>
      <c r="M72" s="319"/>
      <c r="N72" s="94"/>
      <c r="O72" s="94"/>
      <c r="P72" s="95"/>
    </row>
    <row r="73" spans="1:16" x14ac:dyDescent="0.25">
      <c r="A73" s="93"/>
      <c r="B73" s="317"/>
      <c r="C73" s="318"/>
      <c r="D73" s="318"/>
      <c r="E73" s="318"/>
      <c r="F73" s="318"/>
      <c r="G73" s="318"/>
      <c r="H73" s="318"/>
      <c r="I73" s="318"/>
      <c r="J73" s="318"/>
      <c r="K73" s="318"/>
      <c r="L73" s="318"/>
      <c r="M73" s="319"/>
      <c r="N73" s="94"/>
      <c r="O73" s="94"/>
      <c r="P73" s="95"/>
    </row>
    <row r="74" spans="1:16" x14ac:dyDescent="0.25">
      <c r="A74" s="93"/>
      <c r="B74" s="317"/>
      <c r="C74" s="318"/>
      <c r="D74" s="318"/>
      <c r="E74" s="318"/>
      <c r="F74" s="318"/>
      <c r="G74" s="318"/>
      <c r="H74" s="318"/>
      <c r="I74" s="318"/>
      <c r="J74" s="318"/>
      <c r="K74" s="318"/>
      <c r="L74" s="318"/>
      <c r="M74" s="319"/>
      <c r="N74" s="94"/>
      <c r="O74" s="94"/>
      <c r="P74" s="95"/>
    </row>
    <row r="75" spans="1:16" x14ac:dyDescent="0.25">
      <c r="A75" s="93"/>
      <c r="B75" s="317"/>
      <c r="C75" s="318"/>
      <c r="D75" s="318"/>
      <c r="E75" s="318"/>
      <c r="F75" s="318"/>
      <c r="G75" s="318"/>
      <c r="H75" s="318"/>
      <c r="I75" s="318"/>
      <c r="J75" s="318"/>
      <c r="K75" s="318"/>
      <c r="L75" s="318"/>
      <c r="M75" s="319"/>
      <c r="N75" s="94"/>
      <c r="O75" s="94"/>
      <c r="P75" s="95"/>
    </row>
    <row r="76" spans="1:16" x14ac:dyDescent="0.25">
      <c r="A76" s="93"/>
      <c r="B76" s="317"/>
      <c r="C76" s="318"/>
      <c r="D76" s="318"/>
      <c r="E76" s="318"/>
      <c r="F76" s="318"/>
      <c r="G76" s="318"/>
      <c r="H76" s="318"/>
      <c r="I76" s="318"/>
      <c r="J76" s="318"/>
      <c r="K76" s="318"/>
      <c r="L76" s="318"/>
      <c r="M76" s="319"/>
      <c r="N76" s="94"/>
      <c r="O76" s="94"/>
      <c r="P76" s="95"/>
    </row>
    <row r="77" spans="1:16" x14ac:dyDescent="0.25">
      <c r="A77" s="93"/>
      <c r="B77" s="317"/>
      <c r="C77" s="318"/>
      <c r="D77" s="318"/>
      <c r="E77" s="318"/>
      <c r="F77" s="318"/>
      <c r="G77" s="318"/>
      <c r="H77" s="318"/>
      <c r="I77" s="318"/>
      <c r="J77" s="318"/>
      <c r="K77" s="318"/>
      <c r="L77" s="318"/>
      <c r="M77" s="319"/>
      <c r="N77" s="94"/>
      <c r="O77" s="94"/>
      <c r="P77" s="95"/>
    </row>
    <row r="78" spans="1:16" x14ac:dyDescent="0.25">
      <c r="A78" s="93"/>
      <c r="B78" s="317"/>
      <c r="C78" s="318"/>
      <c r="D78" s="318"/>
      <c r="E78" s="318"/>
      <c r="F78" s="318"/>
      <c r="G78" s="318"/>
      <c r="H78" s="318"/>
      <c r="I78" s="318"/>
      <c r="J78" s="318"/>
      <c r="K78" s="318"/>
      <c r="L78" s="318"/>
      <c r="M78" s="319"/>
      <c r="N78" s="94"/>
      <c r="O78" s="94"/>
      <c r="P78" s="95"/>
    </row>
    <row r="79" spans="1:16" x14ac:dyDescent="0.25">
      <c r="A79" s="93"/>
      <c r="B79" s="317"/>
      <c r="C79" s="318"/>
      <c r="D79" s="318"/>
      <c r="E79" s="318"/>
      <c r="F79" s="318"/>
      <c r="G79" s="318"/>
      <c r="H79" s="318"/>
      <c r="I79" s="318"/>
      <c r="J79" s="318"/>
      <c r="K79" s="318"/>
      <c r="L79" s="318"/>
      <c r="M79" s="319"/>
      <c r="N79" s="94"/>
      <c r="O79" s="94"/>
      <c r="P79" s="95"/>
    </row>
    <row r="80" spans="1:16" x14ac:dyDescent="0.25">
      <c r="A80" s="93"/>
      <c r="B80" s="317"/>
      <c r="C80" s="318"/>
      <c r="D80" s="318"/>
      <c r="E80" s="318"/>
      <c r="F80" s="318"/>
      <c r="G80" s="318"/>
      <c r="H80" s="318"/>
      <c r="I80" s="318"/>
      <c r="J80" s="318"/>
      <c r="K80" s="318"/>
      <c r="L80" s="318"/>
      <c r="M80" s="319"/>
      <c r="N80" s="94"/>
      <c r="O80" s="94"/>
      <c r="P80" s="95"/>
    </row>
    <row r="81" spans="1:16" x14ac:dyDescent="0.25">
      <c r="A81" s="93"/>
      <c r="B81" s="317"/>
      <c r="C81" s="318"/>
      <c r="D81" s="318"/>
      <c r="E81" s="318"/>
      <c r="F81" s="318"/>
      <c r="G81" s="318"/>
      <c r="H81" s="318"/>
      <c r="I81" s="318"/>
      <c r="J81" s="318"/>
      <c r="K81" s="318"/>
      <c r="L81" s="318"/>
      <c r="M81" s="319"/>
      <c r="N81" s="94"/>
      <c r="O81" s="94"/>
      <c r="P81" s="95"/>
    </row>
    <row r="82" spans="1:16" x14ac:dyDescent="0.25">
      <c r="A82" s="93"/>
      <c r="B82" s="317"/>
      <c r="C82" s="318"/>
      <c r="D82" s="318"/>
      <c r="E82" s="318"/>
      <c r="F82" s="318"/>
      <c r="G82" s="318"/>
      <c r="H82" s="318"/>
      <c r="I82" s="318"/>
      <c r="J82" s="318"/>
      <c r="K82" s="318"/>
      <c r="L82" s="318"/>
      <c r="M82" s="319"/>
      <c r="N82" s="94"/>
      <c r="O82" s="94"/>
      <c r="P82" s="95"/>
    </row>
    <row r="83" spans="1:16" x14ac:dyDescent="0.25">
      <c r="A83" s="93"/>
      <c r="B83" s="317"/>
      <c r="C83" s="318"/>
      <c r="D83" s="318"/>
      <c r="E83" s="318"/>
      <c r="F83" s="318"/>
      <c r="G83" s="318"/>
      <c r="H83" s="318"/>
      <c r="I83" s="318"/>
      <c r="J83" s="318"/>
      <c r="K83" s="318"/>
      <c r="L83" s="318"/>
      <c r="M83" s="319"/>
      <c r="N83" s="94"/>
      <c r="O83" s="94"/>
      <c r="P83" s="95"/>
    </row>
    <row r="84" spans="1:16" x14ac:dyDescent="0.25">
      <c r="A84" s="93"/>
      <c r="B84" s="317"/>
      <c r="C84" s="318"/>
      <c r="D84" s="318"/>
      <c r="E84" s="318"/>
      <c r="F84" s="318"/>
      <c r="G84" s="318"/>
      <c r="H84" s="318"/>
      <c r="I84" s="318"/>
      <c r="J84" s="318"/>
      <c r="K84" s="318"/>
      <c r="L84" s="318"/>
      <c r="M84" s="319"/>
      <c r="N84" s="94"/>
      <c r="O84" s="94"/>
      <c r="P84" s="95"/>
    </row>
    <row r="85" spans="1:16" x14ac:dyDescent="0.25">
      <c r="A85" s="93"/>
      <c r="B85" s="317"/>
      <c r="C85" s="318"/>
      <c r="D85" s="318"/>
      <c r="E85" s="318"/>
      <c r="F85" s="318"/>
      <c r="G85" s="318"/>
      <c r="H85" s="318"/>
      <c r="I85" s="318"/>
      <c r="J85" s="318"/>
      <c r="K85" s="318"/>
      <c r="L85" s="318"/>
      <c r="M85" s="319"/>
      <c r="N85" s="94"/>
      <c r="O85" s="94"/>
      <c r="P85" s="95"/>
    </row>
    <row r="86" spans="1:16" x14ac:dyDescent="0.25">
      <c r="A86" s="93"/>
      <c r="B86" s="317"/>
      <c r="C86" s="318"/>
      <c r="D86" s="318"/>
      <c r="E86" s="318"/>
      <c r="F86" s="318"/>
      <c r="G86" s="318"/>
      <c r="H86" s="318"/>
      <c r="I86" s="318"/>
      <c r="J86" s="318"/>
      <c r="K86" s="318"/>
      <c r="L86" s="318"/>
      <c r="M86" s="319"/>
      <c r="N86" s="94"/>
      <c r="O86" s="94"/>
      <c r="P86" s="95"/>
    </row>
    <row r="87" spans="1:16" x14ac:dyDescent="0.25">
      <c r="A87" s="93"/>
      <c r="B87" s="317"/>
      <c r="C87" s="318"/>
      <c r="D87" s="318"/>
      <c r="E87" s="318"/>
      <c r="F87" s="318"/>
      <c r="G87" s="318"/>
      <c r="H87" s="318"/>
      <c r="I87" s="318"/>
      <c r="J87" s="318"/>
      <c r="K87" s="318"/>
      <c r="L87" s="318"/>
      <c r="M87" s="319"/>
      <c r="N87" s="94"/>
      <c r="O87" s="94"/>
      <c r="P87" s="95"/>
    </row>
    <row r="88" spans="1:16" x14ac:dyDescent="0.25">
      <c r="A88" s="93"/>
      <c r="B88" s="317"/>
      <c r="C88" s="318"/>
      <c r="D88" s="318"/>
      <c r="E88" s="318"/>
      <c r="F88" s="318"/>
      <c r="G88" s="318"/>
      <c r="H88" s="318"/>
      <c r="I88" s="318"/>
      <c r="J88" s="318"/>
      <c r="K88" s="318"/>
      <c r="L88" s="318"/>
      <c r="M88" s="319"/>
      <c r="N88" s="94"/>
      <c r="O88" s="94"/>
      <c r="P88" s="95"/>
    </row>
    <row r="89" spans="1:16" x14ac:dyDescent="0.25">
      <c r="A89" s="93"/>
      <c r="B89" s="317"/>
      <c r="C89" s="318"/>
      <c r="D89" s="318"/>
      <c r="E89" s="318"/>
      <c r="F89" s="318"/>
      <c r="G89" s="318"/>
      <c r="H89" s="318"/>
      <c r="I89" s="318"/>
      <c r="J89" s="318"/>
      <c r="K89" s="318"/>
      <c r="L89" s="318"/>
      <c r="M89" s="319"/>
      <c r="N89" s="94"/>
      <c r="O89" s="94"/>
      <c r="P89" s="95"/>
    </row>
    <row r="90" spans="1:16" x14ac:dyDescent="0.25">
      <c r="A90" s="93"/>
      <c r="B90" s="317"/>
      <c r="C90" s="318"/>
      <c r="D90" s="318"/>
      <c r="E90" s="318"/>
      <c r="F90" s="318"/>
      <c r="G90" s="318"/>
      <c r="H90" s="318"/>
      <c r="I90" s="318"/>
      <c r="J90" s="318"/>
      <c r="K90" s="318"/>
      <c r="L90" s="318"/>
      <c r="M90" s="319"/>
      <c r="N90" s="94"/>
      <c r="O90" s="94"/>
      <c r="P90" s="95"/>
    </row>
    <row r="91" spans="1:16" x14ac:dyDescent="0.25">
      <c r="A91" s="93"/>
      <c r="B91" s="317"/>
      <c r="C91" s="318"/>
      <c r="D91" s="318"/>
      <c r="E91" s="318"/>
      <c r="F91" s="318"/>
      <c r="G91" s="318"/>
      <c r="H91" s="318"/>
      <c r="I91" s="318"/>
      <c r="J91" s="318"/>
      <c r="K91" s="318"/>
      <c r="L91" s="318"/>
      <c r="M91" s="319"/>
      <c r="N91" s="94"/>
      <c r="O91" s="94"/>
      <c r="P91" s="95"/>
    </row>
    <row r="92" spans="1:16" x14ac:dyDescent="0.25">
      <c r="A92" s="93"/>
      <c r="B92" s="317"/>
      <c r="C92" s="318"/>
      <c r="D92" s="318"/>
      <c r="E92" s="318"/>
      <c r="F92" s="318"/>
      <c r="G92" s="318"/>
      <c r="H92" s="318"/>
      <c r="I92" s="318"/>
      <c r="J92" s="318"/>
      <c r="K92" s="318"/>
      <c r="L92" s="318"/>
      <c r="M92" s="319"/>
      <c r="N92" s="94"/>
      <c r="O92" s="94"/>
      <c r="P92" s="95"/>
    </row>
    <row r="93" spans="1:16" x14ac:dyDescent="0.25">
      <c r="A93" s="93"/>
      <c r="B93" s="317"/>
      <c r="C93" s="318"/>
      <c r="D93" s="318"/>
      <c r="E93" s="318"/>
      <c r="F93" s="318"/>
      <c r="G93" s="318"/>
      <c r="H93" s="318"/>
      <c r="I93" s="318"/>
      <c r="J93" s="318"/>
      <c r="K93" s="318"/>
      <c r="L93" s="318"/>
      <c r="M93" s="319"/>
      <c r="N93" s="94"/>
      <c r="O93" s="94"/>
      <c r="P93" s="95"/>
    </row>
    <row r="94" spans="1:16" x14ac:dyDescent="0.25">
      <c r="A94" s="93"/>
      <c r="B94" s="317"/>
      <c r="C94" s="318"/>
      <c r="D94" s="318"/>
      <c r="E94" s="318"/>
      <c r="F94" s="318"/>
      <c r="G94" s="318"/>
      <c r="H94" s="318"/>
      <c r="I94" s="318"/>
      <c r="J94" s="318"/>
      <c r="K94" s="318"/>
      <c r="L94" s="318"/>
      <c r="M94" s="319"/>
      <c r="N94" s="94"/>
      <c r="O94" s="94"/>
      <c r="P94" s="95"/>
    </row>
    <row r="95" spans="1:16" x14ac:dyDescent="0.25">
      <c r="A95" s="93"/>
      <c r="B95" s="317"/>
      <c r="C95" s="318"/>
      <c r="D95" s="318"/>
      <c r="E95" s="318"/>
      <c r="F95" s="318"/>
      <c r="G95" s="318"/>
      <c r="H95" s="318"/>
      <c r="I95" s="318"/>
      <c r="J95" s="318"/>
      <c r="K95" s="318"/>
      <c r="L95" s="318"/>
      <c r="M95" s="319"/>
      <c r="N95" s="94"/>
      <c r="O95" s="94"/>
      <c r="P95" s="95"/>
    </row>
    <row r="96" spans="1:16" ht="13.8" thickBot="1" x14ac:dyDescent="0.3">
      <c r="A96" s="105"/>
      <c r="B96" s="320"/>
      <c r="C96" s="321"/>
      <c r="D96" s="321"/>
      <c r="E96" s="321"/>
      <c r="F96" s="321"/>
      <c r="G96" s="321"/>
      <c r="H96" s="321"/>
      <c r="I96" s="321"/>
      <c r="J96" s="321"/>
      <c r="K96" s="321"/>
      <c r="L96" s="321"/>
      <c r="M96" s="322"/>
      <c r="N96" s="106"/>
      <c r="O96" s="106"/>
      <c r="P96" s="107"/>
    </row>
    <row r="97" spans="1:16" ht="13.8" thickTop="1" x14ac:dyDescent="0.25">
      <c r="A97" s="89"/>
      <c r="B97" s="89"/>
      <c r="C97" s="89"/>
      <c r="D97" s="89"/>
      <c r="E97" s="89"/>
      <c r="F97" s="89"/>
      <c r="G97" s="89"/>
      <c r="H97" s="89"/>
      <c r="I97" s="89"/>
      <c r="J97" s="89"/>
      <c r="K97" s="89"/>
      <c r="L97" s="89"/>
      <c r="M97" s="89"/>
      <c r="N97" s="89"/>
      <c r="O97" s="89"/>
      <c r="P97" s="89"/>
    </row>
  </sheetData>
  <mergeCells count="3">
    <mergeCell ref="B15:I15"/>
    <mergeCell ref="B34:M96"/>
    <mergeCell ref="B14:D14"/>
  </mergeCells>
  <hyperlinks>
    <hyperlink ref="B14"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T199"/>
  <sheetViews>
    <sheetView tabSelected="1" topLeftCell="A34" zoomScaleNormal="100" zoomScaleSheetLayoutView="100" workbookViewId="0">
      <selection activeCell="F81" sqref="F81"/>
    </sheetView>
  </sheetViews>
  <sheetFormatPr defaultColWidth="8.88671875" defaultRowHeight="13.2" x14ac:dyDescent="0.25"/>
  <cols>
    <col min="1" max="1" width="0.44140625" style="154" customWidth="1"/>
    <col min="2" max="2" width="26.44140625" style="154" customWidth="1"/>
    <col min="3" max="3" width="31" style="154" customWidth="1"/>
    <col min="4" max="4" width="16.5546875" style="154" customWidth="1"/>
    <col min="5" max="5" width="20.88671875" style="154" customWidth="1"/>
    <col min="6" max="6" width="15.77734375" style="154" customWidth="1"/>
    <col min="7" max="7" width="5.5546875" style="257" customWidth="1"/>
    <col min="8" max="8" width="9.5546875" style="154" customWidth="1"/>
    <col min="9" max="9" width="12.88671875" style="154" customWidth="1"/>
    <col min="10" max="10" width="8.88671875" style="154"/>
    <col min="11" max="11" width="10.21875" style="154" customWidth="1"/>
    <col min="12" max="12" width="8.88671875" style="154" customWidth="1"/>
    <col min="13" max="13" width="9.88671875" style="154" customWidth="1"/>
    <col min="14" max="19" width="0" style="154" hidden="1" customWidth="1"/>
    <col min="20" max="20" width="2.77734375" style="154" hidden="1" customWidth="1"/>
    <col min="21" max="21" width="3" style="154" hidden="1" customWidth="1"/>
    <col min="22" max="22" width="1.109375" style="154" hidden="1" customWidth="1"/>
    <col min="23" max="23" width="3.77734375" style="154" hidden="1" customWidth="1"/>
    <col min="24" max="38" width="0" style="154" hidden="1" customWidth="1"/>
    <col min="39" max="39" width="11.77734375" style="154" customWidth="1"/>
    <col min="40" max="40" width="6.77734375" style="154" hidden="1" customWidth="1"/>
    <col min="41" max="41" width="9.21875" style="154" hidden="1" customWidth="1"/>
    <col min="42" max="42" width="12.21875" style="154" customWidth="1"/>
    <col min="43" max="43" width="12" style="154" customWidth="1"/>
    <col min="44" max="44" width="13.44140625" style="154" customWidth="1"/>
    <col min="45" max="45" width="14.5546875" style="154" hidden="1" customWidth="1"/>
    <col min="46" max="46" width="14.77734375" style="154" customWidth="1"/>
    <col min="47" max="47" width="11.21875" style="154" customWidth="1"/>
    <col min="48" max="48" width="13" style="154" customWidth="1"/>
    <col min="49" max="49" width="13.44140625" style="154" customWidth="1"/>
    <col min="50" max="50" width="14.77734375" style="154" customWidth="1"/>
    <col min="51" max="51" width="14.109375" style="154" customWidth="1"/>
    <col min="52" max="52" width="12.88671875" style="154" customWidth="1"/>
    <col min="53" max="53" width="12.5546875" style="154" customWidth="1"/>
    <col min="54" max="54" width="9.88671875" style="154" customWidth="1"/>
    <col min="55" max="55" width="12.77734375" style="154" customWidth="1"/>
    <col min="56" max="56" width="13.77734375" style="154" customWidth="1"/>
    <col min="57" max="57" width="13.88671875" style="154" customWidth="1"/>
    <col min="58" max="59" width="14.44140625" style="154" customWidth="1"/>
    <col min="60" max="60" width="15.44140625" style="154" customWidth="1"/>
    <col min="61" max="61" width="15.21875" style="154" customWidth="1"/>
    <col min="62" max="62" width="15.77734375" style="154" customWidth="1"/>
    <col min="63" max="63" width="12.5546875" style="154" customWidth="1"/>
    <col min="64" max="64" width="16.88671875" style="154" customWidth="1"/>
    <col min="65" max="65" width="15.44140625" style="154" customWidth="1"/>
    <col min="66" max="66" width="14.5546875" style="154" customWidth="1"/>
    <col min="67" max="67" width="10" style="154" customWidth="1"/>
    <col min="68" max="68" width="6.109375" style="154" customWidth="1"/>
    <col min="69" max="69" width="7.109375" style="154" customWidth="1"/>
    <col min="70" max="70" width="8.21875" style="154" customWidth="1"/>
    <col min="71" max="71" width="4.77734375" style="154" customWidth="1"/>
    <col min="72" max="16384" width="8.88671875" style="154"/>
  </cols>
  <sheetData>
    <row r="1" spans="1:45" s="46" customFormat="1" ht="60.75" customHeight="1" x14ac:dyDescent="0.3">
      <c r="A1" s="331" t="s">
        <v>357</v>
      </c>
      <c r="B1" s="332"/>
      <c r="C1" s="332"/>
      <c r="D1" s="332"/>
      <c r="E1" s="332"/>
      <c r="F1" s="332"/>
      <c r="G1" s="332"/>
      <c r="H1" s="332"/>
      <c r="I1" s="332"/>
      <c r="J1" s="332"/>
      <c r="K1" s="332"/>
      <c r="L1" s="332"/>
      <c r="M1" s="332"/>
      <c r="N1" s="23"/>
      <c r="O1" s="23"/>
      <c r="P1" s="23"/>
      <c r="Q1" s="23"/>
      <c r="R1" s="21"/>
      <c r="S1" s="22"/>
      <c r="T1" s="20"/>
      <c r="U1" s="20"/>
      <c r="V1" s="20"/>
      <c r="W1" s="20"/>
      <c r="X1" s="20"/>
      <c r="Y1" s="20"/>
      <c r="Z1" s="20"/>
      <c r="AA1" s="20"/>
      <c r="AB1" s="20"/>
      <c r="AC1" s="20"/>
      <c r="AD1" s="20"/>
      <c r="AE1" s="20"/>
      <c r="AF1" s="20"/>
      <c r="AG1" s="20"/>
      <c r="AH1" s="20"/>
      <c r="AI1" s="20"/>
      <c r="AJ1" s="20"/>
      <c r="AK1" s="20"/>
      <c r="AL1" s="20"/>
      <c r="AM1" s="20"/>
    </row>
    <row r="2" spans="1:45" ht="15.6" x14ac:dyDescent="0.25">
      <c r="A2" s="15"/>
      <c r="B2" s="19" t="s">
        <v>61</v>
      </c>
      <c r="C2" s="15"/>
      <c r="D2" s="15"/>
      <c r="E2" s="15"/>
      <c r="F2" s="153"/>
      <c r="G2" s="153"/>
      <c r="H2" s="15"/>
      <c r="I2" s="15"/>
      <c r="J2" s="15"/>
      <c r="K2" s="15"/>
      <c r="L2" s="330"/>
      <c r="M2" s="330"/>
      <c r="N2" s="15"/>
      <c r="O2" s="15"/>
      <c r="P2" s="15"/>
      <c r="Q2" s="15"/>
      <c r="R2" s="15"/>
      <c r="S2" s="15"/>
      <c r="T2" s="15"/>
      <c r="U2" s="15"/>
      <c r="V2" s="15"/>
      <c r="W2" s="15"/>
      <c r="X2" s="15"/>
      <c r="Y2" s="15"/>
      <c r="Z2" s="15"/>
      <c r="AA2" s="15"/>
      <c r="AB2" s="15"/>
      <c r="AC2" s="15"/>
      <c r="AD2" s="15"/>
      <c r="AE2" s="15"/>
      <c r="AF2" s="15"/>
      <c r="AG2" s="15"/>
      <c r="AH2" s="15"/>
      <c r="AI2" s="15"/>
      <c r="AJ2" s="15"/>
      <c r="AK2" s="15"/>
      <c r="AL2" s="15"/>
      <c r="AM2" s="15"/>
    </row>
    <row r="3" spans="1:45" x14ac:dyDescent="0.25">
      <c r="A3" s="15"/>
      <c r="B3" s="15"/>
      <c r="C3" s="15"/>
      <c r="D3" s="15"/>
      <c r="E3" s="15"/>
      <c r="F3" s="15"/>
      <c r="G3" s="153"/>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row>
    <row r="4" spans="1:45" x14ac:dyDescent="0.25">
      <c r="A4" s="15"/>
      <c r="B4" s="15"/>
      <c r="C4" s="15"/>
      <c r="D4" s="15"/>
      <c r="E4" s="15"/>
      <c r="F4" s="15"/>
      <c r="G4" s="153"/>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row>
    <row r="5" spans="1:45" x14ac:dyDescent="0.25">
      <c r="A5" s="15"/>
      <c r="B5" s="15"/>
      <c r="C5" s="15"/>
      <c r="D5" s="15"/>
      <c r="E5" s="15"/>
      <c r="F5" s="15"/>
      <c r="G5" s="153"/>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row>
    <row r="6" spans="1:45" x14ac:dyDescent="0.25">
      <c r="A6" s="15"/>
      <c r="B6" s="15"/>
      <c r="C6" s="15"/>
      <c r="D6" s="15"/>
      <c r="E6" s="15"/>
      <c r="F6" s="15"/>
      <c r="G6" s="153"/>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row>
    <row r="7" spans="1:45" x14ac:dyDescent="0.25">
      <c r="A7" s="15"/>
      <c r="B7" s="15"/>
      <c r="C7" s="15"/>
      <c r="D7" s="15"/>
      <c r="E7" s="15"/>
      <c r="F7" s="15"/>
      <c r="G7" s="153"/>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row>
    <row r="8" spans="1:45" x14ac:dyDescent="0.25">
      <c r="A8" s="15"/>
      <c r="B8" s="15"/>
      <c r="C8" s="15"/>
      <c r="D8" s="15"/>
      <c r="E8" s="15"/>
      <c r="F8" s="15"/>
      <c r="G8" s="153"/>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S8" s="179" t="s">
        <v>146</v>
      </c>
    </row>
    <row r="9" spans="1:45" ht="15" customHeight="1" x14ac:dyDescent="0.25">
      <c r="A9" s="15"/>
      <c r="B9" s="155"/>
      <c r="C9" s="86"/>
      <c r="D9" s="156" t="s">
        <v>265</v>
      </c>
      <c r="E9" s="45"/>
      <c r="F9" s="15"/>
      <c r="G9" s="153"/>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S9" s="179" t="s">
        <v>144</v>
      </c>
    </row>
    <row r="10" spans="1:45" ht="15" customHeight="1" x14ac:dyDescent="0.25">
      <c r="A10" s="15"/>
      <c r="B10" s="157"/>
      <c r="C10" s="158"/>
      <c r="D10" s="15" t="s">
        <v>60</v>
      </c>
      <c r="E10" s="159"/>
      <c r="F10" s="15"/>
      <c r="G10" s="153"/>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row>
    <row r="11" spans="1:45" ht="22.95" customHeight="1" x14ac:dyDescent="0.25">
      <c r="A11" s="15"/>
      <c r="B11" s="157"/>
      <c r="C11" s="160"/>
      <c r="D11" s="333" t="s">
        <v>323</v>
      </c>
      <c r="E11" s="334"/>
      <c r="F11" s="15"/>
      <c r="G11" s="153"/>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row>
    <row r="12" spans="1:45" ht="21.6" customHeight="1" x14ac:dyDescent="0.25">
      <c r="A12" s="15"/>
      <c r="B12" s="157"/>
      <c r="C12" s="161"/>
      <c r="D12" s="333"/>
      <c r="E12" s="334"/>
      <c r="F12" s="15"/>
      <c r="G12" s="153"/>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row>
    <row r="13" spans="1:45" ht="21.6" customHeight="1" thickBot="1" x14ac:dyDescent="0.3">
      <c r="A13" s="15"/>
      <c r="B13" s="157"/>
      <c r="C13" s="273"/>
      <c r="D13" s="272"/>
      <c r="E13" s="270"/>
      <c r="F13" s="15"/>
      <c r="G13" s="153"/>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row>
    <row r="14" spans="1:45" ht="21.6" customHeight="1" x14ac:dyDescent="0.25">
      <c r="A14" s="15"/>
      <c r="B14" s="284" t="s">
        <v>389</v>
      </c>
      <c r="C14" s="296"/>
      <c r="D14" s="337" t="s">
        <v>390</v>
      </c>
      <c r="E14" s="337"/>
      <c r="F14" s="337"/>
      <c r="G14" s="337"/>
      <c r="H14" s="293"/>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82"/>
    </row>
    <row r="15" spans="1:45" ht="21.6" customHeight="1" x14ac:dyDescent="0.25">
      <c r="A15" s="15"/>
      <c r="B15" s="285"/>
      <c r="C15" s="295"/>
      <c r="D15" s="338"/>
      <c r="E15" s="338"/>
      <c r="F15" s="338"/>
      <c r="G15" s="338"/>
      <c r="H15" s="294"/>
      <c r="I15" s="274"/>
      <c r="J15" s="274"/>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80"/>
    </row>
    <row r="16" spans="1:45" ht="15" x14ac:dyDescent="0.25">
      <c r="A16" s="15"/>
      <c r="B16" s="336"/>
      <c r="C16" s="286"/>
      <c r="D16" s="343" t="s">
        <v>391</v>
      </c>
      <c r="E16" s="343"/>
      <c r="F16" s="343"/>
      <c r="G16" s="343"/>
      <c r="H16" s="343"/>
      <c r="I16" s="343"/>
      <c r="J16" s="290"/>
      <c r="K16" s="283"/>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80"/>
    </row>
    <row r="17" spans="1:39" ht="15" x14ac:dyDescent="0.25">
      <c r="A17" s="15"/>
      <c r="B17" s="336"/>
      <c r="C17" s="286"/>
      <c r="D17" s="343" t="s">
        <v>392</v>
      </c>
      <c r="E17" s="343"/>
      <c r="F17" s="343"/>
      <c r="G17" s="343"/>
      <c r="H17" s="343"/>
      <c r="I17" s="343"/>
      <c r="J17" s="274"/>
      <c r="K17" s="274"/>
      <c r="L17" s="274"/>
      <c r="M17" s="274"/>
      <c r="N17" s="274"/>
      <c r="O17" s="274"/>
      <c r="P17" s="274"/>
      <c r="Q17" s="274"/>
      <c r="R17" s="274"/>
      <c r="S17" s="274"/>
      <c r="T17" s="274"/>
      <c r="U17" s="274"/>
      <c r="V17" s="274"/>
      <c r="W17" s="274"/>
      <c r="X17" s="274"/>
      <c r="Y17" s="274"/>
      <c r="Z17" s="274"/>
      <c r="AA17" s="274"/>
      <c r="AB17" s="274"/>
      <c r="AC17" s="274"/>
      <c r="AD17" s="274"/>
      <c r="AE17" s="274"/>
      <c r="AF17" s="274"/>
      <c r="AG17" s="274"/>
      <c r="AH17" s="274"/>
      <c r="AI17" s="274"/>
      <c r="AJ17" s="274"/>
      <c r="AK17" s="274"/>
      <c r="AL17" s="274"/>
      <c r="AM17" s="280"/>
    </row>
    <row r="18" spans="1:39" ht="15" x14ac:dyDescent="0.25">
      <c r="A18" s="15"/>
      <c r="B18" s="336"/>
      <c r="C18" s="286"/>
      <c r="D18" s="343" t="s">
        <v>393</v>
      </c>
      <c r="E18" s="343"/>
      <c r="F18" s="343"/>
      <c r="G18" s="343"/>
      <c r="H18" s="343"/>
      <c r="I18" s="343"/>
      <c r="J18" s="274"/>
      <c r="K18" s="274"/>
      <c r="L18" s="274"/>
      <c r="M18" s="274"/>
      <c r="N18" s="274"/>
      <c r="O18" s="274"/>
      <c r="P18" s="274"/>
      <c r="Q18" s="274"/>
      <c r="R18" s="274"/>
      <c r="S18" s="274"/>
      <c r="T18" s="274"/>
      <c r="U18" s="274"/>
      <c r="V18" s="274"/>
      <c r="W18" s="274"/>
      <c r="X18" s="274"/>
      <c r="Y18" s="274"/>
      <c r="Z18" s="274"/>
      <c r="AA18" s="274"/>
      <c r="AB18" s="274"/>
      <c r="AC18" s="274"/>
      <c r="AD18" s="274"/>
      <c r="AE18" s="274"/>
      <c r="AF18" s="274"/>
      <c r="AG18" s="274"/>
      <c r="AH18" s="274"/>
      <c r="AI18" s="274"/>
      <c r="AJ18" s="274"/>
      <c r="AK18" s="274"/>
      <c r="AL18" s="274"/>
      <c r="AM18" s="280"/>
    </row>
    <row r="19" spans="1:39" ht="15" x14ac:dyDescent="0.25">
      <c r="A19" s="15"/>
      <c r="B19" s="336"/>
      <c r="C19" s="286"/>
      <c r="D19" s="343" t="s">
        <v>394</v>
      </c>
      <c r="E19" s="343"/>
      <c r="F19" s="343"/>
      <c r="G19" s="343"/>
      <c r="H19" s="343"/>
      <c r="I19" s="343"/>
      <c r="J19" s="274"/>
      <c r="K19" s="274"/>
      <c r="L19" s="274"/>
      <c r="M19" s="274"/>
      <c r="N19" s="274"/>
      <c r="O19" s="274"/>
      <c r="P19" s="274"/>
      <c r="Q19" s="274"/>
      <c r="R19" s="274"/>
      <c r="S19" s="274"/>
      <c r="T19" s="274"/>
      <c r="U19" s="274"/>
      <c r="V19" s="274"/>
      <c r="W19" s="274"/>
      <c r="X19" s="274"/>
      <c r="Y19" s="274"/>
      <c r="Z19" s="274"/>
      <c r="AA19" s="274"/>
      <c r="AB19" s="274"/>
      <c r="AC19" s="274"/>
      <c r="AD19" s="274"/>
      <c r="AE19" s="274"/>
      <c r="AF19" s="274"/>
      <c r="AG19" s="274"/>
      <c r="AH19" s="274"/>
      <c r="AI19" s="274"/>
      <c r="AJ19" s="274"/>
      <c r="AK19" s="274"/>
      <c r="AL19" s="274"/>
      <c r="AM19" s="280"/>
    </row>
    <row r="20" spans="1:39" ht="15" x14ac:dyDescent="0.25">
      <c r="A20" s="15"/>
      <c r="B20" s="291"/>
      <c r="C20" s="286"/>
      <c r="D20" s="300" t="s">
        <v>398</v>
      </c>
      <c r="E20" s="287"/>
      <c r="F20" s="274"/>
      <c r="G20" s="274"/>
      <c r="H20" s="274"/>
      <c r="I20" s="274"/>
      <c r="J20" s="274"/>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80"/>
    </row>
    <row r="21" spans="1:39" ht="21.6" customHeight="1" thickBot="1" x14ac:dyDescent="0.3">
      <c r="A21" s="15"/>
      <c r="B21" s="277"/>
      <c r="C21" s="274"/>
      <c r="D21" s="274"/>
      <c r="E21" s="275"/>
      <c r="F21" s="274"/>
      <c r="G21" s="274"/>
      <c r="H21" s="274"/>
      <c r="I21" s="274"/>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80"/>
    </row>
    <row r="22" spans="1:39" ht="30.6" customHeight="1" thickBot="1" x14ac:dyDescent="0.3">
      <c r="A22" s="15"/>
      <c r="B22" s="277"/>
      <c r="C22" s="274"/>
      <c r="D22" s="339" t="s">
        <v>395</v>
      </c>
      <c r="E22" s="340"/>
      <c r="F22" s="341"/>
      <c r="G22" s="298" t="s">
        <v>146</v>
      </c>
      <c r="H22" s="274"/>
      <c r="I22" s="274"/>
      <c r="J22" s="274"/>
      <c r="K22" s="274"/>
      <c r="L22" s="274"/>
      <c r="M22" s="274"/>
      <c r="N22" s="274"/>
      <c r="O22" s="274"/>
      <c r="P22" s="274"/>
      <c r="Q22" s="274"/>
      <c r="R22" s="274"/>
      <c r="S22" s="274"/>
      <c r="T22" s="274"/>
      <c r="U22" s="274"/>
      <c r="V22" s="274"/>
      <c r="W22" s="274"/>
      <c r="X22" s="274"/>
      <c r="Y22" s="274"/>
      <c r="Z22" s="274"/>
      <c r="AA22" s="274"/>
      <c r="AB22" s="274"/>
      <c r="AC22" s="274"/>
      <c r="AD22" s="274"/>
      <c r="AE22" s="274"/>
      <c r="AF22" s="274"/>
      <c r="AG22" s="274"/>
      <c r="AH22" s="274"/>
      <c r="AI22" s="274"/>
      <c r="AJ22" s="274"/>
      <c r="AK22" s="274"/>
      <c r="AL22" s="274"/>
      <c r="AM22" s="280"/>
    </row>
    <row r="23" spans="1:39" ht="27.6" customHeight="1" thickBot="1" x14ac:dyDescent="0.3">
      <c r="A23" s="15"/>
      <c r="B23" s="277"/>
      <c r="C23" s="274"/>
      <c r="D23" s="344" t="s">
        <v>396</v>
      </c>
      <c r="E23" s="345"/>
      <c r="F23" s="346"/>
      <c r="G23" s="299" t="s">
        <v>146</v>
      </c>
      <c r="H23" s="274"/>
      <c r="I23" s="274"/>
      <c r="J23" s="274"/>
      <c r="K23" s="274"/>
      <c r="L23" s="274"/>
      <c r="M23" s="274"/>
      <c r="N23" s="274"/>
      <c r="O23" s="274"/>
      <c r="P23" s="274"/>
      <c r="Q23" s="274"/>
      <c r="R23" s="274"/>
      <c r="S23" s="274"/>
      <c r="T23" s="274"/>
      <c r="U23" s="274"/>
      <c r="V23" s="274"/>
      <c r="W23" s="274"/>
      <c r="X23" s="274"/>
      <c r="Y23" s="274"/>
      <c r="Z23" s="274"/>
      <c r="AA23" s="274"/>
      <c r="AB23" s="274"/>
      <c r="AC23" s="274"/>
      <c r="AD23" s="274"/>
      <c r="AE23" s="274"/>
      <c r="AF23" s="274"/>
      <c r="AG23" s="274"/>
      <c r="AH23" s="274"/>
      <c r="AI23" s="274"/>
      <c r="AJ23" s="274"/>
      <c r="AK23" s="274"/>
      <c r="AL23" s="274"/>
      <c r="AM23" s="280"/>
    </row>
    <row r="24" spans="1:39" ht="5.4" customHeight="1" x14ac:dyDescent="0.25">
      <c r="A24" s="15"/>
      <c r="B24" s="277"/>
      <c r="C24" s="274"/>
      <c r="D24" s="342" t="s">
        <v>397</v>
      </c>
      <c r="E24" s="342"/>
      <c r="F24" s="342"/>
      <c r="G24" s="274"/>
      <c r="H24" s="274"/>
      <c r="I24" s="274"/>
      <c r="J24" s="274"/>
      <c r="K24" s="274"/>
      <c r="L24" s="274"/>
      <c r="M24" s="274"/>
      <c r="N24" s="274"/>
      <c r="O24" s="274"/>
      <c r="P24" s="274"/>
      <c r="Q24" s="274"/>
      <c r="R24" s="274"/>
      <c r="S24" s="274"/>
      <c r="T24" s="274"/>
      <c r="U24" s="274"/>
      <c r="V24" s="274"/>
      <c r="W24" s="274"/>
      <c r="X24" s="274"/>
      <c r="Y24" s="274"/>
      <c r="Z24" s="274"/>
      <c r="AA24" s="274"/>
      <c r="AB24" s="274"/>
      <c r="AC24" s="274"/>
      <c r="AD24" s="274"/>
      <c r="AE24" s="274"/>
      <c r="AF24" s="274"/>
      <c r="AG24" s="274"/>
      <c r="AH24" s="274"/>
      <c r="AI24" s="274"/>
      <c r="AJ24" s="274"/>
      <c r="AK24" s="274"/>
      <c r="AL24" s="274"/>
      <c r="AM24" s="280"/>
    </row>
    <row r="25" spans="1:39" ht="21.6" customHeight="1" x14ac:dyDescent="0.25">
      <c r="A25" s="15"/>
      <c r="B25" s="277"/>
      <c r="C25" s="274"/>
      <c r="D25" s="342"/>
      <c r="E25" s="342"/>
      <c r="F25" s="342"/>
      <c r="G25" s="292"/>
      <c r="H25" s="274"/>
      <c r="I25" s="274"/>
      <c r="J25" s="283"/>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K25" s="274"/>
      <c r="AL25" s="274"/>
      <c r="AM25" s="280"/>
    </row>
    <row r="26" spans="1:39" ht="15" customHeight="1" thickBot="1" x14ac:dyDescent="0.3">
      <c r="A26" s="15"/>
      <c r="B26" s="278"/>
      <c r="C26" s="279"/>
      <c r="D26" s="297"/>
      <c r="E26" s="297"/>
      <c r="F26" s="297"/>
      <c r="G26" s="288"/>
      <c r="H26" s="279"/>
      <c r="I26" s="279"/>
      <c r="J26" s="289"/>
      <c r="K26" s="279"/>
      <c r="L26" s="279"/>
      <c r="M26" s="279"/>
      <c r="N26" s="279"/>
      <c r="O26" s="279"/>
      <c r="P26" s="279"/>
      <c r="Q26" s="279"/>
      <c r="R26" s="279"/>
      <c r="S26" s="279"/>
      <c r="T26" s="279"/>
      <c r="U26" s="279"/>
      <c r="V26" s="279"/>
      <c r="W26" s="279"/>
      <c r="X26" s="279"/>
      <c r="Y26" s="279"/>
      <c r="Z26" s="279"/>
      <c r="AA26" s="279"/>
      <c r="AB26" s="279"/>
      <c r="AC26" s="279"/>
      <c r="AD26" s="279"/>
      <c r="AE26" s="279"/>
      <c r="AF26" s="279"/>
      <c r="AG26" s="279"/>
      <c r="AH26" s="279"/>
      <c r="AI26" s="279"/>
      <c r="AJ26" s="279"/>
      <c r="AK26" s="279"/>
      <c r="AL26" s="279"/>
      <c r="AM26" s="281"/>
    </row>
    <row r="27" spans="1:39" ht="15" customHeight="1" x14ac:dyDescent="0.25">
      <c r="A27" s="15"/>
      <c r="B27" s="162" t="s">
        <v>100</v>
      </c>
      <c r="C27" s="163"/>
      <c r="D27" s="163"/>
      <c r="E27" s="164" t="s">
        <v>65</v>
      </c>
      <c r="F27" s="308">
        <v>22</v>
      </c>
      <c r="G27" s="165" t="s">
        <v>50</v>
      </c>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6"/>
    </row>
    <row r="28" spans="1:39" ht="15" customHeight="1" x14ac:dyDescent="0.25">
      <c r="A28" s="15"/>
      <c r="B28" s="167"/>
      <c r="C28" s="152"/>
      <c r="D28" s="152"/>
      <c r="E28" s="168" t="s">
        <v>70</v>
      </c>
      <c r="F28" s="309">
        <v>24</v>
      </c>
      <c r="G28" s="169" t="s">
        <v>50</v>
      </c>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70"/>
    </row>
    <row r="29" spans="1:39" ht="15" customHeight="1" x14ac:dyDescent="0.25">
      <c r="A29" s="15"/>
      <c r="B29" s="171"/>
      <c r="C29" s="152"/>
      <c r="D29" s="152"/>
      <c r="E29" s="168" t="s">
        <v>66</v>
      </c>
      <c r="F29" s="309">
        <v>24</v>
      </c>
      <c r="G29" s="169" t="s">
        <v>50</v>
      </c>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70"/>
    </row>
    <row r="30" spans="1:39" ht="15" customHeight="1" x14ac:dyDescent="0.25">
      <c r="A30" s="15"/>
      <c r="B30" s="171"/>
      <c r="C30" s="152"/>
      <c r="D30" s="152"/>
      <c r="E30" s="168" t="s">
        <v>72</v>
      </c>
      <c r="F30" s="309">
        <v>5</v>
      </c>
      <c r="G30" s="169" t="s">
        <v>17</v>
      </c>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70"/>
    </row>
    <row r="31" spans="1:39" ht="15" customHeight="1" x14ac:dyDescent="0.25">
      <c r="A31" s="15"/>
      <c r="B31" s="171"/>
      <c r="C31" s="152"/>
      <c r="D31" s="152"/>
      <c r="E31" s="168" t="s">
        <v>170</v>
      </c>
      <c r="F31" s="309">
        <v>50</v>
      </c>
      <c r="G31" s="172" t="s">
        <v>47</v>
      </c>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70"/>
    </row>
    <row r="32" spans="1:39" ht="15" customHeight="1" x14ac:dyDescent="0.25">
      <c r="A32" s="15"/>
      <c r="B32" s="171"/>
      <c r="C32" s="152"/>
      <c r="D32" s="152"/>
      <c r="E32" s="168" t="s">
        <v>71</v>
      </c>
      <c r="F32" s="310">
        <v>70</v>
      </c>
      <c r="G32" s="169" t="s">
        <v>76</v>
      </c>
      <c r="H32" s="152"/>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52"/>
      <c r="AG32" s="152"/>
      <c r="AH32" s="152"/>
      <c r="AI32" s="152"/>
      <c r="AJ32" s="152"/>
      <c r="AK32" s="152"/>
      <c r="AL32" s="152"/>
      <c r="AM32" s="170"/>
    </row>
    <row r="33" spans="1:40" ht="15" customHeight="1" x14ac:dyDescent="0.25">
      <c r="A33" s="15"/>
      <c r="B33" s="324" t="s">
        <v>399</v>
      </c>
      <c r="C33" s="152"/>
      <c r="D33" s="152"/>
      <c r="E33" s="168"/>
      <c r="F33" s="302"/>
      <c r="G33" s="169"/>
      <c r="H33" s="152"/>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2"/>
      <c r="AJ33" s="152"/>
      <c r="AK33" s="152"/>
      <c r="AL33" s="152"/>
      <c r="AM33" s="170"/>
    </row>
    <row r="34" spans="1:40" ht="15" customHeight="1" x14ac:dyDescent="0.25">
      <c r="A34" s="15"/>
      <c r="B34" s="324"/>
      <c r="C34" s="152"/>
      <c r="D34" s="152"/>
      <c r="E34" s="168"/>
      <c r="F34" s="302"/>
      <c r="G34" s="169"/>
      <c r="H34" s="152"/>
      <c r="I34" s="152"/>
      <c r="J34" s="152"/>
      <c r="K34" s="152"/>
      <c r="L34" s="152"/>
      <c r="M34" s="152"/>
      <c r="N34" s="152"/>
      <c r="O34" s="152"/>
      <c r="P34" s="152"/>
      <c r="Q34" s="152"/>
      <c r="R34" s="152"/>
      <c r="S34" s="152"/>
      <c r="T34" s="152"/>
      <c r="U34" s="152"/>
      <c r="V34" s="152"/>
      <c r="W34" s="152"/>
      <c r="X34" s="152"/>
      <c r="Y34" s="152"/>
      <c r="Z34" s="152"/>
      <c r="AA34" s="152"/>
      <c r="AB34" s="152"/>
      <c r="AC34" s="152"/>
      <c r="AD34" s="152"/>
      <c r="AE34" s="152"/>
      <c r="AF34" s="152"/>
      <c r="AG34" s="152"/>
      <c r="AH34" s="152"/>
      <c r="AI34" s="152"/>
      <c r="AJ34" s="152"/>
      <c r="AK34" s="152"/>
      <c r="AL34" s="152"/>
      <c r="AM34" s="170"/>
    </row>
    <row r="35" spans="1:40" ht="15" customHeight="1" x14ac:dyDescent="0.25">
      <c r="A35" s="15"/>
      <c r="B35" s="171"/>
      <c r="C35" s="152"/>
      <c r="D35" s="152"/>
      <c r="E35" s="168"/>
      <c r="F35" s="302"/>
      <c r="G35" s="169"/>
      <c r="H35" s="152"/>
      <c r="I35" s="152"/>
      <c r="J35" s="152"/>
      <c r="K35" s="152"/>
      <c r="L35" s="152"/>
      <c r="M35" s="152"/>
      <c r="N35" s="152"/>
      <c r="O35" s="152"/>
      <c r="P35" s="152"/>
      <c r="Q35" s="152"/>
      <c r="R35" s="152"/>
      <c r="S35" s="152"/>
      <c r="T35" s="152"/>
      <c r="U35" s="152"/>
      <c r="V35" s="152"/>
      <c r="W35" s="152"/>
      <c r="X35" s="152"/>
      <c r="Y35" s="152"/>
      <c r="Z35" s="152"/>
      <c r="AA35" s="152"/>
      <c r="AB35" s="152"/>
      <c r="AC35" s="152"/>
      <c r="AD35" s="152"/>
      <c r="AE35" s="152"/>
      <c r="AF35" s="152"/>
      <c r="AG35" s="152"/>
      <c r="AH35" s="152"/>
      <c r="AI35" s="152"/>
      <c r="AJ35" s="152"/>
      <c r="AK35" s="152"/>
      <c r="AL35" s="152"/>
      <c r="AM35" s="170"/>
    </row>
    <row r="36" spans="1:40" ht="15" customHeight="1" x14ac:dyDescent="0.25">
      <c r="A36" s="15"/>
      <c r="B36" s="171"/>
      <c r="C36" s="152"/>
      <c r="D36" s="152"/>
      <c r="E36" s="168"/>
      <c r="F36" s="302"/>
      <c r="G36" s="169"/>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70"/>
    </row>
    <row r="37" spans="1:40" ht="15" customHeight="1" thickBot="1" x14ac:dyDescent="0.3">
      <c r="A37" s="15"/>
      <c r="B37" s="173"/>
      <c r="C37" s="174"/>
      <c r="D37" s="174"/>
      <c r="E37" s="175"/>
      <c r="F37" s="303"/>
      <c r="G37" s="176"/>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7"/>
    </row>
    <row r="38" spans="1:40" ht="15" customHeight="1" x14ac:dyDescent="0.25">
      <c r="A38" s="15"/>
      <c r="B38" s="162" t="s">
        <v>169</v>
      </c>
      <c r="C38" s="178"/>
      <c r="D38" s="163"/>
      <c r="E38" s="164" t="s">
        <v>358</v>
      </c>
      <c r="F38" s="301">
        <f>Equations!F20</f>
        <v>8.9108910891089117</v>
      </c>
      <c r="G38" s="165" t="s">
        <v>49</v>
      </c>
      <c r="H38" s="163"/>
      <c r="I38" s="163"/>
      <c r="J38" s="163"/>
      <c r="K38" s="163"/>
      <c r="L38" s="163"/>
      <c r="M38" s="163"/>
      <c r="N38" s="163"/>
      <c r="O38" s="163"/>
      <c r="P38" s="163"/>
      <c r="Q38" s="163"/>
      <c r="R38" s="163"/>
      <c r="S38" s="163"/>
      <c r="T38" s="163"/>
      <c r="U38" s="163"/>
      <c r="V38" s="163"/>
      <c r="W38" s="163"/>
      <c r="X38" s="163"/>
      <c r="Y38" s="163"/>
      <c r="Z38" s="163"/>
      <c r="AA38" s="163"/>
      <c r="AB38" s="163"/>
      <c r="AC38" s="163"/>
      <c r="AD38" s="163"/>
      <c r="AE38" s="163"/>
      <c r="AF38" s="163"/>
      <c r="AG38" s="163"/>
      <c r="AH38" s="163"/>
      <c r="AI38" s="163"/>
      <c r="AJ38" s="163"/>
      <c r="AK38" s="163"/>
      <c r="AL38" s="163"/>
      <c r="AM38" s="166"/>
      <c r="AN38" s="179" t="s">
        <v>227</v>
      </c>
    </row>
    <row r="39" spans="1:40" ht="15" customHeight="1" x14ac:dyDescent="0.25">
      <c r="A39" s="15"/>
      <c r="B39" s="171"/>
      <c r="C39" s="152"/>
      <c r="D39" s="152"/>
      <c r="E39" s="168" t="s">
        <v>148</v>
      </c>
      <c r="F39" s="81" t="s">
        <v>144</v>
      </c>
      <c r="G39" s="169"/>
      <c r="H39" s="152"/>
      <c r="I39" s="152"/>
      <c r="J39" s="152"/>
      <c r="K39" s="152"/>
      <c r="L39" s="152"/>
      <c r="M39" s="152"/>
      <c r="N39" s="152"/>
      <c r="O39" s="152"/>
      <c r="P39" s="152"/>
      <c r="Q39" s="152"/>
      <c r="R39" s="152"/>
      <c r="S39" s="152"/>
      <c r="T39" s="152"/>
      <c r="U39" s="152"/>
      <c r="V39" s="152"/>
      <c r="W39" s="152"/>
      <c r="X39" s="152"/>
      <c r="Y39" s="152"/>
      <c r="Z39" s="152"/>
      <c r="AA39" s="152"/>
      <c r="AB39" s="152"/>
      <c r="AC39" s="152"/>
      <c r="AD39" s="152"/>
      <c r="AE39" s="152"/>
      <c r="AF39" s="152"/>
      <c r="AG39" s="152"/>
      <c r="AH39" s="152"/>
      <c r="AI39" s="152"/>
      <c r="AJ39" s="152"/>
      <c r="AK39" s="152"/>
      <c r="AL39" s="152"/>
      <c r="AM39" s="170"/>
      <c r="AN39" s="179" t="s">
        <v>146</v>
      </c>
    </row>
    <row r="40" spans="1:40" ht="15" customHeight="1" x14ac:dyDescent="0.25">
      <c r="A40" s="15"/>
      <c r="B40" s="171"/>
      <c r="C40" s="152"/>
      <c r="D40" s="152"/>
      <c r="E40" s="168" t="s">
        <v>62</v>
      </c>
      <c r="F40" s="82">
        <v>9</v>
      </c>
      <c r="G40" s="169" t="s">
        <v>49</v>
      </c>
      <c r="H40" s="180"/>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c r="AM40" s="170"/>
      <c r="AN40" s="179" t="s">
        <v>144</v>
      </c>
    </row>
    <row r="41" spans="1:40" ht="15" customHeight="1" x14ac:dyDescent="0.25">
      <c r="A41" s="15"/>
      <c r="B41" s="171"/>
      <c r="C41" s="152"/>
      <c r="D41" s="152"/>
      <c r="E41" s="168" t="s">
        <v>150</v>
      </c>
      <c r="F41" s="42">
        <f>Equations!F21</f>
        <v>10</v>
      </c>
      <c r="G41" s="181" t="s">
        <v>51</v>
      </c>
      <c r="H41" s="18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2"/>
      <c r="AJ41" s="152"/>
      <c r="AK41" s="152"/>
      <c r="AL41" s="152"/>
      <c r="AM41" s="170"/>
    </row>
    <row r="42" spans="1:40" ht="15" customHeight="1" x14ac:dyDescent="0.25">
      <c r="A42" s="15"/>
      <c r="B42" s="171"/>
      <c r="C42" s="152"/>
      <c r="D42" s="152"/>
      <c r="E42" s="168" t="s">
        <v>151</v>
      </c>
      <c r="F42" s="41">
        <f>Equations!F22</f>
        <v>0</v>
      </c>
      <c r="G42" s="181" t="s">
        <v>51</v>
      </c>
      <c r="H42" s="18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c r="AI42" s="152"/>
      <c r="AJ42" s="152"/>
      <c r="AK42" s="152"/>
      <c r="AL42" s="152"/>
      <c r="AM42" s="170"/>
    </row>
    <row r="43" spans="1:40" ht="15" customHeight="1" x14ac:dyDescent="0.25">
      <c r="A43" s="15"/>
      <c r="B43" s="171"/>
      <c r="C43" s="152"/>
      <c r="D43" s="152"/>
      <c r="E43" s="168" t="s">
        <v>152</v>
      </c>
      <c r="F43" s="81">
        <v>10</v>
      </c>
      <c r="G43" s="181" t="s">
        <v>51</v>
      </c>
      <c r="H43" s="182"/>
      <c r="I43" s="152"/>
      <c r="J43" s="180"/>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70"/>
      <c r="AN43" s="154" t="b">
        <f>AND(F39="No")</f>
        <v>1</v>
      </c>
    </row>
    <row r="44" spans="1:40" ht="15" customHeight="1" x14ac:dyDescent="0.25">
      <c r="A44" s="15"/>
      <c r="B44" s="171"/>
      <c r="C44" s="152"/>
      <c r="D44" s="152"/>
      <c r="E44" s="168" t="s">
        <v>153</v>
      </c>
      <c r="F44" s="81">
        <v>2</v>
      </c>
      <c r="G44" s="181" t="s">
        <v>51</v>
      </c>
      <c r="H44" s="18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70"/>
    </row>
    <row r="45" spans="1:40" ht="15" customHeight="1" x14ac:dyDescent="0.25">
      <c r="A45" s="15"/>
      <c r="B45" s="325" t="s">
        <v>399</v>
      </c>
      <c r="C45" s="152"/>
      <c r="D45" s="152"/>
      <c r="E45" s="168" t="s">
        <v>177</v>
      </c>
      <c r="F45" s="41">
        <f>RsEFF</f>
        <v>9</v>
      </c>
      <c r="G45" s="169" t="s">
        <v>49</v>
      </c>
      <c r="H45" s="18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2"/>
      <c r="AJ45" s="152"/>
      <c r="AK45" s="152"/>
      <c r="AL45" s="152"/>
      <c r="AM45" s="170"/>
    </row>
    <row r="46" spans="1:40" ht="15" customHeight="1" x14ac:dyDescent="0.25">
      <c r="A46" s="15"/>
      <c r="B46" s="325"/>
      <c r="C46" s="152"/>
      <c r="D46" s="183"/>
      <c r="E46" s="184" t="s">
        <v>57</v>
      </c>
      <c r="F46" s="185">
        <f>CLMIN</f>
        <v>5</v>
      </c>
      <c r="G46" s="169" t="s">
        <v>17</v>
      </c>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2"/>
      <c r="AJ46" s="152"/>
      <c r="AK46" s="152"/>
      <c r="AL46" s="152"/>
      <c r="AM46" s="170"/>
    </row>
    <row r="47" spans="1:40" ht="15" customHeight="1" x14ac:dyDescent="0.25">
      <c r="A47" s="15"/>
      <c r="B47" s="325"/>
      <c r="C47" s="152"/>
      <c r="D47" s="186"/>
      <c r="E47" s="187" t="s">
        <v>58</v>
      </c>
      <c r="F47" s="185">
        <f>CLNOM</f>
        <v>5.5555555555555554</v>
      </c>
      <c r="G47" s="169" t="s">
        <v>17</v>
      </c>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2"/>
      <c r="AJ47" s="152"/>
      <c r="AK47" s="152"/>
      <c r="AL47" s="152"/>
      <c r="AM47" s="170"/>
    </row>
    <row r="48" spans="1:40" ht="15" customHeight="1" x14ac:dyDescent="0.25">
      <c r="A48" s="15"/>
      <c r="B48" s="171"/>
      <c r="C48" s="152"/>
      <c r="D48" s="188"/>
      <c r="E48" s="189" t="s">
        <v>59</v>
      </c>
      <c r="F48" s="185">
        <f>CLMAX</f>
        <v>6.1111111111111107</v>
      </c>
      <c r="G48" s="169" t="s">
        <v>17</v>
      </c>
      <c r="H48" s="152"/>
      <c r="I48" s="190"/>
      <c r="J48" s="152"/>
      <c r="K48" s="152"/>
      <c r="L48" s="152"/>
      <c r="M48" s="152"/>
      <c r="N48" s="152"/>
      <c r="O48" s="152"/>
      <c r="P48" s="152"/>
      <c r="Q48" s="152"/>
      <c r="R48" s="152"/>
      <c r="S48" s="152"/>
      <c r="T48" s="152"/>
      <c r="U48" s="152"/>
      <c r="V48" s="152"/>
      <c r="W48" s="152"/>
      <c r="X48" s="152"/>
      <c r="Y48" s="152"/>
      <c r="Z48" s="152"/>
      <c r="AA48" s="152"/>
      <c r="AB48" s="152"/>
      <c r="AC48" s="152"/>
      <c r="AD48" s="152"/>
      <c r="AE48" s="152"/>
      <c r="AF48" s="152"/>
      <c r="AG48" s="152"/>
      <c r="AH48" s="152"/>
      <c r="AI48" s="152"/>
      <c r="AJ48" s="152"/>
      <c r="AK48" s="152"/>
      <c r="AL48" s="152"/>
      <c r="AM48" s="170"/>
      <c r="AN48" s="179" t="s">
        <v>171</v>
      </c>
    </row>
    <row r="49" spans="1:46" ht="15" customHeight="1" thickBot="1" x14ac:dyDescent="0.3">
      <c r="A49" s="15"/>
      <c r="B49" s="171"/>
      <c r="C49" s="152"/>
      <c r="D49" s="152"/>
      <c r="E49" s="168" t="s">
        <v>67</v>
      </c>
      <c r="F49" s="191">
        <f>Equations!F27/1000</f>
        <v>0.33611111111111108</v>
      </c>
      <c r="G49" s="169" t="s">
        <v>51</v>
      </c>
      <c r="H49" s="152"/>
      <c r="I49" s="152"/>
      <c r="J49" s="152"/>
      <c r="K49" s="152"/>
      <c r="L49" s="152"/>
      <c r="M49" s="152"/>
      <c r="N49" s="152"/>
      <c r="O49" s="152"/>
      <c r="P49" s="152"/>
      <c r="Q49" s="152"/>
      <c r="R49" s="152"/>
      <c r="S49" s="152"/>
      <c r="T49" s="152"/>
      <c r="U49" s="152"/>
      <c r="V49" s="152"/>
      <c r="W49" s="152"/>
      <c r="X49" s="152"/>
      <c r="Y49" s="152"/>
      <c r="Z49" s="152"/>
      <c r="AA49" s="152"/>
      <c r="AB49" s="152"/>
      <c r="AC49" s="152"/>
      <c r="AD49" s="152"/>
      <c r="AE49" s="152"/>
      <c r="AF49" s="152"/>
      <c r="AG49" s="152"/>
      <c r="AH49" s="152"/>
      <c r="AI49" s="152"/>
      <c r="AJ49" s="152"/>
      <c r="AK49" s="152"/>
      <c r="AL49" s="152"/>
      <c r="AM49" s="170"/>
      <c r="AN49" s="179" t="s">
        <v>172</v>
      </c>
    </row>
    <row r="50" spans="1:46" ht="13.8" x14ac:dyDescent="0.25">
      <c r="A50" s="15"/>
      <c r="B50" s="162" t="s">
        <v>73</v>
      </c>
      <c r="C50" s="163"/>
      <c r="D50" s="163"/>
      <c r="E50" s="192" t="s">
        <v>342</v>
      </c>
      <c r="F50" s="308" t="s">
        <v>402</v>
      </c>
      <c r="G50" s="193"/>
      <c r="H50" s="163"/>
      <c r="I50" s="163"/>
      <c r="J50" s="163"/>
      <c r="K50" s="163"/>
      <c r="L50" s="163"/>
      <c r="M50" s="163"/>
      <c r="N50" s="163"/>
      <c r="O50" s="163"/>
      <c r="P50" s="163"/>
      <c r="Q50" s="163"/>
      <c r="R50" s="163"/>
      <c r="S50" s="163"/>
      <c r="T50" s="163"/>
      <c r="U50" s="163"/>
      <c r="V50" s="163"/>
      <c r="W50" s="163"/>
      <c r="X50" s="163"/>
      <c r="Y50" s="163"/>
      <c r="Z50" s="163"/>
      <c r="AA50" s="163"/>
      <c r="AB50" s="163"/>
      <c r="AC50" s="163"/>
      <c r="AD50" s="163"/>
      <c r="AE50" s="163"/>
      <c r="AF50" s="163"/>
      <c r="AG50" s="163"/>
      <c r="AH50" s="163"/>
      <c r="AI50" s="163"/>
      <c r="AJ50" s="163"/>
      <c r="AK50" s="163"/>
      <c r="AL50" s="163"/>
      <c r="AM50" s="166"/>
    </row>
    <row r="51" spans="1:46" ht="15.6" x14ac:dyDescent="0.35">
      <c r="A51" s="15"/>
      <c r="B51" s="171"/>
      <c r="C51" s="152"/>
      <c r="D51" s="152"/>
      <c r="E51" s="194" t="s">
        <v>174</v>
      </c>
      <c r="F51" s="311">
        <v>40</v>
      </c>
      <c r="G51" s="169" t="s">
        <v>77</v>
      </c>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70"/>
      <c r="AN51" s="154">
        <f>((((TJMAX-TAMB)/ThetaJA)/(CLMAX^2))*1000)*NUMFETS^2</f>
        <v>70.289256198347104</v>
      </c>
      <c r="AO51" s="154">
        <f>((TJMAX-TAMB)/ThetaJA)</f>
        <v>2.625</v>
      </c>
    </row>
    <row r="52" spans="1:46" x14ac:dyDescent="0.25">
      <c r="A52" s="15"/>
      <c r="B52" s="171"/>
      <c r="C52" s="152"/>
      <c r="D52" s="152"/>
      <c r="E52" s="194" t="s">
        <v>74</v>
      </c>
      <c r="F52" s="309">
        <v>1</v>
      </c>
      <c r="G52" s="169" t="s">
        <v>75</v>
      </c>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2"/>
      <c r="AH52" s="152"/>
      <c r="AI52" s="152"/>
      <c r="AJ52" s="152"/>
      <c r="AK52" s="152"/>
      <c r="AL52" s="152"/>
      <c r="AM52" s="170"/>
      <c r="AN52" s="195" t="s">
        <v>175</v>
      </c>
    </row>
    <row r="53" spans="1:46" ht="15.6" x14ac:dyDescent="0.35">
      <c r="A53" s="15"/>
      <c r="B53" s="171"/>
      <c r="C53" s="152"/>
      <c r="D53" s="152"/>
      <c r="E53" s="194" t="s">
        <v>179</v>
      </c>
      <c r="F53" s="309">
        <v>11.4</v>
      </c>
      <c r="G53" s="169" t="s">
        <v>49</v>
      </c>
      <c r="H53" s="152"/>
      <c r="I53" s="152"/>
      <c r="J53" s="152"/>
      <c r="K53" s="152"/>
      <c r="L53" s="152"/>
      <c r="M53" s="152"/>
      <c r="N53" s="152"/>
      <c r="O53" s="152"/>
      <c r="P53" s="152"/>
      <c r="Q53" s="152"/>
      <c r="R53" s="152"/>
      <c r="S53" s="152"/>
      <c r="T53" s="152"/>
      <c r="U53" s="152"/>
      <c r="V53" s="152"/>
      <c r="W53" s="152"/>
      <c r="X53" s="152"/>
      <c r="Y53" s="152"/>
      <c r="Z53" s="152"/>
      <c r="AA53" s="152"/>
      <c r="AB53" s="152"/>
      <c r="AC53" s="152"/>
      <c r="AD53" s="152"/>
      <c r="AE53" s="152"/>
      <c r="AF53" s="152"/>
      <c r="AG53" s="152"/>
      <c r="AH53" s="152"/>
      <c r="AI53" s="152"/>
      <c r="AJ53" s="152"/>
      <c r="AK53" s="152"/>
      <c r="AL53" s="152"/>
      <c r="AM53" s="170"/>
      <c r="AN53" s="179">
        <f>F53</f>
        <v>11.4</v>
      </c>
    </row>
    <row r="54" spans="1:46" ht="15.6" x14ac:dyDescent="0.25">
      <c r="A54" s="15"/>
      <c r="B54" s="171"/>
      <c r="C54" s="152"/>
      <c r="D54" s="152"/>
      <c r="E54" s="194" t="s">
        <v>78</v>
      </c>
      <c r="F54" s="309">
        <v>175</v>
      </c>
      <c r="G54" s="169" t="s">
        <v>136</v>
      </c>
      <c r="H54" s="152"/>
      <c r="I54" s="152"/>
      <c r="J54" s="152"/>
      <c r="K54" s="152"/>
      <c r="L54" s="152"/>
      <c r="M54" s="152"/>
      <c r="N54" s="152"/>
      <c r="O54" s="152"/>
      <c r="P54" s="152"/>
      <c r="Q54" s="152"/>
      <c r="R54" s="152"/>
      <c r="S54" s="152"/>
      <c r="T54" s="152"/>
      <c r="U54" s="152"/>
      <c r="V54" s="152"/>
      <c r="W54" s="152"/>
      <c r="X54" s="152"/>
      <c r="Y54" s="152"/>
      <c r="Z54" s="152"/>
      <c r="AA54" s="152"/>
      <c r="AB54" s="152"/>
      <c r="AC54" s="152"/>
      <c r="AD54" s="152"/>
      <c r="AE54" s="152"/>
      <c r="AF54" s="152"/>
      <c r="AG54" s="152"/>
      <c r="AH54" s="152"/>
      <c r="AI54" s="152"/>
      <c r="AJ54" s="152"/>
      <c r="AK54" s="152"/>
      <c r="AL54" s="152"/>
      <c r="AM54" s="170"/>
      <c r="AN54" s="179">
        <f t="shared" ref="AN54:AN59" si="0">F54</f>
        <v>175</v>
      </c>
    </row>
    <row r="55" spans="1:46" ht="15.6" x14ac:dyDescent="0.35">
      <c r="A55" s="15"/>
      <c r="B55" s="271"/>
      <c r="C55" s="152"/>
      <c r="D55" s="152"/>
      <c r="E55" s="194" t="s">
        <v>274</v>
      </c>
      <c r="F55" s="312">
        <v>15</v>
      </c>
      <c r="G55" s="169" t="s">
        <v>17</v>
      </c>
      <c r="H55" s="152"/>
      <c r="I55" s="152"/>
      <c r="J55" s="152"/>
      <c r="K55" s="152"/>
      <c r="L55" s="152"/>
      <c r="M55" s="152"/>
      <c r="N55" s="152"/>
      <c r="O55" s="152"/>
      <c r="P55" s="152"/>
      <c r="Q55" s="152"/>
      <c r="R55" s="152"/>
      <c r="S55" s="152"/>
      <c r="T55" s="152"/>
      <c r="U55" s="152"/>
      <c r="V55" s="152"/>
      <c r="W55" s="152"/>
      <c r="X55" s="152"/>
      <c r="Y55" s="152"/>
      <c r="Z55" s="152"/>
      <c r="AA55" s="152"/>
      <c r="AB55" s="152"/>
      <c r="AC55" s="152"/>
      <c r="AD55" s="152"/>
      <c r="AE55" s="152"/>
      <c r="AF55" s="152"/>
      <c r="AG55" s="152"/>
      <c r="AH55" s="152"/>
      <c r="AI55" s="152"/>
      <c r="AJ55" s="152"/>
      <c r="AK55" s="152"/>
      <c r="AL55" s="152"/>
      <c r="AM55" s="170"/>
      <c r="AN55" s="179">
        <f t="shared" si="0"/>
        <v>15</v>
      </c>
    </row>
    <row r="56" spans="1:46" ht="15.6" x14ac:dyDescent="0.35">
      <c r="A56" s="15"/>
      <c r="B56" s="271"/>
      <c r="C56" s="152"/>
      <c r="D56" s="152"/>
      <c r="E56" s="194" t="s">
        <v>275</v>
      </c>
      <c r="F56" s="312">
        <v>5.5</v>
      </c>
      <c r="G56" s="169" t="s">
        <v>17</v>
      </c>
      <c r="H56" s="152"/>
      <c r="I56" s="152"/>
      <c r="J56" s="152"/>
      <c r="K56" s="152"/>
      <c r="L56" s="152"/>
      <c r="M56" s="152"/>
      <c r="N56" s="152"/>
      <c r="O56" s="152"/>
      <c r="P56" s="152"/>
      <c r="Q56" s="152"/>
      <c r="R56" s="152"/>
      <c r="S56" s="152"/>
      <c r="T56" s="152"/>
      <c r="U56" s="152"/>
      <c r="V56" s="152"/>
      <c r="W56" s="152"/>
      <c r="X56" s="152"/>
      <c r="Y56" s="152"/>
      <c r="Z56" s="152"/>
      <c r="AA56" s="152"/>
      <c r="AB56" s="152"/>
      <c r="AC56" s="152"/>
      <c r="AD56" s="152"/>
      <c r="AE56" s="152"/>
      <c r="AF56" s="152"/>
      <c r="AG56" s="152"/>
      <c r="AH56" s="152"/>
      <c r="AI56" s="152"/>
      <c r="AJ56" s="152"/>
      <c r="AK56" s="152"/>
      <c r="AL56" s="152"/>
      <c r="AM56" s="170"/>
      <c r="AN56" s="179">
        <f t="shared" si="0"/>
        <v>5.5</v>
      </c>
    </row>
    <row r="57" spans="1:46" ht="15.6" x14ac:dyDescent="0.35">
      <c r="A57" s="15"/>
      <c r="B57" s="306" t="s">
        <v>73</v>
      </c>
      <c r="C57" s="152"/>
      <c r="D57" s="152"/>
      <c r="E57" s="194" t="s">
        <v>276</v>
      </c>
      <c r="F57" s="312">
        <v>3</v>
      </c>
      <c r="G57" s="169" t="s">
        <v>17</v>
      </c>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70"/>
      <c r="AN57" s="179">
        <f t="shared" si="0"/>
        <v>3</v>
      </c>
    </row>
    <row r="58" spans="1:46" ht="15.6" x14ac:dyDescent="0.35">
      <c r="A58" s="15"/>
      <c r="B58" s="271"/>
      <c r="C58" s="152"/>
      <c r="D58" s="152"/>
      <c r="E58" s="194" t="s">
        <v>277</v>
      </c>
      <c r="F58" s="312">
        <v>1.8</v>
      </c>
      <c r="G58" s="169" t="s">
        <v>17</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M58" s="170"/>
      <c r="AN58" s="179">
        <f t="shared" si="0"/>
        <v>1.8</v>
      </c>
    </row>
    <row r="59" spans="1:46" ht="15.6" x14ac:dyDescent="0.35">
      <c r="A59" s="15"/>
      <c r="B59" s="271"/>
      <c r="C59" s="152"/>
      <c r="D59" s="152"/>
      <c r="E59" s="194" t="s">
        <v>278</v>
      </c>
      <c r="F59" s="312">
        <v>1.8</v>
      </c>
      <c r="G59" s="169" t="s">
        <v>17</v>
      </c>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c r="AE59" s="152"/>
      <c r="AF59" s="152"/>
      <c r="AG59" s="152"/>
      <c r="AH59" s="152"/>
      <c r="AI59" s="152"/>
      <c r="AJ59" s="152"/>
      <c r="AK59" s="152"/>
      <c r="AL59" s="152"/>
      <c r="AM59" s="170"/>
      <c r="AN59" s="179">
        <f t="shared" si="0"/>
        <v>1.8</v>
      </c>
    </row>
    <row r="60" spans="1:46" ht="15" customHeight="1" x14ac:dyDescent="0.25">
      <c r="A60" s="15"/>
      <c r="B60" s="271"/>
      <c r="C60" s="152"/>
      <c r="D60" s="152"/>
      <c r="E60" s="194" t="s">
        <v>222</v>
      </c>
      <c r="F60" s="74">
        <f>(IOUTMAX/NUMFETS)^2*RDSON/1000</f>
        <v>0.28499999999999998</v>
      </c>
      <c r="G60" s="169" t="s">
        <v>51</v>
      </c>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c r="AE60" s="152"/>
      <c r="AF60" s="152"/>
      <c r="AG60" s="152"/>
      <c r="AH60" s="152"/>
      <c r="AI60" s="152"/>
      <c r="AJ60" s="152"/>
      <c r="AK60" s="152"/>
      <c r="AL60" s="152"/>
      <c r="AM60" s="170"/>
      <c r="AT60" s="328"/>
    </row>
    <row r="61" spans="1:46" ht="15" customHeight="1" x14ac:dyDescent="0.35">
      <c r="A61" s="15"/>
      <c r="B61" s="328" t="s">
        <v>341</v>
      </c>
      <c r="C61" s="152"/>
      <c r="D61" s="152"/>
      <c r="E61" s="194" t="s">
        <v>178</v>
      </c>
      <c r="F61" s="74">
        <f>TAMB+(FETPDISS*ThetaJA)</f>
        <v>81.400000000000006</v>
      </c>
      <c r="G61" s="169" t="s">
        <v>76</v>
      </c>
      <c r="H61" s="152"/>
      <c r="I61" s="152"/>
      <c r="J61" s="152"/>
      <c r="K61" s="152"/>
      <c r="L61" s="152"/>
      <c r="M61" s="152"/>
      <c r="N61" s="152"/>
      <c r="O61" s="152"/>
      <c r="P61" s="152"/>
      <c r="Q61" s="152"/>
      <c r="R61" s="152"/>
      <c r="S61" s="152"/>
      <c r="T61" s="152"/>
      <c r="U61" s="152"/>
      <c r="V61" s="152"/>
      <c r="W61" s="152"/>
      <c r="X61" s="152"/>
      <c r="Y61" s="152"/>
      <c r="Z61" s="152"/>
      <c r="AA61" s="152"/>
      <c r="AB61" s="152"/>
      <c r="AC61" s="152"/>
      <c r="AD61" s="152"/>
      <c r="AE61" s="152"/>
      <c r="AF61" s="152"/>
      <c r="AG61" s="152"/>
      <c r="AH61" s="152"/>
      <c r="AI61" s="152"/>
      <c r="AJ61" s="152"/>
      <c r="AK61" s="152"/>
      <c r="AL61" s="152"/>
      <c r="AM61" s="170"/>
      <c r="AT61" s="328"/>
    </row>
    <row r="62" spans="1:46" ht="15" customHeight="1" x14ac:dyDescent="0.25">
      <c r="A62" s="15"/>
      <c r="B62" s="328"/>
      <c r="C62" s="152"/>
      <c r="D62" s="152"/>
      <c r="E62" s="168" t="s">
        <v>388</v>
      </c>
      <c r="F62" s="74">
        <f>Equations!F38</f>
        <v>22.222222222222221</v>
      </c>
      <c r="G62" s="169" t="s">
        <v>51</v>
      </c>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70"/>
      <c r="AT62" s="328"/>
    </row>
    <row r="63" spans="1:46" ht="15" customHeight="1" x14ac:dyDescent="0.25">
      <c r="A63" s="15"/>
      <c r="B63" s="328"/>
      <c r="C63" s="152"/>
      <c r="D63" s="152"/>
      <c r="E63" s="168" t="s">
        <v>182</v>
      </c>
      <c r="F63" s="83">
        <v>25</v>
      </c>
      <c r="G63" s="169" t="s">
        <v>51</v>
      </c>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52"/>
      <c r="AJ63" s="152"/>
      <c r="AK63" s="152"/>
      <c r="AL63" s="152"/>
      <c r="AM63" s="170"/>
      <c r="AT63" s="328"/>
    </row>
    <row r="64" spans="1:46" ht="15" customHeight="1" x14ac:dyDescent="0.25">
      <c r="A64" s="15"/>
      <c r="B64" s="328"/>
      <c r="C64" s="152"/>
      <c r="D64" s="152"/>
      <c r="E64" s="168" t="s">
        <v>362</v>
      </c>
      <c r="F64" s="83">
        <v>38</v>
      </c>
      <c r="G64" s="196" t="s">
        <v>48</v>
      </c>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70"/>
      <c r="AT64" s="328"/>
    </row>
    <row r="65" spans="1:46" ht="15" customHeight="1" x14ac:dyDescent="0.25">
      <c r="A65" s="15"/>
      <c r="B65" s="328"/>
      <c r="C65" s="152"/>
      <c r="D65" s="152"/>
      <c r="E65" s="168" t="s">
        <v>363</v>
      </c>
      <c r="F65" s="58">
        <f>Equations!F43</f>
        <v>4.8169014084507049</v>
      </c>
      <c r="G65" s="196" t="s">
        <v>48</v>
      </c>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c r="AK65" s="152"/>
      <c r="AL65" s="152"/>
      <c r="AM65" s="170"/>
      <c r="AT65" s="328"/>
    </row>
    <row r="66" spans="1:46" ht="15" customHeight="1" x14ac:dyDescent="0.25">
      <c r="A66" s="15"/>
      <c r="B66" s="328"/>
      <c r="C66" s="152"/>
      <c r="D66" s="152"/>
      <c r="E66" s="168" t="s">
        <v>386</v>
      </c>
      <c r="F66" s="82">
        <v>5</v>
      </c>
      <c r="G66" s="196" t="s">
        <v>48</v>
      </c>
      <c r="H66" s="152"/>
      <c r="I66" s="326" t="s">
        <v>400</v>
      </c>
      <c r="J66" s="326"/>
      <c r="K66" s="326"/>
      <c r="L66" s="326"/>
      <c r="M66" s="326"/>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c r="AK66" s="152"/>
      <c r="AL66" s="152"/>
      <c r="AM66" s="170"/>
      <c r="AT66" s="328"/>
    </row>
    <row r="67" spans="1:46" ht="15" customHeight="1" thickBot="1" x14ac:dyDescent="0.3">
      <c r="A67" s="15"/>
      <c r="B67" s="328"/>
      <c r="C67" s="152"/>
      <c r="D67" s="152"/>
      <c r="E67" s="168" t="s">
        <v>185</v>
      </c>
      <c r="F67" s="58">
        <f>Equations!F47</f>
        <v>25.839793281653748</v>
      </c>
      <c r="G67" s="169" t="s">
        <v>51</v>
      </c>
      <c r="H67" s="152"/>
      <c r="I67" s="327"/>
      <c r="J67" s="327"/>
      <c r="K67" s="327"/>
      <c r="L67" s="327"/>
      <c r="M67" s="327"/>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c r="AK67" s="152"/>
      <c r="AL67" s="152"/>
      <c r="AM67" s="170"/>
    </row>
    <row r="68" spans="1:46" ht="13.8" x14ac:dyDescent="0.25">
      <c r="A68" s="15"/>
      <c r="B68" s="162" t="s">
        <v>84</v>
      </c>
      <c r="C68" s="163"/>
      <c r="D68" s="163"/>
      <c r="E68" s="192" t="s">
        <v>139</v>
      </c>
      <c r="F68" s="84">
        <v>24</v>
      </c>
      <c r="G68" s="193" t="s">
        <v>50</v>
      </c>
      <c r="H68" s="163"/>
      <c r="I68" s="163"/>
      <c r="J68" s="163"/>
      <c r="K68" s="163"/>
      <c r="L68" s="163"/>
      <c r="M68" s="163"/>
      <c r="N68" s="163"/>
      <c r="O68" s="163"/>
      <c r="P68" s="163"/>
      <c r="Q68" s="163"/>
      <c r="R68" s="163"/>
      <c r="S68" s="163"/>
      <c r="T68" s="163"/>
      <c r="U68" s="163"/>
      <c r="V68" s="163"/>
      <c r="W68" s="163"/>
      <c r="X68" s="163"/>
      <c r="Y68" s="163"/>
      <c r="Z68" s="163"/>
      <c r="AA68" s="163"/>
      <c r="AB68" s="163"/>
      <c r="AC68" s="163"/>
      <c r="AD68" s="163"/>
      <c r="AE68" s="163"/>
      <c r="AF68" s="163"/>
      <c r="AG68" s="163"/>
      <c r="AH68" s="163"/>
      <c r="AI68" s="163"/>
      <c r="AJ68" s="163"/>
      <c r="AK68" s="163"/>
      <c r="AL68" s="163"/>
      <c r="AM68" s="166"/>
      <c r="AN68" s="179"/>
    </row>
    <row r="69" spans="1:46" x14ac:dyDescent="0.25">
      <c r="A69" s="15"/>
      <c r="B69" s="197"/>
      <c r="C69" s="152"/>
      <c r="D69" s="152"/>
      <c r="E69" s="194" t="s">
        <v>85</v>
      </c>
      <c r="F69" s="82" t="s">
        <v>87</v>
      </c>
      <c r="G69" s="17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c r="AK69" s="152"/>
      <c r="AL69" s="152"/>
      <c r="AM69" s="170"/>
      <c r="AN69" s="179"/>
    </row>
    <row r="70" spans="1:46" x14ac:dyDescent="0.25">
      <c r="A70" s="15"/>
      <c r="B70" s="171"/>
      <c r="C70" s="152"/>
      <c r="D70" s="152"/>
      <c r="E70" s="194" t="s">
        <v>86</v>
      </c>
      <c r="F70" s="82">
        <v>1.1000000000000001</v>
      </c>
      <c r="G70" s="172" t="str">
        <f>IF(F69="Constant Current","A","Ohms")</f>
        <v>A</v>
      </c>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c r="AK70" s="152"/>
      <c r="AL70" s="152"/>
      <c r="AM70" s="170"/>
      <c r="AN70" s="154" t="s">
        <v>87</v>
      </c>
    </row>
    <row r="71" spans="1:46" x14ac:dyDescent="0.25">
      <c r="A71" s="15"/>
      <c r="B71" s="171"/>
      <c r="C71" s="152"/>
      <c r="D71" s="152"/>
      <c r="E71" s="168" t="s">
        <v>145</v>
      </c>
      <c r="F71" s="81" t="s">
        <v>146</v>
      </c>
      <c r="G71" s="17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c r="AK71" s="152"/>
      <c r="AL71" s="152"/>
      <c r="AM71" s="170"/>
      <c r="AN71" s="154" t="s">
        <v>88</v>
      </c>
    </row>
    <row r="72" spans="1:46" x14ac:dyDescent="0.25">
      <c r="A72" s="15"/>
      <c r="B72" s="171"/>
      <c r="C72" s="152"/>
      <c r="D72" s="152"/>
      <c r="E72" s="194" t="s">
        <v>201</v>
      </c>
      <c r="F72" s="198">
        <f>Start_up!M2</f>
        <v>109.09090909090901</v>
      </c>
      <c r="G72" s="169" t="s">
        <v>5</v>
      </c>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c r="AK72" s="152"/>
      <c r="AL72" s="152"/>
      <c r="AM72" s="170"/>
      <c r="AN72" s="179"/>
    </row>
    <row r="73" spans="1:46" x14ac:dyDescent="0.25">
      <c r="A73" s="15"/>
      <c r="B73" s="171"/>
      <c r="C73" s="152"/>
      <c r="D73" s="152"/>
      <c r="E73" s="194" t="s">
        <v>208</v>
      </c>
      <c r="F73" s="199">
        <f>Start_up!O2</f>
        <v>1</v>
      </c>
      <c r="G73" s="169"/>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c r="AK73" s="152"/>
      <c r="AL73" s="152"/>
      <c r="AM73" s="170"/>
      <c r="AN73" s="179"/>
    </row>
    <row r="74" spans="1:46" ht="13.2" customHeight="1" x14ac:dyDescent="0.25">
      <c r="A74" s="15"/>
      <c r="B74" s="197"/>
      <c r="C74" s="152"/>
      <c r="D74" s="200"/>
      <c r="E74" s="201" t="s">
        <v>202</v>
      </c>
      <c r="F74" s="198">
        <f>Equations!F55</f>
        <v>190.90909090909076</v>
      </c>
      <c r="G74" s="172" t="s">
        <v>5</v>
      </c>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c r="AK74" s="152"/>
      <c r="AL74" s="152"/>
      <c r="AM74" s="170"/>
    </row>
    <row r="75" spans="1:46" ht="12.6" customHeight="1" x14ac:dyDescent="0.25">
      <c r="A75" s="15"/>
      <c r="B75" s="171"/>
      <c r="C75" s="152"/>
      <c r="D75" s="200"/>
      <c r="E75" s="202" t="s">
        <v>206</v>
      </c>
      <c r="F75" s="198">
        <f>Equations!F56</f>
        <v>1193.1818181818173</v>
      </c>
      <c r="G75" s="169" t="s">
        <v>69</v>
      </c>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c r="AK75" s="152"/>
      <c r="AL75" s="152"/>
      <c r="AM75" s="170"/>
    </row>
    <row r="76" spans="1:46" ht="15" customHeight="1" x14ac:dyDescent="0.25">
      <c r="A76" s="15"/>
      <c r="B76" s="171"/>
      <c r="C76" s="152"/>
      <c r="D76" s="200"/>
      <c r="E76" s="202" t="s">
        <v>209</v>
      </c>
      <c r="F76" s="82">
        <v>33</v>
      </c>
      <c r="G76" s="169" t="s">
        <v>69</v>
      </c>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c r="AK76" s="152"/>
      <c r="AL76" s="152"/>
      <c r="AM76" s="170"/>
    </row>
    <row r="77" spans="1:46" ht="15" customHeight="1" x14ac:dyDescent="0.25">
      <c r="A77" s="15"/>
      <c r="B77" s="307" t="s">
        <v>84</v>
      </c>
      <c r="C77" s="152"/>
      <c r="D77" s="200"/>
      <c r="E77" s="202" t="s">
        <v>262</v>
      </c>
      <c r="F77" s="198">
        <f>Equations!F58</f>
        <v>5.28</v>
      </c>
      <c r="G77" s="169" t="s">
        <v>5</v>
      </c>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c r="AK77" s="152"/>
      <c r="AL77" s="152"/>
      <c r="AM77" s="170"/>
    </row>
    <row r="78" spans="1:46" ht="15" customHeight="1" x14ac:dyDescent="0.25">
      <c r="A78" s="15"/>
      <c r="B78" s="171"/>
      <c r="C78" s="152"/>
      <c r="D78" s="200"/>
      <c r="E78" s="202" t="s">
        <v>217</v>
      </c>
      <c r="F78" s="198">
        <f>Equations!F59</f>
        <v>2.8166744142411582</v>
      </c>
      <c r="G78" s="169"/>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c r="AK78" s="152"/>
      <c r="AL78" s="152"/>
      <c r="AM78" s="170"/>
    </row>
    <row r="79" spans="1:46" ht="15" customHeight="1" x14ac:dyDescent="0.25">
      <c r="A79" s="15"/>
      <c r="B79" s="171"/>
      <c r="C79" s="152"/>
      <c r="D79" s="200"/>
      <c r="E79" s="202" t="s">
        <v>267</v>
      </c>
      <c r="F79" s="81" t="s">
        <v>146</v>
      </c>
      <c r="G79" s="169"/>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c r="AK79" s="152"/>
      <c r="AL79" s="152"/>
      <c r="AM79" s="170"/>
    </row>
    <row r="80" spans="1:46" ht="15" customHeight="1" x14ac:dyDescent="0.25">
      <c r="A80" s="15"/>
      <c r="B80" s="171"/>
      <c r="C80" s="152"/>
      <c r="D80" s="200"/>
      <c r="E80" s="202" t="s">
        <v>272</v>
      </c>
      <c r="F80" s="198">
        <f>dv_dt_recommendations!L29</f>
        <v>7.9815571473633096</v>
      </c>
      <c r="G80" s="169" t="s">
        <v>225</v>
      </c>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c r="AK80" s="152"/>
      <c r="AL80" s="152"/>
      <c r="AM80" s="170"/>
    </row>
    <row r="81" spans="1:40" ht="15" customHeight="1" x14ac:dyDescent="0.25">
      <c r="A81" s="15"/>
      <c r="B81" s="171"/>
      <c r="C81" s="152"/>
      <c r="D81" s="200"/>
      <c r="E81" s="202" t="s">
        <v>273</v>
      </c>
      <c r="F81" s="198">
        <f>dv_dt_recommendations!L30</f>
        <v>8.9928822452722573E-2</v>
      </c>
      <c r="G81" s="169" t="s">
        <v>225</v>
      </c>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c r="AK81" s="152"/>
      <c r="AL81" s="152"/>
      <c r="AM81" s="170"/>
    </row>
    <row r="82" spans="1:40" ht="15" customHeight="1" x14ac:dyDescent="0.25">
      <c r="A82" s="15"/>
      <c r="B82" s="335" t="s">
        <v>353</v>
      </c>
      <c r="C82" s="326"/>
      <c r="D82" s="200"/>
      <c r="E82" s="203" t="s">
        <v>259</v>
      </c>
      <c r="F82" s="82">
        <v>0.2</v>
      </c>
      <c r="G82" s="169" t="s">
        <v>225</v>
      </c>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c r="AK82" s="152"/>
      <c r="AL82" s="152"/>
      <c r="AM82" s="170"/>
    </row>
    <row r="83" spans="1:40" ht="15" customHeight="1" x14ac:dyDescent="0.25">
      <c r="A83" s="15"/>
      <c r="B83" s="335"/>
      <c r="C83" s="326"/>
      <c r="D83" s="200"/>
      <c r="E83" s="203" t="s">
        <v>249</v>
      </c>
      <c r="F83" s="198">
        <f>Equations!F63</f>
        <v>110</v>
      </c>
      <c r="G83" s="204" t="s">
        <v>69</v>
      </c>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70"/>
    </row>
    <row r="84" spans="1:40" ht="15" customHeight="1" x14ac:dyDescent="0.25">
      <c r="A84" s="15"/>
      <c r="B84" s="335"/>
      <c r="C84" s="326"/>
      <c r="D84" s="200"/>
      <c r="E84" s="203" t="s">
        <v>250</v>
      </c>
      <c r="F84" s="82">
        <v>100</v>
      </c>
      <c r="G84" s="169" t="s">
        <v>69</v>
      </c>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c r="AK84" s="152"/>
      <c r="AL84" s="152"/>
      <c r="AM84" s="170"/>
    </row>
    <row r="85" spans="1:40" ht="15" customHeight="1" x14ac:dyDescent="0.25">
      <c r="A85" s="15"/>
      <c r="B85" s="335"/>
      <c r="C85" s="326"/>
      <c r="D85" s="200"/>
      <c r="E85" s="203" t="s">
        <v>260</v>
      </c>
      <c r="F85" s="198">
        <f>Equations!F65</f>
        <v>0.22</v>
      </c>
      <c r="G85" s="169" t="s">
        <v>225</v>
      </c>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70"/>
    </row>
    <row r="86" spans="1:40" ht="16.95" customHeight="1" x14ac:dyDescent="0.25">
      <c r="A86" s="15"/>
      <c r="B86" s="335"/>
      <c r="C86" s="326"/>
      <c r="D86" s="200"/>
      <c r="E86" s="203" t="s">
        <v>255</v>
      </c>
      <c r="F86" s="198">
        <f>Equations!F72</f>
        <v>117.05638168269009</v>
      </c>
      <c r="G86" s="169"/>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c r="AK86" s="152"/>
      <c r="AL86" s="152"/>
      <c r="AM86" s="170"/>
    </row>
    <row r="87" spans="1:40" ht="16.95" customHeight="1" x14ac:dyDescent="0.25">
      <c r="A87" s="15"/>
      <c r="B87" s="171"/>
      <c r="C87" s="152"/>
      <c r="D87" s="200"/>
      <c r="E87" s="203" t="s">
        <v>252</v>
      </c>
      <c r="F87" s="82">
        <v>1</v>
      </c>
      <c r="G87" s="169" t="s">
        <v>5</v>
      </c>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c r="AK87" s="152"/>
      <c r="AL87" s="152"/>
      <c r="AM87" s="170"/>
    </row>
    <row r="88" spans="1:40" ht="16.95" customHeight="1" x14ac:dyDescent="0.25">
      <c r="A88" s="15"/>
      <c r="B88" s="171"/>
      <c r="C88" s="152"/>
      <c r="D88" s="200"/>
      <c r="E88" s="203" t="s">
        <v>253</v>
      </c>
      <c r="F88" s="198">
        <f>Equations!F77</f>
        <v>6.25</v>
      </c>
      <c r="G88" s="169" t="s">
        <v>69</v>
      </c>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c r="AK88" s="152"/>
      <c r="AL88" s="152"/>
      <c r="AM88" s="170"/>
    </row>
    <row r="89" spans="1:40" ht="16.95" customHeight="1" x14ac:dyDescent="0.35">
      <c r="A89" s="15"/>
      <c r="B89" s="171"/>
      <c r="C89" s="152"/>
      <c r="D89" s="200"/>
      <c r="E89" s="205" t="s">
        <v>324</v>
      </c>
      <c r="F89" s="82">
        <v>10</v>
      </c>
      <c r="G89" s="169" t="s">
        <v>69</v>
      </c>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c r="AK89" s="152"/>
      <c r="AL89" s="152"/>
      <c r="AM89" s="170"/>
    </row>
    <row r="90" spans="1:40" ht="15" customHeight="1" x14ac:dyDescent="0.25">
      <c r="A90" s="15"/>
      <c r="B90" s="171"/>
      <c r="C90" s="152"/>
      <c r="D90" s="200"/>
      <c r="E90" s="202" t="s">
        <v>258</v>
      </c>
      <c r="F90" s="198">
        <f>Equations!F79</f>
        <v>1.6</v>
      </c>
      <c r="G90" s="169" t="s">
        <v>5</v>
      </c>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c r="AK90" s="152"/>
      <c r="AL90" s="152"/>
      <c r="AM90" s="206" t="s">
        <v>176</v>
      </c>
    </row>
    <row r="91" spans="1:40" ht="31.95" customHeight="1" thickBot="1" x14ac:dyDescent="0.3">
      <c r="A91" s="15"/>
      <c r="B91" s="173"/>
      <c r="C91" s="174"/>
      <c r="D91" s="207"/>
      <c r="E91" s="208" t="s">
        <v>263</v>
      </c>
      <c r="F91" s="209">
        <f>Equations!F81</f>
        <v>2.8166744142411582</v>
      </c>
      <c r="G91" s="210"/>
      <c r="H91" s="174"/>
      <c r="I91" s="174"/>
      <c r="J91" s="174"/>
      <c r="K91" s="174"/>
      <c r="L91" s="174"/>
      <c r="M91" s="174"/>
      <c r="N91" s="174"/>
      <c r="O91" s="174"/>
      <c r="P91" s="174"/>
      <c r="Q91" s="174"/>
      <c r="R91" s="174"/>
      <c r="S91" s="174"/>
      <c r="T91" s="174"/>
      <c r="U91" s="174"/>
      <c r="V91" s="174"/>
      <c r="W91" s="174"/>
      <c r="X91" s="174"/>
      <c r="Y91" s="174"/>
      <c r="Z91" s="174"/>
      <c r="AA91" s="174"/>
      <c r="AB91" s="174"/>
      <c r="AC91" s="174"/>
      <c r="AD91" s="174"/>
      <c r="AE91" s="174"/>
      <c r="AF91" s="174"/>
      <c r="AG91" s="174"/>
      <c r="AH91" s="174"/>
      <c r="AI91" s="174"/>
      <c r="AJ91" s="174"/>
      <c r="AK91" s="174"/>
      <c r="AL91" s="174"/>
      <c r="AM91" s="211"/>
    </row>
    <row r="92" spans="1:40" ht="15" customHeight="1" x14ac:dyDescent="0.25">
      <c r="A92" s="15"/>
      <c r="B92" s="212" t="s">
        <v>160</v>
      </c>
      <c r="C92" s="213"/>
      <c r="D92" s="152"/>
      <c r="E92" s="214" t="s">
        <v>381</v>
      </c>
      <c r="F92" s="149">
        <v>23</v>
      </c>
      <c r="G92" s="215" t="s">
        <v>50</v>
      </c>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c r="AK92" s="152"/>
      <c r="AL92" s="152"/>
      <c r="AM92" s="170"/>
      <c r="AN92" s="179" t="s">
        <v>14</v>
      </c>
    </row>
    <row r="93" spans="1:40" ht="15" customHeight="1" x14ac:dyDescent="0.25">
      <c r="A93" s="15"/>
      <c r="B93" s="171"/>
      <c r="C93" s="152"/>
      <c r="D93" s="152"/>
      <c r="E93" s="214" t="s">
        <v>378</v>
      </c>
      <c r="F93" s="216">
        <v>10</v>
      </c>
      <c r="G93" s="217" t="s">
        <v>48</v>
      </c>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c r="AK93" s="152"/>
      <c r="AL93" s="152"/>
      <c r="AM93" s="170"/>
    </row>
    <row r="94" spans="1:40" ht="15" customHeight="1" x14ac:dyDescent="0.25">
      <c r="A94" s="15"/>
      <c r="B94" s="171"/>
      <c r="C94" s="152"/>
      <c r="D94" s="152"/>
      <c r="E94" s="214" t="s">
        <v>379</v>
      </c>
      <c r="F94" s="85">
        <v>10</v>
      </c>
      <c r="G94" s="217" t="s">
        <v>48</v>
      </c>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c r="AK94" s="152"/>
      <c r="AL94" s="152"/>
      <c r="AM94" s="170"/>
    </row>
    <row r="95" spans="1:40" ht="15" customHeight="1" x14ac:dyDescent="0.25">
      <c r="A95" s="15"/>
      <c r="B95" s="171"/>
      <c r="C95" s="152"/>
      <c r="D95" s="152"/>
      <c r="E95" s="214" t="s">
        <v>380</v>
      </c>
      <c r="F95" s="216">
        <f>Equations!F89</f>
        <v>160.37037037037035</v>
      </c>
      <c r="G95" s="217" t="s">
        <v>48</v>
      </c>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c r="AK95" s="152"/>
      <c r="AL95" s="152"/>
      <c r="AM95" s="170"/>
    </row>
    <row r="96" spans="1:40" ht="15" customHeight="1" x14ac:dyDescent="0.25">
      <c r="A96" s="15"/>
      <c r="B96" s="171"/>
      <c r="C96" s="152"/>
      <c r="D96" s="152"/>
      <c r="E96" s="214" t="s">
        <v>382</v>
      </c>
      <c r="F96" s="85">
        <v>161</v>
      </c>
      <c r="G96" s="215" t="s">
        <v>48</v>
      </c>
      <c r="H96" s="152"/>
      <c r="I96" s="152"/>
      <c r="J96" s="218"/>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c r="AK96" s="152"/>
      <c r="AL96" s="152"/>
      <c r="AM96" s="170"/>
    </row>
    <row r="97" spans="1:39" ht="15" customHeight="1" x14ac:dyDescent="0.25">
      <c r="A97" s="15"/>
      <c r="B97" s="171"/>
      <c r="C97" s="152"/>
      <c r="D97" s="152"/>
      <c r="E97" s="152"/>
      <c r="F97" s="152"/>
      <c r="G97" s="219"/>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c r="AK97" s="152"/>
      <c r="AL97" s="152"/>
      <c r="AM97" s="170"/>
    </row>
    <row r="98" spans="1:39" ht="15" customHeight="1" thickBot="1" x14ac:dyDescent="0.3">
      <c r="A98" s="15"/>
      <c r="B98" s="171"/>
      <c r="C98" s="220" t="s">
        <v>21</v>
      </c>
      <c r="D98" s="221" t="s">
        <v>18</v>
      </c>
      <c r="E98" s="221" t="s">
        <v>19</v>
      </c>
      <c r="F98" s="221" t="s">
        <v>20</v>
      </c>
      <c r="G98" s="219"/>
      <c r="H98" s="200"/>
      <c r="I98" s="200"/>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c r="AK98" s="152"/>
      <c r="AL98" s="152"/>
      <c r="AM98" s="170"/>
    </row>
    <row r="99" spans="1:39" ht="15" customHeight="1" thickBot="1" x14ac:dyDescent="0.3">
      <c r="A99" s="15"/>
      <c r="B99" s="329" t="s">
        <v>160</v>
      </c>
      <c r="C99" s="194" t="s">
        <v>55</v>
      </c>
      <c r="D99" s="222">
        <f>Equations!E94</f>
        <v>22.572000000000003</v>
      </c>
      <c r="E99" s="222">
        <f>Equations!F94</f>
        <v>23.085000000000004</v>
      </c>
      <c r="F99" s="222">
        <f>Equations!G94</f>
        <v>23.597999999999999</v>
      </c>
      <c r="G99" s="215" t="s">
        <v>50</v>
      </c>
      <c r="H99" s="200"/>
      <c r="I99" s="200"/>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c r="AK99" s="152"/>
      <c r="AL99" s="152"/>
      <c r="AM99" s="170"/>
    </row>
    <row r="100" spans="1:39" ht="15" customHeight="1" x14ac:dyDescent="0.25">
      <c r="A100" s="15"/>
      <c r="B100" s="329"/>
      <c r="C100" s="194" t="s">
        <v>56</v>
      </c>
      <c r="D100" s="222">
        <f>Equations!E95</f>
        <v>20.862000000000002</v>
      </c>
      <c r="E100" s="222">
        <f>Equations!F95</f>
        <v>21.375</v>
      </c>
      <c r="F100" s="222">
        <f>Equations!G95</f>
        <v>21.888000000000002</v>
      </c>
      <c r="G100" s="215" t="s">
        <v>50</v>
      </c>
      <c r="H100" s="200"/>
      <c r="I100" s="200"/>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c r="AK100" s="152"/>
      <c r="AL100" s="152"/>
      <c r="AM100" s="170"/>
    </row>
    <row r="101" spans="1:39" ht="15" customHeight="1" x14ac:dyDescent="0.25">
      <c r="A101" s="305"/>
      <c r="B101" s="171"/>
      <c r="C101" s="194"/>
      <c r="D101" s="304"/>
      <c r="E101" s="304"/>
      <c r="F101" s="304"/>
      <c r="G101" s="248"/>
      <c r="H101" s="200"/>
      <c r="I101" s="200"/>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c r="AK101" s="152"/>
      <c r="AL101" s="152"/>
      <c r="AM101" s="170"/>
    </row>
    <row r="102" spans="1:39" ht="15" customHeight="1" x14ac:dyDescent="0.25">
      <c r="A102" s="305"/>
      <c r="B102" s="171"/>
      <c r="C102" s="194"/>
      <c r="D102" s="304"/>
      <c r="E102" s="304"/>
      <c r="F102" s="304"/>
      <c r="G102" s="248"/>
      <c r="H102" s="200"/>
      <c r="I102" s="200"/>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c r="AK102" s="152"/>
      <c r="AL102" s="152"/>
      <c r="AM102" s="170"/>
    </row>
    <row r="103" spans="1:39" ht="15" customHeight="1" thickBot="1" x14ac:dyDescent="0.3">
      <c r="A103" s="15"/>
      <c r="B103" s="171"/>
      <c r="C103" s="200"/>
      <c r="D103" s="200"/>
      <c r="E103" s="200"/>
      <c r="F103" s="200"/>
      <c r="G103" s="200"/>
      <c r="H103" s="223"/>
      <c r="I103" s="200"/>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c r="AK103" s="152"/>
      <c r="AL103" s="152"/>
      <c r="AM103" s="170"/>
    </row>
    <row r="104" spans="1:39" ht="18.75" customHeight="1" x14ac:dyDescent="0.25">
      <c r="A104" s="15"/>
      <c r="B104" s="162" t="s">
        <v>163</v>
      </c>
      <c r="C104" s="163"/>
      <c r="D104" s="163"/>
      <c r="E104" s="224" t="s">
        <v>64</v>
      </c>
      <c r="F104" s="225">
        <f>Rs</f>
        <v>9</v>
      </c>
      <c r="G104" s="226" t="s">
        <v>49</v>
      </c>
      <c r="H104" s="163"/>
      <c r="I104" s="163"/>
      <c r="J104" s="163"/>
      <c r="K104" s="163"/>
      <c r="L104" s="163"/>
      <c r="M104" s="163"/>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6"/>
    </row>
    <row r="105" spans="1:39" ht="15" customHeight="1" x14ac:dyDescent="0.25">
      <c r="A105" s="15"/>
      <c r="B105" s="167"/>
      <c r="C105" s="152"/>
      <c r="D105" s="152"/>
      <c r="E105" s="227" t="s">
        <v>161</v>
      </c>
      <c r="F105" s="228" t="str">
        <f>IF(F39="No","DNP",RDIV1)</f>
        <v>DNP</v>
      </c>
      <c r="G105" s="229" t="s">
        <v>51</v>
      </c>
      <c r="H105" s="152"/>
      <c r="I105" s="152"/>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30"/>
    </row>
    <row r="106" spans="1:39" ht="14.25" customHeight="1" thickBot="1" x14ac:dyDescent="0.3">
      <c r="A106" s="15"/>
      <c r="B106" s="167"/>
      <c r="C106" s="152"/>
      <c r="D106" s="152"/>
      <c r="E106" s="227" t="s">
        <v>162</v>
      </c>
      <c r="F106" s="228" t="str">
        <f>IF(F39="No","short",RDIV2)</f>
        <v>short</v>
      </c>
      <c r="G106" s="229" t="s">
        <v>51</v>
      </c>
      <c r="H106" s="152"/>
      <c r="I106" s="152"/>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30"/>
    </row>
    <row r="107" spans="1:39" ht="15" customHeight="1" x14ac:dyDescent="0.25">
      <c r="A107" s="15"/>
      <c r="B107" s="171"/>
      <c r="C107" s="152"/>
      <c r="D107" s="152"/>
      <c r="E107" s="231" t="s">
        <v>8</v>
      </c>
      <c r="F107" s="232">
        <f>F96</f>
        <v>161</v>
      </c>
      <c r="G107" s="233" t="s">
        <v>48</v>
      </c>
      <c r="H107" s="152"/>
      <c r="I107" s="234"/>
      <c r="J107" s="235"/>
      <c r="K107" s="236" t="s">
        <v>19</v>
      </c>
      <c r="L107" s="237" t="s">
        <v>110</v>
      </c>
      <c r="M107" s="221"/>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170"/>
    </row>
    <row r="108" spans="1:39" ht="15" customHeight="1" x14ac:dyDescent="0.25">
      <c r="A108" s="15"/>
      <c r="B108" s="171"/>
      <c r="C108" s="152"/>
      <c r="D108" s="152"/>
      <c r="E108" s="231" t="s">
        <v>9</v>
      </c>
      <c r="F108" s="232">
        <f>F94</f>
        <v>10</v>
      </c>
      <c r="G108" s="233" t="s">
        <v>48</v>
      </c>
      <c r="H108" s="152"/>
      <c r="I108" s="239"/>
      <c r="J108" s="240" t="s">
        <v>164</v>
      </c>
      <c r="K108" s="241">
        <f>F47</f>
        <v>5.5555555555555554</v>
      </c>
      <c r="L108" s="242" t="s">
        <v>17</v>
      </c>
      <c r="M108" s="243"/>
      <c r="N108" s="152"/>
      <c r="O108" s="152"/>
      <c r="P108" s="152"/>
      <c r="Q108" s="152"/>
      <c r="R108" s="152"/>
      <c r="S108" s="152"/>
      <c r="T108" s="152"/>
      <c r="U108" s="152"/>
      <c r="V108" s="152"/>
      <c r="W108" s="152"/>
      <c r="X108" s="152"/>
      <c r="Y108" s="152"/>
      <c r="Z108" s="152"/>
      <c r="AA108" s="152"/>
      <c r="AB108" s="152"/>
      <c r="AC108" s="152"/>
      <c r="AD108" s="152"/>
      <c r="AE108" s="152"/>
      <c r="AF108" s="152"/>
      <c r="AG108" s="152"/>
      <c r="AH108" s="152"/>
      <c r="AI108" s="152"/>
      <c r="AJ108" s="152"/>
      <c r="AK108" s="152"/>
      <c r="AL108" s="152"/>
      <c r="AM108" s="170"/>
    </row>
    <row r="109" spans="1:39" ht="15" customHeight="1" x14ac:dyDescent="0.25">
      <c r="A109" s="15"/>
      <c r="B109" s="171"/>
      <c r="C109" s="152"/>
      <c r="D109" s="152"/>
      <c r="E109" s="231" t="s">
        <v>10</v>
      </c>
      <c r="F109" s="185">
        <f>F64</f>
        <v>38</v>
      </c>
      <c r="G109" s="233" t="s">
        <v>48</v>
      </c>
      <c r="H109" s="152"/>
      <c r="I109" s="239"/>
      <c r="J109" s="240" t="s">
        <v>118</v>
      </c>
      <c r="K109" s="244">
        <f>F67</f>
        <v>25.839793281653748</v>
      </c>
      <c r="L109" s="242" t="s">
        <v>51</v>
      </c>
      <c r="M109" s="245"/>
      <c r="N109" s="152"/>
      <c r="O109" s="152"/>
      <c r="P109" s="152"/>
      <c r="Q109" s="152"/>
      <c r="R109" s="152"/>
      <c r="S109" s="152"/>
      <c r="T109" s="152"/>
      <c r="U109" s="152"/>
      <c r="V109" s="152"/>
      <c r="W109" s="152"/>
      <c r="X109" s="152"/>
      <c r="Y109" s="152"/>
      <c r="Z109" s="152"/>
      <c r="AA109" s="152"/>
      <c r="AB109" s="152"/>
      <c r="AC109" s="152"/>
      <c r="AD109" s="152"/>
      <c r="AE109" s="152"/>
      <c r="AF109" s="152"/>
      <c r="AG109" s="152"/>
      <c r="AH109" s="152"/>
      <c r="AI109" s="152"/>
      <c r="AJ109" s="152"/>
      <c r="AK109" s="152"/>
      <c r="AL109" s="152"/>
      <c r="AM109" s="170"/>
    </row>
    <row r="110" spans="1:39" ht="15" customHeight="1" x14ac:dyDescent="0.25">
      <c r="A110" s="15"/>
      <c r="B110" s="171"/>
      <c r="C110" s="152"/>
      <c r="D110" s="152"/>
      <c r="E110" s="231" t="s">
        <v>11</v>
      </c>
      <c r="F110" s="246">
        <f>RPWR</f>
        <v>5</v>
      </c>
      <c r="G110" s="233" t="s">
        <v>48</v>
      </c>
      <c r="H110" s="152"/>
      <c r="I110" s="239"/>
      <c r="J110" s="240" t="s">
        <v>165</v>
      </c>
      <c r="K110" s="247">
        <f>IF(F71="YES", F90,F77)</f>
        <v>1.6</v>
      </c>
      <c r="L110" s="242" t="s">
        <v>5</v>
      </c>
      <c r="M110" s="243"/>
      <c r="N110" s="152"/>
      <c r="O110" s="152"/>
      <c r="P110" s="152"/>
      <c r="Q110" s="152"/>
      <c r="R110" s="152"/>
      <c r="S110" s="152"/>
      <c r="T110" s="152"/>
      <c r="U110" s="152"/>
      <c r="V110" s="152"/>
      <c r="W110" s="152"/>
      <c r="X110" s="152"/>
      <c r="Y110" s="152"/>
      <c r="Z110" s="152"/>
      <c r="AA110" s="152"/>
      <c r="AB110" s="152"/>
      <c r="AC110" s="152"/>
      <c r="AD110" s="152"/>
      <c r="AE110" s="152"/>
      <c r="AF110" s="152"/>
      <c r="AG110" s="152"/>
      <c r="AH110" s="152"/>
      <c r="AI110" s="152"/>
      <c r="AJ110" s="152"/>
      <c r="AK110" s="152"/>
      <c r="AL110" s="152"/>
      <c r="AM110" s="170"/>
    </row>
    <row r="111" spans="1:39" ht="15" customHeight="1" x14ac:dyDescent="0.25">
      <c r="A111" s="15"/>
      <c r="B111" s="171"/>
      <c r="C111" s="152"/>
      <c r="D111" s="152"/>
      <c r="E111" s="231" t="s">
        <v>12</v>
      </c>
      <c r="F111" s="198">
        <f>IF(F71="YES", F89, F76)</f>
        <v>10</v>
      </c>
      <c r="G111" s="248" t="s">
        <v>69</v>
      </c>
      <c r="H111" s="152"/>
      <c r="I111" s="239"/>
      <c r="J111" s="249" t="s">
        <v>166</v>
      </c>
      <c r="K111" s="241">
        <f>E99</f>
        <v>23.085000000000004</v>
      </c>
      <c r="L111" s="242" t="s">
        <v>50</v>
      </c>
      <c r="M111" s="250"/>
      <c r="N111" s="152"/>
      <c r="O111" s="152"/>
      <c r="P111" s="152"/>
      <c r="Q111" s="152"/>
      <c r="R111" s="152"/>
      <c r="S111" s="152"/>
      <c r="T111" s="152"/>
      <c r="U111" s="152"/>
      <c r="V111" s="152"/>
      <c r="W111" s="152"/>
      <c r="X111" s="152"/>
      <c r="Y111" s="152"/>
      <c r="Z111" s="152"/>
      <c r="AA111" s="152"/>
      <c r="AB111" s="152"/>
      <c r="AC111" s="152"/>
      <c r="AD111" s="152"/>
      <c r="AE111" s="152"/>
      <c r="AF111" s="152"/>
      <c r="AG111" s="152"/>
      <c r="AH111" s="152"/>
      <c r="AI111" s="152"/>
      <c r="AJ111" s="152"/>
      <c r="AK111" s="152"/>
      <c r="AL111" s="152"/>
      <c r="AM111" s="170"/>
    </row>
    <row r="112" spans="1:39" ht="15" customHeight="1" x14ac:dyDescent="0.25">
      <c r="A112" s="15"/>
      <c r="B112" s="171"/>
      <c r="C112" s="152"/>
      <c r="D112" s="152"/>
      <c r="E112" s="231" t="s">
        <v>359</v>
      </c>
      <c r="F112" s="251">
        <v>0.1</v>
      </c>
      <c r="G112" s="233" t="s">
        <v>47</v>
      </c>
      <c r="H112" s="152"/>
      <c r="I112" s="239"/>
      <c r="J112" s="249" t="s">
        <v>167</v>
      </c>
      <c r="K112" s="241">
        <f>E100</f>
        <v>21.375</v>
      </c>
      <c r="L112" s="242" t="s">
        <v>50</v>
      </c>
      <c r="M112" s="243"/>
      <c r="N112" s="152"/>
      <c r="O112" s="152"/>
      <c r="P112" s="152"/>
      <c r="Q112" s="152"/>
      <c r="R112" s="152"/>
      <c r="S112" s="152"/>
      <c r="T112" s="152"/>
      <c r="U112" s="152"/>
      <c r="V112" s="152"/>
      <c r="W112" s="152"/>
      <c r="X112" s="152"/>
      <c r="Y112" s="152"/>
      <c r="Z112" s="152"/>
      <c r="AA112" s="152"/>
      <c r="AB112" s="152"/>
      <c r="AC112" s="152"/>
      <c r="AD112" s="152"/>
      <c r="AE112" s="152"/>
      <c r="AF112" s="152"/>
      <c r="AG112" s="152"/>
      <c r="AH112" s="152"/>
      <c r="AI112" s="152"/>
      <c r="AJ112" s="152"/>
      <c r="AK112" s="152"/>
      <c r="AL112" s="152"/>
      <c r="AM112" s="170"/>
    </row>
    <row r="113" spans="1:40" ht="15" customHeight="1" x14ac:dyDescent="0.25">
      <c r="A113" s="15"/>
      <c r="B113" s="171"/>
      <c r="C113" s="152"/>
      <c r="D113" s="152"/>
      <c r="E113" s="252" t="s">
        <v>356</v>
      </c>
      <c r="F113" s="253" t="str">
        <f>F50</f>
        <v>CSD18534KCS</v>
      </c>
      <c r="G113" s="248"/>
      <c r="H113" s="152"/>
      <c r="M113" s="254"/>
      <c r="N113" s="152"/>
      <c r="O113" s="152"/>
      <c r="P113" s="152"/>
      <c r="Q113" s="152"/>
      <c r="R113" s="152"/>
      <c r="S113" s="152"/>
      <c r="T113" s="152"/>
      <c r="U113" s="152"/>
      <c r="V113" s="152"/>
      <c r="W113" s="152"/>
      <c r="X113" s="152"/>
      <c r="Y113" s="152"/>
      <c r="Z113" s="152"/>
      <c r="AA113" s="152"/>
      <c r="AB113" s="152"/>
      <c r="AC113" s="152"/>
      <c r="AD113" s="152"/>
      <c r="AE113" s="152"/>
      <c r="AF113" s="152"/>
      <c r="AG113" s="152"/>
      <c r="AH113" s="152"/>
      <c r="AI113" s="152"/>
      <c r="AJ113" s="152"/>
      <c r="AK113" s="152"/>
      <c r="AL113" s="152"/>
      <c r="AM113" s="170"/>
    </row>
    <row r="114" spans="1:40" ht="15" customHeight="1" x14ac:dyDescent="0.25">
      <c r="A114" s="15"/>
      <c r="B114" s="171"/>
      <c r="C114" s="152"/>
      <c r="D114" s="152"/>
      <c r="E114" s="227" t="s">
        <v>360</v>
      </c>
      <c r="F114" s="255">
        <f>IF(F71="YES", 1, "DNP" )</f>
        <v>1</v>
      </c>
      <c r="G114" s="233" t="s">
        <v>48</v>
      </c>
      <c r="H114" s="152"/>
      <c r="I114" s="152"/>
      <c r="J114" s="152"/>
      <c r="K114" s="152"/>
      <c r="L114" s="152"/>
      <c r="M114" s="254"/>
      <c r="N114" s="152"/>
      <c r="O114" s="152"/>
      <c r="P114" s="152"/>
      <c r="Q114" s="152"/>
      <c r="R114" s="152"/>
      <c r="S114" s="152"/>
      <c r="T114" s="152"/>
      <c r="U114" s="152"/>
      <c r="V114" s="152"/>
      <c r="W114" s="152"/>
      <c r="X114" s="152"/>
      <c r="Y114" s="152"/>
      <c r="Z114" s="152"/>
      <c r="AA114" s="152"/>
      <c r="AB114" s="152"/>
      <c r="AC114" s="152"/>
      <c r="AD114" s="152"/>
      <c r="AE114" s="152"/>
      <c r="AF114" s="152"/>
      <c r="AG114" s="152"/>
      <c r="AH114" s="152"/>
      <c r="AI114" s="152"/>
      <c r="AJ114" s="152"/>
      <c r="AK114" s="152"/>
      <c r="AL114" s="152"/>
      <c r="AM114" s="170"/>
    </row>
    <row r="115" spans="1:40" ht="15" customHeight="1" x14ac:dyDescent="0.25">
      <c r="A115" s="15"/>
      <c r="B115" s="171"/>
      <c r="C115" s="152"/>
      <c r="D115" s="152"/>
      <c r="E115" s="227" t="s">
        <v>361</v>
      </c>
      <c r="F115" s="256">
        <f>IF(F71="YES", F84, "DNP" )</f>
        <v>100</v>
      </c>
      <c r="G115" s="248" t="s">
        <v>69</v>
      </c>
      <c r="H115" s="152"/>
      <c r="I115" s="152"/>
      <c r="J115" s="152"/>
      <c r="K115" s="152"/>
      <c r="L115" s="152"/>
      <c r="M115" s="254"/>
      <c r="N115" s="152"/>
      <c r="O115" s="152"/>
      <c r="P115" s="152"/>
      <c r="Q115" s="152"/>
      <c r="R115" s="152"/>
      <c r="S115" s="152"/>
      <c r="T115" s="152"/>
      <c r="U115" s="152"/>
      <c r="V115" s="152"/>
      <c r="W115" s="152"/>
      <c r="X115" s="152"/>
      <c r="Y115" s="152"/>
      <c r="Z115" s="152"/>
      <c r="AA115" s="152"/>
      <c r="AB115" s="152"/>
      <c r="AC115" s="152"/>
      <c r="AD115" s="152"/>
      <c r="AE115" s="152"/>
      <c r="AF115" s="152"/>
      <c r="AG115" s="152"/>
      <c r="AH115" s="152"/>
      <c r="AI115" s="152"/>
      <c r="AJ115" s="152"/>
      <c r="AK115" s="152"/>
      <c r="AL115" s="152"/>
      <c r="AM115" s="170"/>
    </row>
    <row r="116" spans="1:40" ht="15" customHeight="1" x14ac:dyDescent="0.25">
      <c r="A116" s="15"/>
      <c r="B116" s="171"/>
      <c r="C116" s="152"/>
      <c r="D116" s="152"/>
      <c r="H116" s="152"/>
      <c r="I116" s="152"/>
      <c r="J116" s="152"/>
      <c r="K116" s="152"/>
      <c r="L116" s="152"/>
      <c r="M116" s="254"/>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152"/>
      <c r="AK116" s="152"/>
      <c r="AL116" s="152"/>
      <c r="AM116" s="170"/>
    </row>
    <row r="117" spans="1:40" ht="15" customHeight="1" x14ac:dyDescent="0.25">
      <c r="A117" s="15"/>
      <c r="B117" s="171"/>
      <c r="C117" s="152"/>
      <c r="D117" s="152"/>
      <c r="E117" s="168"/>
      <c r="F117" s="258"/>
      <c r="G117" s="248"/>
      <c r="H117" s="152"/>
      <c r="I117" s="152"/>
      <c r="J117" s="152"/>
      <c r="K117" s="152"/>
      <c r="L117" s="152"/>
      <c r="M117" s="254"/>
      <c r="N117" s="152"/>
      <c r="O117" s="152"/>
      <c r="P117" s="152"/>
      <c r="Q117" s="152"/>
      <c r="R117" s="152"/>
      <c r="S117" s="152"/>
      <c r="T117" s="152"/>
      <c r="U117" s="152"/>
      <c r="V117" s="152"/>
      <c r="W117" s="152"/>
      <c r="X117" s="152"/>
      <c r="Y117" s="152"/>
      <c r="Z117" s="152"/>
      <c r="AA117" s="152"/>
      <c r="AB117" s="152"/>
      <c r="AC117" s="152"/>
      <c r="AD117" s="152"/>
      <c r="AE117" s="152"/>
      <c r="AF117" s="152"/>
      <c r="AG117" s="152"/>
      <c r="AH117" s="152"/>
      <c r="AI117" s="152"/>
      <c r="AJ117" s="152"/>
      <c r="AK117" s="152"/>
      <c r="AL117" s="152"/>
      <c r="AM117" s="170"/>
    </row>
    <row r="118" spans="1:40" ht="15" customHeight="1" x14ac:dyDescent="0.25">
      <c r="A118" s="15"/>
      <c r="B118" s="171"/>
      <c r="C118" s="152"/>
      <c r="D118" s="152"/>
      <c r="E118" s="168"/>
      <c r="F118" s="258"/>
      <c r="G118" s="248"/>
      <c r="H118" s="152"/>
      <c r="I118" s="152"/>
      <c r="J118" s="152"/>
      <c r="K118" s="152"/>
      <c r="L118" s="152"/>
      <c r="M118" s="254"/>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c r="AJ118" s="152"/>
      <c r="AK118" s="152"/>
      <c r="AL118" s="152"/>
      <c r="AM118" s="170"/>
    </row>
    <row r="119" spans="1:40" ht="15" customHeight="1" x14ac:dyDescent="0.25">
      <c r="A119" s="15"/>
      <c r="B119" s="171"/>
      <c r="C119" s="152"/>
      <c r="D119" s="152"/>
      <c r="E119" s="168"/>
      <c r="F119" s="258"/>
      <c r="G119" s="248"/>
      <c r="H119" s="152"/>
      <c r="I119" s="152"/>
      <c r="J119" s="152"/>
      <c r="K119" s="152"/>
      <c r="L119" s="152"/>
      <c r="M119" s="259"/>
      <c r="N119" s="152"/>
      <c r="O119" s="152"/>
      <c r="P119" s="152"/>
      <c r="Q119" s="152"/>
      <c r="R119" s="152"/>
      <c r="S119" s="152"/>
      <c r="T119" s="152"/>
      <c r="U119" s="152"/>
      <c r="V119" s="152"/>
      <c r="W119" s="152"/>
      <c r="X119" s="152"/>
      <c r="Y119" s="152"/>
      <c r="Z119" s="152"/>
      <c r="AA119" s="152"/>
      <c r="AB119" s="152"/>
      <c r="AC119" s="152"/>
      <c r="AD119" s="152"/>
      <c r="AE119" s="152"/>
      <c r="AF119" s="152"/>
      <c r="AG119" s="152"/>
      <c r="AH119" s="152"/>
      <c r="AI119" s="152"/>
      <c r="AJ119" s="152"/>
      <c r="AK119" s="152"/>
      <c r="AL119" s="152"/>
      <c r="AM119" s="170"/>
    </row>
    <row r="120" spans="1:40" ht="15" customHeight="1" x14ac:dyDescent="0.25">
      <c r="A120" s="15"/>
      <c r="B120" s="171"/>
      <c r="C120" s="152"/>
      <c r="D120" s="152"/>
      <c r="E120" s="168"/>
      <c r="F120" s="258"/>
      <c r="G120" s="248"/>
      <c r="H120" s="152"/>
      <c r="I120" s="152"/>
      <c r="J120" s="152"/>
      <c r="K120" s="152"/>
      <c r="L120" s="152"/>
      <c r="M120" s="152"/>
      <c r="N120" s="152"/>
      <c r="O120" s="152"/>
      <c r="P120" s="152"/>
      <c r="Q120" s="152"/>
      <c r="R120" s="152"/>
      <c r="S120" s="152"/>
      <c r="T120" s="152"/>
      <c r="U120" s="152"/>
      <c r="V120" s="152"/>
      <c r="W120" s="152"/>
      <c r="X120" s="152"/>
      <c r="Y120" s="152"/>
      <c r="Z120" s="152"/>
      <c r="AA120" s="152"/>
      <c r="AB120" s="152"/>
      <c r="AC120" s="152"/>
      <c r="AD120" s="152"/>
      <c r="AE120" s="152"/>
      <c r="AF120" s="152"/>
      <c r="AG120" s="152"/>
      <c r="AH120" s="152"/>
      <c r="AI120" s="152"/>
      <c r="AJ120" s="152"/>
      <c r="AK120" s="152"/>
      <c r="AL120" s="152"/>
      <c r="AM120" s="170"/>
      <c r="AN120" s="179"/>
    </row>
    <row r="121" spans="1:40" ht="15.6" x14ac:dyDescent="0.35">
      <c r="A121" s="15"/>
      <c r="B121" s="260" t="s">
        <v>13</v>
      </c>
      <c r="C121" s="261" t="s">
        <v>54</v>
      </c>
      <c r="D121" s="262"/>
      <c r="E121" s="261"/>
      <c r="F121" s="263"/>
      <c r="G121" s="248"/>
      <c r="H121" s="152"/>
      <c r="I121" s="152"/>
      <c r="J121" s="152"/>
      <c r="K121" s="152"/>
      <c r="L121" s="152"/>
      <c r="M121" s="152"/>
      <c r="N121" s="152"/>
      <c r="O121" s="152"/>
      <c r="P121" s="152"/>
      <c r="Q121" s="152"/>
      <c r="R121" s="152"/>
      <c r="S121" s="152"/>
      <c r="T121" s="152"/>
      <c r="U121" s="152"/>
      <c r="V121" s="152"/>
      <c r="W121" s="152"/>
      <c r="X121" s="152"/>
      <c r="Y121" s="152"/>
      <c r="Z121" s="152"/>
      <c r="AA121" s="152"/>
      <c r="AB121" s="152"/>
      <c r="AC121" s="152"/>
      <c r="AD121" s="152"/>
      <c r="AE121" s="152"/>
      <c r="AF121" s="152"/>
      <c r="AG121" s="152"/>
      <c r="AH121" s="152"/>
      <c r="AI121" s="152"/>
      <c r="AJ121" s="152"/>
      <c r="AK121" s="152"/>
      <c r="AL121" s="152"/>
      <c r="AM121" s="170"/>
      <c r="AN121" s="179"/>
    </row>
    <row r="122" spans="1:40" x14ac:dyDescent="0.25">
      <c r="A122" s="15"/>
      <c r="B122" s="171"/>
      <c r="C122" s="261" t="s">
        <v>63</v>
      </c>
      <c r="D122" s="152"/>
      <c r="E122" s="261"/>
      <c r="F122" s="152"/>
      <c r="G122" s="248"/>
      <c r="H122" s="152"/>
      <c r="I122" s="152"/>
      <c r="J122" s="152"/>
      <c r="K122" s="152"/>
      <c r="L122" s="152"/>
      <c r="M122" s="152"/>
      <c r="N122" s="152"/>
      <c r="O122" s="152"/>
      <c r="P122" s="152"/>
      <c r="Q122" s="152"/>
      <c r="R122" s="152"/>
      <c r="S122" s="152"/>
      <c r="T122" s="152"/>
      <c r="U122" s="152"/>
      <c r="V122" s="152"/>
      <c r="W122" s="152"/>
      <c r="X122" s="152"/>
      <c r="Y122" s="152"/>
      <c r="Z122" s="152"/>
      <c r="AA122" s="152"/>
      <c r="AB122" s="152"/>
      <c r="AC122" s="152"/>
      <c r="AD122" s="152"/>
      <c r="AE122" s="152"/>
      <c r="AF122" s="152"/>
      <c r="AG122" s="152"/>
      <c r="AH122" s="152"/>
      <c r="AI122" s="152"/>
      <c r="AJ122" s="152"/>
      <c r="AK122" s="152"/>
      <c r="AL122" s="152"/>
      <c r="AM122" s="170"/>
    </row>
    <row r="123" spans="1:40" x14ac:dyDescent="0.25">
      <c r="A123" s="15"/>
      <c r="B123" s="171"/>
      <c r="C123" s="261" t="s">
        <v>173</v>
      </c>
      <c r="D123" s="152"/>
      <c r="E123" s="261"/>
      <c r="F123" s="152"/>
      <c r="G123" s="248"/>
      <c r="H123" s="152"/>
      <c r="I123" s="152"/>
      <c r="J123" s="152"/>
      <c r="K123" s="152"/>
      <c r="L123" s="152"/>
      <c r="M123" s="152"/>
      <c r="N123" s="152"/>
      <c r="O123" s="152"/>
      <c r="P123" s="152"/>
      <c r="Q123" s="152"/>
      <c r="R123" s="152"/>
      <c r="S123" s="152"/>
      <c r="T123" s="152"/>
      <c r="U123" s="152"/>
      <c r="V123" s="152"/>
      <c r="W123" s="152"/>
      <c r="X123" s="152"/>
      <c r="Y123" s="152"/>
      <c r="Z123" s="152"/>
      <c r="AA123" s="152"/>
      <c r="AB123" s="152"/>
      <c r="AC123" s="152"/>
      <c r="AD123" s="152"/>
      <c r="AE123" s="152"/>
      <c r="AF123" s="152"/>
      <c r="AG123" s="152"/>
      <c r="AH123" s="152"/>
      <c r="AI123" s="152"/>
      <c r="AJ123" s="152"/>
      <c r="AK123" s="152"/>
      <c r="AL123" s="152"/>
      <c r="AM123" s="170"/>
    </row>
    <row r="124" spans="1:40" ht="13.8" thickBot="1" x14ac:dyDescent="0.3">
      <c r="A124" s="15"/>
      <c r="B124" s="173"/>
      <c r="C124" s="174"/>
      <c r="D124" s="174"/>
      <c r="E124" s="264"/>
      <c r="F124" s="174"/>
      <c r="G124" s="265"/>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c r="AD124" s="174"/>
      <c r="AE124" s="174"/>
      <c r="AF124" s="174"/>
      <c r="AG124" s="174"/>
      <c r="AH124" s="174"/>
      <c r="AI124" s="174"/>
      <c r="AJ124" s="174"/>
      <c r="AK124" s="174"/>
      <c r="AL124" s="174"/>
      <c r="AM124" s="177"/>
    </row>
    <row r="125" spans="1:40" x14ac:dyDescent="0.25">
      <c r="A125" s="15"/>
      <c r="B125" s="15"/>
      <c r="C125" s="15"/>
      <c r="D125" s="15"/>
      <c r="E125" s="15"/>
      <c r="F125" s="15"/>
      <c r="G125" s="153"/>
      <c r="H125" s="15"/>
      <c r="I125" s="15"/>
      <c r="J125" s="15"/>
      <c r="K125" s="15"/>
      <c r="L125" s="15"/>
      <c r="M125" s="15"/>
      <c r="N125" s="15"/>
      <c r="O125" s="15"/>
      <c r="P125" s="15"/>
      <c r="Q125" s="15"/>
      <c r="R125" s="15"/>
      <c r="S125" s="15"/>
      <c r="T125" s="15"/>
      <c r="U125" s="15"/>
      <c r="V125" s="15"/>
      <c r="W125" s="15"/>
      <c r="X125" s="15"/>
      <c r="Y125" s="15"/>
      <c r="Z125" s="15"/>
      <c r="AA125" s="15"/>
      <c r="AB125" s="15"/>
      <c r="AC125" s="15"/>
      <c r="AD125" s="15"/>
      <c r="AE125" s="15"/>
      <c r="AF125" s="15"/>
      <c r="AG125" s="15"/>
      <c r="AH125" s="15"/>
      <c r="AI125" s="15"/>
      <c r="AJ125" s="15"/>
      <c r="AK125" s="15"/>
      <c r="AL125" s="15"/>
      <c r="AM125" s="15"/>
    </row>
    <row r="126" spans="1:40" ht="13.8" x14ac:dyDescent="0.25">
      <c r="A126" s="15"/>
      <c r="B126" s="266"/>
      <c r="C126" s="15"/>
      <c r="D126" s="15"/>
      <c r="E126" s="15"/>
      <c r="F126" s="267"/>
      <c r="G126" s="259"/>
      <c r="H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row>
    <row r="127" spans="1:40" x14ac:dyDescent="0.25">
      <c r="A127" s="15"/>
      <c r="B127" s="15"/>
      <c r="C127" s="15"/>
      <c r="D127" s="15"/>
      <c r="E127" s="15"/>
      <c r="F127" s="267"/>
      <c r="G127" s="259"/>
      <c r="H127" s="15"/>
      <c r="I127" s="15"/>
      <c r="J127" s="15"/>
      <c r="K127" s="15"/>
      <c r="L127" s="15"/>
      <c r="M127" s="15"/>
      <c r="N127" s="15"/>
      <c r="O127" s="15"/>
      <c r="P127" s="15"/>
      <c r="Q127" s="15"/>
      <c r="R127" s="15"/>
      <c r="S127" s="15"/>
      <c r="T127" s="15"/>
      <c r="U127" s="15"/>
      <c r="V127" s="15"/>
      <c r="W127" s="15"/>
      <c r="X127" s="15"/>
      <c r="Y127" s="15"/>
      <c r="Z127" s="15"/>
      <c r="AA127" s="15"/>
      <c r="AB127" s="15"/>
      <c r="AC127" s="15"/>
      <c r="AD127" s="15"/>
      <c r="AE127" s="15"/>
      <c r="AF127" s="15"/>
      <c r="AG127" s="15"/>
      <c r="AH127" s="15"/>
      <c r="AI127" s="15"/>
      <c r="AJ127" s="15"/>
      <c r="AK127" s="15"/>
      <c r="AL127" s="15"/>
      <c r="AM127" s="15"/>
    </row>
    <row r="128" spans="1:40" x14ac:dyDescent="0.25">
      <c r="A128" s="15"/>
      <c r="B128" s="15"/>
      <c r="C128" s="15"/>
      <c r="D128" s="15"/>
      <c r="E128" s="15"/>
      <c r="F128" s="267"/>
      <c r="H128" s="15"/>
      <c r="I128" s="15"/>
      <c r="J128" s="15"/>
      <c r="K128" s="15"/>
      <c r="L128" s="15"/>
      <c r="M128" s="15"/>
      <c r="N128" s="15"/>
      <c r="O128" s="15"/>
      <c r="P128" s="15"/>
      <c r="Q128" s="15"/>
      <c r="R128" s="15"/>
      <c r="S128" s="15"/>
      <c r="T128" s="15"/>
      <c r="U128" s="15"/>
      <c r="V128" s="15"/>
      <c r="W128" s="15"/>
      <c r="X128" s="15"/>
      <c r="Y128" s="15"/>
      <c r="Z128" s="15"/>
      <c r="AA128" s="15"/>
      <c r="AB128" s="15"/>
      <c r="AC128" s="15"/>
      <c r="AD128" s="15"/>
      <c r="AE128" s="15"/>
      <c r="AF128" s="15"/>
      <c r="AG128" s="15"/>
      <c r="AH128" s="15"/>
      <c r="AI128" s="15"/>
      <c r="AJ128" s="15"/>
      <c r="AK128" s="15"/>
      <c r="AL128" s="15"/>
      <c r="AM128" s="15"/>
    </row>
    <row r="129" spans="1:39" x14ac:dyDescent="0.25">
      <c r="A129" s="15"/>
      <c r="B129" s="15"/>
      <c r="C129" s="15"/>
      <c r="D129" s="15"/>
      <c r="E129" s="15"/>
      <c r="F129" s="267"/>
      <c r="G129" s="268"/>
      <c r="H129" s="15"/>
      <c r="I129" s="15"/>
      <c r="J129" s="15"/>
      <c r="K129" s="15"/>
      <c r="L129" s="15"/>
      <c r="M129" s="15"/>
      <c r="N129" s="15"/>
      <c r="O129" s="15"/>
      <c r="P129" s="15"/>
      <c r="Q129" s="15"/>
      <c r="R129" s="15"/>
      <c r="S129" s="15"/>
      <c r="T129" s="15"/>
      <c r="U129" s="15"/>
      <c r="V129" s="15"/>
      <c r="W129" s="15"/>
      <c r="X129" s="15"/>
      <c r="Y129" s="15"/>
      <c r="Z129" s="15"/>
      <c r="AA129" s="15"/>
      <c r="AB129" s="15"/>
      <c r="AC129" s="15"/>
      <c r="AD129" s="15"/>
      <c r="AE129" s="15"/>
      <c r="AF129" s="15"/>
      <c r="AG129" s="15"/>
      <c r="AH129" s="15"/>
      <c r="AI129" s="15"/>
      <c r="AJ129" s="15"/>
      <c r="AK129" s="15"/>
      <c r="AL129" s="15"/>
      <c r="AM129" s="15"/>
    </row>
    <row r="130" spans="1:39" x14ac:dyDescent="0.25">
      <c r="A130" s="15"/>
      <c r="B130" s="15"/>
      <c r="C130" s="15"/>
      <c r="D130" s="15"/>
      <c r="E130" s="15"/>
      <c r="F130" s="267"/>
      <c r="G130" s="268"/>
      <c r="H130" s="15"/>
      <c r="I130" s="15"/>
      <c r="J130" s="15"/>
      <c r="K130" s="15"/>
      <c r="L130" s="15"/>
      <c r="M130" s="15"/>
      <c r="N130" s="15"/>
      <c r="O130" s="15"/>
      <c r="P130" s="15"/>
      <c r="Q130" s="15"/>
      <c r="R130" s="15"/>
      <c r="S130" s="15"/>
      <c r="T130" s="15"/>
      <c r="U130" s="15"/>
      <c r="V130" s="15"/>
      <c r="W130" s="15"/>
      <c r="X130" s="15"/>
      <c r="Y130" s="15"/>
      <c r="Z130" s="15"/>
      <c r="AA130" s="15"/>
      <c r="AB130" s="15"/>
      <c r="AC130" s="15"/>
      <c r="AD130" s="15"/>
      <c r="AE130" s="15"/>
      <c r="AF130" s="15"/>
      <c r="AG130" s="15"/>
      <c r="AH130" s="15"/>
      <c r="AI130" s="15"/>
      <c r="AJ130" s="15"/>
      <c r="AK130" s="15"/>
      <c r="AL130" s="15"/>
      <c r="AM130" s="15"/>
    </row>
    <row r="131" spans="1:39" x14ac:dyDescent="0.25">
      <c r="A131" s="15"/>
      <c r="B131" s="15"/>
      <c r="C131" s="15"/>
      <c r="D131" s="15"/>
      <c r="E131" s="15"/>
      <c r="F131" s="267"/>
      <c r="G131" s="268"/>
      <c r="H131" s="267"/>
      <c r="I131" s="267"/>
      <c r="J131" s="267"/>
      <c r="K131" s="15"/>
      <c r="L131" s="15"/>
      <c r="M131" s="15"/>
      <c r="N131" s="15"/>
      <c r="O131" s="15"/>
      <c r="P131" s="15"/>
      <c r="Q131" s="15"/>
      <c r="R131" s="15"/>
      <c r="S131" s="15"/>
      <c r="T131" s="15"/>
      <c r="U131" s="15"/>
      <c r="V131" s="15"/>
      <c r="W131" s="15"/>
      <c r="X131" s="15"/>
      <c r="Y131" s="15"/>
      <c r="Z131" s="15"/>
      <c r="AA131" s="15"/>
      <c r="AB131" s="15"/>
      <c r="AC131" s="15"/>
      <c r="AD131" s="15"/>
      <c r="AE131" s="15"/>
      <c r="AF131" s="15"/>
      <c r="AG131" s="15"/>
      <c r="AH131" s="15"/>
      <c r="AI131" s="15"/>
      <c r="AJ131" s="15"/>
      <c r="AK131" s="15"/>
      <c r="AL131" s="15"/>
      <c r="AM131" s="15"/>
    </row>
    <row r="132" spans="1:39" x14ac:dyDescent="0.25">
      <c r="A132" s="15"/>
      <c r="B132" s="15"/>
      <c r="C132" s="15"/>
      <c r="D132" s="15"/>
      <c r="E132" s="15"/>
      <c r="F132" s="267"/>
      <c r="G132" s="268"/>
      <c r="H132" s="267"/>
      <c r="I132" s="267"/>
      <c r="J132" s="267"/>
      <c r="K132" s="15"/>
      <c r="L132" s="15"/>
      <c r="M132" s="15"/>
      <c r="N132" s="15"/>
      <c r="O132" s="15"/>
      <c r="P132" s="15"/>
      <c r="Q132" s="15"/>
      <c r="R132" s="15"/>
      <c r="S132" s="15"/>
      <c r="T132" s="15"/>
      <c r="U132" s="15"/>
      <c r="V132" s="15"/>
      <c r="W132" s="15"/>
      <c r="X132" s="15"/>
      <c r="Y132" s="15"/>
      <c r="Z132" s="15"/>
      <c r="AA132" s="15"/>
      <c r="AB132" s="15"/>
      <c r="AC132" s="15"/>
      <c r="AD132" s="15"/>
      <c r="AE132" s="15"/>
      <c r="AF132" s="15"/>
      <c r="AG132" s="15"/>
      <c r="AH132" s="15"/>
      <c r="AI132" s="15"/>
      <c r="AJ132" s="15"/>
      <c r="AK132" s="15"/>
      <c r="AL132" s="15"/>
      <c r="AM132" s="15"/>
    </row>
    <row r="133" spans="1:39" x14ac:dyDescent="0.25">
      <c r="A133" s="15"/>
      <c r="B133" s="15"/>
      <c r="C133" s="15"/>
      <c r="D133" s="15"/>
      <c r="E133" s="15"/>
      <c r="F133" s="267"/>
      <c r="G133" s="268"/>
      <c r="H133" s="15"/>
      <c r="I133" s="15"/>
      <c r="J133" s="15"/>
      <c r="K133" s="15"/>
      <c r="L133" s="15"/>
      <c r="M133" s="15"/>
      <c r="N133" s="15"/>
      <c r="O133" s="15"/>
      <c r="P133" s="15"/>
      <c r="Q133" s="15"/>
      <c r="R133" s="15"/>
      <c r="S133" s="15"/>
      <c r="T133" s="15"/>
      <c r="U133" s="15"/>
      <c r="V133" s="15"/>
      <c r="W133" s="15"/>
      <c r="X133" s="15"/>
      <c r="Y133" s="15"/>
      <c r="Z133" s="15"/>
      <c r="AA133" s="15"/>
      <c r="AB133" s="15"/>
      <c r="AC133" s="15"/>
      <c r="AD133" s="15"/>
      <c r="AE133" s="15"/>
      <c r="AF133" s="15"/>
      <c r="AG133" s="15"/>
      <c r="AH133" s="15"/>
      <c r="AI133" s="15"/>
      <c r="AJ133" s="15"/>
      <c r="AK133" s="15"/>
      <c r="AL133" s="15"/>
      <c r="AM133" s="15"/>
    </row>
    <row r="134" spans="1:39" x14ac:dyDescent="0.25">
      <c r="A134" s="15"/>
      <c r="B134" s="15"/>
      <c r="C134" s="15"/>
      <c r="D134" s="15"/>
      <c r="E134" s="15"/>
      <c r="F134" s="15"/>
      <c r="G134" s="268"/>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row>
    <row r="135" spans="1:39" x14ac:dyDescent="0.25">
      <c r="A135" s="15"/>
      <c r="B135" s="15"/>
      <c r="C135" s="15"/>
      <c r="D135" s="15"/>
      <c r="E135" s="15"/>
      <c r="F135" s="267"/>
      <c r="G135" s="268"/>
      <c r="H135" s="267"/>
      <c r="I135" s="267"/>
      <c r="J135" s="267"/>
      <c r="K135" s="267"/>
      <c r="L135" s="267"/>
      <c r="M135" s="15"/>
      <c r="N135" s="15"/>
      <c r="O135" s="15"/>
      <c r="P135" s="15"/>
      <c r="Q135" s="15"/>
      <c r="R135" s="15"/>
      <c r="S135" s="15"/>
      <c r="T135" s="15"/>
      <c r="U135" s="15"/>
      <c r="V135" s="15"/>
      <c r="W135" s="15"/>
      <c r="X135" s="15"/>
      <c r="Y135" s="15"/>
      <c r="Z135" s="15"/>
      <c r="AA135" s="15"/>
      <c r="AB135" s="15"/>
      <c r="AC135" s="15"/>
      <c r="AD135" s="15"/>
      <c r="AE135" s="15"/>
      <c r="AF135" s="15"/>
      <c r="AG135" s="15"/>
      <c r="AH135" s="15"/>
      <c r="AI135" s="15"/>
      <c r="AJ135" s="15"/>
      <c r="AK135" s="15"/>
      <c r="AL135" s="15"/>
      <c r="AM135" s="15"/>
    </row>
    <row r="136" spans="1:39" x14ac:dyDescent="0.25">
      <c r="A136" s="15"/>
      <c r="B136" s="15"/>
      <c r="C136" s="15"/>
      <c r="D136" s="15"/>
      <c r="E136" s="15"/>
      <c r="F136" s="267"/>
      <c r="G136" s="268"/>
      <c r="H136" s="267"/>
      <c r="I136" s="267"/>
      <c r="J136" s="267"/>
      <c r="K136" s="267"/>
      <c r="L136" s="267"/>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row>
    <row r="137" spans="1:39" x14ac:dyDescent="0.25">
      <c r="A137" s="15"/>
      <c r="B137" s="15"/>
      <c r="C137" s="15"/>
      <c r="D137" s="15"/>
      <c r="E137" s="15"/>
      <c r="F137" s="267"/>
      <c r="G137" s="153"/>
      <c r="H137" s="267"/>
      <c r="I137" s="267"/>
      <c r="J137" s="267"/>
      <c r="K137" s="267"/>
      <c r="L137" s="267"/>
      <c r="M137" s="15"/>
      <c r="N137" s="15"/>
      <c r="O137" s="15"/>
      <c r="P137" s="15"/>
      <c r="Q137" s="15"/>
      <c r="R137" s="15"/>
      <c r="S137" s="15"/>
      <c r="T137" s="15"/>
      <c r="U137" s="15"/>
      <c r="V137" s="15"/>
      <c r="W137" s="15"/>
      <c r="X137" s="15"/>
      <c r="Y137" s="15"/>
      <c r="Z137" s="15"/>
      <c r="AA137" s="15"/>
      <c r="AB137" s="15"/>
      <c r="AC137" s="15"/>
      <c r="AD137" s="15"/>
      <c r="AE137" s="15"/>
      <c r="AF137" s="15"/>
      <c r="AG137" s="15"/>
      <c r="AH137" s="15"/>
      <c r="AI137" s="15"/>
      <c r="AJ137" s="15"/>
      <c r="AK137" s="15"/>
      <c r="AL137" s="15"/>
      <c r="AM137" s="15"/>
    </row>
    <row r="138" spans="1:39" x14ac:dyDescent="0.25">
      <c r="A138" s="15"/>
      <c r="B138" s="15"/>
      <c r="C138" s="15"/>
      <c r="D138" s="15"/>
      <c r="E138" s="15"/>
      <c r="F138" s="267"/>
      <c r="G138" s="268"/>
      <c r="H138" s="267"/>
      <c r="I138" s="267"/>
      <c r="J138" s="267"/>
      <c r="K138" s="267"/>
      <c r="L138" s="267"/>
      <c r="M138" s="15"/>
      <c r="N138" s="15"/>
      <c r="O138" s="15"/>
      <c r="P138" s="15"/>
      <c r="Q138" s="15"/>
      <c r="R138" s="15"/>
      <c r="S138" s="15"/>
      <c r="T138" s="15"/>
      <c r="U138" s="15"/>
      <c r="V138" s="15"/>
      <c r="W138" s="15"/>
      <c r="X138" s="15"/>
      <c r="Y138" s="15"/>
      <c r="Z138" s="15"/>
      <c r="AA138" s="15"/>
      <c r="AB138" s="15"/>
      <c r="AC138" s="15"/>
      <c r="AD138" s="15"/>
      <c r="AE138" s="15"/>
      <c r="AF138" s="15"/>
      <c r="AG138" s="15"/>
      <c r="AH138" s="15"/>
      <c r="AI138" s="15"/>
      <c r="AJ138" s="15"/>
      <c r="AK138" s="15"/>
      <c r="AL138" s="15"/>
      <c r="AM138" s="15"/>
    </row>
    <row r="139" spans="1:39" x14ac:dyDescent="0.25">
      <c r="A139" s="15"/>
      <c r="B139" s="15"/>
      <c r="C139" s="15"/>
      <c r="D139" s="15"/>
      <c r="E139" s="15"/>
      <c r="F139" s="267"/>
      <c r="G139" s="268"/>
      <c r="H139" s="267"/>
      <c r="I139" s="267"/>
      <c r="J139" s="267"/>
      <c r="K139" s="267"/>
      <c r="L139" s="267"/>
      <c r="M139" s="15"/>
      <c r="N139" s="15"/>
      <c r="O139" s="15"/>
      <c r="P139" s="15"/>
      <c r="Q139" s="15"/>
      <c r="R139" s="15"/>
      <c r="S139" s="15"/>
      <c r="T139" s="15"/>
      <c r="U139" s="15"/>
      <c r="V139" s="15"/>
      <c r="W139" s="15"/>
      <c r="X139" s="15"/>
      <c r="Y139" s="15"/>
      <c r="Z139" s="15"/>
      <c r="AA139" s="15"/>
      <c r="AB139" s="15"/>
      <c r="AC139" s="15"/>
      <c r="AD139" s="15"/>
      <c r="AE139" s="15"/>
      <c r="AF139" s="15"/>
      <c r="AG139" s="15"/>
      <c r="AH139" s="15"/>
      <c r="AI139" s="15"/>
      <c r="AJ139" s="15"/>
      <c r="AK139" s="15"/>
      <c r="AL139" s="15"/>
      <c r="AM139" s="15"/>
    </row>
    <row r="140" spans="1:39" x14ac:dyDescent="0.25">
      <c r="A140" s="15"/>
      <c r="B140" s="15"/>
      <c r="C140" s="15"/>
      <c r="D140" s="15"/>
      <c r="E140" s="15"/>
      <c r="F140" s="267"/>
      <c r="G140" s="268"/>
      <c r="H140" s="267"/>
      <c r="I140" s="267"/>
      <c r="J140" s="267"/>
      <c r="K140" s="267"/>
      <c r="L140" s="267"/>
      <c r="M140" s="15"/>
      <c r="N140" s="15"/>
      <c r="O140" s="15"/>
      <c r="P140" s="15"/>
      <c r="Q140" s="15"/>
      <c r="R140" s="15"/>
      <c r="S140" s="15"/>
      <c r="T140" s="15"/>
      <c r="U140" s="15"/>
      <c r="V140" s="15"/>
      <c r="W140" s="15"/>
      <c r="X140" s="15"/>
      <c r="Y140" s="15"/>
      <c r="Z140" s="15"/>
      <c r="AA140" s="15"/>
      <c r="AB140" s="15"/>
      <c r="AC140" s="15"/>
      <c r="AD140" s="15"/>
      <c r="AE140" s="15"/>
      <c r="AF140" s="15"/>
      <c r="AG140" s="15"/>
      <c r="AH140" s="15"/>
      <c r="AI140" s="15"/>
      <c r="AJ140" s="15"/>
      <c r="AK140" s="15"/>
      <c r="AL140" s="15"/>
      <c r="AM140" s="15"/>
    </row>
    <row r="141" spans="1:39" x14ac:dyDescent="0.25">
      <c r="A141" s="15"/>
      <c r="B141" s="15"/>
      <c r="C141" s="15"/>
      <c r="D141" s="15"/>
      <c r="E141" s="15"/>
      <c r="F141" s="15"/>
      <c r="G141" s="268"/>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5"/>
      <c r="AI141" s="15"/>
      <c r="AJ141" s="15"/>
      <c r="AK141" s="15"/>
      <c r="AL141" s="15"/>
      <c r="AM141" s="15"/>
    </row>
    <row r="142" spans="1:39" x14ac:dyDescent="0.25">
      <c r="A142" s="15"/>
      <c r="B142" s="15"/>
      <c r="C142" s="15"/>
      <c r="D142" s="15"/>
      <c r="E142" s="15"/>
      <c r="F142" s="15"/>
      <c r="G142" s="268"/>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row>
    <row r="143" spans="1:39" x14ac:dyDescent="0.25">
      <c r="A143" s="15"/>
      <c r="B143" s="15"/>
      <c r="C143" s="15"/>
      <c r="D143" s="15"/>
      <c r="E143" s="15"/>
      <c r="F143" s="15"/>
      <c r="G143" s="268"/>
      <c r="H143" s="15"/>
      <c r="I143" s="15"/>
      <c r="J143" s="15"/>
      <c r="K143" s="15"/>
      <c r="L143" s="15"/>
      <c r="M143" s="15"/>
      <c r="N143" s="15"/>
      <c r="O143" s="15"/>
      <c r="P143" s="15"/>
      <c r="Q143" s="15"/>
      <c r="R143" s="15"/>
      <c r="S143" s="15"/>
      <c r="T143" s="15"/>
      <c r="U143" s="15"/>
      <c r="V143" s="15"/>
      <c r="W143" s="15"/>
      <c r="X143" s="15"/>
      <c r="Y143" s="15"/>
      <c r="Z143" s="15"/>
      <c r="AA143" s="15"/>
      <c r="AB143" s="15"/>
      <c r="AC143" s="15"/>
      <c r="AD143" s="15"/>
      <c r="AE143" s="15"/>
      <c r="AF143" s="15"/>
      <c r="AG143" s="15"/>
      <c r="AH143" s="15"/>
      <c r="AI143" s="15"/>
      <c r="AJ143" s="15"/>
      <c r="AK143" s="15"/>
      <c r="AL143" s="15"/>
      <c r="AM143" s="15"/>
    </row>
    <row r="144" spans="1:39" x14ac:dyDescent="0.25">
      <c r="A144" s="15"/>
      <c r="B144" s="15"/>
      <c r="C144" s="15"/>
      <c r="D144" s="15"/>
      <c r="E144" s="15"/>
      <c r="F144" s="15"/>
      <c r="G144" s="153"/>
      <c r="H144" s="15"/>
      <c r="I144" s="15"/>
      <c r="J144" s="15"/>
      <c r="K144" s="15"/>
      <c r="L144" s="15"/>
      <c r="M144" s="15"/>
      <c r="N144" s="15"/>
      <c r="O144" s="15"/>
      <c r="P144" s="15"/>
      <c r="Q144" s="15"/>
      <c r="R144" s="15"/>
      <c r="S144" s="15"/>
      <c r="T144" s="15"/>
      <c r="U144" s="15"/>
      <c r="V144" s="15"/>
      <c r="W144" s="15"/>
      <c r="X144" s="15"/>
      <c r="Y144" s="15"/>
      <c r="Z144" s="15"/>
      <c r="AA144" s="15"/>
      <c r="AB144" s="15"/>
      <c r="AC144" s="15"/>
      <c r="AD144" s="15"/>
      <c r="AE144" s="15"/>
      <c r="AF144" s="15"/>
      <c r="AG144" s="15"/>
      <c r="AH144" s="15"/>
      <c r="AI144" s="15"/>
      <c r="AJ144" s="15"/>
      <c r="AK144" s="15"/>
      <c r="AL144" s="15"/>
      <c r="AM144" s="15"/>
    </row>
    <row r="145" spans="1:39" x14ac:dyDescent="0.25">
      <c r="A145" s="15"/>
      <c r="B145" s="15"/>
      <c r="C145" s="15"/>
      <c r="D145" s="15"/>
      <c r="E145" s="15"/>
      <c r="F145" s="15"/>
      <c r="G145" s="153"/>
      <c r="H145" s="15"/>
      <c r="I145" s="15"/>
      <c r="J145" s="15"/>
      <c r="K145" s="15"/>
      <c r="L145" s="15"/>
      <c r="M145" s="15"/>
      <c r="N145" s="15"/>
      <c r="O145" s="15"/>
      <c r="P145" s="15"/>
      <c r="Q145" s="15"/>
      <c r="R145" s="15"/>
      <c r="S145" s="15"/>
      <c r="T145" s="15"/>
      <c r="U145" s="15"/>
      <c r="V145" s="15"/>
      <c r="W145" s="15"/>
      <c r="X145" s="15"/>
      <c r="Y145" s="15"/>
      <c r="Z145" s="15"/>
      <c r="AA145" s="15"/>
      <c r="AB145" s="15"/>
      <c r="AC145" s="15"/>
      <c r="AD145" s="15"/>
      <c r="AE145" s="15"/>
      <c r="AF145" s="15"/>
      <c r="AG145" s="15"/>
      <c r="AH145" s="15"/>
      <c r="AI145" s="15"/>
      <c r="AJ145" s="15"/>
      <c r="AK145" s="15"/>
      <c r="AL145" s="15"/>
      <c r="AM145" s="15"/>
    </row>
    <row r="146" spans="1:39" x14ac:dyDescent="0.25">
      <c r="A146" s="15"/>
      <c r="B146" s="15"/>
      <c r="C146" s="15"/>
      <c r="D146" s="15"/>
      <c r="E146" s="15"/>
      <c r="F146" s="15"/>
      <c r="G146" s="153"/>
      <c r="H146" s="15"/>
      <c r="I146" s="15"/>
      <c r="J146" s="15"/>
      <c r="K146" s="15"/>
      <c r="L146" s="15"/>
      <c r="M146" s="15"/>
      <c r="N146" s="15"/>
      <c r="O146" s="15"/>
      <c r="P146" s="15"/>
      <c r="Q146" s="15"/>
      <c r="R146" s="15"/>
      <c r="S146" s="15"/>
      <c r="T146" s="15"/>
      <c r="U146" s="15"/>
      <c r="V146" s="15"/>
      <c r="W146" s="15"/>
      <c r="X146" s="15"/>
      <c r="Y146" s="15"/>
      <c r="Z146" s="15"/>
      <c r="AA146" s="15"/>
      <c r="AB146" s="15"/>
      <c r="AC146" s="15"/>
      <c r="AD146" s="15"/>
      <c r="AE146" s="15"/>
      <c r="AF146" s="15"/>
      <c r="AG146" s="15"/>
      <c r="AH146" s="15"/>
      <c r="AI146" s="15"/>
      <c r="AJ146" s="15"/>
      <c r="AK146" s="15"/>
      <c r="AL146" s="15"/>
      <c r="AM146" s="15"/>
    </row>
    <row r="147" spans="1:39" x14ac:dyDescent="0.25">
      <c r="A147" s="15"/>
      <c r="B147" s="15"/>
      <c r="C147" s="15"/>
      <c r="D147" s="15"/>
      <c r="E147" s="15"/>
      <c r="F147" s="15"/>
      <c r="G147" s="153"/>
      <c r="H147" s="15"/>
      <c r="I147" s="15"/>
      <c r="J147" s="15"/>
      <c r="K147" s="15"/>
      <c r="L147" s="15"/>
      <c r="M147" s="15"/>
      <c r="N147" s="15"/>
      <c r="O147" s="15"/>
      <c r="P147" s="15"/>
      <c r="Q147" s="15"/>
      <c r="R147" s="15"/>
      <c r="S147" s="15"/>
      <c r="T147" s="15"/>
      <c r="U147" s="15"/>
      <c r="V147" s="15"/>
      <c r="W147" s="15"/>
      <c r="X147" s="15"/>
      <c r="Y147" s="15"/>
      <c r="Z147" s="15"/>
      <c r="AA147" s="15"/>
      <c r="AB147" s="15"/>
      <c r="AC147" s="15"/>
      <c r="AD147" s="15"/>
      <c r="AE147" s="15"/>
      <c r="AF147" s="15"/>
      <c r="AG147" s="15"/>
      <c r="AH147" s="15"/>
      <c r="AI147" s="15"/>
      <c r="AJ147" s="15"/>
      <c r="AK147" s="15"/>
      <c r="AL147" s="15"/>
      <c r="AM147" s="15"/>
    </row>
    <row r="148" spans="1:39" x14ac:dyDescent="0.25">
      <c r="A148" s="15"/>
      <c r="B148" s="15"/>
      <c r="C148" s="15"/>
      <c r="D148" s="15"/>
      <c r="E148" s="15"/>
      <c r="F148" s="15"/>
      <c r="G148" s="153"/>
      <c r="H148" s="15"/>
      <c r="I148" s="15"/>
      <c r="J148" s="15"/>
      <c r="K148" s="15"/>
      <c r="L148" s="15"/>
      <c r="M148" s="15"/>
      <c r="N148" s="15"/>
      <c r="O148" s="15"/>
      <c r="P148" s="15"/>
      <c r="Q148" s="15"/>
      <c r="R148" s="15"/>
      <c r="S148" s="15"/>
      <c r="T148" s="15"/>
      <c r="U148" s="15"/>
      <c r="V148" s="15"/>
      <c r="W148" s="15"/>
      <c r="X148" s="15"/>
      <c r="Y148" s="15"/>
      <c r="Z148" s="15"/>
      <c r="AA148" s="15"/>
      <c r="AB148" s="15"/>
      <c r="AC148" s="15"/>
      <c r="AD148" s="15"/>
      <c r="AE148" s="15"/>
      <c r="AF148" s="15"/>
      <c r="AG148" s="15"/>
      <c r="AH148" s="15"/>
      <c r="AI148" s="15"/>
      <c r="AJ148" s="15"/>
      <c r="AK148" s="15"/>
      <c r="AL148" s="15"/>
      <c r="AM148" s="15"/>
    </row>
    <row r="149" spans="1:39" x14ac:dyDescent="0.25">
      <c r="A149" s="15"/>
      <c r="B149" s="15"/>
      <c r="C149" s="15"/>
      <c r="D149" s="15"/>
      <c r="E149" s="15"/>
      <c r="F149" s="15"/>
      <c r="G149" s="153"/>
      <c r="H149" s="15"/>
      <c r="I149" s="15"/>
      <c r="J149" s="15"/>
      <c r="K149" s="15"/>
      <c r="L149" s="15"/>
      <c r="M149" s="15"/>
      <c r="N149" s="15"/>
      <c r="O149" s="15"/>
      <c r="P149" s="15"/>
      <c r="Q149" s="15"/>
      <c r="R149" s="15"/>
      <c r="S149" s="15"/>
      <c r="T149" s="15"/>
      <c r="U149" s="15"/>
      <c r="V149" s="15"/>
      <c r="W149" s="15"/>
      <c r="X149" s="15"/>
      <c r="Y149" s="15"/>
      <c r="Z149" s="15"/>
      <c r="AA149" s="15"/>
      <c r="AB149" s="15"/>
      <c r="AC149" s="15"/>
      <c r="AD149" s="15"/>
      <c r="AE149" s="15"/>
      <c r="AF149" s="15"/>
      <c r="AG149" s="15"/>
      <c r="AH149" s="15"/>
      <c r="AI149" s="15"/>
      <c r="AJ149" s="15"/>
      <c r="AK149" s="15"/>
      <c r="AL149" s="15"/>
      <c r="AM149" s="15"/>
    </row>
    <row r="150" spans="1:39" x14ac:dyDescent="0.25">
      <c r="A150" s="15"/>
      <c r="B150" s="15"/>
      <c r="C150" s="15"/>
      <c r="D150" s="15"/>
      <c r="E150" s="15"/>
      <c r="F150" s="15"/>
      <c r="G150" s="153"/>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row>
    <row r="151" spans="1:39" x14ac:dyDescent="0.25">
      <c r="A151" s="15"/>
      <c r="B151" s="15"/>
      <c r="C151" s="15"/>
      <c r="D151" s="15"/>
      <c r="E151" s="15"/>
      <c r="F151" s="15"/>
      <c r="G151" s="153"/>
      <c r="H151" s="15"/>
      <c r="I151" s="15"/>
      <c r="J151" s="15"/>
      <c r="K151" s="15"/>
      <c r="L151" s="15"/>
      <c r="M151" s="15"/>
      <c r="N151" s="15"/>
      <c r="O151" s="15"/>
      <c r="P151" s="15"/>
      <c r="Q151" s="15"/>
      <c r="R151" s="15"/>
      <c r="S151" s="15"/>
      <c r="T151" s="15"/>
      <c r="U151" s="15"/>
      <c r="V151" s="15"/>
      <c r="W151" s="15"/>
      <c r="X151" s="15"/>
      <c r="Y151" s="15"/>
      <c r="Z151" s="15"/>
      <c r="AA151" s="15"/>
      <c r="AB151" s="15"/>
      <c r="AC151" s="15"/>
      <c r="AD151" s="15"/>
      <c r="AE151" s="15"/>
      <c r="AF151" s="15"/>
      <c r="AG151" s="15"/>
      <c r="AH151" s="15"/>
      <c r="AI151" s="15"/>
      <c r="AJ151" s="15"/>
      <c r="AK151" s="15"/>
      <c r="AL151" s="15"/>
      <c r="AM151" s="15"/>
    </row>
    <row r="152" spans="1:39" ht="13.8" x14ac:dyDescent="0.25">
      <c r="A152" s="15"/>
      <c r="B152" s="269"/>
      <c r="C152" s="15"/>
      <c r="D152" s="15"/>
      <c r="E152" s="15"/>
      <c r="F152" s="15"/>
      <c r="G152" s="153"/>
      <c r="H152" s="15"/>
      <c r="I152" s="15"/>
      <c r="J152" s="15"/>
      <c r="K152" s="15"/>
      <c r="L152" s="15"/>
      <c r="M152" s="15"/>
      <c r="N152" s="15"/>
      <c r="O152" s="15"/>
      <c r="P152" s="15"/>
      <c r="Q152" s="15"/>
      <c r="R152" s="15"/>
      <c r="S152" s="15"/>
      <c r="T152" s="15"/>
      <c r="U152" s="15"/>
      <c r="V152" s="15"/>
      <c r="W152" s="15"/>
      <c r="X152" s="15"/>
      <c r="Y152" s="15"/>
      <c r="Z152" s="15"/>
      <c r="AA152" s="15"/>
      <c r="AB152" s="15"/>
      <c r="AC152" s="15"/>
      <c r="AD152" s="15"/>
      <c r="AE152" s="15"/>
      <c r="AF152" s="15"/>
      <c r="AG152" s="15"/>
      <c r="AH152" s="15"/>
      <c r="AI152" s="15"/>
      <c r="AJ152" s="15"/>
      <c r="AK152" s="15"/>
      <c r="AL152" s="15"/>
      <c r="AM152" s="15"/>
    </row>
    <row r="153" spans="1:39" x14ac:dyDescent="0.25">
      <c r="A153" s="15"/>
      <c r="B153" s="15"/>
      <c r="C153" s="15"/>
      <c r="D153" s="15"/>
      <c r="E153" s="15"/>
      <c r="F153" s="15"/>
      <c r="G153" s="153"/>
      <c r="H153" s="15"/>
      <c r="I153" s="15"/>
      <c r="J153" s="15"/>
      <c r="K153" s="15"/>
      <c r="L153" s="15"/>
      <c r="M153" s="15"/>
      <c r="N153" s="15"/>
      <c r="O153" s="15"/>
      <c r="P153" s="15"/>
      <c r="Q153" s="15"/>
      <c r="R153" s="15"/>
      <c r="S153" s="15"/>
      <c r="T153" s="15"/>
      <c r="U153" s="15"/>
      <c r="V153" s="15"/>
      <c r="W153" s="15"/>
      <c r="X153" s="15"/>
      <c r="Y153" s="15"/>
      <c r="Z153" s="15"/>
      <c r="AA153" s="15"/>
      <c r="AB153" s="15"/>
      <c r="AC153" s="15"/>
      <c r="AD153" s="15"/>
      <c r="AE153" s="15"/>
      <c r="AF153" s="15"/>
      <c r="AG153" s="15"/>
      <c r="AH153" s="15"/>
      <c r="AI153" s="15"/>
      <c r="AJ153" s="15"/>
      <c r="AK153" s="15"/>
      <c r="AL153" s="15"/>
      <c r="AM153" s="15"/>
    </row>
    <row r="154" spans="1:39" x14ac:dyDescent="0.25">
      <c r="A154" s="15"/>
      <c r="B154" s="15"/>
      <c r="C154" s="15"/>
      <c r="D154" s="15"/>
      <c r="E154" s="15"/>
      <c r="F154" s="15"/>
      <c r="G154" s="153"/>
      <c r="H154" s="15"/>
      <c r="I154" s="15"/>
      <c r="J154" s="15"/>
      <c r="K154" s="15"/>
      <c r="L154" s="15"/>
      <c r="M154" s="15"/>
      <c r="N154" s="15"/>
      <c r="O154" s="15"/>
      <c r="P154" s="15"/>
      <c r="Q154" s="15"/>
      <c r="R154" s="15"/>
      <c r="S154" s="15"/>
      <c r="T154" s="15"/>
      <c r="U154" s="15"/>
      <c r="V154" s="15"/>
      <c r="W154" s="15"/>
      <c r="X154" s="15"/>
      <c r="Y154" s="15"/>
      <c r="Z154" s="15"/>
      <c r="AA154" s="15"/>
      <c r="AB154" s="15"/>
      <c r="AC154" s="15"/>
      <c r="AD154" s="15"/>
      <c r="AE154" s="15"/>
      <c r="AF154" s="15"/>
      <c r="AG154" s="15"/>
      <c r="AH154" s="15"/>
      <c r="AI154" s="15"/>
      <c r="AJ154" s="15"/>
      <c r="AK154" s="15"/>
      <c r="AL154" s="15"/>
      <c r="AM154" s="15"/>
    </row>
    <row r="155" spans="1:39" x14ac:dyDescent="0.25">
      <c r="A155" s="15"/>
      <c r="B155" s="15"/>
      <c r="C155" s="15"/>
      <c r="D155" s="15"/>
      <c r="E155" s="15"/>
      <c r="F155" s="15"/>
      <c r="G155" s="153"/>
      <c r="H155" s="15"/>
      <c r="I155" s="15"/>
      <c r="J155" s="15"/>
      <c r="K155" s="15"/>
      <c r="L155" s="15"/>
      <c r="M155" s="15"/>
      <c r="N155" s="15"/>
      <c r="O155" s="15"/>
      <c r="P155" s="15"/>
      <c r="Q155" s="15"/>
      <c r="R155" s="15"/>
      <c r="S155" s="15"/>
      <c r="T155" s="15"/>
      <c r="U155" s="15"/>
      <c r="V155" s="15"/>
      <c r="W155" s="15"/>
      <c r="X155" s="15"/>
      <c r="Y155" s="15"/>
      <c r="Z155" s="15"/>
      <c r="AA155" s="15"/>
      <c r="AB155" s="15"/>
      <c r="AC155" s="15"/>
      <c r="AD155" s="15"/>
      <c r="AE155" s="15"/>
      <c r="AF155" s="15"/>
      <c r="AG155" s="15"/>
      <c r="AH155" s="15"/>
      <c r="AI155" s="15"/>
      <c r="AJ155" s="15"/>
      <c r="AK155" s="15"/>
      <c r="AL155" s="15"/>
      <c r="AM155" s="15"/>
    </row>
    <row r="156" spans="1:39" x14ac:dyDescent="0.25">
      <c r="A156" s="15"/>
      <c r="B156" s="15"/>
      <c r="C156" s="15"/>
      <c r="D156" s="15"/>
      <c r="E156" s="15"/>
      <c r="F156" s="15"/>
      <c r="G156" s="153"/>
      <c r="H156" s="15"/>
      <c r="I156" s="15"/>
      <c r="J156" s="15"/>
      <c r="K156" s="15"/>
      <c r="L156" s="15"/>
      <c r="M156" s="15"/>
      <c r="N156" s="15"/>
      <c r="O156" s="15"/>
      <c r="P156" s="15"/>
      <c r="Q156" s="15"/>
      <c r="R156" s="15"/>
      <c r="S156" s="15"/>
      <c r="T156" s="15"/>
      <c r="U156" s="15"/>
      <c r="V156" s="15"/>
      <c r="W156" s="15"/>
      <c r="X156" s="15"/>
      <c r="Y156" s="15"/>
      <c r="Z156" s="15"/>
      <c r="AA156" s="15"/>
      <c r="AB156" s="15"/>
      <c r="AC156" s="15"/>
      <c r="AD156" s="15"/>
      <c r="AE156" s="15"/>
      <c r="AF156" s="15"/>
      <c r="AG156" s="15"/>
      <c r="AH156" s="15"/>
      <c r="AI156" s="15"/>
      <c r="AJ156" s="15"/>
      <c r="AK156" s="15"/>
      <c r="AL156" s="15"/>
      <c r="AM156" s="15"/>
    </row>
    <row r="157" spans="1:39" x14ac:dyDescent="0.25">
      <c r="A157" s="15"/>
      <c r="B157" s="15"/>
      <c r="D157" s="15"/>
      <c r="E157" s="15"/>
      <c r="F157" s="15"/>
      <c r="G157" s="153"/>
      <c r="H157" s="15"/>
      <c r="I157" s="15"/>
      <c r="J157" s="15"/>
      <c r="K157" s="15"/>
      <c r="L157" s="15"/>
      <c r="M157" s="15"/>
      <c r="N157" s="15"/>
      <c r="O157" s="15"/>
      <c r="P157" s="15"/>
      <c r="Q157" s="15"/>
      <c r="R157" s="15"/>
      <c r="S157" s="15"/>
      <c r="T157" s="15"/>
      <c r="U157" s="15"/>
      <c r="V157" s="15"/>
      <c r="W157" s="15"/>
      <c r="X157" s="15"/>
      <c r="Y157" s="15"/>
      <c r="Z157" s="15"/>
      <c r="AA157" s="15"/>
      <c r="AB157" s="15"/>
      <c r="AC157" s="15"/>
      <c r="AD157" s="15"/>
      <c r="AE157" s="15"/>
      <c r="AF157" s="15"/>
      <c r="AG157" s="15"/>
      <c r="AH157" s="15"/>
      <c r="AI157" s="15"/>
      <c r="AJ157" s="15"/>
      <c r="AK157" s="15"/>
      <c r="AL157" s="15"/>
      <c r="AM157" s="15"/>
    </row>
    <row r="158" spans="1:39" x14ac:dyDescent="0.25">
      <c r="A158" s="15"/>
      <c r="B158" s="15"/>
      <c r="C158" s="15"/>
      <c r="D158" s="15"/>
      <c r="E158" s="15"/>
      <c r="F158" s="15"/>
      <c r="G158" s="153"/>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row>
    <row r="159" spans="1:39" x14ac:dyDescent="0.25">
      <c r="A159" s="15"/>
      <c r="B159" s="15"/>
      <c r="C159" s="15"/>
      <c r="D159" s="15"/>
      <c r="E159" s="15"/>
      <c r="F159" s="15"/>
      <c r="G159" s="153"/>
      <c r="H159" s="15"/>
      <c r="I159" s="15"/>
      <c r="J159" s="15"/>
      <c r="K159" s="15"/>
      <c r="L159" s="15"/>
      <c r="M159" s="15"/>
      <c r="N159" s="15"/>
      <c r="O159" s="15"/>
      <c r="P159" s="15"/>
      <c r="Q159" s="15"/>
      <c r="R159" s="15"/>
      <c r="S159" s="15"/>
      <c r="T159" s="15"/>
      <c r="U159" s="15"/>
      <c r="V159" s="15"/>
      <c r="W159" s="15"/>
      <c r="X159" s="15"/>
      <c r="Y159" s="15"/>
      <c r="Z159" s="15"/>
      <c r="AA159" s="15"/>
      <c r="AB159" s="15"/>
      <c r="AC159" s="15"/>
      <c r="AD159" s="15"/>
      <c r="AE159" s="15"/>
      <c r="AF159" s="15"/>
      <c r="AG159" s="15"/>
      <c r="AH159" s="15"/>
      <c r="AI159" s="15"/>
      <c r="AJ159" s="15"/>
      <c r="AK159" s="15"/>
      <c r="AL159" s="15"/>
      <c r="AM159" s="15"/>
    </row>
    <row r="160" spans="1:39" x14ac:dyDescent="0.25">
      <c r="A160" s="15"/>
      <c r="B160" s="15"/>
      <c r="C160" s="15"/>
      <c r="D160" s="15"/>
      <c r="E160" s="15"/>
      <c r="F160" s="15"/>
      <c r="G160" s="153"/>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row>
    <row r="161" spans="1:39" x14ac:dyDescent="0.25">
      <c r="A161" s="15"/>
      <c r="B161" s="15"/>
      <c r="C161" s="15"/>
      <c r="D161" s="15"/>
      <c r="E161" s="15"/>
      <c r="F161" s="15"/>
      <c r="G161" s="153"/>
      <c r="H161" s="15"/>
      <c r="I161" s="15"/>
      <c r="J161" s="15"/>
      <c r="K161" s="15"/>
      <c r="L161" s="15"/>
      <c r="M161" s="15"/>
      <c r="N161" s="15"/>
      <c r="O161" s="15"/>
      <c r="P161" s="15"/>
      <c r="Q161" s="15"/>
      <c r="R161" s="15"/>
      <c r="S161" s="15"/>
      <c r="T161" s="15"/>
      <c r="U161" s="15"/>
      <c r="V161" s="15"/>
      <c r="W161" s="15"/>
      <c r="X161" s="15"/>
      <c r="Y161" s="15"/>
      <c r="Z161" s="15"/>
      <c r="AA161" s="15"/>
      <c r="AB161" s="15"/>
      <c r="AC161" s="15"/>
      <c r="AD161" s="15"/>
      <c r="AE161" s="15"/>
      <c r="AF161" s="15"/>
      <c r="AG161" s="15"/>
      <c r="AH161" s="15"/>
      <c r="AI161" s="15"/>
      <c r="AJ161" s="15"/>
      <c r="AK161" s="15"/>
      <c r="AL161" s="15"/>
      <c r="AM161" s="15"/>
    </row>
    <row r="162" spans="1:39" x14ac:dyDescent="0.25">
      <c r="A162" s="15"/>
      <c r="B162" s="15"/>
      <c r="C162" s="15"/>
      <c r="D162" s="15"/>
      <c r="E162" s="15"/>
      <c r="F162" s="15"/>
      <c r="G162" s="153"/>
      <c r="H162" s="15"/>
      <c r="I162" s="15"/>
      <c r="J162" s="15"/>
      <c r="K162" s="15"/>
      <c r="L162" s="15"/>
      <c r="M162" s="15"/>
      <c r="N162" s="15"/>
      <c r="O162" s="15"/>
      <c r="P162" s="15"/>
      <c r="Q162" s="15"/>
      <c r="R162" s="15"/>
      <c r="S162" s="15"/>
      <c r="T162" s="15"/>
      <c r="U162" s="15"/>
      <c r="V162" s="15"/>
      <c r="W162" s="15"/>
      <c r="X162" s="15"/>
      <c r="Y162" s="15"/>
      <c r="Z162" s="15"/>
      <c r="AA162" s="15"/>
      <c r="AB162" s="15"/>
      <c r="AC162" s="15"/>
      <c r="AD162" s="15"/>
      <c r="AE162" s="15"/>
      <c r="AF162" s="15"/>
      <c r="AG162" s="15"/>
      <c r="AH162" s="15"/>
      <c r="AI162" s="15"/>
      <c r="AJ162" s="15"/>
      <c r="AK162" s="15"/>
      <c r="AL162" s="15"/>
      <c r="AM162" s="15"/>
    </row>
    <row r="163" spans="1:39" x14ac:dyDescent="0.25">
      <c r="A163" s="15"/>
      <c r="B163" s="15"/>
      <c r="C163" s="15"/>
      <c r="D163" s="15"/>
      <c r="E163" s="15"/>
      <c r="F163" s="15"/>
      <c r="G163" s="153"/>
      <c r="H163" s="15"/>
      <c r="I163" s="15"/>
      <c r="J163" s="15"/>
      <c r="K163" s="15"/>
      <c r="L163" s="15"/>
      <c r="M163" s="15"/>
      <c r="N163" s="15"/>
      <c r="O163" s="15"/>
      <c r="P163" s="15"/>
      <c r="Q163" s="15"/>
      <c r="R163" s="15"/>
      <c r="S163" s="15"/>
      <c r="T163" s="15"/>
      <c r="U163" s="15"/>
      <c r="V163" s="15"/>
      <c r="W163" s="15"/>
      <c r="X163" s="15"/>
      <c r="Y163" s="15"/>
      <c r="Z163" s="15"/>
      <c r="AA163" s="15"/>
      <c r="AB163" s="15"/>
      <c r="AC163" s="15"/>
      <c r="AD163" s="15"/>
      <c r="AE163" s="15"/>
      <c r="AF163" s="15"/>
      <c r="AG163" s="15"/>
      <c r="AH163" s="15"/>
      <c r="AI163" s="15"/>
      <c r="AJ163" s="15"/>
      <c r="AK163" s="15"/>
      <c r="AL163" s="15"/>
      <c r="AM163" s="15"/>
    </row>
    <row r="164" spans="1:39" x14ac:dyDescent="0.25">
      <c r="A164" s="15"/>
      <c r="B164" s="15"/>
      <c r="C164" s="15"/>
      <c r="D164" s="15"/>
      <c r="E164" s="15"/>
      <c r="F164" s="15"/>
      <c r="G164" s="153"/>
      <c r="H164" s="15"/>
      <c r="I164" s="15"/>
      <c r="J164" s="15"/>
      <c r="K164" s="15"/>
      <c r="L164" s="15"/>
      <c r="M164" s="15"/>
      <c r="N164" s="15"/>
      <c r="O164" s="15"/>
      <c r="P164" s="15"/>
      <c r="Q164" s="15"/>
      <c r="R164" s="15"/>
      <c r="S164" s="15"/>
      <c r="T164" s="15"/>
      <c r="U164" s="15"/>
      <c r="V164" s="15"/>
      <c r="W164" s="15"/>
      <c r="X164" s="15"/>
      <c r="Y164" s="15"/>
      <c r="Z164" s="15"/>
      <c r="AA164" s="15"/>
      <c r="AB164" s="15"/>
      <c r="AC164" s="15"/>
      <c r="AD164" s="15"/>
      <c r="AE164" s="15"/>
      <c r="AF164" s="15"/>
      <c r="AG164" s="15"/>
      <c r="AH164" s="15"/>
      <c r="AI164" s="15"/>
      <c r="AJ164" s="15"/>
      <c r="AK164" s="15"/>
      <c r="AL164" s="15"/>
      <c r="AM164" s="15"/>
    </row>
    <row r="165" spans="1:39" x14ac:dyDescent="0.25">
      <c r="A165" s="15"/>
      <c r="B165" s="15"/>
      <c r="C165" s="15"/>
      <c r="D165" s="15"/>
      <c r="E165" s="15"/>
      <c r="F165" s="15"/>
      <c r="G165" s="153"/>
      <c r="H165" s="15"/>
      <c r="I165" s="15"/>
      <c r="J165" s="15"/>
      <c r="K165" s="15"/>
      <c r="L165" s="15"/>
      <c r="M165" s="15"/>
      <c r="N165" s="15"/>
      <c r="O165" s="15"/>
      <c r="P165" s="15"/>
      <c r="Q165" s="15"/>
      <c r="R165" s="15"/>
      <c r="S165" s="15"/>
      <c r="T165" s="15"/>
      <c r="U165" s="15"/>
      <c r="V165" s="15"/>
      <c r="W165" s="15"/>
      <c r="X165" s="15"/>
      <c r="Y165" s="15"/>
      <c r="Z165" s="15"/>
      <c r="AA165" s="15"/>
      <c r="AB165" s="15"/>
      <c r="AC165" s="15"/>
      <c r="AD165" s="15"/>
      <c r="AE165" s="15"/>
      <c r="AF165" s="15"/>
      <c r="AG165" s="15"/>
      <c r="AH165" s="15"/>
      <c r="AI165" s="15"/>
      <c r="AJ165" s="15"/>
      <c r="AK165" s="15"/>
      <c r="AL165" s="15"/>
      <c r="AM165" s="15"/>
    </row>
    <row r="166" spans="1:39" x14ac:dyDescent="0.25">
      <c r="A166" s="15"/>
      <c r="B166" s="15"/>
      <c r="C166" s="15"/>
      <c r="D166" s="15"/>
      <c r="E166" s="15"/>
      <c r="F166" s="15"/>
      <c r="G166" s="153"/>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row>
    <row r="167" spans="1:39" x14ac:dyDescent="0.25">
      <c r="A167" s="15"/>
      <c r="B167" s="15"/>
      <c r="C167" s="15"/>
      <c r="D167" s="15"/>
      <c r="E167" s="15"/>
      <c r="F167" s="15"/>
      <c r="G167" s="153"/>
      <c r="H167" s="15"/>
      <c r="I167" s="15"/>
      <c r="J167" s="15"/>
      <c r="K167" s="15"/>
      <c r="L167" s="15"/>
      <c r="M167" s="15"/>
      <c r="N167" s="15"/>
      <c r="O167" s="15"/>
      <c r="P167" s="15"/>
      <c r="Q167" s="15"/>
      <c r="R167" s="15"/>
      <c r="S167" s="15"/>
      <c r="T167" s="15"/>
      <c r="U167" s="15"/>
      <c r="V167" s="15"/>
      <c r="W167" s="15"/>
      <c r="X167" s="15"/>
      <c r="Y167" s="15"/>
      <c r="Z167" s="15"/>
      <c r="AA167" s="15"/>
      <c r="AB167" s="15"/>
      <c r="AC167" s="15"/>
      <c r="AD167" s="15"/>
      <c r="AE167" s="15"/>
      <c r="AF167" s="15"/>
      <c r="AG167" s="15"/>
      <c r="AH167" s="15"/>
      <c r="AI167" s="15"/>
      <c r="AJ167" s="15"/>
      <c r="AK167" s="15"/>
      <c r="AL167" s="15"/>
      <c r="AM167" s="15"/>
    </row>
    <row r="168" spans="1:39" x14ac:dyDescent="0.25">
      <c r="A168" s="15"/>
      <c r="B168" s="15"/>
      <c r="C168" s="15"/>
      <c r="D168" s="15"/>
      <c r="E168" s="15"/>
      <c r="F168" s="15"/>
      <c r="G168" s="153"/>
      <c r="H168" s="15"/>
      <c r="I168" s="15"/>
      <c r="J168" s="15"/>
      <c r="K168" s="15"/>
      <c r="L168" s="15"/>
      <c r="M168" s="15"/>
      <c r="N168" s="15"/>
      <c r="O168" s="15"/>
      <c r="P168" s="15"/>
      <c r="Q168" s="15"/>
      <c r="R168" s="15"/>
      <c r="S168" s="15"/>
      <c r="T168" s="15"/>
      <c r="U168" s="15"/>
      <c r="V168" s="15"/>
      <c r="W168" s="15"/>
      <c r="X168" s="15"/>
      <c r="Y168" s="15"/>
      <c r="Z168" s="15"/>
      <c r="AA168" s="15"/>
      <c r="AB168" s="15"/>
      <c r="AC168" s="15"/>
      <c r="AD168" s="15"/>
      <c r="AE168" s="15"/>
      <c r="AF168" s="15"/>
      <c r="AG168" s="15"/>
      <c r="AH168" s="15"/>
      <c r="AI168" s="15"/>
      <c r="AJ168" s="15"/>
      <c r="AK168" s="15"/>
      <c r="AL168" s="15"/>
      <c r="AM168" s="15"/>
    </row>
    <row r="169" spans="1:39" x14ac:dyDescent="0.25">
      <c r="A169" s="15"/>
      <c r="B169" s="15"/>
      <c r="C169" s="15"/>
      <c r="D169" s="15"/>
      <c r="E169" s="15"/>
      <c r="F169" s="15"/>
      <c r="G169" s="153"/>
      <c r="H169" s="15"/>
      <c r="I169" s="15"/>
      <c r="J169" s="15"/>
      <c r="K169" s="15"/>
      <c r="L169" s="15"/>
      <c r="M169" s="15"/>
      <c r="N169" s="15"/>
      <c r="O169" s="15"/>
      <c r="P169" s="15"/>
      <c r="Q169" s="15"/>
      <c r="R169" s="15"/>
      <c r="S169" s="15"/>
      <c r="T169" s="15"/>
      <c r="U169" s="15"/>
      <c r="V169" s="15"/>
      <c r="W169" s="15"/>
      <c r="X169" s="15"/>
      <c r="Y169" s="15"/>
      <c r="Z169" s="15"/>
      <c r="AA169" s="15"/>
      <c r="AB169" s="15"/>
      <c r="AC169" s="15"/>
      <c r="AD169" s="15"/>
      <c r="AE169" s="15"/>
      <c r="AF169" s="15"/>
      <c r="AG169" s="15"/>
      <c r="AH169" s="15"/>
      <c r="AI169" s="15"/>
      <c r="AJ169" s="15"/>
      <c r="AK169" s="15"/>
      <c r="AL169" s="15"/>
      <c r="AM169" s="15"/>
    </row>
    <row r="170" spans="1:39" x14ac:dyDescent="0.25">
      <c r="A170" s="15"/>
      <c r="B170" s="15"/>
      <c r="C170" s="15"/>
      <c r="D170" s="15"/>
      <c r="E170" s="15"/>
      <c r="F170" s="15"/>
      <c r="G170" s="153"/>
      <c r="H170" s="15"/>
      <c r="I170" s="15"/>
      <c r="J170" s="15"/>
      <c r="K170" s="15"/>
      <c r="L170" s="15"/>
      <c r="M170" s="15"/>
      <c r="N170" s="15"/>
      <c r="O170" s="15"/>
      <c r="P170" s="15"/>
      <c r="Q170" s="15"/>
      <c r="R170" s="15"/>
      <c r="S170" s="15"/>
      <c r="T170" s="15"/>
      <c r="U170" s="15"/>
      <c r="V170" s="15"/>
      <c r="W170" s="15"/>
      <c r="X170" s="15"/>
      <c r="Y170" s="15"/>
      <c r="Z170" s="15"/>
      <c r="AA170" s="15"/>
      <c r="AB170" s="15"/>
      <c r="AC170" s="15"/>
      <c r="AD170" s="15"/>
      <c r="AE170" s="15"/>
      <c r="AF170" s="15"/>
      <c r="AG170" s="15"/>
      <c r="AH170" s="15"/>
      <c r="AI170" s="15"/>
      <c r="AJ170" s="15"/>
      <c r="AK170" s="15"/>
      <c r="AL170" s="15"/>
      <c r="AM170" s="15"/>
    </row>
    <row r="171" spans="1:39" x14ac:dyDescent="0.25">
      <c r="A171" s="15"/>
      <c r="B171" s="15"/>
      <c r="C171" s="15"/>
      <c r="D171" s="15"/>
      <c r="E171" s="15"/>
      <c r="F171" s="15"/>
      <c r="G171" s="153"/>
      <c r="H171" s="15"/>
      <c r="I171" s="15"/>
      <c r="J171" s="15"/>
      <c r="K171" s="15"/>
      <c r="L171" s="15"/>
      <c r="M171" s="15"/>
      <c r="N171" s="15"/>
      <c r="O171" s="15"/>
      <c r="P171" s="15"/>
      <c r="Q171" s="15"/>
      <c r="R171" s="15"/>
      <c r="S171" s="15"/>
      <c r="T171" s="15"/>
      <c r="U171" s="15"/>
      <c r="V171" s="15"/>
      <c r="W171" s="15"/>
      <c r="X171" s="15"/>
      <c r="Y171" s="15"/>
      <c r="Z171" s="15"/>
      <c r="AA171" s="15"/>
      <c r="AB171" s="15"/>
      <c r="AC171" s="15"/>
      <c r="AD171" s="15"/>
      <c r="AE171" s="15"/>
      <c r="AF171" s="15"/>
      <c r="AG171" s="15"/>
      <c r="AH171" s="15"/>
      <c r="AI171" s="15"/>
      <c r="AJ171" s="15"/>
      <c r="AK171" s="15"/>
      <c r="AL171" s="15"/>
      <c r="AM171" s="15"/>
    </row>
    <row r="172" spans="1:39" x14ac:dyDescent="0.25">
      <c r="A172" s="15"/>
      <c r="B172" s="15"/>
      <c r="C172" s="15"/>
      <c r="D172" s="15"/>
      <c r="E172" s="15"/>
      <c r="F172" s="15"/>
      <c r="G172" s="153"/>
      <c r="H172" s="15"/>
      <c r="I172" s="15"/>
      <c r="J172" s="15"/>
      <c r="K172" s="15"/>
      <c r="L172" s="15"/>
      <c r="M172" s="15"/>
      <c r="N172" s="15"/>
      <c r="O172" s="15"/>
      <c r="P172" s="15"/>
      <c r="Q172" s="15"/>
      <c r="R172" s="15"/>
      <c r="S172" s="15"/>
      <c r="T172" s="15"/>
      <c r="U172" s="15"/>
      <c r="V172" s="15"/>
      <c r="W172" s="15"/>
      <c r="X172" s="15"/>
      <c r="Y172" s="15"/>
      <c r="Z172" s="15"/>
      <c r="AA172" s="15"/>
      <c r="AB172" s="15"/>
      <c r="AC172" s="15"/>
      <c r="AD172" s="15"/>
      <c r="AE172" s="15"/>
      <c r="AF172" s="15"/>
      <c r="AG172" s="15"/>
      <c r="AH172" s="15"/>
      <c r="AI172" s="15"/>
      <c r="AJ172" s="15"/>
      <c r="AK172" s="15"/>
      <c r="AL172" s="15"/>
      <c r="AM172" s="15"/>
    </row>
    <row r="173" spans="1:39" x14ac:dyDescent="0.25">
      <c r="A173" s="15"/>
      <c r="B173" s="15"/>
      <c r="C173" s="15"/>
      <c r="D173" s="15"/>
      <c r="E173" s="15"/>
      <c r="F173" s="15"/>
      <c r="G173" s="153"/>
      <c r="H173" s="15"/>
      <c r="I173" s="15"/>
      <c r="J173" s="15"/>
      <c r="K173" s="15"/>
      <c r="L173" s="15"/>
      <c r="M173" s="15"/>
      <c r="N173" s="15"/>
      <c r="O173" s="15"/>
      <c r="P173" s="15"/>
      <c r="Q173" s="15"/>
      <c r="R173" s="15"/>
      <c r="S173" s="15"/>
      <c r="T173" s="15"/>
      <c r="U173" s="15"/>
      <c r="V173" s="15"/>
      <c r="W173" s="15"/>
      <c r="X173" s="15"/>
      <c r="Y173" s="15"/>
      <c r="Z173" s="15"/>
      <c r="AA173" s="15"/>
      <c r="AB173" s="15"/>
      <c r="AC173" s="15"/>
      <c r="AD173" s="15"/>
      <c r="AE173" s="15"/>
      <c r="AF173" s="15"/>
      <c r="AG173" s="15"/>
      <c r="AH173" s="15"/>
      <c r="AI173" s="15"/>
      <c r="AJ173" s="15"/>
      <c r="AK173" s="15"/>
      <c r="AL173" s="15"/>
      <c r="AM173" s="15"/>
    </row>
    <row r="174" spans="1:39" x14ac:dyDescent="0.25">
      <c r="A174" s="15"/>
      <c r="B174" s="15"/>
      <c r="C174" s="15"/>
      <c r="D174" s="15"/>
      <c r="E174" s="15"/>
      <c r="F174" s="15"/>
      <c r="G174" s="153"/>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row>
    <row r="175" spans="1:39" x14ac:dyDescent="0.25">
      <c r="A175" s="15"/>
      <c r="B175" s="15"/>
      <c r="C175" s="15"/>
      <c r="D175" s="15"/>
      <c r="E175" s="15"/>
      <c r="F175" s="15"/>
      <c r="G175" s="153"/>
      <c r="H175" s="15"/>
      <c r="I175" s="15"/>
      <c r="J175" s="15"/>
      <c r="K175" s="15"/>
      <c r="L175" s="15"/>
      <c r="M175" s="15"/>
      <c r="N175" s="15"/>
      <c r="O175" s="15"/>
      <c r="P175" s="15"/>
      <c r="Q175" s="15"/>
      <c r="R175" s="15"/>
      <c r="S175" s="15"/>
      <c r="T175" s="15"/>
      <c r="U175" s="15"/>
      <c r="V175" s="15"/>
      <c r="W175" s="15"/>
      <c r="X175" s="15"/>
      <c r="Y175" s="15"/>
      <c r="Z175" s="15"/>
      <c r="AA175" s="15"/>
      <c r="AB175" s="15"/>
      <c r="AC175" s="15"/>
      <c r="AD175" s="15"/>
      <c r="AE175" s="15"/>
      <c r="AF175" s="15"/>
      <c r="AG175" s="15"/>
      <c r="AH175" s="15"/>
      <c r="AI175" s="15"/>
      <c r="AJ175" s="15"/>
      <c r="AK175" s="15"/>
      <c r="AL175" s="15"/>
      <c r="AM175" s="15"/>
    </row>
    <row r="176" spans="1:39" x14ac:dyDescent="0.25">
      <c r="A176" s="15"/>
      <c r="B176" s="15"/>
      <c r="C176" s="15"/>
      <c r="D176" s="15"/>
      <c r="E176" s="15"/>
      <c r="F176" s="15"/>
      <c r="G176" s="153"/>
      <c r="H176" s="15"/>
      <c r="I176" s="15"/>
      <c r="J176" s="15"/>
      <c r="K176" s="15"/>
      <c r="L176" s="15"/>
      <c r="M176" s="15"/>
      <c r="N176" s="15"/>
      <c r="O176" s="15"/>
      <c r="P176" s="15"/>
      <c r="Q176" s="15"/>
      <c r="R176" s="15"/>
      <c r="S176" s="15"/>
      <c r="T176" s="15"/>
      <c r="U176" s="15"/>
      <c r="V176" s="15"/>
      <c r="W176" s="15"/>
      <c r="X176" s="15"/>
      <c r="Y176" s="15"/>
      <c r="Z176" s="15"/>
      <c r="AA176" s="15"/>
      <c r="AB176" s="15"/>
      <c r="AC176" s="15"/>
      <c r="AD176" s="15"/>
      <c r="AE176" s="15"/>
      <c r="AF176" s="15"/>
      <c r="AG176" s="15"/>
      <c r="AH176" s="15"/>
      <c r="AI176" s="15"/>
      <c r="AJ176" s="15"/>
      <c r="AK176" s="15"/>
      <c r="AL176" s="15"/>
      <c r="AM176" s="15"/>
    </row>
    <row r="177" spans="1:39" x14ac:dyDescent="0.25">
      <c r="A177" s="15"/>
      <c r="B177" s="15"/>
      <c r="C177" s="15"/>
      <c r="D177" s="15"/>
      <c r="E177" s="15"/>
      <c r="F177" s="15"/>
      <c r="G177" s="153"/>
      <c r="H177" s="15"/>
      <c r="I177" s="15"/>
      <c r="J177" s="15"/>
      <c r="K177" s="15"/>
      <c r="L177" s="15"/>
      <c r="M177" s="15"/>
      <c r="N177" s="15"/>
      <c r="O177" s="15"/>
      <c r="P177" s="15"/>
      <c r="Q177" s="15"/>
      <c r="R177" s="15"/>
      <c r="S177" s="15"/>
      <c r="T177" s="15"/>
      <c r="U177" s="15"/>
      <c r="V177" s="15"/>
      <c r="W177" s="15"/>
      <c r="X177" s="15"/>
      <c r="Y177" s="15"/>
      <c r="Z177" s="15"/>
      <c r="AA177" s="15"/>
      <c r="AB177" s="15"/>
      <c r="AC177" s="15"/>
      <c r="AD177" s="15"/>
      <c r="AE177" s="15"/>
      <c r="AF177" s="15"/>
      <c r="AG177" s="15"/>
      <c r="AH177" s="15"/>
      <c r="AI177" s="15"/>
      <c r="AJ177" s="15"/>
      <c r="AK177" s="15"/>
      <c r="AL177" s="15"/>
      <c r="AM177" s="15"/>
    </row>
    <row r="178" spans="1:39" x14ac:dyDescent="0.25">
      <c r="A178" s="15"/>
      <c r="B178" s="15"/>
      <c r="C178" s="15"/>
      <c r="D178" s="15"/>
      <c r="E178" s="15"/>
      <c r="F178" s="15"/>
      <c r="G178" s="153"/>
      <c r="H178" s="15"/>
      <c r="I178" s="15"/>
      <c r="J178" s="15"/>
      <c r="K178" s="15"/>
      <c r="L178" s="15"/>
      <c r="M178" s="15"/>
      <c r="N178" s="15"/>
      <c r="O178" s="15"/>
      <c r="P178" s="15"/>
      <c r="Q178" s="15"/>
      <c r="R178" s="15"/>
      <c r="S178" s="15"/>
      <c r="T178" s="15"/>
      <c r="U178" s="15"/>
      <c r="V178" s="15"/>
      <c r="W178" s="15"/>
      <c r="X178" s="15"/>
      <c r="Y178" s="15"/>
      <c r="Z178" s="15"/>
      <c r="AA178" s="15"/>
      <c r="AB178" s="15"/>
      <c r="AC178" s="15"/>
      <c r="AD178" s="15"/>
      <c r="AE178" s="15"/>
      <c r="AF178" s="15"/>
      <c r="AG178" s="15"/>
      <c r="AH178" s="15"/>
      <c r="AI178" s="15"/>
      <c r="AJ178" s="15"/>
      <c r="AK178" s="15"/>
      <c r="AL178" s="15"/>
      <c r="AM178" s="15"/>
    </row>
    <row r="179" spans="1:39" x14ac:dyDescent="0.25">
      <c r="A179" s="15"/>
      <c r="B179" s="15"/>
      <c r="C179" s="15"/>
      <c r="D179" s="15"/>
      <c r="E179" s="15"/>
      <c r="F179" s="15"/>
      <c r="G179" s="153"/>
      <c r="H179" s="15"/>
      <c r="I179" s="15"/>
      <c r="J179" s="15"/>
      <c r="K179" s="15"/>
      <c r="L179" s="15"/>
      <c r="M179" s="15"/>
      <c r="N179" s="15"/>
      <c r="O179" s="15"/>
      <c r="P179" s="15"/>
      <c r="Q179" s="15"/>
      <c r="R179" s="15"/>
      <c r="S179" s="15"/>
      <c r="T179" s="15"/>
      <c r="U179" s="15"/>
      <c r="V179" s="15"/>
      <c r="W179" s="15"/>
      <c r="X179" s="15"/>
      <c r="Y179" s="15"/>
      <c r="Z179" s="15"/>
      <c r="AA179" s="15"/>
      <c r="AB179" s="15"/>
      <c r="AC179" s="15"/>
      <c r="AD179" s="15"/>
      <c r="AE179" s="15"/>
      <c r="AF179" s="15"/>
      <c r="AG179" s="15"/>
      <c r="AH179" s="15"/>
      <c r="AI179" s="15"/>
      <c r="AJ179" s="15"/>
      <c r="AK179" s="15"/>
      <c r="AL179" s="15"/>
      <c r="AM179" s="15"/>
    </row>
    <row r="180" spans="1:39" x14ac:dyDescent="0.25">
      <c r="A180" s="15"/>
      <c r="B180" s="15"/>
      <c r="C180" s="15"/>
      <c r="D180" s="15"/>
      <c r="E180" s="15"/>
      <c r="F180" s="15"/>
      <c r="G180" s="153"/>
      <c r="H180" s="15"/>
      <c r="I180" s="15"/>
      <c r="J180" s="15"/>
      <c r="K180" s="15"/>
      <c r="L180" s="15"/>
      <c r="M180" s="15"/>
      <c r="N180" s="15"/>
      <c r="O180" s="15"/>
      <c r="P180" s="15"/>
      <c r="Q180" s="15"/>
      <c r="R180" s="15"/>
      <c r="S180" s="15"/>
      <c r="T180" s="15"/>
      <c r="U180" s="15"/>
      <c r="V180" s="15"/>
      <c r="W180" s="15"/>
      <c r="X180" s="15"/>
      <c r="Y180" s="15"/>
      <c r="Z180" s="15"/>
      <c r="AA180" s="15"/>
      <c r="AB180" s="15"/>
      <c r="AC180" s="15"/>
      <c r="AD180" s="15"/>
      <c r="AE180" s="15"/>
      <c r="AF180" s="15"/>
      <c r="AG180" s="15"/>
      <c r="AH180" s="15"/>
      <c r="AI180" s="15"/>
      <c r="AJ180" s="15"/>
      <c r="AK180" s="15"/>
      <c r="AL180" s="15"/>
      <c r="AM180" s="15"/>
    </row>
    <row r="181" spans="1:39" x14ac:dyDescent="0.25">
      <c r="A181" s="15"/>
      <c r="B181" s="15"/>
      <c r="C181" s="15"/>
      <c r="D181" s="15"/>
      <c r="E181" s="15"/>
      <c r="F181" s="15"/>
      <c r="G181" s="153"/>
      <c r="H181" s="15"/>
      <c r="I181" s="15"/>
      <c r="J181" s="15"/>
      <c r="K181" s="15"/>
      <c r="L181" s="15"/>
      <c r="M181" s="15"/>
      <c r="N181" s="15"/>
      <c r="O181" s="15"/>
      <c r="P181" s="15"/>
      <c r="Q181" s="15"/>
      <c r="R181" s="15"/>
      <c r="S181" s="15"/>
      <c r="T181" s="15"/>
      <c r="U181" s="15"/>
      <c r="V181" s="15"/>
      <c r="W181" s="15"/>
      <c r="X181" s="15"/>
      <c r="Y181" s="15"/>
      <c r="Z181" s="15"/>
      <c r="AA181" s="15"/>
      <c r="AB181" s="15"/>
      <c r="AC181" s="15"/>
      <c r="AD181" s="15"/>
      <c r="AE181" s="15"/>
      <c r="AF181" s="15"/>
      <c r="AG181" s="15"/>
      <c r="AH181" s="15"/>
      <c r="AI181" s="15"/>
      <c r="AJ181" s="15"/>
      <c r="AK181" s="15"/>
      <c r="AL181" s="15"/>
      <c r="AM181" s="15"/>
    </row>
    <row r="182" spans="1:39" x14ac:dyDescent="0.25">
      <c r="A182" s="15"/>
      <c r="B182" s="15"/>
      <c r="C182" s="15"/>
      <c r="D182" s="15"/>
      <c r="E182" s="15"/>
      <c r="F182" s="15"/>
      <c r="G182" s="153"/>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row>
    <row r="183" spans="1:39" x14ac:dyDescent="0.25">
      <c r="A183" s="15"/>
      <c r="B183" s="15"/>
      <c r="C183" s="15"/>
      <c r="D183" s="15"/>
      <c r="E183" s="15"/>
      <c r="F183" s="15"/>
      <c r="G183" s="153"/>
      <c r="H183" s="15"/>
      <c r="I183" s="15"/>
      <c r="J183" s="15"/>
      <c r="K183" s="15"/>
      <c r="L183" s="15"/>
      <c r="M183" s="15"/>
      <c r="N183" s="15"/>
      <c r="O183" s="15"/>
      <c r="P183" s="15"/>
      <c r="Q183" s="15"/>
      <c r="R183" s="15"/>
      <c r="S183" s="15"/>
      <c r="T183" s="15"/>
      <c r="U183" s="15"/>
      <c r="V183" s="15"/>
      <c r="W183" s="15"/>
      <c r="X183" s="15"/>
      <c r="Y183" s="15"/>
      <c r="Z183" s="15"/>
      <c r="AA183" s="15"/>
      <c r="AB183" s="15"/>
      <c r="AC183" s="15"/>
      <c r="AD183" s="15"/>
      <c r="AE183" s="15"/>
      <c r="AF183" s="15"/>
      <c r="AG183" s="15"/>
      <c r="AH183" s="15"/>
      <c r="AI183" s="15"/>
      <c r="AJ183" s="15"/>
      <c r="AK183" s="15"/>
      <c r="AL183" s="15"/>
      <c r="AM183" s="15"/>
    </row>
    <row r="184" spans="1:39" x14ac:dyDescent="0.25">
      <c r="A184" s="15"/>
      <c r="B184" s="15"/>
      <c r="C184" s="15"/>
      <c r="D184" s="15"/>
      <c r="E184" s="15"/>
      <c r="F184" s="15"/>
      <c r="G184" s="153"/>
      <c r="H184" s="15"/>
      <c r="I184" s="15"/>
      <c r="J184" s="15"/>
      <c r="K184" s="15"/>
      <c r="L184" s="15"/>
      <c r="M184" s="15"/>
      <c r="N184" s="15"/>
      <c r="O184" s="15"/>
      <c r="P184" s="15"/>
      <c r="Q184" s="15"/>
      <c r="R184" s="15"/>
      <c r="S184" s="15"/>
      <c r="T184" s="15"/>
      <c r="U184" s="15"/>
      <c r="V184" s="15"/>
      <c r="W184" s="15"/>
      <c r="X184" s="15"/>
      <c r="Y184" s="15"/>
      <c r="Z184" s="15"/>
      <c r="AA184" s="15"/>
      <c r="AB184" s="15"/>
      <c r="AC184" s="15"/>
      <c r="AD184" s="15"/>
      <c r="AE184" s="15"/>
      <c r="AF184" s="15"/>
      <c r="AG184" s="15"/>
      <c r="AH184" s="15"/>
      <c r="AI184" s="15"/>
      <c r="AJ184" s="15"/>
      <c r="AK184" s="15"/>
      <c r="AL184" s="15"/>
      <c r="AM184" s="15"/>
    </row>
    <row r="185" spans="1:39" x14ac:dyDescent="0.25">
      <c r="A185" s="15"/>
      <c r="B185" s="15"/>
      <c r="C185" s="15"/>
      <c r="D185" s="15"/>
      <c r="E185" s="15"/>
      <c r="F185" s="15"/>
      <c r="G185" s="153"/>
      <c r="H185" s="15"/>
      <c r="I185" s="15"/>
      <c r="J185" s="15"/>
      <c r="K185" s="15"/>
      <c r="L185" s="15"/>
      <c r="M185" s="15"/>
      <c r="N185" s="15"/>
      <c r="O185" s="15"/>
      <c r="P185" s="15"/>
      <c r="Q185" s="15"/>
      <c r="R185" s="15"/>
      <c r="S185" s="15"/>
      <c r="T185" s="15"/>
      <c r="U185" s="15"/>
      <c r="V185" s="15"/>
      <c r="W185" s="15"/>
      <c r="X185" s="15"/>
      <c r="Y185" s="15"/>
      <c r="Z185" s="15"/>
      <c r="AA185" s="15"/>
      <c r="AB185" s="15"/>
      <c r="AC185" s="15"/>
      <c r="AD185" s="15"/>
      <c r="AE185" s="15"/>
      <c r="AF185" s="15"/>
      <c r="AG185" s="15"/>
      <c r="AH185" s="15"/>
      <c r="AI185" s="15"/>
      <c r="AJ185" s="15"/>
      <c r="AK185" s="15"/>
      <c r="AL185" s="15"/>
      <c r="AM185" s="15"/>
    </row>
    <row r="186" spans="1:39" x14ac:dyDescent="0.25">
      <c r="A186" s="15"/>
      <c r="B186" s="15"/>
      <c r="C186" s="15"/>
      <c r="D186" s="15"/>
      <c r="E186" s="15"/>
      <c r="F186" s="15"/>
      <c r="G186" s="153"/>
      <c r="H186" s="15"/>
      <c r="I186" s="15"/>
      <c r="J186" s="15"/>
      <c r="K186" s="15"/>
      <c r="L186" s="15"/>
      <c r="M186" s="15"/>
      <c r="N186" s="15"/>
      <c r="O186" s="15"/>
      <c r="P186" s="15"/>
      <c r="Q186" s="15"/>
      <c r="R186" s="15"/>
      <c r="S186" s="15"/>
      <c r="T186" s="15"/>
      <c r="U186" s="15"/>
      <c r="V186" s="15"/>
      <c r="W186" s="15"/>
      <c r="X186" s="15"/>
      <c r="Y186" s="15"/>
      <c r="Z186" s="15"/>
      <c r="AA186" s="15"/>
      <c r="AB186" s="15"/>
      <c r="AC186" s="15"/>
      <c r="AD186" s="15"/>
      <c r="AE186" s="15"/>
      <c r="AF186" s="15"/>
      <c r="AG186" s="15"/>
      <c r="AH186" s="15"/>
      <c r="AI186" s="15"/>
      <c r="AJ186" s="15"/>
      <c r="AK186" s="15"/>
      <c r="AL186" s="15"/>
      <c r="AM186" s="15"/>
    </row>
    <row r="187" spans="1:39" x14ac:dyDescent="0.25">
      <c r="A187" s="15"/>
      <c r="B187" s="15"/>
      <c r="C187" s="15"/>
      <c r="D187" s="15"/>
      <c r="E187" s="15"/>
      <c r="F187" s="15"/>
      <c r="G187" s="153"/>
      <c r="H187" s="15"/>
      <c r="I187" s="15"/>
      <c r="J187" s="15"/>
      <c r="K187" s="15"/>
      <c r="L187" s="15"/>
      <c r="M187" s="15"/>
      <c r="N187" s="15"/>
      <c r="O187" s="15"/>
      <c r="P187" s="15"/>
      <c r="Q187" s="15"/>
      <c r="R187" s="15"/>
      <c r="S187" s="15"/>
      <c r="T187" s="15"/>
      <c r="U187" s="15"/>
      <c r="V187" s="15"/>
      <c r="W187" s="15"/>
      <c r="X187" s="15"/>
      <c r="Y187" s="15"/>
      <c r="Z187" s="15"/>
      <c r="AA187" s="15"/>
      <c r="AB187" s="15"/>
      <c r="AC187" s="15"/>
      <c r="AD187" s="15"/>
      <c r="AE187" s="15"/>
      <c r="AF187" s="15"/>
      <c r="AG187" s="15"/>
      <c r="AH187" s="15"/>
      <c r="AI187" s="15"/>
      <c r="AJ187" s="15"/>
      <c r="AK187" s="15"/>
      <c r="AL187" s="15"/>
      <c r="AM187" s="15"/>
    </row>
    <row r="188" spans="1:39" x14ac:dyDescent="0.25">
      <c r="A188" s="15"/>
      <c r="B188" s="15"/>
      <c r="C188" s="15"/>
      <c r="D188" s="15"/>
      <c r="E188" s="15"/>
      <c r="F188" s="15"/>
      <c r="G188" s="153"/>
      <c r="H188" s="15"/>
      <c r="I188" s="15"/>
      <c r="J188" s="15"/>
      <c r="K188" s="15"/>
      <c r="L188" s="15"/>
      <c r="M188" s="15"/>
      <c r="N188" s="15"/>
      <c r="O188" s="15"/>
      <c r="P188" s="15"/>
      <c r="Q188" s="15"/>
      <c r="R188" s="15"/>
      <c r="S188" s="15"/>
      <c r="T188" s="15"/>
      <c r="U188" s="15"/>
      <c r="V188" s="15"/>
      <c r="W188" s="15"/>
      <c r="X188" s="15"/>
      <c r="Y188" s="15"/>
      <c r="Z188" s="15"/>
      <c r="AA188" s="15"/>
      <c r="AB188" s="15"/>
      <c r="AC188" s="15"/>
      <c r="AD188" s="15"/>
      <c r="AE188" s="15"/>
      <c r="AF188" s="15"/>
      <c r="AG188" s="15"/>
      <c r="AH188" s="15"/>
      <c r="AI188" s="15"/>
      <c r="AJ188" s="15"/>
      <c r="AK188" s="15"/>
      <c r="AL188" s="15"/>
      <c r="AM188" s="15"/>
    </row>
    <row r="189" spans="1:39" x14ac:dyDescent="0.25">
      <c r="A189" s="15"/>
      <c r="B189" s="15"/>
      <c r="C189" s="15"/>
      <c r="D189" s="15"/>
      <c r="E189" s="15"/>
      <c r="F189" s="15"/>
      <c r="G189" s="153"/>
      <c r="H189" s="15"/>
      <c r="I189" s="15"/>
      <c r="J189" s="15"/>
      <c r="K189" s="15"/>
      <c r="L189" s="15"/>
      <c r="M189" s="15"/>
      <c r="N189" s="15"/>
      <c r="O189" s="15"/>
      <c r="P189" s="15"/>
      <c r="Q189" s="15"/>
      <c r="R189" s="15"/>
      <c r="S189" s="15"/>
      <c r="T189" s="15"/>
      <c r="U189" s="15"/>
      <c r="V189" s="15"/>
      <c r="W189" s="15"/>
      <c r="X189" s="15"/>
      <c r="Y189" s="15"/>
      <c r="Z189" s="15"/>
      <c r="AA189" s="15"/>
      <c r="AB189" s="15"/>
      <c r="AC189" s="15"/>
      <c r="AD189" s="15"/>
      <c r="AE189" s="15"/>
      <c r="AF189" s="15"/>
      <c r="AG189" s="15"/>
      <c r="AH189" s="15"/>
      <c r="AI189" s="15"/>
      <c r="AJ189" s="15"/>
      <c r="AK189" s="15"/>
      <c r="AL189" s="15"/>
      <c r="AM189" s="15"/>
    </row>
    <row r="190" spans="1:39" x14ac:dyDescent="0.25">
      <c r="A190" s="15"/>
      <c r="B190" s="15"/>
      <c r="C190" s="15"/>
      <c r="D190" s="15"/>
      <c r="E190" s="15"/>
      <c r="F190" s="15"/>
      <c r="G190" s="153"/>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row>
    <row r="191" spans="1:39" x14ac:dyDescent="0.25">
      <c r="A191" s="15"/>
      <c r="B191" s="15"/>
      <c r="C191" s="15"/>
      <c r="D191" s="15"/>
      <c r="E191" s="15"/>
      <c r="F191" s="15"/>
      <c r="G191" s="153"/>
      <c r="H191" s="15"/>
      <c r="I191" s="15"/>
      <c r="J191" s="15"/>
      <c r="K191" s="15"/>
      <c r="L191" s="15"/>
      <c r="M191" s="15"/>
      <c r="N191" s="15"/>
      <c r="O191" s="15"/>
      <c r="P191" s="15"/>
      <c r="Q191" s="15"/>
      <c r="R191" s="15"/>
      <c r="S191" s="15"/>
      <c r="T191" s="15"/>
      <c r="U191" s="15"/>
      <c r="V191" s="15"/>
      <c r="W191" s="15"/>
      <c r="X191" s="15"/>
      <c r="Y191" s="15"/>
      <c r="Z191" s="15"/>
      <c r="AA191" s="15"/>
      <c r="AB191" s="15"/>
      <c r="AC191" s="15"/>
      <c r="AD191" s="15"/>
      <c r="AE191" s="15"/>
      <c r="AF191" s="15"/>
      <c r="AG191" s="15"/>
      <c r="AH191" s="15"/>
      <c r="AI191" s="15"/>
      <c r="AJ191" s="15"/>
      <c r="AK191" s="15"/>
      <c r="AL191" s="15"/>
      <c r="AM191" s="15"/>
    </row>
    <row r="192" spans="1:39" x14ac:dyDescent="0.25">
      <c r="A192" s="15"/>
      <c r="B192" s="15"/>
      <c r="C192" s="15"/>
      <c r="D192" s="15"/>
      <c r="E192" s="15"/>
      <c r="F192" s="15"/>
      <c r="G192" s="153"/>
      <c r="H192" s="15"/>
      <c r="I192" s="15"/>
      <c r="J192" s="15"/>
      <c r="K192" s="15"/>
      <c r="L192" s="15"/>
      <c r="M192" s="15"/>
      <c r="N192" s="15"/>
      <c r="O192" s="15"/>
      <c r="P192" s="15"/>
      <c r="Q192" s="15"/>
      <c r="R192" s="15"/>
      <c r="S192" s="15"/>
      <c r="T192" s="15"/>
      <c r="U192" s="15"/>
      <c r="V192" s="15"/>
      <c r="W192" s="15"/>
      <c r="X192" s="15"/>
      <c r="Y192" s="15"/>
      <c r="Z192" s="15"/>
      <c r="AA192" s="15"/>
      <c r="AB192" s="15"/>
      <c r="AC192" s="15"/>
      <c r="AD192" s="15"/>
      <c r="AE192" s="15"/>
      <c r="AF192" s="15"/>
      <c r="AG192" s="15"/>
      <c r="AH192" s="15"/>
      <c r="AI192" s="15"/>
      <c r="AJ192" s="15"/>
      <c r="AK192" s="15"/>
      <c r="AL192" s="15"/>
      <c r="AM192" s="15"/>
    </row>
    <row r="193" spans="1:39" x14ac:dyDescent="0.25">
      <c r="A193" s="15"/>
      <c r="B193" s="15"/>
      <c r="C193" s="15"/>
      <c r="D193" s="15"/>
      <c r="E193" s="15"/>
      <c r="F193" s="15"/>
      <c r="G193" s="153"/>
      <c r="H193" s="15"/>
      <c r="I193" s="15"/>
      <c r="J193" s="15"/>
      <c r="K193" s="15"/>
      <c r="L193" s="15"/>
      <c r="M193" s="15"/>
      <c r="N193" s="15"/>
      <c r="O193" s="15"/>
      <c r="P193" s="15"/>
      <c r="Q193" s="15"/>
      <c r="R193" s="15"/>
      <c r="S193" s="15"/>
      <c r="T193" s="15"/>
      <c r="U193" s="15"/>
      <c r="V193" s="15"/>
      <c r="W193" s="15"/>
      <c r="X193" s="15"/>
      <c r="Y193" s="15"/>
      <c r="Z193" s="15"/>
      <c r="AA193" s="15"/>
      <c r="AB193" s="15"/>
      <c r="AC193" s="15"/>
      <c r="AD193" s="15"/>
      <c r="AE193" s="15"/>
      <c r="AF193" s="15"/>
      <c r="AG193" s="15"/>
      <c r="AH193" s="15"/>
      <c r="AI193" s="15"/>
      <c r="AJ193" s="15"/>
      <c r="AK193" s="15"/>
      <c r="AL193" s="15"/>
      <c r="AM193" s="15"/>
    </row>
    <row r="194" spans="1:39" x14ac:dyDescent="0.25">
      <c r="A194" s="15"/>
      <c r="B194" s="15"/>
      <c r="C194" s="15"/>
      <c r="D194" s="15"/>
      <c r="E194" s="15"/>
      <c r="F194" s="15"/>
      <c r="G194" s="153"/>
      <c r="H194" s="15"/>
      <c r="I194" s="15"/>
      <c r="J194" s="15"/>
      <c r="K194" s="15"/>
      <c r="L194" s="15"/>
      <c r="M194" s="15"/>
      <c r="N194" s="15"/>
      <c r="O194" s="15"/>
      <c r="P194" s="15"/>
      <c r="Q194" s="15"/>
      <c r="R194" s="15"/>
      <c r="S194" s="15"/>
      <c r="T194" s="15"/>
      <c r="U194" s="15"/>
      <c r="V194" s="15"/>
      <c r="W194" s="15"/>
      <c r="X194" s="15"/>
      <c r="Y194" s="15"/>
      <c r="Z194" s="15"/>
      <c r="AA194" s="15"/>
      <c r="AB194" s="15"/>
      <c r="AC194" s="15"/>
      <c r="AD194" s="15"/>
      <c r="AE194" s="15"/>
      <c r="AF194" s="15"/>
      <c r="AG194" s="15"/>
      <c r="AH194" s="15"/>
      <c r="AI194" s="15"/>
      <c r="AJ194" s="15"/>
      <c r="AK194" s="15"/>
      <c r="AL194" s="15"/>
      <c r="AM194" s="15"/>
    </row>
    <row r="195" spans="1:39" x14ac:dyDescent="0.25">
      <c r="A195" s="15"/>
      <c r="B195" s="15"/>
      <c r="C195" s="15"/>
      <c r="D195" s="15"/>
      <c r="E195" s="15"/>
      <c r="F195" s="15"/>
      <c r="G195" s="153"/>
      <c r="H195" s="15"/>
      <c r="I195" s="15"/>
      <c r="J195" s="15"/>
      <c r="K195" s="15"/>
      <c r="L195" s="15"/>
      <c r="M195" s="15"/>
      <c r="N195" s="15"/>
      <c r="O195" s="15"/>
      <c r="P195" s="15"/>
      <c r="Q195" s="15"/>
      <c r="R195" s="15"/>
      <c r="S195" s="15"/>
      <c r="T195" s="15"/>
      <c r="U195" s="15"/>
      <c r="V195" s="15"/>
      <c r="W195" s="15"/>
      <c r="X195" s="15"/>
      <c r="Y195" s="15"/>
      <c r="Z195" s="15"/>
      <c r="AA195" s="15"/>
      <c r="AB195" s="15"/>
      <c r="AC195" s="15"/>
      <c r="AD195" s="15"/>
      <c r="AE195" s="15"/>
      <c r="AF195" s="15"/>
      <c r="AG195" s="15"/>
      <c r="AH195" s="15"/>
      <c r="AI195" s="15"/>
      <c r="AJ195" s="15"/>
      <c r="AK195" s="15"/>
      <c r="AL195" s="15"/>
      <c r="AM195" s="15"/>
    </row>
    <row r="196" spans="1:39" x14ac:dyDescent="0.25">
      <c r="A196" s="15"/>
      <c r="B196" s="15"/>
      <c r="C196" s="15"/>
      <c r="D196" s="15"/>
      <c r="E196" s="15"/>
      <c r="F196" s="15"/>
      <c r="G196" s="153"/>
      <c r="H196" s="15"/>
      <c r="I196" s="15"/>
      <c r="J196" s="15"/>
      <c r="K196" s="15"/>
      <c r="L196" s="15"/>
      <c r="M196" s="15"/>
      <c r="N196" s="15"/>
      <c r="O196" s="15"/>
      <c r="P196" s="15"/>
      <c r="Q196" s="15"/>
      <c r="R196" s="15"/>
      <c r="S196" s="15"/>
      <c r="T196" s="15"/>
      <c r="U196" s="15"/>
      <c r="V196" s="15"/>
      <c r="W196" s="15"/>
      <c r="X196" s="15"/>
      <c r="Y196" s="15"/>
      <c r="Z196" s="15"/>
      <c r="AA196" s="15"/>
      <c r="AB196" s="15"/>
      <c r="AC196" s="15"/>
      <c r="AD196" s="15"/>
      <c r="AE196" s="15"/>
      <c r="AF196" s="15"/>
      <c r="AG196" s="15"/>
      <c r="AH196" s="15"/>
      <c r="AI196" s="15"/>
      <c r="AJ196" s="15"/>
      <c r="AK196" s="15"/>
      <c r="AL196" s="15"/>
      <c r="AM196" s="15"/>
    </row>
    <row r="197" spans="1:39" x14ac:dyDescent="0.25">
      <c r="G197" s="153"/>
    </row>
    <row r="198" spans="1:39" x14ac:dyDescent="0.25">
      <c r="G198" s="153"/>
    </row>
    <row r="199" spans="1:39" x14ac:dyDescent="0.25">
      <c r="G199" s="153"/>
    </row>
  </sheetData>
  <sheetProtection selectLockedCells="1"/>
  <mergeCells count="19">
    <mergeCell ref="B99:B100"/>
    <mergeCell ref="L2:M2"/>
    <mergeCell ref="A1:M1"/>
    <mergeCell ref="D11:E12"/>
    <mergeCell ref="B82:C86"/>
    <mergeCell ref="B16:B19"/>
    <mergeCell ref="D14:G15"/>
    <mergeCell ref="D22:F22"/>
    <mergeCell ref="D24:F25"/>
    <mergeCell ref="D16:I16"/>
    <mergeCell ref="D17:I17"/>
    <mergeCell ref="D18:I18"/>
    <mergeCell ref="D19:I19"/>
    <mergeCell ref="D23:F23"/>
    <mergeCell ref="B33:B34"/>
    <mergeCell ref="B45:B47"/>
    <mergeCell ref="I66:M67"/>
    <mergeCell ref="AT60:AT66"/>
    <mergeCell ref="B61:B67"/>
  </mergeCells>
  <phoneticPr fontId="4" type="noConversion"/>
  <conditionalFormatting sqref="E96">
    <cfRule type="expression" dxfId="30" priority="73" stopIfTrue="1">
      <formula>#REF!="Option A"</formula>
    </cfRule>
  </conditionalFormatting>
  <conditionalFormatting sqref="F40">
    <cfRule type="cellIs" dxfId="29" priority="74" stopIfTrue="1" operator="greaterThan">
      <formula>200</formula>
    </cfRule>
  </conditionalFormatting>
  <conditionalFormatting sqref="G96">
    <cfRule type="expression" dxfId="28" priority="64">
      <formula>#REF!="Option A"</formula>
    </cfRule>
  </conditionalFormatting>
  <conditionalFormatting sqref="F61">
    <cfRule type="colorScale" priority="38">
      <colorScale>
        <cfvo type="min"/>
        <cfvo type="formula" val="$AN$54*0.8"/>
        <cfvo type="num" val="$AN$54"/>
        <color theme="0"/>
        <color rgb="FFFFC000"/>
        <color rgb="FFFF0000"/>
      </colorScale>
    </cfRule>
  </conditionalFormatting>
  <conditionalFormatting sqref="F41:F42">
    <cfRule type="cellIs" dxfId="27" priority="35" operator="equal">
      <formula>"NA"</formula>
    </cfRule>
    <cfRule type="cellIs" dxfId="26" priority="41" operator="equal">
      <formula>"""NA"""</formula>
    </cfRule>
  </conditionalFormatting>
  <conditionalFormatting sqref="F73">
    <cfRule type="cellIs" dxfId="25" priority="80" operator="lessThan">
      <formula>0.25</formula>
    </cfRule>
  </conditionalFormatting>
  <conditionalFormatting sqref="F76">
    <cfRule type="cellIs" dxfId="24" priority="31" operator="lessThan">
      <formula>$F$75</formula>
    </cfRule>
  </conditionalFormatting>
  <conditionalFormatting sqref="F78">
    <cfRule type="cellIs" dxfId="23" priority="28" operator="lessThan">
      <formula>1.1</formula>
    </cfRule>
    <cfRule type="cellIs" dxfId="22" priority="29" operator="between">
      <formula>1.1</formula>
      <formula>1.3</formula>
    </cfRule>
  </conditionalFormatting>
  <conditionalFormatting sqref="E71:F71">
    <cfRule type="expression" dxfId="21" priority="78">
      <formula>#REF!="Yes"</formula>
    </cfRule>
  </conditionalFormatting>
  <conditionalFormatting sqref="G82 G84:G89">
    <cfRule type="expression" dxfId="20" priority="26">
      <formula>#REF!="Yes"</formula>
    </cfRule>
  </conditionalFormatting>
  <conditionalFormatting sqref="E72:G78">
    <cfRule type="expression" dxfId="19" priority="24" stopIfTrue="1">
      <formula>$F$71="Yes"</formula>
    </cfRule>
  </conditionalFormatting>
  <conditionalFormatting sqref="B79:G91">
    <cfRule type="expression" dxfId="18" priority="18" stopIfTrue="1">
      <formula>$F$71="NO"</formula>
    </cfRule>
  </conditionalFormatting>
  <conditionalFormatting sqref="F82 F85">
    <cfRule type="cellIs" dxfId="17" priority="19" operator="greaterThanOrEqual">
      <formula>$F$80</formula>
    </cfRule>
  </conditionalFormatting>
  <conditionalFormatting sqref="F86 F91">
    <cfRule type="cellIs" dxfId="16" priority="20" operator="between">
      <formula>1.1</formula>
      <formula>1.2999</formula>
    </cfRule>
    <cfRule type="cellIs" dxfId="15" priority="21" operator="lessThan">
      <formula>1.1</formula>
    </cfRule>
  </conditionalFormatting>
  <conditionalFormatting sqref="F67">
    <cfRule type="cellIs" dxfId="14" priority="17" operator="lessThan">
      <formula>$F$62</formula>
    </cfRule>
  </conditionalFormatting>
  <conditionalFormatting sqref="F79">
    <cfRule type="expression" dxfId="13" priority="16">
      <formula>#REF!="Yes"</formula>
    </cfRule>
  </conditionalFormatting>
  <conditionalFormatting sqref="E41:G45">
    <cfRule type="expression" dxfId="12" priority="13" stopIfTrue="1">
      <formula>IF($F$39="No", "TRUE", "FALSE")</formula>
    </cfRule>
  </conditionalFormatting>
  <conditionalFormatting sqref="F46:F48">
    <cfRule type="cellIs" dxfId="11" priority="12" operator="lessThan">
      <formula>$F$30</formula>
    </cfRule>
  </conditionalFormatting>
  <conditionalFormatting sqref="B82">
    <cfRule type="expression" dxfId="10" priority="11" stopIfTrue="1">
      <formula>$F$71="NO"</formula>
    </cfRule>
  </conditionalFormatting>
  <conditionalFormatting sqref="B33:AM49 B68:AM99 C61:AM65 B101:AM124 C100:AM100 C67:H67 C66:I66 N66:AM67 B27:E32 G27:AM32 B60:AM60 B50:E59 G50:AM59">
    <cfRule type="expression" dxfId="9" priority="9">
      <formula>$G$23="No"</formula>
    </cfRule>
    <cfRule type="expression" dxfId="8" priority="10">
      <formula>$G$22="No"</formula>
    </cfRule>
  </conditionalFormatting>
  <conditionalFormatting sqref="AT60:AT66">
    <cfRule type="expression" dxfId="7" priority="7">
      <formula>$G$23="No"</formula>
    </cfRule>
    <cfRule type="expression" dxfId="6" priority="8">
      <formula>$G$22="No"</formula>
    </cfRule>
  </conditionalFormatting>
  <conditionalFormatting sqref="B61:B67">
    <cfRule type="expression" dxfId="5" priority="5">
      <formula>$G$23="No"</formula>
    </cfRule>
    <cfRule type="expression" dxfId="4" priority="6">
      <formula>$G$22="No"</formula>
    </cfRule>
  </conditionalFormatting>
  <conditionalFormatting sqref="F27:F32">
    <cfRule type="expression" dxfId="3" priority="3">
      <formula>$G$23="No"</formula>
    </cfRule>
  </conditionalFormatting>
  <conditionalFormatting sqref="F27:F32">
    <cfRule type="expression" dxfId="2" priority="4">
      <formula>$G$22="No"</formula>
    </cfRule>
  </conditionalFormatting>
  <conditionalFormatting sqref="F50:F59">
    <cfRule type="expression" dxfId="1" priority="1">
      <formula>$G$23="No"</formula>
    </cfRule>
  </conditionalFormatting>
  <conditionalFormatting sqref="F50:F59">
    <cfRule type="expression" dxfId="0" priority="2">
      <formula>$G$22="No"</formula>
    </cfRule>
  </conditionalFormatting>
  <dataValidations xWindow="815" yWindow="414" count="9">
    <dataValidation type="decimal" operator="greaterThan" allowBlank="1" showInputMessage="1" showErrorMessage="1" sqref="F43 F45" xr:uid="{00000000-0002-0000-0100-000001000000}">
      <formula1>0</formula1>
    </dataValidation>
    <dataValidation type="custom" errorStyle="information" operator="equal" allowBlank="1" showInputMessage="1" showErrorMessage="1" errorTitle="Resistor Divider" error="When using resistor divider Rs should be set larger than Rs,eff. _x000a__x000a_Otherwise switch to &quot;No resistor divider&quot;" sqref="F41" xr:uid="{00000000-0002-0000-0100-000002000000}">
      <formula1>"""NA"""</formula1>
    </dataValidation>
    <dataValidation type="list" allowBlank="1" showInputMessage="1" showErrorMessage="1" sqref="F71 F79 F39" xr:uid="{00000000-0002-0000-0100-000003000000}">
      <formula1>$AN$39:$AN$40</formula1>
    </dataValidation>
    <dataValidation type="list" allowBlank="1" showInputMessage="1" showErrorMessage="1" sqref="F69" xr:uid="{00000000-0002-0000-0100-000004000000}">
      <formula1>$AN$70:$AN$71</formula1>
    </dataValidation>
    <dataValidation type="decimal" allowBlank="1" showInputMessage="1" showErrorMessage="1" error="Must enter value less than 10" sqref="F44" xr:uid="{00000000-0002-0000-0100-000007000000}">
      <formula1>0</formula1>
      <formula2>10</formula2>
    </dataValidation>
    <dataValidation type="list" allowBlank="1" showInputMessage="1" showErrorMessage="1" sqref="G22:G23" xr:uid="{00000000-0002-0000-0100-000008000000}">
      <formula1>yesno</formula1>
    </dataValidation>
    <dataValidation type="decimal" allowBlank="1" showErrorMessage="1" sqref="F52" xr:uid="{5C0BCCB4-F823-4D71-984E-1F4A58CE6137}">
      <formula1>1</formula1>
      <formula2>6</formula2>
    </dataValidation>
    <dataValidation type="decimal" allowBlank="1" showErrorMessage="1" sqref="F55:F59" xr:uid="{F24B48D7-AF6E-4F1F-93AC-2B3900ACA042}">
      <formula1>0.001</formula1>
      <formula2>400</formula2>
    </dataValidation>
    <dataValidation type="decimal" allowBlank="1" showErrorMessage="1" sqref="F54" xr:uid="{CE98C984-5085-4620-A52B-A49A4E5A4E46}">
      <formula1>0</formula1>
      <formula2>200</formula2>
    </dataValidation>
  </dataValidations>
  <hyperlinks>
    <hyperlink ref="B2" r:id="rId1" xr:uid="{00000000-0004-0000-0100-000000000000}"/>
    <hyperlink ref="D24:F25" r:id="rId2" display="*For additional questions not addressed in the videos, please post on E2E.ti.com" xr:uid="{00000000-0004-0000-0100-000001000000}"/>
    <hyperlink ref="D20" r:id="rId3" xr:uid="{00000000-0004-0000-0100-000002000000}"/>
    <hyperlink ref="B33:B34" r:id="rId4" display="Steps 1 &amp; 2: Operating Conditions, Current Limit, &amp; Circuit Breaker" xr:uid="{00000000-0004-0000-0100-000003000000}"/>
    <hyperlink ref="B45:B47" r:id="rId5" display="Steps 1 &amp; 2: Operating Conditions, Current Limit, &amp; Circuit Breaker" xr:uid="{00000000-0004-0000-0100-000004000000}"/>
    <hyperlink ref="B57" r:id="rId6" xr:uid="{00000000-0004-0000-0100-000005000000}"/>
    <hyperlink ref="B77" r:id="rId7" xr:uid="{00000000-0004-0000-0100-000006000000}"/>
    <hyperlink ref="B99" r:id="rId8" xr:uid="{00000000-0004-0000-0100-000007000000}"/>
    <hyperlink ref="D19" r:id="rId9" display="Step 5: UVLO, OVLO &amp; PGD Thresholds" xr:uid="{00000000-0004-0000-0100-000008000000}"/>
    <hyperlink ref="D18" r:id="rId10" display="Step 4: Startup" xr:uid="{00000000-0004-0000-0100-000009000000}"/>
    <hyperlink ref="D17" r:id="rId11" display="Step 3: MOSFET Selection" xr:uid="{00000000-0004-0000-0100-00000A000000}"/>
    <hyperlink ref="D16:F16" r:id="rId12" display="Steps 1 &amp; 2: Operating Conditions, Current Limit, &amp; Circuit Breaker" xr:uid="{00000000-0004-0000-0100-00000B000000}"/>
    <hyperlink ref="D16:I16" r:id="rId13" display="Steps 1 &amp; 2: Operating Conditions, Current Limit, &amp; Circuit Breaker (7:41)" xr:uid="{00000000-0004-0000-0100-00000C000000}"/>
    <hyperlink ref="D17:I17" r:id="rId14" display="Step 3: MOSFET Selection (9:58)" xr:uid="{00000000-0004-0000-0100-00000D000000}"/>
    <hyperlink ref="D18:I18" r:id="rId15" display="Step 4: Startup (10:32)" xr:uid="{00000000-0004-0000-0100-00000E000000}"/>
    <hyperlink ref="D19:I19" r:id="rId16" display="Step 5: UVLO, OVLO &amp; PGD Thresholds (4:20)" xr:uid="{00000000-0004-0000-0100-00000F000000}"/>
    <hyperlink ref="B99:B100" r:id="rId17" display="Step 5: UVLO, OVLO &amp; PGD Thresholds" xr:uid="{00000000-0004-0000-0100-000010000000}"/>
  </hyperlinks>
  <pageMargins left="0.17" right="0.17" top="0.55000000000000004" bottom="0.92" header="0.48" footer="0.2"/>
  <pageSetup scale="62" fitToHeight="2" orientation="portrait" r:id="rId18"/>
  <headerFooter alignWithMargins="0"/>
  <drawing r:id="rId19"/>
  <legacy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dimension ref="A2:J24"/>
  <sheetViews>
    <sheetView workbookViewId="0">
      <selection activeCell="E25" sqref="A4:E25"/>
    </sheetView>
  </sheetViews>
  <sheetFormatPr defaultRowHeight="13.2" x14ac:dyDescent="0.25"/>
  <cols>
    <col min="1" max="1" width="9.44140625" customWidth="1"/>
    <col min="2" max="2" width="24.21875" customWidth="1"/>
    <col min="12" max="12" width="13.5546875" customWidth="1"/>
  </cols>
  <sheetData>
    <row r="2" spans="1:10" x14ac:dyDescent="0.25">
      <c r="A2" s="16"/>
      <c r="C2" s="16" t="s">
        <v>35</v>
      </c>
      <c r="D2" s="16" t="s">
        <v>36</v>
      </c>
      <c r="E2" s="16" t="s">
        <v>37</v>
      </c>
      <c r="F2" s="16" t="s">
        <v>110</v>
      </c>
    </row>
    <row r="3" spans="1:10" x14ac:dyDescent="0.25">
      <c r="A3" s="11" t="s">
        <v>106</v>
      </c>
      <c r="C3" s="16"/>
      <c r="D3" s="16"/>
      <c r="E3" s="16"/>
    </row>
    <row r="4" spans="1:10" x14ac:dyDescent="0.25">
      <c r="A4" s="11"/>
      <c r="B4" s="16" t="s">
        <v>116</v>
      </c>
      <c r="C4" s="39">
        <v>-40</v>
      </c>
      <c r="D4" s="39"/>
      <c r="E4" s="39">
        <v>125</v>
      </c>
    </row>
    <row r="5" spans="1:10" x14ac:dyDescent="0.25">
      <c r="B5" s="17" t="s">
        <v>107</v>
      </c>
      <c r="C5" s="1">
        <v>9</v>
      </c>
      <c r="D5" s="1"/>
      <c r="E5" s="1">
        <v>80</v>
      </c>
      <c r="F5" s="16" t="s">
        <v>50</v>
      </c>
      <c r="J5" s="2"/>
    </row>
    <row r="6" spans="1:10" ht="16.5" customHeight="1" x14ac:dyDescent="0.25">
      <c r="A6" s="11" t="s">
        <v>83</v>
      </c>
      <c r="B6" s="17"/>
      <c r="C6" s="1"/>
      <c r="D6" s="1"/>
      <c r="E6" s="1"/>
      <c r="J6" s="2"/>
    </row>
    <row r="7" spans="1:10" x14ac:dyDescent="0.25">
      <c r="B7" s="17" t="s">
        <v>108</v>
      </c>
      <c r="C7" s="1">
        <v>45</v>
      </c>
      <c r="D7" s="1">
        <v>50</v>
      </c>
      <c r="E7" s="1">
        <v>55</v>
      </c>
      <c r="J7" s="17"/>
    </row>
    <row r="8" spans="1:10" x14ac:dyDescent="0.25">
      <c r="B8" s="17" t="s">
        <v>109</v>
      </c>
      <c r="C8" s="1"/>
      <c r="D8" s="1">
        <v>7.5</v>
      </c>
      <c r="E8" s="1">
        <v>20</v>
      </c>
      <c r="F8" s="16" t="s">
        <v>111</v>
      </c>
      <c r="J8" s="17"/>
    </row>
    <row r="9" spans="1:10" x14ac:dyDescent="0.25">
      <c r="C9" s="1"/>
      <c r="D9" s="1"/>
      <c r="E9" s="1"/>
    </row>
    <row r="10" spans="1:10" x14ac:dyDescent="0.25">
      <c r="C10" s="1"/>
      <c r="D10" s="1"/>
      <c r="E10" s="1"/>
    </row>
    <row r="11" spans="1:10" x14ac:dyDescent="0.25">
      <c r="A11" s="11" t="s">
        <v>112</v>
      </c>
      <c r="C11" s="1"/>
      <c r="D11" s="1"/>
      <c r="E11" s="1"/>
    </row>
    <row r="12" spans="1:10" x14ac:dyDescent="0.25">
      <c r="B12" s="17" t="s">
        <v>113</v>
      </c>
      <c r="C12" s="1">
        <v>3.9</v>
      </c>
      <c r="D12" s="1">
        <v>4</v>
      </c>
      <c r="E12" s="1">
        <v>4.0999999999999996</v>
      </c>
      <c r="F12" s="16" t="s">
        <v>50</v>
      </c>
    </row>
    <row r="13" spans="1:10" x14ac:dyDescent="0.25">
      <c r="B13" s="17"/>
      <c r="C13" s="1"/>
      <c r="D13" s="1"/>
      <c r="E13" s="1"/>
      <c r="F13" s="16"/>
    </row>
    <row r="14" spans="1:10" x14ac:dyDescent="0.25">
      <c r="B14" s="17" t="s">
        <v>264</v>
      </c>
      <c r="C14" s="80"/>
      <c r="D14" s="80"/>
      <c r="E14" s="80"/>
      <c r="F14" s="16"/>
    </row>
    <row r="15" spans="1:10" x14ac:dyDescent="0.25">
      <c r="B15" s="17" t="s">
        <v>114</v>
      </c>
      <c r="C15" s="1">
        <v>15</v>
      </c>
      <c r="D15" s="1">
        <v>25</v>
      </c>
      <c r="E15" s="1">
        <v>34</v>
      </c>
      <c r="F15" s="16" t="s">
        <v>111</v>
      </c>
    </row>
    <row r="16" spans="1:10" x14ac:dyDescent="0.25">
      <c r="B16" s="17" t="s">
        <v>200</v>
      </c>
      <c r="C16" s="61"/>
      <c r="D16" s="61">
        <f>SQRT(0.66^2+ ((34-25)/25)^2+ 0.1^2)</f>
        <v>0.75841940903434168</v>
      </c>
      <c r="E16" s="61"/>
      <c r="F16" s="16"/>
      <c r="G16" s="16" t="s">
        <v>199</v>
      </c>
    </row>
    <row r="17" spans="1:7" x14ac:dyDescent="0.25">
      <c r="B17" s="17" t="s">
        <v>197</v>
      </c>
      <c r="C17" s="61"/>
      <c r="D17" s="61">
        <v>0.75</v>
      </c>
      <c r="E17" s="61"/>
      <c r="F17" s="16"/>
      <c r="G17" s="16" t="s">
        <v>198</v>
      </c>
    </row>
    <row r="18" spans="1:7" x14ac:dyDescent="0.25">
      <c r="B18" s="2"/>
      <c r="C18" s="1"/>
      <c r="D18" s="1"/>
      <c r="E18" s="1"/>
    </row>
    <row r="19" spans="1:7" x14ac:dyDescent="0.25">
      <c r="A19" s="11" t="s">
        <v>147</v>
      </c>
      <c r="B19" s="2"/>
      <c r="C19" s="1"/>
      <c r="D19" s="1"/>
      <c r="E19" s="1"/>
    </row>
    <row r="20" spans="1:7" x14ac:dyDescent="0.25">
      <c r="B20" s="17" t="s">
        <v>149</v>
      </c>
      <c r="C20" s="1">
        <v>15</v>
      </c>
      <c r="D20" s="1">
        <v>22</v>
      </c>
      <c r="E20" s="1">
        <v>35</v>
      </c>
    </row>
    <row r="21" spans="1:7" x14ac:dyDescent="0.25">
      <c r="B21" s="2"/>
      <c r="C21" s="1"/>
      <c r="D21" s="1"/>
      <c r="E21" s="1"/>
    </row>
    <row r="22" spans="1:7" x14ac:dyDescent="0.25">
      <c r="A22" s="11" t="s">
        <v>375</v>
      </c>
      <c r="B22" s="2"/>
      <c r="C22" s="1"/>
      <c r="D22" s="1"/>
      <c r="E22" s="1"/>
    </row>
    <row r="23" spans="1:7" x14ac:dyDescent="0.25">
      <c r="B23" s="16" t="s">
        <v>376</v>
      </c>
      <c r="C23">
        <v>1.32</v>
      </c>
      <c r="D23">
        <v>1.35</v>
      </c>
      <c r="E23">
        <v>1.38</v>
      </c>
      <c r="F23" s="16" t="s">
        <v>50</v>
      </c>
    </row>
    <row r="24" spans="1:7" x14ac:dyDescent="0.25">
      <c r="B24" s="16" t="s">
        <v>377</v>
      </c>
      <c r="C24">
        <v>1.22</v>
      </c>
      <c r="D24">
        <v>1.25</v>
      </c>
      <c r="E24">
        <v>1.28</v>
      </c>
      <c r="F24" s="16" t="s">
        <v>50</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3:Y171"/>
  <sheetViews>
    <sheetView topLeftCell="A22" workbookViewId="0">
      <selection activeCell="F39" sqref="F39"/>
    </sheetView>
  </sheetViews>
  <sheetFormatPr defaultRowHeight="13.2" x14ac:dyDescent="0.25"/>
  <cols>
    <col min="6" max="6" width="14.21875" customWidth="1"/>
    <col min="8" max="8" width="14" customWidth="1"/>
    <col min="9" max="9" width="12.77734375" customWidth="1"/>
    <col min="10" max="10" width="11.77734375" customWidth="1"/>
  </cols>
  <sheetData>
    <row r="13" spans="1:6" x14ac:dyDescent="0.25">
      <c r="A13" s="11" t="s">
        <v>83</v>
      </c>
    </row>
    <row r="14" spans="1:6" x14ac:dyDescent="0.25">
      <c r="E14" s="2"/>
    </row>
    <row r="15" spans="1:6" x14ac:dyDescent="0.25">
      <c r="D15" t="s">
        <v>156</v>
      </c>
      <c r="E15">
        <v>45</v>
      </c>
      <c r="F15" s="40" t="s">
        <v>119</v>
      </c>
    </row>
    <row r="16" spans="1:6" x14ac:dyDescent="0.25">
      <c r="D16" t="s">
        <v>155</v>
      </c>
      <c r="E16">
        <v>50</v>
      </c>
      <c r="F16" s="40" t="s">
        <v>119</v>
      </c>
    </row>
    <row r="17" spans="1:10" x14ac:dyDescent="0.25">
      <c r="D17" t="s">
        <v>154</v>
      </c>
      <c r="E17">
        <v>55</v>
      </c>
      <c r="F17" s="40" t="s">
        <v>119</v>
      </c>
    </row>
    <row r="18" spans="1:10" x14ac:dyDescent="0.25">
      <c r="E18" s="2"/>
    </row>
    <row r="19" spans="1:10" x14ac:dyDescent="0.25">
      <c r="A19" s="11"/>
      <c r="E19" s="2"/>
    </row>
    <row r="20" spans="1:10" x14ac:dyDescent="0.25">
      <c r="E20" s="2" t="s">
        <v>0</v>
      </c>
      <c r="F20">
        <f>CLMIN_Threshold/('Design Calculator'!F30*1.01)</f>
        <v>8.9108910891089117</v>
      </c>
    </row>
    <row r="21" spans="1:10" x14ac:dyDescent="0.25">
      <c r="E21" s="17" t="s">
        <v>157</v>
      </c>
      <c r="F21" s="16">
        <f>IF(Rs&gt;RsMAX,10,"NA")</f>
        <v>10</v>
      </c>
    </row>
    <row r="22" spans="1:10" x14ac:dyDescent="0.25">
      <c r="E22" s="17" t="s">
        <v>158</v>
      </c>
      <c r="F22">
        <f>IF(Rs&gt;RsMAX,(((IOUTMAX*Rs)/CLMIN_Threshold)-1)*F21,"NA")</f>
        <v>0</v>
      </c>
    </row>
    <row r="23" spans="1:10" x14ac:dyDescent="0.25">
      <c r="E23" s="17" t="s">
        <v>159</v>
      </c>
      <c r="F23">
        <f>IF(RsMAX&gt;Rs,Rs,IF('Design Calculator'!F39="Yes",IF(Rs&gt;RsMAX,Rs/(1+RDIV2/RDIV1),Rs),Rs))</f>
        <v>9</v>
      </c>
      <c r="H23" s="47"/>
    </row>
    <row r="24" spans="1:10" x14ac:dyDescent="0.25">
      <c r="E24" s="2" t="s">
        <v>1</v>
      </c>
      <c r="F24" s="4">
        <f>CLMIN_Threshold/RsEFF</f>
        <v>5</v>
      </c>
      <c r="G24" s="4"/>
    </row>
    <row r="25" spans="1:10" x14ac:dyDescent="0.25">
      <c r="E25" s="2" t="s">
        <v>2</v>
      </c>
      <c r="F25">
        <f>CLNOM_Threshold/RsEFF</f>
        <v>5.5555555555555554</v>
      </c>
    </row>
    <row r="26" spans="1:10" x14ac:dyDescent="0.25">
      <c r="E26" s="2" t="s">
        <v>3</v>
      </c>
      <c r="F26">
        <f>CLMAX_Threshold/RsEFF</f>
        <v>6.1111111111111107</v>
      </c>
    </row>
    <row r="27" spans="1:10" x14ac:dyDescent="0.25">
      <c r="E27" s="2" t="s">
        <v>4</v>
      </c>
      <c r="F27">
        <f>F26^2*'Design Calculator'!F40</f>
        <v>336.11111111111109</v>
      </c>
      <c r="J27" s="16" t="s">
        <v>365</v>
      </c>
    </row>
    <row r="28" spans="1:10" x14ac:dyDescent="0.25">
      <c r="J28" s="16"/>
    </row>
    <row r="29" spans="1:10" x14ac:dyDescent="0.25">
      <c r="J29" s="16" t="s">
        <v>366</v>
      </c>
    </row>
    <row r="30" spans="1:10" x14ac:dyDescent="0.25">
      <c r="E30" s="2"/>
      <c r="J30" s="16"/>
    </row>
    <row r="31" spans="1:10" x14ac:dyDescent="0.25">
      <c r="A31" s="11" t="s">
        <v>103</v>
      </c>
      <c r="J31" s="16" t="s">
        <v>367</v>
      </c>
    </row>
    <row r="32" spans="1:10" x14ac:dyDescent="0.25">
      <c r="A32" s="16"/>
      <c r="F32" s="16" t="s">
        <v>104</v>
      </c>
      <c r="H32" s="16" t="s">
        <v>105</v>
      </c>
      <c r="J32" s="16"/>
    </row>
    <row r="33" spans="1:10" x14ac:dyDescent="0.25">
      <c r="A33" s="16"/>
      <c r="E33" s="25" t="s">
        <v>79</v>
      </c>
      <c r="F33" s="26">
        <f>VINMAX*'Design Calculator'!F55</f>
        <v>360</v>
      </c>
      <c r="G33" s="16" t="s">
        <v>51</v>
      </c>
      <c r="H33">
        <f>F33*(TJMAX-TJ)/(TJMAX-25)</f>
        <v>224.64</v>
      </c>
      <c r="J33" s="16" t="s">
        <v>369</v>
      </c>
    </row>
    <row r="34" spans="1:10" x14ac:dyDescent="0.25">
      <c r="A34" s="16"/>
      <c r="E34" s="25" t="s">
        <v>80</v>
      </c>
      <c r="F34" s="26">
        <f>VINMAX*'Design Calculator'!F56</f>
        <v>132</v>
      </c>
      <c r="G34" s="16" t="s">
        <v>51</v>
      </c>
      <c r="H34">
        <f>F34*(TJMAX-TJ)/(TJMAX-25)</f>
        <v>82.367999999999995</v>
      </c>
      <c r="J34" s="16"/>
    </row>
    <row r="35" spans="1:10" x14ac:dyDescent="0.25">
      <c r="A35" s="16"/>
      <c r="E35" s="25" t="s">
        <v>81</v>
      </c>
      <c r="F35" s="26">
        <f>VINMAX*'Design Calculator'!F57</f>
        <v>72</v>
      </c>
      <c r="G35" s="16" t="s">
        <v>51</v>
      </c>
      <c r="H35">
        <f>F35*(TJMAX-TJ)/(TJMAX-25)</f>
        <v>44.927999999999997</v>
      </c>
    </row>
    <row r="36" spans="1:10" x14ac:dyDescent="0.25">
      <c r="A36" s="16"/>
      <c r="E36" s="25" t="s">
        <v>82</v>
      </c>
      <c r="F36" s="26">
        <f>VINMAX*'Design Calculator'!F58</f>
        <v>43.2</v>
      </c>
      <c r="G36" s="34" t="s">
        <v>51</v>
      </c>
      <c r="H36">
        <f>F36*(TJMAX-TJ)/(TJMAX-25)</f>
        <v>26.956800000000001</v>
      </c>
      <c r="J36" s="16"/>
    </row>
    <row r="37" spans="1:10" x14ac:dyDescent="0.25">
      <c r="A37" s="16"/>
      <c r="E37" s="36"/>
      <c r="F37" s="35"/>
      <c r="G37" s="34"/>
    </row>
    <row r="38" spans="1:10" x14ac:dyDescent="0.25">
      <c r="A38" s="16"/>
      <c r="E38" s="36" t="s">
        <v>120</v>
      </c>
      <c r="F38" s="35">
        <f>MAX(VINMAX*5/RsEFF,0.4*10*CLNOM)</f>
        <v>22.222222222222221</v>
      </c>
      <c r="G38" s="34" t="s">
        <v>51</v>
      </c>
      <c r="J38" s="16"/>
    </row>
    <row r="39" spans="1:10" x14ac:dyDescent="0.25">
      <c r="A39" s="16"/>
      <c r="E39" s="36" t="s">
        <v>183</v>
      </c>
      <c r="F39" s="35">
        <f>'Design Calculator'!F63</f>
        <v>25</v>
      </c>
      <c r="G39" s="34" t="s">
        <v>51</v>
      </c>
    </row>
    <row r="40" spans="1:10" x14ac:dyDescent="0.25">
      <c r="A40" s="16"/>
      <c r="E40" s="78" t="s">
        <v>364</v>
      </c>
      <c r="F40" s="80">
        <f>F39/CLNOM/10</f>
        <v>0.45</v>
      </c>
      <c r="G40" s="34" t="s">
        <v>50</v>
      </c>
    </row>
    <row r="41" spans="1:10" x14ac:dyDescent="0.25">
      <c r="A41" s="16"/>
      <c r="E41" s="78" t="s">
        <v>15</v>
      </c>
      <c r="F41" s="80">
        <f>'Design Calculator'!F64</f>
        <v>38</v>
      </c>
      <c r="G41" s="16" t="s">
        <v>184</v>
      </c>
    </row>
    <row r="42" spans="1:10" x14ac:dyDescent="0.25">
      <c r="A42" s="16"/>
      <c r="E42" s="78" t="s">
        <v>368</v>
      </c>
      <c r="F42" s="6">
        <f>F40/4</f>
        <v>0.1125</v>
      </c>
    </row>
    <row r="43" spans="1:10" x14ac:dyDescent="0.25">
      <c r="A43" s="16"/>
      <c r="E43" s="78" t="s">
        <v>16</v>
      </c>
      <c r="F43" s="6">
        <f>F41*F42/(1-F42)</f>
        <v>4.8169014084507049</v>
      </c>
      <c r="G43" s="16" t="s">
        <v>184</v>
      </c>
    </row>
    <row r="44" spans="1:10" x14ac:dyDescent="0.25">
      <c r="A44" s="16"/>
      <c r="E44" s="78" t="s">
        <v>370</v>
      </c>
      <c r="F44" s="35">
        <f>'Design Calculator'!F66</f>
        <v>5</v>
      </c>
    </row>
    <row r="45" spans="1:10" x14ac:dyDescent="0.25">
      <c r="A45" s="16"/>
      <c r="E45" s="78"/>
      <c r="F45" s="35"/>
    </row>
    <row r="46" spans="1:10" x14ac:dyDescent="0.25">
      <c r="E46" s="36" t="s">
        <v>371</v>
      </c>
      <c r="F46" s="150">
        <f>4*F44/(F44+F41)</f>
        <v>0.46511627906976744</v>
      </c>
      <c r="G46" s="34" t="s">
        <v>50</v>
      </c>
    </row>
    <row r="47" spans="1:10" x14ac:dyDescent="0.25">
      <c r="E47" s="36" t="s">
        <v>180</v>
      </c>
      <c r="F47" s="150">
        <f>F46*10*CLNOM</f>
        <v>25.839793281653748</v>
      </c>
      <c r="G47" s="34"/>
    </row>
    <row r="48" spans="1:10" x14ac:dyDescent="0.25">
      <c r="E48" s="36"/>
      <c r="F48" s="148"/>
      <c r="G48" s="34"/>
    </row>
    <row r="49" spans="1:12" x14ac:dyDescent="0.25">
      <c r="E49" s="2"/>
      <c r="F49" s="1"/>
      <c r="H49" s="2"/>
      <c r="I49" s="1"/>
      <c r="K49" s="2"/>
      <c r="L49" s="1"/>
    </row>
    <row r="50" spans="1:12" x14ac:dyDescent="0.25">
      <c r="E50" s="2"/>
      <c r="F50" s="1"/>
      <c r="H50" s="2"/>
      <c r="I50" s="1"/>
      <c r="K50" s="2"/>
      <c r="L50" s="1"/>
    </row>
    <row r="51" spans="1:12" x14ac:dyDescent="0.25">
      <c r="A51" s="11" t="s">
        <v>102</v>
      </c>
    </row>
    <row r="52" spans="1:12" x14ac:dyDescent="0.25">
      <c r="A52" s="11"/>
      <c r="D52" s="347" t="s">
        <v>223</v>
      </c>
      <c r="E52" s="348"/>
      <c r="F52" s="348"/>
      <c r="G52" s="348"/>
    </row>
    <row r="53" spans="1:12" x14ac:dyDescent="0.25">
      <c r="A53" s="11"/>
      <c r="E53" s="17" t="s">
        <v>203</v>
      </c>
      <c r="F53" s="4">
        <f>Start_up!M2</f>
        <v>109.09090909090901</v>
      </c>
      <c r="G53" s="16" t="s">
        <v>5</v>
      </c>
    </row>
    <row r="54" spans="1:12" x14ac:dyDescent="0.25">
      <c r="A54" s="11"/>
      <c r="E54" s="17" t="s">
        <v>204</v>
      </c>
      <c r="F54" s="4">
        <f>'Device Parmaters'!D17</f>
        <v>0.75</v>
      </c>
    </row>
    <row r="55" spans="1:12" x14ac:dyDescent="0.25">
      <c r="A55" s="11"/>
      <c r="E55" s="17" t="s">
        <v>205</v>
      </c>
      <c r="F55">
        <f>F53*(1+F54)</f>
        <v>190.90909090909076</v>
      </c>
      <c r="G55" s="16" t="s">
        <v>5</v>
      </c>
    </row>
    <row r="56" spans="1:12" x14ac:dyDescent="0.25">
      <c r="A56" s="11"/>
      <c r="E56" s="17" t="s">
        <v>206</v>
      </c>
      <c r="F56">
        <f>'Device Parmaters'!D15/'Device Parmaters'!D12*F55</f>
        <v>1193.1818181818173</v>
      </c>
      <c r="G56" s="16" t="s">
        <v>69</v>
      </c>
    </row>
    <row r="57" spans="1:12" x14ac:dyDescent="0.25">
      <c r="A57" s="11"/>
      <c r="E57" s="17" t="s">
        <v>207</v>
      </c>
      <c r="F57" s="4">
        <f>'Design Calculator'!F76</f>
        <v>33</v>
      </c>
      <c r="G57" s="16" t="s">
        <v>69</v>
      </c>
    </row>
    <row r="58" spans="1:12" x14ac:dyDescent="0.25">
      <c r="A58" s="11"/>
      <c r="E58" s="17" t="s">
        <v>210</v>
      </c>
      <c r="F58">
        <f>'Device Parmaters'!D12/'Device Parmaters'!D15*F57</f>
        <v>5.28</v>
      </c>
      <c r="G58" s="16" t="s">
        <v>5</v>
      </c>
    </row>
    <row r="59" spans="1:12" x14ac:dyDescent="0.25">
      <c r="A59" s="11"/>
      <c r="E59" s="17" t="s">
        <v>218</v>
      </c>
      <c r="F59">
        <f>SOA!C26/Equations!F47</f>
        <v>2.8166744142411582</v>
      </c>
      <c r="G59" s="16"/>
    </row>
    <row r="60" spans="1:12" x14ac:dyDescent="0.25">
      <c r="A60" s="11"/>
      <c r="E60" s="17"/>
      <c r="G60" s="16"/>
    </row>
    <row r="61" spans="1:12" x14ac:dyDescent="0.25">
      <c r="A61" s="11"/>
      <c r="D61" s="347" t="s">
        <v>228</v>
      </c>
      <c r="E61" s="348"/>
      <c r="F61" s="348"/>
      <c r="G61" s="348"/>
    </row>
    <row r="62" spans="1:12" x14ac:dyDescent="0.25">
      <c r="A62" s="11"/>
      <c r="C62" s="16"/>
      <c r="D62" s="76"/>
      <c r="E62" s="17" t="s">
        <v>224</v>
      </c>
      <c r="F62" s="69">
        <f>'Design Calculator'!F82</f>
        <v>0.2</v>
      </c>
      <c r="G62" s="60" t="s">
        <v>225</v>
      </c>
    </row>
    <row r="63" spans="1:12" x14ac:dyDescent="0.25">
      <c r="A63" s="11"/>
      <c r="C63" s="16"/>
      <c r="D63" s="76"/>
      <c r="E63" s="17" t="s">
        <v>249</v>
      </c>
      <c r="F63" s="70">
        <f>'Device Parmaters'!D20/ss_rate</f>
        <v>110</v>
      </c>
      <c r="G63" s="16" t="s">
        <v>69</v>
      </c>
    </row>
    <row r="64" spans="1:12" x14ac:dyDescent="0.25">
      <c r="A64" s="11"/>
      <c r="C64" s="16"/>
      <c r="D64" s="76"/>
      <c r="E64" s="17" t="s">
        <v>250</v>
      </c>
      <c r="F64" s="69">
        <f>'Design Calculator'!F84</f>
        <v>100</v>
      </c>
      <c r="G64" s="16" t="s">
        <v>69</v>
      </c>
    </row>
    <row r="65" spans="1:8" x14ac:dyDescent="0.25">
      <c r="A65" s="11"/>
      <c r="C65" s="16"/>
      <c r="D65" s="76"/>
      <c r="E65" s="17" t="s">
        <v>251</v>
      </c>
      <c r="F65" s="70">
        <f>ss_rate*F63/F64</f>
        <v>0.22</v>
      </c>
      <c r="G65" s="16" t="s">
        <v>225</v>
      </c>
    </row>
    <row r="66" spans="1:8" x14ac:dyDescent="0.25">
      <c r="A66" s="11"/>
      <c r="C66" s="16"/>
      <c r="D66" s="76"/>
      <c r="E66" s="17" t="s">
        <v>226</v>
      </c>
      <c r="F66" s="69">
        <f>COUTMAX*F65/1000</f>
        <v>1.0999999999999999E-2</v>
      </c>
      <c r="G66" s="60" t="s">
        <v>17</v>
      </c>
    </row>
    <row r="67" spans="1:8" x14ac:dyDescent="0.25">
      <c r="A67" s="11"/>
      <c r="C67" s="16"/>
      <c r="D67" s="76"/>
      <c r="E67" s="17" t="s">
        <v>242</v>
      </c>
      <c r="F67" s="69">
        <f>VINMAX/F65</f>
        <v>109.09090909090909</v>
      </c>
      <c r="G67" s="60" t="s">
        <v>5</v>
      </c>
    </row>
    <row r="68" spans="1:8" x14ac:dyDescent="0.25">
      <c r="A68" s="11"/>
      <c r="C68" s="16"/>
      <c r="D68" s="76"/>
      <c r="E68" s="17" t="s">
        <v>243</v>
      </c>
      <c r="F68" s="69">
        <f>Start_up!N5</f>
        <v>1.4261538461538466E-2</v>
      </c>
      <c r="G68" s="69" t="s">
        <v>232</v>
      </c>
    </row>
    <row r="69" spans="1:8" x14ac:dyDescent="0.25">
      <c r="A69" s="11"/>
      <c r="C69" s="16"/>
      <c r="D69" s="76"/>
      <c r="E69" s="17" t="s">
        <v>244</v>
      </c>
      <c r="F69" s="69">
        <f>Start_up!Q4</f>
        <v>0.26400000000000001</v>
      </c>
      <c r="G69" s="69" t="s">
        <v>51</v>
      </c>
    </row>
    <row r="70" spans="1:8" x14ac:dyDescent="0.25">
      <c r="A70" s="11"/>
      <c r="D70" s="75"/>
      <c r="E70" s="17" t="s">
        <v>245</v>
      </c>
      <c r="F70" s="69">
        <f>F68/F69*1000</f>
        <v>54.020979020979034</v>
      </c>
      <c r="G70" s="69" t="s">
        <v>5</v>
      </c>
    </row>
    <row r="71" spans="1:8" x14ac:dyDescent="0.25">
      <c r="A71" s="11"/>
      <c r="E71" s="17" t="s">
        <v>246</v>
      </c>
      <c r="F71" s="16">
        <f>SOA!H28</f>
        <v>30.902884764230183</v>
      </c>
      <c r="G71" s="69" t="s">
        <v>51</v>
      </c>
    </row>
    <row r="72" spans="1:8" x14ac:dyDescent="0.25">
      <c r="A72" s="11"/>
      <c r="E72" s="17" t="s">
        <v>247</v>
      </c>
      <c r="F72" s="16">
        <f>F71/F69</f>
        <v>117.05638168269009</v>
      </c>
      <c r="G72" s="16"/>
    </row>
    <row r="73" spans="1:8" x14ac:dyDescent="0.25">
      <c r="A73" s="11"/>
      <c r="E73" s="17"/>
      <c r="F73" s="16"/>
      <c r="G73" s="16"/>
    </row>
    <row r="74" spans="1:8" x14ac:dyDescent="0.25">
      <c r="A74" s="11"/>
      <c r="E74" s="17"/>
      <c r="F74" s="16">
        <v>1</v>
      </c>
      <c r="G74" s="69" t="s">
        <v>5</v>
      </c>
    </row>
    <row r="75" spans="1:8" x14ac:dyDescent="0.25">
      <c r="A75" s="11"/>
      <c r="D75" s="349" t="s">
        <v>256</v>
      </c>
      <c r="E75" s="349"/>
      <c r="F75" s="349"/>
      <c r="G75" s="349"/>
      <c r="H75" s="349"/>
    </row>
    <row r="76" spans="1:8" x14ac:dyDescent="0.25">
      <c r="A76" s="11"/>
      <c r="E76" s="17" t="s">
        <v>252</v>
      </c>
      <c r="F76" s="79">
        <f>'Design Calculator'!F87</f>
        <v>1</v>
      </c>
      <c r="G76" s="16"/>
    </row>
    <row r="77" spans="1:8" x14ac:dyDescent="0.25">
      <c r="A77" s="11"/>
      <c r="E77" s="17" t="s">
        <v>253</v>
      </c>
      <c r="F77" s="16">
        <f>'Device Parmaters'!D15/'Device Parmaters'!D12*F76</f>
        <v>6.25</v>
      </c>
      <c r="G77" s="16" t="s">
        <v>69</v>
      </c>
    </row>
    <row r="78" spans="1:8" x14ac:dyDescent="0.25">
      <c r="A78" s="11"/>
      <c r="E78" s="78" t="s">
        <v>254</v>
      </c>
      <c r="F78" s="79">
        <f>'Design Calculator'!F89</f>
        <v>10</v>
      </c>
      <c r="G78" s="16" t="s">
        <v>69</v>
      </c>
    </row>
    <row r="79" spans="1:8" x14ac:dyDescent="0.25">
      <c r="A79" s="11"/>
      <c r="E79" s="77" t="s">
        <v>258</v>
      </c>
      <c r="F79" s="16">
        <f>'Device Parmaters'!D12/'Device Parmaters'!D15*F78</f>
        <v>1.6</v>
      </c>
      <c r="G79" s="16" t="s">
        <v>5</v>
      </c>
    </row>
    <row r="80" spans="1:8" x14ac:dyDescent="0.25">
      <c r="A80" s="11"/>
      <c r="E80" s="78" t="s">
        <v>257</v>
      </c>
      <c r="F80" s="16">
        <f>SOA!C26</f>
        <v>72.782284605714679</v>
      </c>
      <c r="G80" s="16" t="s">
        <v>51</v>
      </c>
    </row>
    <row r="81" spans="1:13" x14ac:dyDescent="0.25">
      <c r="A81" s="11"/>
      <c r="E81" s="77" t="s">
        <v>247</v>
      </c>
      <c r="F81" s="16">
        <f>F80/F47</f>
        <v>2.8166744142411582</v>
      </c>
      <c r="G81" s="16"/>
    </row>
    <row r="82" spans="1:13" x14ac:dyDescent="0.25">
      <c r="A82" s="11"/>
      <c r="E82" s="17"/>
      <c r="F82" s="16"/>
      <c r="G82" s="16"/>
    </row>
    <row r="83" spans="1:13" x14ac:dyDescent="0.25">
      <c r="E83" s="2"/>
      <c r="J83" s="7"/>
      <c r="M83" s="7"/>
    </row>
    <row r="84" spans="1:13" x14ac:dyDescent="0.25">
      <c r="E84" s="17"/>
      <c r="J84" s="7"/>
      <c r="M84" s="7"/>
    </row>
    <row r="85" spans="1:13" x14ac:dyDescent="0.25">
      <c r="E85" s="11" t="s">
        <v>374</v>
      </c>
      <c r="J85" s="16" t="s">
        <v>383</v>
      </c>
    </row>
    <row r="86" spans="1:13" x14ac:dyDescent="0.25">
      <c r="E86" s="17" t="s">
        <v>381</v>
      </c>
      <c r="F86">
        <f>'Design Calculator'!F92</f>
        <v>23</v>
      </c>
      <c r="G86" s="16" t="s">
        <v>50</v>
      </c>
    </row>
    <row r="87" spans="1:13" x14ac:dyDescent="0.25">
      <c r="E87" s="17" t="s">
        <v>378</v>
      </c>
      <c r="F87">
        <f>'Design Calculator'!F93</f>
        <v>10</v>
      </c>
      <c r="G87" s="16" t="s">
        <v>184</v>
      </c>
      <c r="J87" s="16" t="s">
        <v>384</v>
      </c>
    </row>
    <row r="88" spans="1:13" x14ac:dyDescent="0.25">
      <c r="E88" s="17" t="s">
        <v>379</v>
      </c>
      <c r="F88">
        <f>'Design Calculator'!F94</f>
        <v>10</v>
      </c>
      <c r="G88" s="16" t="s">
        <v>184</v>
      </c>
    </row>
    <row r="89" spans="1:13" x14ac:dyDescent="0.25">
      <c r="E89" s="17" t="s">
        <v>380</v>
      </c>
      <c r="F89" s="151">
        <f>F88*(-1+F86/'Device Parmaters'!D23)</f>
        <v>160.37037037037035</v>
      </c>
      <c r="G89" s="16" t="s">
        <v>184</v>
      </c>
      <c r="J89" s="16" t="s">
        <v>385</v>
      </c>
    </row>
    <row r="90" spans="1:13" x14ac:dyDescent="0.25">
      <c r="E90" s="17" t="s">
        <v>382</v>
      </c>
      <c r="F90">
        <f>'Design Calculator'!F96</f>
        <v>161</v>
      </c>
      <c r="G90" s="16" t="s">
        <v>184</v>
      </c>
    </row>
    <row r="91" spans="1:13" x14ac:dyDescent="0.25">
      <c r="E91" s="2"/>
      <c r="F91" s="9"/>
      <c r="G91" s="9"/>
    </row>
    <row r="92" spans="1:13" x14ac:dyDescent="0.25">
      <c r="E92" s="2"/>
      <c r="F92" s="9"/>
      <c r="G92" s="9"/>
    </row>
    <row r="93" spans="1:13" ht="13.8" thickBot="1" x14ac:dyDescent="0.3">
      <c r="D93" s="43" t="s">
        <v>21</v>
      </c>
      <c r="E93" s="44" t="s">
        <v>18</v>
      </c>
      <c r="F93" s="44" t="s">
        <v>19</v>
      </c>
      <c r="G93" s="44" t="s">
        <v>20</v>
      </c>
    </row>
    <row r="94" spans="1:13" ht="13.8" thickBot="1" x14ac:dyDescent="0.3">
      <c r="D94" s="18" t="s">
        <v>55</v>
      </c>
      <c r="E94" s="24">
        <f>($F$90+$F$88)/$F$88*'Device Parmaters'!C23</f>
        <v>22.572000000000003</v>
      </c>
      <c r="F94" s="24">
        <f>($F$90+$F$88)/$F$88*'Device Parmaters'!D23</f>
        <v>23.085000000000004</v>
      </c>
      <c r="G94" s="24">
        <f>($F$90+$F$88)/$F$88*'Device Parmaters'!E23</f>
        <v>23.597999999999999</v>
      </c>
    </row>
    <row r="95" spans="1:13" x14ac:dyDescent="0.25">
      <c r="D95" s="18" t="s">
        <v>56</v>
      </c>
      <c r="E95" s="24">
        <f>($F$90+$F$88)/$F$88*'Device Parmaters'!C24</f>
        <v>20.862000000000002</v>
      </c>
      <c r="F95" s="24">
        <f>($F$90+$F$88)/$F$88*'Device Parmaters'!D24</f>
        <v>21.375</v>
      </c>
      <c r="G95" s="24">
        <f>($F$90+$F$88)/$F$88*'Device Parmaters'!E24</f>
        <v>21.888000000000002</v>
      </c>
    </row>
    <row r="96" spans="1:13" x14ac:dyDescent="0.25">
      <c r="E96" s="3"/>
      <c r="F96" s="9"/>
      <c r="G96" s="9"/>
    </row>
    <row r="104" spans="5:7" x14ac:dyDescent="0.25">
      <c r="E104" s="17"/>
      <c r="F104" s="16"/>
      <c r="G104" s="16"/>
    </row>
    <row r="105" spans="5:7" x14ac:dyDescent="0.25">
      <c r="E105" s="17"/>
      <c r="F105" s="16"/>
      <c r="G105" s="16"/>
    </row>
    <row r="106" spans="5:7" x14ac:dyDescent="0.25">
      <c r="E106" s="17"/>
      <c r="G106" s="16"/>
    </row>
    <row r="127" spans="3:6" x14ac:dyDescent="0.25">
      <c r="C127" s="11" t="s">
        <v>23</v>
      </c>
    </row>
    <row r="128" spans="3:6" x14ac:dyDescent="0.25">
      <c r="E128" s="2" t="s">
        <v>24</v>
      </c>
      <c r="F128" s="1">
        <f>'Design Calculator'!F40</f>
        <v>9</v>
      </c>
    </row>
    <row r="129" spans="4:18" x14ac:dyDescent="0.25">
      <c r="E129" s="2" t="s">
        <v>25</v>
      </c>
      <c r="F129" s="1">
        <f>'Design Calculator'!F29</f>
        <v>24</v>
      </c>
    </row>
    <row r="131" spans="4:18" x14ac:dyDescent="0.25">
      <c r="E131" s="2" t="s">
        <v>26</v>
      </c>
      <c r="F131" s="9">
        <f>F24</f>
        <v>5</v>
      </c>
    </row>
    <row r="132" spans="4:18" x14ac:dyDescent="0.25">
      <c r="E132" s="2" t="s">
        <v>27</v>
      </c>
      <c r="F132" s="9">
        <f>F25</f>
        <v>5.5555555555555554</v>
      </c>
    </row>
    <row r="133" spans="4:18" x14ac:dyDescent="0.25">
      <c r="E133" s="2" t="s">
        <v>28</v>
      </c>
      <c r="F133" s="9">
        <f>F26</f>
        <v>6.1111111111111107</v>
      </c>
    </row>
    <row r="135" spans="4:18" x14ac:dyDescent="0.25">
      <c r="E135" s="2" t="s">
        <v>29</v>
      </c>
      <c r="F135" s="6">
        <f>'Design Calculator'!F67</f>
        <v>25.839793281653748</v>
      </c>
    </row>
    <row r="136" spans="4:18" x14ac:dyDescent="0.25">
      <c r="E136" s="2"/>
      <c r="F136" s="6"/>
    </row>
    <row r="138" spans="4:18" x14ac:dyDescent="0.25">
      <c r="E138" s="2"/>
      <c r="F138" s="6"/>
    </row>
    <row r="143" spans="4:18" x14ac:dyDescent="0.25">
      <c r="D143" t="s">
        <v>30</v>
      </c>
      <c r="E143" s="2"/>
      <c r="I143" t="s">
        <v>31</v>
      </c>
      <c r="N143" t="s">
        <v>46</v>
      </c>
      <c r="R143" s="16" t="s">
        <v>52</v>
      </c>
    </row>
    <row r="144" spans="4:18" x14ac:dyDescent="0.25">
      <c r="D144" t="s">
        <v>32</v>
      </c>
      <c r="I144" t="s">
        <v>33</v>
      </c>
      <c r="N144" t="s">
        <v>38</v>
      </c>
      <c r="R144" s="16" t="s">
        <v>53</v>
      </c>
    </row>
    <row r="145" spans="2:25" x14ac:dyDescent="0.25">
      <c r="B145" s="16" t="s">
        <v>95</v>
      </c>
      <c r="D145" s="5" t="s">
        <v>34</v>
      </c>
      <c r="E145" s="5" t="s">
        <v>35</v>
      </c>
      <c r="F145" s="62" t="s">
        <v>36</v>
      </c>
      <c r="G145" s="5" t="s">
        <v>37</v>
      </c>
      <c r="I145" s="5" t="s">
        <v>34</v>
      </c>
      <c r="J145" s="5" t="s">
        <v>35</v>
      </c>
      <c r="K145" s="5" t="s">
        <v>36</v>
      </c>
      <c r="L145" s="5" t="s">
        <v>37</v>
      </c>
      <c r="N145" t="s">
        <v>39</v>
      </c>
      <c r="R145" s="5" t="s">
        <v>34</v>
      </c>
      <c r="S145" s="10" t="s">
        <v>35</v>
      </c>
      <c r="T145" s="10" t="s">
        <v>36</v>
      </c>
      <c r="U145" s="10" t="s">
        <v>37</v>
      </c>
      <c r="V145" s="71" t="s">
        <v>45</v>
      </c>
      <c r="X145" s="72" t="s">
        <v>216</v>
      </c>
    </row>
    <row r="146" spans="2:25" x14ac:dyDescent="0.25">
      <c r="B146">
        <f>D146*F146</f>
        <v>25.839793281653744</v>
      </c>
      <c r="C146" s="5">
        <v>0.1</v>
      </c>
      <c r="D146" s="5">
        <f>C146/12*$F$129</f>
        <v>0.2</v>
      </c>
      <c r="E146" s="12">
        <f>(1-$F$169)*F146</f>
        <v>96.899224806201545</v>
      </c>
      <c r="F146" s="12">
        <f>($F$135)/D146</f>
        <v>129.19896640826872</v>
      </c>
      <c r="G146" s="12">
        <f>F146*(1+$F$169)</f>
        <v>161.49870801033589</v>
      </c>
      <c r="I146" s="5">
        <f>D146</f>
        <v>0.2</v>
      </c>
      <c r="J146" s="12">
        <f t="shared" ref="J146:J162" si="0">IF(E146&gt;$F$131,$F$131,E146)</f>
        <v>5</v>
      </c>
      <c r="K146" s="12">
        <f t="shared" ref="K146:K162" si="1">IF(F146&gt;$F$132,$F$132,F146)</f>
        <v>5.5555555555555554</v>
      </c>
      <c r="L146" s="12">
        <f t="shared" ref="L146:L162" si="2">IF(G146&gt;$F$133,$F$133,G146)</f>
        <v>6.1111111111111107</v>
      </c>
      <c r="N146" t="s">
        <v>40</v>
      </c>
      <c r="R146" s="5">
        <f>I146</f>
        <v>0.2</v>
      </c>
      <c r="S146" s="12">
        <f t="shared" ref="S146:S165" si="3">IF($R146&gt;$F$129,0.0000000005,J146)</f>
        <v>5</v>
      </c>
      <c r="T146" s="12">
        <f t="shared" ref="T146:T165" si="4">IF($R146&gt;$F$129,0.0000000005,K146)</f>
        <v>5.5555555555555554</v>
      </c>
      <c r="U146" s="12">
        <f t="shared" ref="U146:U165" si="5">IF($R146&gt;$F$129,0.0000000005,L146)</f>
        <v>6.1111111111111107</v>
      </c>
      <c r="V146" s="12">
        <f>$X$146/R146</f>
        <v>363.91142302857338</v>
      </c>
      <c r="X146">
        <f>SOA!C26</f>
        <v>72.782284605714679</v>
      </c>
      <c r="Y146" s="16" t="s">
        <v>51</v>
      </c>
    </row>
    <row r="147" spans="2:25" x14ac:dyDescent="0.25">
      <c r="B147">
        <f t="shared" ref="B147:B162" si="6">D147*F147</f>
        <v>25.839793281653748</v>
      </c>
      <c r="C147" s="5">
        <v>1</v>
      </c>
      <c r="D147" s="5">
        <f t="shared" ref="D147:D162" si="7">C147/12*$F$129</f>
        <v>2</v>
      </c>
      <c r="E147" s="12">
        <f t="shared" ref="E147:E162" si="8">(1-$F$169)*F147</f>
        <v>9.6899224806201545</v>
      </c>
      <c r="F147" s="12">
        <f t="shared" ref="F147:F162" si="9">($F$135)/D147</f>
        <v>12.919896640826874</v>
      </c>
      <c r="G147" s="12">
        <f t="shared" ref="G147:G162" si="10">F147*(1+$F$169)</f>
        <v>16.149870801033593</v>
      </c>
      <c r="I147" s="5">
        <f t="shared" ref="I147:I162" si="11">D147</f>
        <v>2</v>
      </c>
      <c r="J147" s="12">
        <f t="shared" si="0"/>
        <v>5</v>
      </c>
      <c r="K147" s="12">
        <f t="shared" si="1"/>
        <v>5.5555555555555554</v>
      </c>
      <c r="L147" s="12">
        <f t="shared" si="2"/>
        <v>6.1111111111111107</v>
      </c>
      <c r="R147" s="5">
        <f t="shared" ref="R147:R162" si="12">I147</f>
        <v>2</v>
      </c>
      <c r="S147" s="12">
        <f t="shared" si="3"/>
        <v>5</v>
      </c>
      <c r="T147" s="12">
        <f t="shared" si="4"/>
        <v>5.5555555555555554</v>
      </c>
      <c r="U147" s="12">
        <f t="shared" si="5"/>
        <v>6.1111111111111107</v>
      </c>
      <c r="V147" s="12">
        <f t="shared" ref="V147:V165" si="13">$X$146/R147</f>
        <v>36.39114230285734</v>
      </c>
    </row>
    <row r="148" spans="2:25" x14ac:dyDescent="0.25">
      <c r="B148">
        <f t="shared" si="6"/>
        <v>25.839793281653748</v>
      </c>
      <c r="C148" s="5">
        <v>2</v>
      </c>
      <c r="D148" s="5">
        <f t="shared" si="7"/>
        <v>4</v>
      </c>
      <c r="E148" s="12">
        <f t="shared" si="8"/>
        <v>4.8449612403100772</v>
      </c>
      <c r="F148" s="12">
        <f t="shared" si="9"/>
        <v>6.4599483204134369</v>
      </c>
      <c r="G148" s="12">
        <f t="shared" si="10"/>
        <v>8.0749354005167966</v>
      </c>
      <c r="I148" s="5">
        <f t="shared" si="11"/>
        <v>4</v>
      </c>
      <c r="J148" s="12">
        <f t="shared" si="0"/>
        <v>4.8449612403100772</v>
      </c>
      <c r="K148" s="12">
        <f t="shared" si="1"/>
        <v>5.5555555555555554</v>
      </c>
      <c r="L148" s="12">
        <f t="shared" si="2"/>
        <v>6.1111111111111107</v>
      </c>
      <c r="O148" s="13" t="s">
        <v>41</v>
      </c>
      <c r="R148" s="5">
        <f t="shared" si="12"/>
        <v>4</v>
      </c>
      <c r="S148" s="12">
        <f t="shared" si="3"/>
        <v>4.8449612403100772</v>
      </c>
      <c r="T148" s="12">
        <f t="shared" si="4"/>
        <v>5.5555555555555554</v>
      </c>
      <c r="U148" s="12">
        <f t="shared" si="5"/>
        <v>6.1111111111111107</v>
      </c>
      <c r="V148" s="12">
        <f t="shared" si="13"/>
        <v>18.19557115142867</v>
      </c>
    </row>
    <row r="149" spans="2:25" x14ac:dyDescent="0.25">
      <c r="B149">
        <f t="shared" si="6"/>
        <v>25.839793281653748</v>
      </c>
      <c r="C149" s="5">
        <v>3</v>
      </c>
      <c r="D149" s="5">
        <f t="shared" si="7"/>
        <v>6</v>
      </c>
      <c r="E149" s="12">
        <f t="shared" si="8"/>
        <v>3.2299741602067185</v>
      </c>
      <c r="F149" s="12">
        <f t="shared" si="9"/>
        <v>4.3066322136089576</v>
      </c>
      <c r="G149" s="12">
        <f t="shared" si="10"/>
        <v>5.3832902670111968</v>
      </c>
      <c r="I149" s="5">
        <f t="shared" si="11"/>
        <v>6</v>
      </c>
      <c r="J149" s="12">
        <f t="shared" si="0"/>
        <v>3.2299741602067185</v>
      </c>
      <c r="K149" s="12">
        <f t="shared" si="1"/>
        <v>4.3066322136089576</v>
      </c>
      <c r="L149" s="12">
        <f t="shared" si="2"/>
        <v>5.3832902670111968</v>
      </c>
      <c r="N149" s="8" t="s">
        <v>34</v>
      </c>
      <c r="O149" s="14" t="s">
        <v>42</v>
      </c>
      <c r="R149" s="5">
        <f t="shared" si="12"/>
        <v>6</v>
      </c>
      <c r="S149" s="12">
        <f t="shared" si="3"/>
        <v>3.2299741602067185</v>
      </c>
      <c r="T149" s="12">
        <f t="shared" si="4"/>
        <v>4.3066322136089576</v>
      </c>
      <c r="U149" s="12">
        <f t="shared" si="5"/>
        <v>5.3832902670111968</v>
      </c>
      <c r="V149" s="12">
        <f t="shared" si="13"/>
        <v>12.130380767619114</v>
      </c>
    </row>
    <row r="150" spans="2:25" x14ac:dyDescent="0.25">
      <c r="B150">
        <f t="shared" si="6"/>
        <v>25.839793281653748</v>
      </c>
      <c r="C150" s="5">
        <v>4</v>
      </c>
      <c r="D150" s="5">
        <f t="shared" si="7"/>
        <v>8</v>
      </c>
      <c r="E150" s="12">
        <f t="shared" si="8"/>
        <v>2.4224806201550386</v>
      </c>
      <c r="F150" s="12">
        <f t="shared" si="9"/>
        <v>3.2299741602067185</v>
      </c>
      <c r="G150" s="12">
        <f t="shared" si="10"/>
        <v>4.0374677002583983</v>
      </c>
      <c r="I150" s="5">
        <f t="shared" si="11"/>
        <v>8</v>
      </c>
      <c r="J150" s="12">
        <f t="shared" si="0"/>
        <v>2.4224806201550386</v>
      </c>
      <c r="K150" s="12">
        <f t="shared" si="1"/>
        <v>3.2299741602067185</v>
      </c>
      <c r="L150" s="12">
        <f t="shared" si="2"/>
        <v>4.0374677002583983</v>
      </c>
      <c r="N150" s="5">
        <f>I146</f>
        <v>0.2</v>
      </c>
      <c r="O150" s="5">
        <f>SOA!C39</f>
        <v>72.782284605714679</v>
      </c>
      <c r="P150" t="s">
        <v>43</v>
      </c>
      <c r="R150" s="5">
        <f t="shared" si="12"/>
        <v>8</v>
      </c>
      <c r="S150" s="12">
        <f t="shared" si="3"/>
        <v>2.4224806201550386</v>
      </c>
      <c r="T150" s="12">
        <f t="shared" si="4"/>
        <v>3.2299741602067185</v>
      </c>
      <c r="U150" s="12">
        <f t="shared" si="5"/>
        <v>4.0374677002583983</v>
      </c>
      <c r="V150" s="12">
        <f t="shared" si="13"/>
        <v>9.0977855757143349</v>
      </c>
    </row>
    <row r="151" spans="2:25" x14ac:dyDescent="0.25">
      <c r="B151">
        <f t="shared" si="6"/>
        <v>25.839793281653748</v>
      </c>
      <c r="C151" s="5">
        <v>5</v>
      </c>
      <c r="D151" s="5">
        <f t="shared" si="7"/>
        <v>10</v>
      </c>
      <c r="E151" s="12">
        <f t="shared" si="8"/>
        <v>1.9379844961240309</v>
      </c>
      <c r="F151" s="12">
        <f t="shared" si="9"/>
        <v>2.5839793281653747</v>
      </c>
      <c r="G151" s="12">
        <f t="shared" si="10"/>
        <v>3.2299741602067185</v>
      </c>
      <c r="I151" s="5">
        <f t="shared" si="11"/>
        <v>10</v>
      </c>
      <c r="J151" s="12">
        <f t="shared" si="0"/>
        <v>1.9379844961240309</v>
      </c>
      <c r="K151" s="12">
        <f t="shared" si="1"/>
        <v>2.5839793281653747</v>
      </c>
      <c r="L151" s="12">
        <f t="shared" si="2"/>
        <v>3.2299741602067185</v>
      </c>
      <c r="N151" s="5">
        <f t="shared" ref="N151:N166" si="14">I147</f>
        <v>2</v>
      </c>
      <c r="O151" s="12">
        <f>O154+((O150-O154)*3/7)</f>
        <v>65.850638452789468</v>
      </c>
      <c r="R151" s="5">
        <f t="shared" si="12"/>
        <v>10</v>
      </c>
      <c r="S151" s="12">
        <f t="shared" si="3"/>
        <v>1.9379844961240309</v>
      </c>
      <c r="T151" s="12">
        <f t="shared" si="4"/>
        <v>2.5839793281653747</v>
      </c>
      <c r="U151" s="12">
        <f t="shared" si="5"/>
        <v>3.2299741602067185</v>
      </c>
      <c r="V151" s="12">
        <f t="shared" si="13"/>
        <v>7.2782284605714676</v>
      </c>
    </row>
    <row r="152" spans="2:25" x14ac:dyDescent="0.25">
      <c r="B152">
        <f t="shared" si="6"/>
        <v>25.839793281653748</v>
      </c>
      <c r="C152" s="5">
        <v>6</v>
      </c>
      <c r="D152" s="5">
        <f t="shared" si="7"/>
        <v>12</v>
      </c>
      <c r="E152" s="12">
        <f t="shared" si="8"/>
        <v>1.6149870801033592</v>
      </c>
      <c r="F152" s="12">
        <f t="shared" si="9"/>
        <v>2.1533161068044788</v>
      </c>
      <c r="G152" s="12">
        <f t="shared" si="10"/>
        <v>2.6916451335055984</v>
      </c>
      <c r="I152" s="5">
        <f t="shared" si="11"/>
        <v>12</v>
      </c>
      <c r="J152" s="12">
        <f t="shared" si="0"/>
        <v>1.6149870801033592</v>
      </c>
      <c r="K152" s="12">
        <f t="shared" si="1"/>
        <v>2.1533161068044788</v>
      </c>
      <c r="L152" s="12">
        <f t="shared" si="2"/>
        <v>2.6916451335055984</v>
      </c>
      <c r="N152" s="5">
        <f t="shared" si="14"/>
        <v>4</v>
      </c>
      <c r="O152" s="12">
        <f>O154+((O150-O154)*2/8)</f>
        <v>63.684499030000346</v>
      </c>
      <c r="R152" s="5">
        <f t="shared" si="12"/>
        <v>12</v>
      </c>
      <c r="S152" s="12">
        <f t="shared" si="3"/>
        <v>1.6149870801033592</v>
      </c>
      <c r="T152" s="12">
        <f t="shared" si="4"/>
        <v>2.1533161068044788</v>
      </c>
      <c r="U152" s="12">
        <f t="shared" si="5"/>
        <v>2.6916451335055984</v>
      </c>
      <c r="V152" s="12">
        <f t="shared" si="13"/>
        <v>6.0651903838095569</v>
      </c>
    </row>
    <row r="153" spans="2:25" x14ac:dyDescent="0.25">
      <c r="B153">
        <f t="shared" si="6"/>
        <v>25.839793281653748</v>
      </c>
      <c r="C153" s="5">
        <v>7</v>
      </c>
      <c r="D153" s="5">
        <f t="shared" si="7"/>
        <v>14</v>
      </c>
      <c r="E153" s="12">
        <f t="shared" si="8"/>
        <v>1.3842746400885937</v>
      </c>
      <c r="F153" s="12">
        <f t="shared" si="9"/>
        <v>1.8456995201181248</v>
      </c>
      <c r="G153" s="12">
        <f t="shared" si="10"/>
        <v>2.3071244001476559</v>
      </c>
      <c r="I153" s="5">
        <f t="shared" si="11"/>
        <v>14</v>
      </c>
      <c r="J153" s="12">
        <f t="shared" si="0"/>
        <v>1.3842746400885937</v>
      </c>
      <c r="K153" s="12">
        <f t="shared" si="1"/>
        <v>1.8456995201181248</v>
      </c>
      <c r="L153" s="12">
        <f t="shared" si="2"/>
        <v>2.3071244001476559</v>
      </c>
      <c r="N153" s="5">
        <f t="shared" si="14"/>
        <v>6</v>
      </c>
      <c r="O153" s="12">
        <f>O154+((O150-O154)*1/9)</f>
        <v>61.999723923386583</v>
      </c>
      <c r="R153" s="5">
        <f t="shared" si="12"/>
        <v>14</v>
      </c>
      <c r="S153" s="12">
        <f t="shared" si="3"/>
        <v>1.3842746400885937</v>
      </c>
      <c r="T153" s="12">
        <f t="shared" si="4"/>
        <v>1.8456995201181248</v>
      </c>
      <c r="U153" s="12">
        <f t="shared" si="5"/>
        <v>2.3071244001476559</v>
      </c>
      <c r="V153" s="12">
        <f t="shared" si="13"/>
        <v>5.1987346146939055</v>
      </c>
    </row>
    <row r="154" spans="2:25" x14ac:dyDescent="0.25">
      <c r="B154">
        <f t="shared" si="6"/>
        <v>25.839793281653748</v>
      </c>
      <c r="C154" s="5">
        <v>8</v>
      </c>
      <c r="D154" s="5">
        <f t="shared" si="7"/>
        <v>16</v>
      </c>
      <c r="E154" s="12">
        <f t="shared" si="8"/>
        <v>1.2112403100775193</v>
      </c>
      <c r="F154" s="12">
        <f t="shared" si="9"/>
        <v>1.6149870801033592</v>
      </c>
      <c r="G154" s="12">
        <f t="shared" si="10"/>
        <v>2.0187338501291991</v>
      </c>
      <c r="I154" s="5">
        <f t="shared" si="11"/>
        <v>16</v>
      </c>
      <c r="J154" s="12">
        <f t="shared" si="0"/>
        <v>1.2112403100775193</v>
      </c>
      <c r="K154" s="12">
        <f t="shared" si="1"/>
        <v>1.6149870801033592</v>
      </c>
      <c r="L154" s="12">
        <f t="shared" si="2"/>
        <v>2.0187338501291991</v>
      </c>
      <c r="N154" s="5">
        <f t="shared" si="14"/>
        <v>8</v>
      </c>
      <c r="O154" s="12">
        <f>SOA!C40</f>
        <v>60.651903838095571</v>
      </c>
      <c r="P154" t="s">
        <v>44</v>
      </c>
      <c r="R154" s="5">
        <f t="shared" si="12"/>
        <v>16</v>
      </c>
      <c r="S154" s="12">
        <f t="shared" si="3"/>
        <v>1.2112403100775193</v>
      </c>
      <c r="T154" s="12">
        <f t="shared" si="4"/>
        <v>1.6149870801033592</v>
      </c>
      <c r="U154" s="12">
        <f t="shared" si="5"/>
        <v>2.0187338501291991</v>
      </c>
      <c r="V154" s="12">
        <f t="shared" si="13"/>
        <v>4.5488927878571674</v>
      </c>
    </row>
    <row r="155" spans="2:25" x14ac:dyDescent="0.25">
      <c r="B155">
        <f t="shared" si="6"/>
        <v>25.839793281653748</v>
      </c>
      <c r="C155" s="5">
        <v>9</v>
      </c>
      <c r="D155" s="5">
        <f t="shared" si="7"/>
        <v>18</v>
      </c>
      <c r="E155" s="12">
        <f t="shared" si="8"/>
        <v>1.0766580534022394</v>
      </c>
      <c r="F155" s="12">
        <f t="shared" si="9"/>
        <v>1.4355440712029859</v>
      </c>
      <c r="G155" s="12">
        <f t="shared" si="10"/>
        <v>1.7944300890037324</v>
      </c>
      <c r="I155" s="5">
        <f t="shared" si="11"/>
        <v>18</v>
      </c>
      <c r="J155" s="12">
        <f t="shared" si="0"/>
        <v>1.0766580534022394</v>
      </c>
      <c r="K155" s="12">
        <f t="shared" si="1"/>
        <v>1.4355440712029859</v>
      </c>
      <c r="L155" s="12">
        <f t="shared" si="2"/>
        <v>1.7944300890037324</v>
      </c>
      <c r="N155" s="5">
        <f t="shared" si="14"/>
        <v>10</v>
      </c>
      <c r="O155" s="12">
        <f>O$159+((O$154-O$159)*4/6)</f>
        <v>41.243294609904986</v>
      </c>
      <c r="R155" s="5">
        <f t="shared" si="12"/>
        <v>18</v>
      </c>
      <c r="S155" s="12">
        <f t="shared" si="3"/>
        <v>1.0766580534022394</v>
      </c>
      <c r="T155" s="12">
        <f t="shared" si="4"/>
        <v>1.4355440712029859</v>
      </c>
      <c r="U155" s="12">
        <f t="shared" si="5"/>
        <v>1.7944300890037324</v>
      </c>
      <c r="V155" s="12">
        <f t="shared" si="13"/>
        <v>4.0434602558730379</v>
      </c>
    </row>
    <row r="156" spans="2:25" x14ac:dyDescent="0.25">
      <c r="B156">
        <f t="shared" si="6"/>
        <v>25.839793281653748</v>
      </c>
      <c r="C156" s="5">
        <v>10</v>
      </c>
      <c r="D156" s="5">
        <f t="shared" si="7"/>
        <v>20</v>
      </c>
      <c r="E156" s="12">
        <f t="shared" si="8"/>
        <v>0.96899224806201545</v>
      </c>
      <c r="F156" s="12">
        <f t="shared" si="9"/>
        <v>1.2919896640826873</v>
      </c>
      <c r="G156" s="12">
        <f t="shared" si="10"/>
        <v>1.6149870801033592</v>
      </c>
      <c r="I156" s="5">
        <f t="shared" si="11"/>
        <v>20</v>
      </c>
      <c r="J156" s="12">
        <f t="shared" si="0"/>
        <v>0.96899224806201545</v>
      </c>
      <c r="K156" s="12">
        <f t="shared" si="1"/>
        <v>1.2919896640826873</v>
      </c>
      <c r="L156" s="12">
        <f t="shared" si="2"/>
        <v>1.6149870801033592</v>
      </c>
      <c r="N156" s="5">
        <f t="shared" si="14"/>
        <v>12</v>
      </c>
      <c r="O156" s="12">
        <f>O$159+((O$154-O$159)*3/7)</f>
        <v>27.380002304054571</v>
      </c>
      <c r="R156" s="5">
        <f t="shared" si="12"/>
        <v>20</v>
      </c>
      <c r="S156" s="12">
        <f t="shared" si="3"/>
        <v>0.96899224806201545</v>
      </c>
      <c r="T156" s="12">
        <f t="shared" si="4"/>
        <v>1.2919896640826873</v>
      </c>
      <c r="U156" s="12">
        <f t="shared" si="5"/>
        <v>1.6149870801033592</v>
      </c>
      <c r="V156" s="12">
        <f t="shared" si="13"/>
        <v>3.6391142302857338</v>
      </c>
    </row>
    <row r="157" spans="2:25" x14ac:dyDescent="0.25">
      <c r="B157">
        <f t="shared" si="6"/>
        <v>25.839793281653748</v>
      </c>
      <c r="C157" s="5">
        <v>11</v>
      </c>
      <c r="D157" s="5">
        <f t="shared" si="7"/>
        <v>22</v>
      </c>
      <c r="E157" s="12">
        <f t="shared" si="8"/>
        <v>0.8809020436927415</v>
      </c>
      <c r="F157" s="12">
        <f t="shared" si="9"/>
        <v>1.1745360582569886</v>
      </c>
      <c r="G157" s="12">
        <f t="shared" si="10"/>
        <v>1.4681700728212357</v>
      </c>
      <c r="I157" s="5">
        <f t="shared" si="11"/>
        <v>22</v>
      </c>
      <c r="J157" s="12">
        <f t="shared" si="0"/>
        <v>0.8809020436927415</v>
      </c>
      <c r="K157" s="12">
        <f t="shared" si="1"/>
        <v>1.1745360582569886</v>
      </c>
      <c r="L157" s="12">
        <f t="shared" si="2"/>
        <v>1.4681700728212357</v>
      </c>
      <c r="N157" s="5">
        <f t="shared" si="14"/>
        <v>14</v>
      </c>
      <c r="O157" s="12">
        <f>O$159+((O$154-O$159)*2/8)</f>
        <v>16.982533074666758</v>
      </c>
      <c r="R157" s="5">
        <f t="shared" si="12"/>
        <v>22</v>
      </c>
      <c r="S157" s="12">
        <f t="shared" si="3"/>
        <v>0.8809020436927415</v>
      </c>
      <c r="T157" s="12">
        <f t="shared" si="4"/>
        <v>1.1745360582569886</v>
      </c>
      <c r="U157" s="12">
        <f t="shared" si="5"/>
        <v>1.4681700728212357</v>
      </c>
      <c r="V157" s="12">
        <f t="shared" si="13"/>
        <v>3.3082856638961218</v>
      </c>
    </row>
    <row r="158" spans="2:25" x14ac:dyDescent="0.25">
      <c r="B158">
        <f t="shared" si="6"/>
        <v>25.839793281653748</v>
      </c>
      <c r="C158" s="5">
        <v>12</v>
      </c>
      <c r="D158" s="5">
        <f t="shared" si="7"/>
        <v>24</v>
      </c>
      <c r="E158" s="12">
        <f t="shared" si="8"/>
        <v>0.80749354005167961</v>
      </c>
      <c r="F158" s="12">
        <f t="shared" si="9"/>
        <v>1.0766580534022394</v>
      </c>
      <c r="G158" s="12">
        <f t="shared" si="10"/>
        <v>1.3458225667527992</v>
      </c>
      <c r="I158" s="5">
        <f t="shared" si="11"/>
        <v>24</v>
      </c>
      <c r="J158" s="12">
        <f t="shared" si="0"/>
        <v>0.80749354005167961</v>
      </c>
      <c r="K158" s="12">
        <f t="shared" si="1"/>
        <v>1.0766580534022394</v>
      </c>
      <c r="L158" s="12">
        <f t="shared" si="2"/>
        <v>1.3458225667527992</v>
      </c>
      <c r="N158" s="5">
        <f t="shared" si="14"/>
        <v>16</v>
      </c>
      <c r="O158" s="12">
        <f>O$159+((O$154-O$159)*1/9)</f>
        <v>8.8956125629206841</v>
      </c>
      <c r="R158" s="5">
        <f t="shared" si="12"/>
        <v>24</v>
      </c>
      <c r="S158" s="12">
        <f t="shared" si="3"/>
        <v>0.80749354005167961</v>
      </c>
      <c r="T158" s="12">
        <f t="shared" si="4"/>
        <v>1.0766580534022394</v>
      </c>
      <c r="U158" s="12">
        <f t="shared" si="5"/>
        <v>1.3458225667527992</v>
      </c>
      <c r="V158" s="12">
        <f t="shared" si="13"/>
        <v>3.0325951919047784</v>
      </c>
    </row>
    <row r="159" spans="2:25" x14ac:dyDescent="0.25">
      <c r="B159">
        <f t="shared" si="6"/>
        <v>25.839793281653748</v>
      </c>
      <c r="C159" s="5">
        <v>13</v>
      </c>
      <c r="D159" s="5">
        <f t="shared" si="7"/>
        <v>26</v>
      </c>
      <c r="E159" s="12">
        <f t="shared" si="8"/>
        <v>0.74537865235539658</v>
      </c>
      <c r="F159" s="12">
        <f t="shared" si="9"/>
        <v>0.99383820314052873</v>
      </c>
      <c r="G159" s="12">
        <f t="shared" si="10"/>
        <v>1.242297753925661</v>
      </c>
      <c r="I159" s="5">
        <f t="shared" si="11"/>
        <v>26</v>
      </c>
      <c r="J159" s="12">
        <f t="shared" si="0"/>
        <v>0.74537865235539658</v>
      </c>
      <c r="K159" s="12">
        <f t="shared" si="1"/>
        <v>0.99383820314052873</v>
      </c>
      <c r="L159" s="12">
        <f t="shared" si="2"/>
        <v>1.242297753925661</v>
      </c>
      <c r="N159" s="5">
        <f t="shared" si="14"/>
        <v>18</v>
      </c>
      <c r="O159" s="12">
        <f>SOA!C41</f>
        <v>2.4260761535238227</v>
      </c>
      <c r="P159" t="s">
        <v>44</v>
      </c>
      <c r="R159" s="5">
        <f t="shared" si="12"/>
        <v>26</v>
      </c>
      <c r="S159" s="12">
        <f t="shared" si="3"/>
        <v>5.0000000000000003E-10</v>
      </c>
      <c r="T159" s="12">
        <f t="shared" si="4"/>
        <v>5.0000000000000003E-10</v>
      </c>
      <c r="U159" s="12">
        <f t="shared" si="5"/>
        <v>5.0000000000000003E-10</v>
      </c>
      <c r="V159" s="12">
        <f t="shared" si="13"/>
        <v>2.799318638681334</v>
      </c>
    </row>
    <row r="160" spans="2:25" x14ac:dyDescent="0.25">
      <c r="B160">
        <f t="shared" si="6"/>
        <v>25.839793281653748</v>
      </c>
      <c r="C160" s="5">
        <v>14</v>
      </c>
      <c r="D160" s="5">
        <f t="shared" si="7"/>
        <v>28</v>
      </c>
      <c r="E160" s="12">
        <f t="shared" si="8"/>
        <v>0.69213732004429684</v>
      </c>
      <c r="F160" s="12">
        <f t="shared" si="9"/>
        <v>0.92284976005906239</v>
      </c>
      <c r="G160" s="12">
        <f t="shared" si="10"/>
        <v>1.1535622000738279</v>
      </c>
      <c r="I160" s="5">
        <f t="shared" si="11"/>
        <v>28</v>
      </c>
      <c r="J160" s="12">
        <f t="shared" si="0"/>
        <v>0.69213732004429684</v>
      </c>
      <c r="K160" s="12">
        <f t="shared" si="1"/>
        <v>0.92284976005906239</v>
      </c>
      <c r="L160" s="12">
        <f t="shared" si="2"/>
        <v>1.1535622000738279</v>
      </c>
      <c r="N160" s="5">
        <f t="shared" si="14"/>
        <v>20</v>
      </c>
      <c r="O160" s="12">
        <f>O$164+((O$159-O$164)*4/6)</f>
        <v>1.617384102349215</v>
      </c>
      <c r="R160" s="5">
        <f t="shared" si="12"/>
        <v>28</v>
      </c>
      <c r="S160" s="12">
        <f t="shared" si="3"/>
        <v>5.0000000000000003E-10</v>
      </c>
      <c r="T160" s="12">
        <f t="shared" si="4"/>
        <v>5.0000000000000003E-10</v>
      </c>
      <c r="U160" s="12">
        <f t="shared" si="5"/>
        <v>5.0000000000000003E-10</v>
      </c>
      <c r="V160" s="12">
        <f t="shared" si="13"/>
        <v>2.5993673073469528</v>
      </c>
    </row>
    <row r="161" spans="2:22" x14ac:dyDescent="0.25">
      <c r="B161">
        <f t="shared" si="6"/>
        <v>25.839793281653748</v>
      </c>
      <c r="C161" s="5">
        <v>15</v>
      </c>
      <c r="D161" s="5">
        <f t="shared" si="7"/>
        <v>30</v>
      </c>
      <c r="E161" s="12">
        <f t="shared" si="8"/>
        <v>0.64599483204134367</v>
      </c>
      <c r="F161" s="12">
        <f t="shared" si="9"/>
        <v>0.8613264427217916</v>
      </c>
      <c r="G161" s="12">
        <f t="shared" si="10"/>
        <v>1.0766580534022394</v>
      </c>
      <c r="I161" s="5">
        <f t="shared" si="11"/>
        <v>30</v>
      </c>
      <c r="J161" s="12">
        <f t="shared" si="0"/>
        <v>0.64599483204134367</v>
      </c>
      <c r="K161" s="12">
        <f t="shared" si="1"/>
        <v>0.8613264427217916</v>
      </c>
      <c r="L161" s="12">
        <f t="shared" si="2"/>
        <v>1.0766580534022394</v>
      </c>
      <c r="N161" s="5">
        <f t="shared" si="14"/>
        <v>22</v>
      </c>
      <c r="O161" s="12">
        <f>O$164+((O$159-O$164)*3/7)</f>
        <v>1.039746922938781</v>
      </c>
      <c r="R161" s="5">
        <f t="shared" si="12"/>
        <v>30</v>
      </c>
      <c r="S161" s="12">
        <f t="shared" si="3"/>
        <v>5.0000000000000003E-10</v>
      </c>
      <c r="T161" s="12">
        <f t="shared" si="4"/>
        <v>5.0000000000000003E-10</v>
      </c>
      <c r="U161" s="12">
        <f t="shared" si="5"/>
        <v>5.0000000000000003E-10</v>
      </c>
      <c r="V161" s="12">
        <f t="shared" si="13"/>
        <v>2.4260761535238227</v>
      </c>
    </row>
    <row r="162" spans="2:22" x14ac:dyDescent="0.25">
      <c r="B162">
        <f t="shared" si="6"/>
        <v>25.839793281653748</v>
      </c>
      <c r="C162" s="5">
        <v>16</v>
      </c>
      <c r="D162" s="5">
        <f t="shared" si="7"/>
        <v>32</v>
      </c>
      <c r="E162" s="12">
        <f t="shared" si="8"/>
        <v>0.60562015503875966</v>
      </c>
      <c r="F162" s="12">
        <f t="shared" si="9"/>
        <v>0.80749354005167961</v>
      </c>
      <c r="G162" s="12">
        <f t="shared" si="10"/>
        <v>1.0093669250645996</v>
      </c>
      <c r="I162" s="5">
        <f t="shared" si="11"/>
        <v>32</v>
      </c>
      <c r="J162" s="12">
        <f t="shared" si="0"/>
        <v>0.60562015503875966</v>
      </c>
      <c r="K162" s="12">
        <f t="shared" si="1"/>
        <v>0.80749354005167961</v>
      </c>
      <c r="L162" s="12">
        <f t="shared" si="2"/>
        <v>1.0093669250645996</v>
      </c>
      <c r="N162" s="5">
        <f t="shared" si="14"/>
        <v>24</v>
      </c>
      <c r="O162" s="12">
        <f>O$164+((O$159-O$164)*2/8)</f>
        <v>0.60651903838095567</v>
      </c>
      <c r="R162" s="5">
        <f t="shared" si="12"/>
        <v>32</v>
      </c>
      <c r="S162" s="12">
        <f t="shared" si="3"/>
        <v>5.0000000000000003E-10</v>
      </c>
      <c r="T162" s="12">
        <f t="shared" si="4"/>
        <v>5.0000000000000003E-10</v>
      </c>
      <c r="U162" s="12">
        <f t="shared" si="5"/>
        <v>5.0000000000000003E-10</v>
      </c>
      <c r="V162" s="12">
        <f t="shared" si="13"/>
        <v>2.2744463939285837</v>
      </c>
    </row>
    <row r="163" spans="2:22" x14ac:dyDescent="0.25">
      <c r="N163" s="5">
        <f t="shared" si="14"/>
        <v>26</v>
      </c>
      <c r="O163" s="12">
        <f>O$164+((O$159-O$164)*1/9)</f>
        <v>0.26956401705820254</v>
      </c>
      <c r="R163" s="5"/>
      <c r="S163" s="12">
        <f t="shared" si="3"/>
        <v>0</v>
      </c>
      <c r="T163" s="12">
        <f t="shared" si="4"/>
        <v>0</v>
      </c>
      <c r="U163" s="12">
        <f t="shared" si="5"/>
        <v>0</v>
      </c>
      <c r="V163" s="12" t="e">
        <f t="shared" si="13"/>
        <v>#DIV/0!</v>
      </c>
    </row>
    <row r="164" spans="2:22" x14ac:dyDescent="0.25">
      <c r="D164" s="16" t="s">
        <v>211</v>
      </c>
      <c r="N164" s="5">
        <f t="shared" si="14"/>
        <v>28</v>
      </c>
      <c r="O164" s="12">
        <f>SOA!C42</f>
        <v>0</v>
      </c>
      <c r="P164" t="s">
        <v>44</v>
      </c>
      <c r="R164" s="5"/>
      <c r="S164" s="12">
        <f t="shared" si="3"/>
        <v>0</v>
      </c>
      <c r="T164" s="12">
        <f t="shared" si="4"/>
        <v>0</v>
      </c>
      <c r="U164" s="12">
        <f t="shared" si="5"/>
        <v>0</v>
      </c>
      <c r="V164" s="12" t="e">
        <f t="shared" si="13"/>
        <v>#DIV/0!</v>
      </c>
    </row>
    <row r="165" spans="2:22" x14ac:dyDescent="0.25">
      <c r="N165" s="5">
        <f t="shared" si="14"/>
        <v>30</v>
      </c>
      <c r="O165" s="12">
        <f>O$169+((O$164-O$169)*4/6)</f>
        <v>0</v>
      </c>
      <c r="R165" s="5"/>
      <c r="S165" s="12">
        <f t="shared" si="3"/>
        <v>0</v>
      </c>
      <c r="T165" s="12">
        <f t="shared" si="4"/>
        <v>0</v>
      </c>
      <c r="U165" s="12">
        <f t="shared" si="5"/>
        <v>0</v>
      </c>
      <c r="V165" s="12" t="e">
        <f t="shared" si="13"/>
        <v>#DIV/0!</v>
      </c>
    </row>
    <row r="166" spans="2:22" x14ac:dyDescent="0.25">
      <c r="D166" s="16" t="s">
        <v>212</v>
      </c>
      <c r="E166" t="e">
        <f>'Device Parmaters'!#REF!</f>
        <v>#REF!</v>
      </c>
      <c r="N166" s="5">
        <f t="shared" si="14"/>
        <v>32</v>
      </c>
      <c r="O166" s="12">
        <f>O$169+((O$164-O$169)*3/7)</f>
        <v>0</v>
      </c>
    </row>
    <row r="167" spans="2:22" x14ac:dyDescent="0.25">
      <c r="D167" s="16" t="s">
        <v>213</v>
      </c>
      <c r="E167">
        <f>RsEFF*0.001</f>
        <v>9.0000000000000011E-3</v>
      </c>
      <c r="N167" s="5"/>
      <c r="O167" s="12"/>
    </row>
    <row r="168" spans="2:22" x14ac:dyDescent="0.25">
      <c r="D168" s="16" t="s">
        <v>214</v>
      </c>
      <c r="E168">
        <f>VINMAX</f>
        <v>24</v>
      </c>
      <c r="N168" s="5"/>
      <c r="O168" s="12"/>
    </row>
    <row r="169" spans="2:22" x14ac:dyDescent="0.25">
      <c r="D169" s="16" t="s">
        <v>215</v>
      </c>
      <c r="E169" s="59"/>
      <c r="F169">
        <v>0.25</v>
      </c>
      <c r="N169" s="5"/>
      <c r="O169" s="12"/>
    </row>
    <row r="171" spans="2:22" x14ac:dyDescent="0.25">
      <c r="D171" s="63" t="s">
        <v>181</v>
      </c>
    </row>
  </sheetData>
  <mergeCells count="3">
    <mergeCell ref="D52:G52"/>
    <mergeCell ref="D61:G61"/>
    <mergeCell ref="D75:H7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15"/>
  <sheetViews>
    <sheetView topLeftCell="A5" zoomScale="85" zoomScaleNormal="85" workbookViewId="0">
      <selection activeCell="J9" sqref="J9"/>
    </sheetView>
  </sheetViews>
  <sheetFormatPr defaultColWidth="9.109375" defaultRowHeight="13.2" x14ac:dyDescent="0.25"/>
  <cols>
    <col min="1" max="1" width="11" style="28" customWidth="1"/>
    <col min="2" max="3" width="9.109375" style="28"/>
    <col min="4" max="5" width="15" style="28" customWidth="1"/>
    <col min="6" max="6" width="15.44140625" style="28" customWidth="1"/>
    <col min="7" max="7" width="14.88671875" style="28" customWidth="1"/>
    <col min="8" max="8" width="10.77734375" style="28" customWidth="1"/>
    <col min="9" max="9" width="12.44140625" style="28" bestFit="1" customWidth="1"/>
    <col min="10" max="10" width="14.88671875" style="28" customWidth="1"/>
    <col min="11" max="11" width="12.88671875" style="28" customWidth="1"/>
    <col min="12" max="12" width="14.21875" style="28" customWidth="1"/>
    <col min="13" max="13" width="20.88671875" style="28" customWidth="1"/>
    <col min="14" max="14" width="12.77734375" style="28" customWidth="1"/>
    <col min="15" max="15" width="10.109375" style="28" bestFit="1" customWidth="1"/>
    <col min="16" max="16" width="18.88671875" style="28" customWidth="1"/>
    <col min="17" max="17" width="10.88671875" style="28" customWidth="1"/>
    <col min="18" max="16384" width="9.109375" style="28"/>
  </cols>
  <sheetData>
    <row r="1" spans="1:25" x14ac:dyDescent="0.25">
      <c r="B1" s="28" t="s">
        <v>95</v>
      </c>
      <c r="C1" s="28" t="s">
        <v>186</v>
      </c>
      <c r="D1" s="28" t="s">
        <v>187</v>
      </c>
      <c r="F1" s="73" t="s">
        <v>221</v>
      </c>
      <c r="G1" s="73" t="s">
        <v>188</v>
      </c>
      <c r="H1" s="73" t="s">
        <v>189</v>
      </c>
      <c r="I1" s="73" t="s">
        <v>190</v>
      </c>
      <c r="J1" s="73" t="s">
        <v>191</v>
      </c>
      <c r="K1" s="73"/>
      <c r="L1" s="73"/>
      <c r="M1" s="73" t="s">
        <v>195</v>
      </c>
      <c r="N1" s="73"/>
      <c r="O1" s="73" t="s">
        <v>196</v>
      </c>
      <c r="Q1" s="28" t="s">
        <v>237</v>
      </c>
      <c r="R1" s="28" t="s">
        <v>238</v>
      </c>
    </row>
    <row r="2" spans="1:25" x14ac:dyDescent="0.25">
      <c r="B2" s="64">
        <f>'Design Calculator'!F67</f>
        <v>25.839793281653748</v>
      </c>
      <c r="C2" s="28">
        <f>'Design Calculator'!F47</f>
        <v>5.5555555555555554</v>
      </c>
      <c r="D2" s="28" t="str">
        <f>IF( 'Design Calculator'!F69 = "Constant Current", "CC", "R")</f>
        <v>CC</v>
      </c>
      <c r="F2" s="28" t="str">
        <f>'Design Calculator'!F71</f>
        <v>Yes</v>
      </c>
      <c r="G2" s="28">
        <f>'Design Calculator'!F70</f>
        <v>1.1000000000000001</v>
      </c>
      <c r="H2" s="28">
        <f>'Design Calculator'!F68</f>
        <v>24</v>
      </c>
      <c r="I2" s="28">
        <f>RsEFF</f>
        <v>9</v>
      </c>
      <c r="J2" s="28">
        <v>0</v>
      </c>
      <c r="M2" s="64">
        <f>J114*1000</f>
        <v>109.09090909090901</v>
      </c>
      <c r="N2" s="28" t="s">
        <v>5</v>
      </c>
      <c r="O2" s="68">
        <f>MIN(L10:L111)</f>
        <v>1</v>
      </c>
      <c r="Q2" s="28">
        <f>'Device Parmaters'!E20/'Device Parmaters'!D20</f>
        <v>1.5909090909090908</v>
      </c>
      <c r="R2" s="28">
        <f>'Device Parmaters'!C20/'Device Parmaters'!D20</f>
        <v>0.68181818181818177</v>
      </c>
    </row>
    <row r="3" spans="1:25" x14ac:dyDescent="0.25">
      <c r="B3" s="64"/>
      <c r="M3" s="64"/>
      <c r="O3" s="68"/>
    </row>
    <row r="4" spans="1:25" x14ac:dyDescent="0.25">
      <c r="B4" s="64"/>
      <c r="D4" s="28" t="s">
        <v>229</v>
      </c>
      <c r="M4" s="64" t="s">
        <v>230</v>
      </c>
      <c r="N4" s="28">
        <f>MIN(M10:M114)</f>
        <v>10.766580534022394</v>
      </c>
      <c r="O4" s="68" t="s">
        <v>225</v>
      </c>
      <c r="P4" s="28" t="s">
        <v>239</v>
      </c>
      <c r="Q4" s="28">
        <f>MAX(O10:O114)</f>
        <v>0.26400000000000001</v>
      </c>
      <c r="R4" s="28" t="s">
        <v>51</v>
      </c>
    </row>
    <row r="5" spans="1:25" x14ac:dyDescent="0.25">
      <c r="B5" s="64"/>
      <c r="M5" s="28" t="s">
        <v>231</v>
      </c>
      <c r="N5" s="28">
        <f>SUM(N10:N114)</f>
        <v>1.4261538461538466E-2</v>
      </c>
      <c r="O5" s="68" t="s">
        <v>232</v>
      </c>
      <c r="P5" s="28" t="s">
        <v>241</v>
      </c>
      <c r="Q5" s="28">
        <f>MAX(P10:P114)</f>
        <v>0.41999999999999993</v>
      </c>
      <c r="R5" s="28" t="s">
        <v>51</v>
      </c>
    </row>
    <row r="6" spans="1:25" x14ac:dyDescent="0.25">
      <c r="P6" s="28" t="s">
        <v>240</v>
      </c>
      <c r="Q6" s="28">
        <f>MAX(Q10:Q114)</f>
        <v>0.17999999999999997</v>
      </c>
      <c r="R6" s="28" t="s">
        <v>51</v>
      </c>
    </row>
    <row r="7" spans="1:25" x14ac:dyDescent="0.25">
      <c r="A7" s="65" t="s">
        <v>117</v>
      </c>
      <c r="B7" s="66" t="s">
        <v>89</v>
      </c>
      <c r="C7" s="66" t="s">
        <v>90</v>
      </c>
      <c r="D7" s="66" t="s">
        <v>95</v>
      </c>
      <c r="E7" s="66" t="s">
        <v>219</v>
      </c>
      <c r="F7" s="66" t="s">
        <v>220</v>
      </c>
      <c r="G7" s="66" t="s">
        <v>193</v>
      </c>
      <c r="H7" s="66" t="s">
        <v>115</v>
      </c>
      <c r="I7" s="66" t="s">
        <v>192</v>
      </c>
      <c r="J7" s="67" t="s">
        <v>101</v>
      </c>
      <c r="K7" s="67" t="s">
        <v>271</v>
      </c>
      <c r="L7" s="65" t="s">
        <v>194</v>
      </c>
      <c r="M7" s="65" t="s">
        <v>233</v>
      </c>
      <c r="N7" s="65" t="s">
        <v>270</v>
      </c>
      <c r="O7" s="65" t="s">
        <v>234</v>
      </c>
      <c r="P7" s="28" t="s">
        <v>235</v>
      </c>
      <c r="Q7" s="28" t="s">
        <v>236</v>
      </c>
    </row>
    <row r="8" spans="1:25" x14ac:dyDescent="0.25">
      <c r="A8" s="65"/>
      <c r="B8" s="66"/>
      <c r="C8" s="66"/>
      <c r="D8" s="66"/>
      <c r="E8" s="66"/>
      <c r="F8" s="66"/>
      <c r="G8" s="66"/>
      <c r="H8" s="66"/>
      <c r="I8" s="66"/>
      <c r="J8" s="67"/>
      <c r="K8" s="87">
        <v>-10</v>
      </c>
      <c r="L8" s="65"/>
      <c r="M8" s="65"/>
      <c r="N8" s="65"/>
      <c r="O8" s="28">
        <v>0</v>
      </c>
    </row>
    <row r="9" spans="1:25" x14ac:dyDescent="0.25">
      <c r="A9" s="65"/>
      <c r="B9" s="66"/>
      <c r="C9" s="66"/>
      <c r="D9" s="66"/>
      <c r="E9" s="66"/>
      <c r="F9" s="66"/>
      <c r="G9" s="66"/>
      <c r="H9" s="66"/>
      <c r="I9" s="66"/>
      <c r="J9" s="67"/>
      <c r="K9" s="38">
        <v>-0.01</v>
      </c>
      <c r="L9" s="65"/>
      <c r="M9" s="65"/>
      <c r="N9" s="65"/>
      <c r="O9" s="28">
        <v>0</v>
      </c>
    </row>
    <row r="10" spans="1:25" x14ac:dyDescent="0.25">
      <c r="A10" s="28">
        <f t="shared" ref="A10:A41" si="0">VINMAX</f>
        <v>24</v>
      </c>
      <c r="B10" s="31">
        <f t="shared" ref="B10:B41" si="1">VINMAX*((ROW()-10)/104)</f>
        <v>0</v>
      </c>
      <c r="C10" s="29">
        <f t="shared" ref="C10:C41" si="2">IF(B10&gt;=$H$2,IF($D$2="CC", $G$2, B10/$G$2), 0)</f>
        <v>0</v>
      </c>
      <c r="D10" s="27">
        <f>$B$2-B10*$J$2/($I$2*0.001)</f>
        <v>25.839793281653748</v>
      </c>
      <c r="E10" s="27">
        <f>MIN(D10/(A10-B10),$C$2)</f>
        <v>1.0766580534022394</v>
      </c>
      <c r="F10" s="29">
        <f>I_Cout_ss+C10</f>
        <v>1.0999999999999999E-2</v>
      </c>
      <c r="G10" s="27">
        <f>IF($F$2="YES", F10, E10)</f>
        <v>1.0999999999999999E-2</v>
      </c>
      <c r="H10" s="29">
        <f t="shared" ref="H10:H41" si="3">G10-C10</f>
        <v>1.0999999999999999E-2</v>
      </c>
      <c r="I10" s="30">
        <f>(COUTMAX/1000000)*(B10)/H10</f>
        <v>0</v>
      </c>
      <c r="J10" s="37">
        <f>I10</f>
        <v>0</v>
      </c>
      <c r="K10" s="87">
        <f>J10*1000</f>
        <v>0</v>
      </c>
      <c r="L10" s="68">
        <f>H10/G10</f>
        <v>1</v>
      </c>
      <c r="M10" s="28">
        <f t="shared" ref="M10:M41" si="4">1/COUTMAX*(E10/2-C10)*1000</f>
        <v>10.766580534022394</v>
      </c>
      <c r="N10" s="28">
        <f>I10*G10*(A10-B10)</f>
        <v>0</v>
      </c>
      <c r="O10" s="28">
        <f>G10*(A10-B10)</f>
        <v>0.26400000000000001</v>
      </c>
      <c r="P10" s="28">
        <f t="shared" ref="P10:P41" si="5">(A10-B10)*(I_Cout_ss*$Q$2+C10)</f>
        <v>0.41999999999999993</v>
      </c>
      <c r="Q10" s="28">
        <f t="shared" ref="Q10:Q41" si="6">(A10-B10)*(I_Cout_ss*$R$2+C10)</f>
        <v>0.17999999999999997</v>
      </c>
    </row>
    <row r="11" spans="1:25" x14ac:dyDescent="0.25">
      <c r="A11" s="28">
        <f t="shared" si="0"/>
        <v>24</v>
      </c>
      <c r="B11" s="31">
        <f t="shared" si="1"/>
        <v>0.23076923076923078</v>
      </c>
      <c r="C11" s="29">
        <f t="shared" si="2"/>
        <v>0</v>
      </c>
      <c r="D11" s="27">
        <f t="shared" ref="D11:D41" si="7">$B$2-B11*$J$2/($I$2*0.001)</f>
        <v>25.839793281653748</v>
      </c>
      <c r="E11" s="27">
        <f t="shared" ref="E11:E74" si="8">MIN(D11/(A11-B11),$C$2)</f>
        <v>1.08711104421197</v>
      </c>
      <c r="F11" s="29">
        <f t="shared" ref="F11:F41" si="9">I_Cout_ss+C11</f>
        <v>1.0999999999999999E-2</v>
      </c>
      <c r="G11" s="27">
        <f t="shared" ref="G11:G74" si="10">IF($F$2="YES", F11, E11)</f>
        <v>1.0999999999999999E-2</v>
      </c>
      <c r="H11" s="29">
        <f t="shared" si="3"/>
        <v>1.0999999999999999E-2</v>
      </c>
      <c r="I11" s="30">
        <f t="shared" ref="I11:I42" si="11">(COUTMAX/1000000)*(B11-B10)/H11</f>
        <v>1.0489510489510492E-3</v>
      </c>
      <c r="J11" s="37">
        <f>J10+I11</f>
        <v>1.0489510489510492E-3</v>
      </c>
      <c r="K11" s="87">
        <f t="shared" ref="K11:K74" si="12">J11*1000</f>
        <v>1.0489510489510492</v>
      </c>
      <c r="L11" s="68">
        <f t="shared" ref="L11:L74" si="13">H11/G11</f>
        <v>1</v>
      </c>
      <c r="M11" s="28">
        <f t="shared" si="4"/>
        <v>10.871110442119701</v>
      </c>
      <c r="N11" s="28">
        <f t="shared" ref="N11:N13" si="14">I11*G11*(A11-B11)</f>
        <v>2.7426035502958583E-4</v>
      </c>
      <c r="O11" s="28">
        <f>G11*(A11-B11)</f>
        <v>0.26146153846153847</v>
      </c>
      <c r="P11" s="28">
        <f t="shared" si="5"/>
        <v>0.41596153846153844</v>
      </c>
      <c r="Q11" s="28">
        <f t="shared" si="6"/>
        <v>0.17826923076923074</v>
      </c>
    </row>
    <row r="12" spans="1:25" x14ac:dyDescent="0.25">
      <c r="A12" s="28">
        <f t="shared" si="0"/>
        <v>24</v>
      </c>
      <c r="B12" s="31">
        <f t="shared" si="1"/>
        <v>0.46153846153846156</v>
      </c>
      <c r="C12" s="29">
        <f t="shared" si="2"/>
        <v>0</v>
      </c>
      <c r="D12" s="27">
        <f t="shared" si="7"/>
        <v>25.839793281653748</v>
      </c>
      <c r="E12" s="27">
        <f t="shared" si="8"/>
        <v>1.0977689956258128</v>
      </c>
      <c r="F12" s="29">
        <f t="shared" si="9"/>
        <v>1.0999999999999999E-2</v>
      </c>
      <c r="G12" s="27">
        <f t="shared" si="10"/>
        <v>1.0999999999999999E-2</v>
      </c>
      <c r="H12" s="29">
        <f t="shared" si="3"/>
        <v>1.0999999999999999E-2</v>
      </c>
      <c r="I12" s="30">
        <f t="shared" si="11"/>
        <v>1.0489510489510492E-3</v>
      </c>
      <c r="J12" s="37">
        <f t="shared" ref="J12:J75" si="15">J11+I12</f>
        <v>2.0979020979020983E-3</v>
      </c>
      <c r="K12" s="87">
        <f t="shared" si="12"/>
        <v>2.0979020979020984</v>
      </c>
      <c r="L12" s="68">
        <f t="shared" si="13"/>
        <v>1</v>
      </c>
      <c r="M12" s="28">
        <f t="shared" si="4"/>
        <v>10.977689956258127</v>
      </c>
      <c r="N12" s="28">
        <f>I12*G12*(A12-B12)</f>
        <v>2.7159763313609471E-4</v>
      </c>
      <c r="O12" s="28">
        <f t="shared" ref="O12:O74" si="16">G12*(A12-B12)</f>
        <v>0.25892307692307692</v>
      </c>
      <c r="P12" s="28">
        <f t="shared" si="5"/>
        <v>0.41192307692307689</v>
      </c>
      <c r="Q12" s="28">
        <f t="shared" si="6"/>
        <v>0.17653846153846153</v>
      </c>
      <c r="X12" s="350" t="s">
        <v>91</v>
      </c>
      <c r="Y12" s="350"/>
    </row>
    <row r="13" spans="1:25" x14ac:dyDescent="0.25">
      <c r="A13" s="28">
        <f t="shared" si="0"/>
        <v>24</v>
      </c>
      <c r="B13" s="31">
        <f t="shared" si="1"/>
        <v>0.69230769230769229</v>
      </c>
      <c r="C13" s="29">
        <f t="shared" si="2"/>
        <v>0</v>
      </c>
      <c r="D13" s="27">
        <f t="shared" si="7"/>
        <v>25.839793281653748</v>
      </c>
      <c r="E13" s="27">
        <f t="shared" si="8"/>
        <v>1.1086379955825041</v>
      </c>
      <c r="F13" s="29">
        <f t="shared" si="9"/>
        <v>1.0999999999999999E-2</v>
      </c>
      <c r="G13" s="27">
        <f>IF($F$2="YES", F13, E13)</f>
        <v>1.0999999999999999E-2</v>
      </c>
      <c r="H13" s="29">
        <f t="shared" si="3"/>
        <v>1.0999999999999999E-2</v>
      </c>
      <c r="I13" s="30">
        <f t="shared" si="11"/>
        <v>1.0489510489510487E-3</v>
      </c>
      <c r="J13" s="37">
        <f t="shared" si="15"/>
        <v>3.1468531468531471E-3</v>
      </c>
      <c r="K13" s="87">
        <f t="shared" si="12"/>
        <v>3.1468531468531471</v>
      </c>
      <c r="L13" s="68">
        <f t="shared" si="13"/>
        <v>1</v>
      </c>
      <c r="M13" s="28">
        <f t="shared" si="4"/>
        <v>11.086379955825041</v>
      </c>
      <c r="N13" s="28">
        <f t="shared" si="14"/>
        <v>2.6893491124260348E-4</v>
      </c>
      <c r="O13" s="28">
        <f t="shared" si="16"/>
        <v>0.25638461538461538</v>
      </c>
      <c r="P13" s="28">
        <f t="shared" si="5"/>
        <v>0.40788461538461535</v>
      </c>
      <c r="Q13" s="28">
        <f t="shared" si="6"/>
        <v>0.17480769230769228</v>
      </c>
      <c r="X13" s="32" t="s">
        <v>92</v>
      </c>
      <c r="Y13" s="33">
        <v>0.3</v>
      </c>
    </row>
    <row r="14" spans="1:25" x14ac:dyDescent="0.25">
      <c r="A14" s="28">
        <f t="shared" si="0"/>
        <v>24</v>
      </c>
      <c r="B14" s="31">
        <f t="shared" si="1"/>
        <v>0.92307692307692313</v>
      </c>
      <c r="C14" s="29">
        <f t="shared" si="2"/>
        <v>0</v>
      </c>
      <c r="D14" s="27">
        <f t="shared" si="7"/>
        <v>25.839793281653748</v>
      </c>
      <c r="E14" s="27">
        <f t="shared" si="8"/>
        <v>1.119724375538329</v>
      </c>
      <c r="F14" s="29">
        <f t="shared" si="9"/>
        <v>1.0999999999999999E-2</v>
      </c>
      <c r="G14" s="27">
        <f t="shared" si="10"/>
        <v>1.0999999999999999E-2</v>
      </c>
      <c r="H14" s="29">
        <f t="shared" si="3"/>
        <v>1.0999999999999999E-2</v>
      </c>
      <c r="I14" s="30">
        <f t="shared" si="11"/>
        <v>1.0489510489510494E-3</v>
      </c>
      <c r="J14" s="37">
        <f t="shared" si="15"/>
        <v>4.1958041958041967E-3</v>
      </c>
      <c r="K14" s="87">
        <f t="shared" si="12"/>
        <v>4.1958041958041967</v>
      </c>
      <c r="L14" s="68">
        <f t="shared" si="13"/>
        <v>1</v>
      </c>
      <c r="M14" s="28">
        <f t="shared" si="4"/>
        <v>11.197243755383292</v>
      </c>
      <c r="N14" s="28">
        <f t="shared" ref="N14:N74" si="17">I14*G14*(A14-B14)</f>
        <v>2.6627218934911252E-4</v>
      </c>
      <c r="O14" s="28">
        <f t="shared" si="16"/>
        <v>0.25384615384615383</v>
      </c>
      <c r="P14" s="28">
        <f t="shared" si="5"/>
        <v>0.4038461538461538</v>
      </c>
      <c r="Q14" s="28">
        <f t="shared" si="6"/>
        <v>0.17307692307692304</v>
      </c>
      <c r="X14" s="32" t="s">
        <v>93</v>
      </c>
      <c r="Y14" s="33">
        <v>0.3</v>
      </c>
    </row>
    <row r="15" spans="1:25" x14ac:dyDescent="0.25">
      <c r="A15" s="28">
        <f t="shared" si="0"/>
        <v>24</v>
      </c>
      <c r="B15" s="31">
        <f t="shared" si="1"/>
        <v>1.153846153846154</v>
      </c>
      <c r="C15" s="29">
        <f t="shared" si="2"/>
        <v>0</v>
      </c>
      <c r="D15" s="27">
        <f t="shared" si="7"/>
        <v>25.839793281653748</v>
      </c>
      <c r="E15" s="27">
        <f t="shared" si="8"/>
        <v>1.1310347227659889</v>
      </c>
      <c r="F15" s="29">
        <f t="shared" si="9"/>
        <v>1.0999999999999999E-2</v>
      </c>
      <c r="G15" s="27">
        <f t="shared" si="10"/>
        <v>1.0999999999999999E-2</v>
      </c>
      <c r="H15" s="29">
        <f t="shared" si="3"/>
        <v>1.0999999999999999E-2</v>
      </c>
      <c r="I15" s="30">
        <f t="shared" si="11"/>
        <v>1.0489510489510494E-3</v>
      </c>
      <c r="J15" s="37">
        <f t="shared" si="15"/>
        <v>5.2447552447552458E-3</v>
      </c>
      <c r="K15" s="87">
        <f t="shared" si="12"/>
        <v>5.2447552447552459</v>
      </c>
      <c r="L15" s="68">
        <f t="shared" si="13"/>
        <v>1</v>
      </c>
      <c r="M15" s="28">
        <f t="shared" si="4"/>
        <v>11.310347227659889</v>
      </c>
      <c r="N15" s="28">
        <f t="shared" si="17"/>
        <v>2.636094674556214E-4</v>
      </c>
      <c r="O15" s="28">
        <f t="shared" si="16"/>
        <v>0.25130769230769229</v>
      </c>
      <c r="P15" s="28">
        <f t="shared" si="5"/>
        <v>0.39980769230769225</v>
      </c>
      <c r="Q15" s="28">
        <f t="shared" si="6"/>
        <v>0.17134615384615381</v>
      </c>
      <c r="X15" s="32" t="s">
        <v>94</v>
      </c>
      <c r="Y15" s="33">
        <f>SQRT(Y14^2+Y13^2)</f>
        <v>0.42426406871192851</v>
      </c>
    </row>
    <row r="16" spans="1:25" x14ac:dyDescent="0.25">
      <c r="A16" s="28">
        <f t="shared" si="0"/>
        <v>24</v>
      </c>
      <c r="B16" s="31">
        <f t="shared" si="1"/>
        <v>1.3846153846153846</v>
      </c>
      <c r="C16" s="29">
        <f t="shared" si="2"/>
        <v>0</v>
      </c>
      <c r="D16" s="27">
        <f t="shared" si="7"/>
        <v>25.839793281653748</v>
      </c>
      <c r="E16" s="27">
        <f t="shared" si="8"/>
        <v>1.1425758934064583</v>
      </c>
      <c r="F16" s="29">
        <f t="shared" si="9"/>
        <v>1.0999999999999999E-2</v>
      </c>
      <c r="G16" s="27">
        <f t="shared" si="10"/>
        <v>1.0999999999999999E-2</v>
      </c>
      <c r="H16" s="29">
        <f t="shared" si="3"/>
        <v>1.0999999999999999E-2</v>
      </c>
      <c r="I16" s="30">
        <f t="shared" si="11"/>
        <v>1.0489510489510483E-3</v>
      </c>
      <c r="J16" s="37">
        <f t="shared" si="15"/>
        <v>6.2937062937062941E-3</v>
      </c>
      <c r="K16" s="87">
        <f t="shared" si="12"/>
        <v>6.2937062937062942</v>
      </c>
      <c r="L16" s="68">
        <f t="shared" si="13"/>
        <v>1</v>
      </c>
      <c r="M16" s="28">
        <f t="shared" si="4"/>
        <v>11.425758934064582</v>
      </c>
      <c r="N16" s="28">
        <f t="shared" si="17"/>
        <v>2.6094674556213001E-4</v>
      </c>
      <c r="O16" s="28">
        <f t="shared" si="16"/>
        <v>0.24876923076923077</v>
      </c>
      <c r="P16" s="28">
        <f t="shared" si="5"/>
        <v>0.39576923076923076</v>
      </c>
      <c r="Q16" s="28">
        <f t="shared" si="6"/>
        <v>0.16961538461538461</v>
      </c>
      <c r="X16" s="33"/>
      <c r="Y16" s="33"/>
    </row>
    <row r="17" spans="1:25" x14ac:dyDescent="0.25">
      <c r="A17" s="28">
        <f t="shared" si="0"/>
        <v>24</v>
      </c>
      <c r="B17" s="31">
        <f t="shared" si="1"/>
        <v>1.6153846153846154</v>
      </c>
      <c r="C17" s="29">
        <f t="shared" si="2"/>
        <v>0</v>
      </c>
      <c r="D17" s="27">
        <f t="shared" si="7"/>
        <v>25.839793281653748</v>
      </c>
      <c r="E17" s="27">
        <f t="shared" si="8"/>
        <v>1.1543550263281743</v>
      </c>
      <c r="F17" s="29">
        <f t="shared" si="9"/>
        <v>1.0999999999999999E-2</v>
      </c>
      <c r="G17" s="27">
        <f t="shared" si="10"/>
        <v>1.0999999999999999E-2</v>
      </c>
      <c r="H17" s="29">
        <f t="shared" si="3"/>
        <v>1.0999999999999999E-2</v>
      </c>
      <c r="I17" s="30">
        <f t="shared" si="11"/>
        <v>1.0489510489510494E-3</v>
      </c>
      <c r="J17" s="37">
        <f t="shared" si="15"/>
        <v>7.3426573426573433E-3</v>
      </c>
      <c r="K17" s="87">
        <f t="shared" si="12"/>
        <v>7.3426573426573434</v>
      </c>
      <c r="L17" s="68">
        <f t="shared" si="13"/>
        <v>1</v>
      </c>
      <c r="M17" s="28">
        <f t="shared" si="4"/>
        <v>11.543550263281743</v>
      </c>
      <c r="N17" s="28">
        <f t="shared" si="17"/>
        <v>2.5828402366863916E-4</v>
      </c>
      <c r="O17" s="28">
        <f t="shared" si="16"/>
        <v>0.2462307692307692</v>
      </c>
      <c r="P17" s="28">
        <f t="shared" si="5"/>
        <v>0.39173076923076916</v>
      </c>
      <c r="Q17" s="28">
        <f t="shared" si="6"/>
        <v>0.16788461538461535</v>
      </c>
      <c r="X17" s="32" t="s">
        <v>95</v>
      </c>
      <c r="Y17" s="33">
        <v>0.3</v>
      </c>
    </row>
    <row r="18" spans="1:25" x14ac:dyDescent="0.25">
      <c r="A18" s="28">
        <f t="shared" si="0"/>
        <v>24</v>
      </c>
      <c r="B18" s="31">
        <f t="shared" si="1"/>
        <v>1.8461538461538463</v>
      </c>
      <c r="C18" s="29">
        <f t="shared" si="2"/>
        <v>0</v>
      </c>
      <c r="D18" s="27">
        <f t="shared" si="7"/>
        <v>25.839793281653748</v>
      </c>
      <c r="E18" s="27">
        <f t="shared" si="8"/>
        <v>1.1663795578524261</v>
      </c>
      <c r="F18" s="29">
        <f t="shared" si="9"/>
        <v>1.0999999999999999E-2</v>
      </c>
      <c r="G18" s="27">
        <f t="shared" si="10"/>
        <v>1.0999999999999999E-2</v>
      </c>
      <c r="H18" s="29">
        <f t="shared" si="3"/>
        <v>1.0999999999999999E-2</v>
      </c>
      <c r="I18" s="30">
        <f t="shared" si="11"/>
        <v>1.0489510489510494E-3</v>
      </c>
      <c r="J18" s="37">
        <f t="shared" si="15"/>
        <v>8.3916083916083933E-3</v>
      </c>
      <c r="K18" s="87">
        <f t="shared" si="12"/>
        <v>8.3916083916083934</v>
      </c>
      <c r="L18" s="68">
        <f t="shared" si="13"/>
        <v>1</v>
      </c>
      <c r="M18" s="28">
        <f t="shared" si="4"/>
        <v>11.663795578524262</v>
      </c>
      <c r="N18" s="28">
        <f t="shared" si="17"/>
        <v>2.5562130177514804E-4</v>
      </c>
      <c r="O18" s="28">
        <f t="shared" si="16"/>
        <v>0.24369230769230768</v>
      </c>
      <c r="P18" s="28">
        <f t="shared" si="5"/>
        <v>0.38769230769230767</v>
      </c>
      <c r="Q18" s="28">
        <f t="shared" si="6"/>
        <v>0.16615384615384612</v>
      </c>
      <c r="X18" s="32" t="s">
        <v>96</v>
      </c>
      <c r="Y18" s="33">
        <f>MAX(Y15:Y17)</f>
        <v>0.42426406871192851</v>
      </c>
    </row>
    <row r="19" spans="1:25" x14ac:dyDescent="0.25">
      <c r="A19" s="28">
        <f t="shared" si="0"/>
        <v>24</v>
      </c>
      <c r="B19" s="31">
        <f t="shared" si="1"/>
        <v>2.0769230769230766</v>
      </c>
      <c r="C19" s="29">
        <f t="shared" si="2"/>
        <v>0</v>
      </c>
      <c r="D19" s="27">
        <f t="shared" si="7"/>
        <v>25.839793281653748</v>
      </c>
      <c r="E19" s="27">
        <f t="shared" si="8"/>
        <v>1.1786572374087674</v>
      </c>
      <c r="F19" s="29">
        <f t="shared" si="9"/>
        <v>1.0999999999999999E-2</v>
      </c>
      <c r="G19" s="27">
        <f t="shared" si="10"/>
        <v>1.0999999999999999E-2</v>
      </c>
      <c r="H19" s="29">
        <f t="shared" si="3"/>
        <v>1.0999999999999999E-2</v>
      </c>
      <c r="I19" s="30">
        <f t="shared" si="11"/>
        <v>1.0489510489510474E-3</v>
      </c>
      <c r="J19" s="37">
        <f t="shared" si="15"/>
        <v>9.4405594405594408E-3</v>
      </c>
      <c r="K19" s="87">
        <f t="shared" si="12"/>
        <v>9.44055944055944</v>
      </c>
      <c r="L19" s="68">
        <f t="shared" si="13"/>
        <v>1</v>
      </c>
      <c r="M19" s="28">
        <f t="shared" si="4"/>
        <v>11.786572374087674</v>
      </c>
      <c r="N19" s="28">
        <f t="shared" si="17"/>
        <v>2.5295857988165643E-4</v>
      </c>
      <c r="O19" s="28">
        <f t="shared" si="16"/>
        <v>0.24115384615384614</v>
      </c>
      <c r="P19" s="28">
        <f t="shared" si="5"/>
        <v>0.38365384615384612</v>
      </c>
      <c r="Q19" s="28">
        <f t="shared" si="6"/>
        <v>0.16442307692307689</v>
      </c>
      <c r="X19" s="33"/>
      <c r="Y19" s="33"/>
    </row>
    <row r="20" spans="1:25" x14ac:dyDescent="0.25">
      <c r="A20" s="28">
        <f t="shared" si="0"/>
        <v>24</v>
      </c>
      <c r="B20" s="31">
        <f t="shared" si="1"/>
        <v>2.3076923076923079</v>
      </c>
      <c r="C20" s="29">
        <f t="shared" si="2"/>
        <v>0</v>
      </c>
      <c r="D20" s="27">
        <f t="shared" si="7"/>
        <v>25.839793281653748</v>
      </c>
      <c r="E20" s="27">
        <f t="shared" si="8"/>
        <v>1.1911961441897116</v>
      </c>
      <c r="F20" s="29">
        <f t="shared" si="9"/>
        <v>1.0999999999999999E-2</v>
      </c>
      <c r="G20" s="27">
        <f t="shared" si="10"/>
        <v>1.0999999999999999E-2</v>
      </c>
      <c r="H20" s="29">
        <f t="shared" si="3"/>
        <v>1.0999999999999999E-2</v>
      </c>
      <c r="I20" s="30">
        <f t="shared" si="11"/>
        <v>1.0489510489510513E-3</v>
      </c>
      <c r="J20" s="37">
        <f t="shared" si="15"/>
        <v>1.0489510489510492E-2</v>
      </c>
      <c r="K20" s="87">
        <f t="shared" si="12"/>
        <v>10.489510489510492</v>
      </c>
      <c r="L20" s="68">
        <f t="shared" si="13"/>
        <v>1</v>
      </c>
      <c r="M20" s="28">
        <f t="shared" si="4"/>
        <v>11.911961441897116</v>
      </c>
      <c r="N20" s="28">
        <f t="shared" si="17"/>
        <v>2.5029585798816623E-4</v>
      </c>
      <c r="O20" s="28">
        <f t="shared" si="16"/>
        <v>0.23861538461538462</v>
      </c>
      <c r="P20" s="28">
        <f t="shared" si="5"/>
        <v>0.37961538461538458</v>
      </c>
      <c r="Q20" s="28">
        <f t="shared" si="6"/>
        <v>0.16269230769230766</v>
      </c>
      <c r="X20" s="32" t="s">
        <v>97</v>
      </c>
      <c r="Y20" s="33">
        <v>0.2</v>
      </c>
    </row>
    <row r="21" spans="1:25" x14ac:dyDescent="0.25">
      <c r="A21" s="28">
        <f t="shared" si="0"/>
        <v>24</v>
      </c>
      <c r="B21" s="31">
        <f t="shared" si="1"/>
        <v>2.5384615384615383</v>
      </c>
      <c r="C21" s="29">
        <f t="shared" si="2"/>
        <v>0</v>
      </c>
      <c r="D21" s="27">
        <f t="shared" si="7"/>
        <v>25.839793281653748</v>
      </c>
      <c r="E21" s="27">
        <f t="shared" si="8"/>
        <v>1.2040047048799238</v>
      </c>
      <c r="F21" s="29">
        <f t="shared" si="9"/>
        <v>1.0999999999999999E-2</v>
      </c>
      <c r="G21" s="27">
        <f t="shared" si="10"/>
        <v>1.0999999999999999E-2</v>
      </c>
      <c r="H21" s="29">
        <f t="shared" si="3"/>
        <v>1.0999999999999999E-2</v>
      </c>
      <c r="I21" s="30">
        <f t="shared" si="11"/>
        <v>1.0489510489510474E-3</v>
      </c>
      <c r="J21" s="37">
        <f t="shared" si="15"/>
        <v>1.1538461538461539E-2</v>
      </c>
      <c r="K21" s="87">
        <f t="shared" si="12"/>
        <v>11.538461538461538</v>
      </c>
      <c r="L21" s="68">
        <f t="shared" si="13"/>
        <v>1</v>
      </c>
      <c r="M21" s="28">
        <f t="shared" si="4"/>
        <v>12.04004704879924</v>
      </c>
      <c r="N21" s="28">
        <f t="shared" si="17"/>
        <v>2.4763313609467414E-4</v>
      </c>
      <c r="O21" s="28">
        <f t="shared" si="16"/>
        <v>0.23607692307692305</v>
      </c>
      <c r="P21" s="28">
        <f t="shared" si="5"/>
        <v>0.37557692307692303</v>
      </c>
      <c r="Q21" s="28">
        <f t="shared" si="6"/>
        <v>0.16096153846153843</v>
      </c>
      <c r="X21" s="32" t="s">
        <v>98</v>
      </c>
      <c r="Y21" s="33">
        <v>0.2</v>
      </c>
    </row>
    <row r="22" spans="1:25" x14ac:dyDescent="0.25">
      <c r="A22" s="28">
        <f t="shared" si="0"/>
        <v>24</v>
      </c>
      <c r="B22" s="31">
        <f t="shared" si="1"/>
        <v>2.7692307692307692</v>
      </c>
      <c r="C22" s="29">
        <f t="shared" si="2"/>
        <v>0</v>
      </c>
      <c r="D22" s="27">
        <f t="shared" si="7"/>
        <v>25.839793281653748</v>
      </c>
      <c r="E22" s="27">
        <f t="shared" si="8"/>
        <v>1.217091712541662</v>
      </c>
      <c r="F22" s="29">
        <f t="shared" si="9"/>
        <v>1.0999999999999999E-2</v>
      </c>
      <c r="G22" s="27">
        <f t="shared" si="10"/>
        <v>1.0999999999999999E-2</v>
      </c>
      <c r="H22" s="29">
        <f t="shared" si="3"/>
        <v>1.0999999999999999E-2</v>
      </c>
      <c r="I22" s="30">
        <f t="shared" si="11"/>
        <v>1.0489510489510494E-3</v>
      </c>
      <c r="J22" s="37">
        <f t="shared" si="15"/>
        <v>1.2587412587412588E-2</v>
      </c>
      <c r="K22" s="87">
        <f t="shared" si="12"/>
        <v>12.587412587412588</v>
      </c>
      <c r="L22" s="68">
        <f t="shared" si="13"/>
        <v>1</v>
      </c>
      <c r="M22" s="28">
        <f t="shared" si="4"/>
        <v>12.170917125416622</v>
      </c>
      <c r="N22" s="28">
        <f t="shared" si="17"/>
        <v>2.449704142011835E-4</v>
      </c>
      <c r="O22" s="28">
        <f t="shared" si="16"/>
        <v>0.23353846153846153</v>
      </c>
      <c r="P22" s="28">
        <f t="shared" si="5"/>
        <v>0.37153846153846148</v>
      </c>
      <c r="Q22" s="28">
        <f t="shared" si="6"/>
        <v>0.1592307692307692</v>
      </c>
      <c r="X22" s="32" t="s">
        <v>94</v>
      </c>
      <c r="Y22" s="33">
        <f>SQRT(Y21^2+Y20^2)</f>
        <v>0.28284271247461906</v>
      </c>
    </row>
    <row r="23" spans="1:25" x14ac:dyDescent="0.25">
      <c r="A23" s="28">
        <f t="shared" si="0"/>
        <v>24</v>
      </c>
      <c r="B23" s="31">
        <f t="shared" si="1"/>
        <v>3</v>
      </c>
      <c r="C23" s="29">
        <f t="shared" si="2"/>
        <v>0</v>
      </c>
      <c r="D23" s="27">
        <f t="shared" si="7"/>
        <v>25.839793281653748</v>
      </c>
      <c r="E23" s="27">
        <f t="shared" si="8"/>
        <v>1.2304663467454167</v>
      </c>
      <c r="F23" s="29">
        <f t="shared" si="9"/>
        <v>1.0999999999999999E-2</v>
      </c>
      <c r="G23" s="27">
        <f t="shared" si="10"/>
        <v>1.0999999999999999E-2</v>
      </c>
      <c r="H23" s="29">
        <f t="shared" si="3"/>
        <v>1.0999999999999999E-2</v>
      </c>
      <c r="I23" s="30">
        <f t="shared" si="11"/>
        <v>1.0489510489510494E-3</v>
      </c>
      <c r="J23" s="37">
        <f t="shared" si="15"/>
        <v>1.3636363636363637E-2</v>
      </c>
      <c r="K23" s="87">
        <f t="shared" si="12"/>
        <v>13.636363636363637</v>
      </c>
      <c r="L23" s="68">
        <f t="shared" si="13"/>
        <v>1</v>
      </c>
      <c r="M23" s="28">
        <f t="shared" si="4"/>
        <v>12.304663467454166</v>
      </c>
      <c r="N23" s="28">
        <f t="shared" si="17"/>
        <v>2.4230769230769241E-4</v>
      </c>
      <c r="O23" s="28">
        <f t="shared" si="16"/>
        <v>0.23099999999999998</v>
      </c>
      <c r="P23" s="28">
        <f t="shared" si="5"/>
        <v>0.36749999999999994</v>
      </c>
      <c r="Q23" s="28">
        <f t="shared" si="6"/>
        <v>0.15749999999999997</v>
      </c>
      <c r="X23" s="33"/>
      <c r="Y23" s="33"/>
    </row>
    <row r="24" spans="1:25" x14ac:dyDescent="0.25">
      <c r="A24" s="28">
        <f t="shared" si="0"/>
        <v>24</v>
      </c>
      <c r="B24" s="31">
        <f t="shared" si="1"/>
        <v>3.2307692307692308</v>
      </c>
      <c r="C24" s="29">
        <f t="shared" si="2"/>
        <v>0</v>
      </c>
      <c r="D24" s="27">
        <f t="shared" si="7"/>
        <v>25.839793281653748</v>
      </c>
      <c r="E24" s="27">
        <f t="shared" si="8"/>
        <v>1.2441381950425878</v>
      </c>
      <c r="F24" s="29">
        <f t="shared" si="9"/>
        <v>1.0999999999999999E-2</v>
      </c>
      <c r="G24" s="27">
        <f t="shared" si="10"/>
        <v>1.0999999999999999E-2</v>
      </c>
      <c r="H24" s="29">
        <f t="shared" si="3"/>
        <v>1.0999999999999999E-2</v>
      </c>
      <c r="I24" s="30">
        <f t="shared" si="11"/>
        <v>1.0489510489510494E-3</v>
      </c>
      <c r="J24" s="37">
        <f t="shared" si="15"/>
        <v>1.4685314685314687E-2</v>
      </c>
      <c r="K24" s="87">
        <f t="shared" si="12"/>
        <v>14.685314685314687</v>
      </c>
      <c r="L24" s="68">
        <f t="shared" si="13"/>
        <v>1</v>
      </c>
      <c r="M24" s="28">
        <f t="shared" si="4"/>
        <v>12.441381950425878</v>
      </c>
      <c r="N24" s="28">
        <f t="shared" si="17"/>
        <v>2.3964497041420129E-4</v>
      </c>
      <c r="O24" s="28">
        <f t="shared" si="16"/>
        <v>0.22846153846153847</v>
      </c>
      <c r="P24" s="28">
        <f t="shared" si="5"/>
        <v>0.36346153846153845</v>
      </c>
      <c r="Q24" s="28">
        <f t="shared" si="6"/>
        <v>0.15576923076923074</v>
      </c>
      <c r="X24" s="32" t="s">
        <v>99</v>
      </c>
      <c r="Y24" s="33">
        <f>SQRT(Y18^2+Y22^2)</f>
        <v>0.50990195135927852</v>
      </c>
    </row>
    <row r="25" spans="1:25" x14ac:dyDescent="0.25">
      <c r="A25" s="28">
        <f t="shared" si="0"/>
        <v>24</v>
      </c>
      <c r="B25" s="31">
        <f t="shared" si="1"/>
        <v>3.4615384615384612</v>
      </c>
      <c r="C25" s="29">
        <f t="shared" si="2"/>
        <v>0</v>
      </c>
      <c r="D25" s="27">
        <f t="shared" si="7"/>
        <v>25.839793281653748</v>
      </c>
      <c r="E25" s="27">
        <f t="shared" si="8"/>
        <v>1.2581172758857628</v>
      </c>
      <c r="F25" s="29">
        <f t="shared" si="9"/>
        <v>1.0999999999999999E-2</v>
      </c>
      <c r="G25" s="27">
        <f t="shared" si="10"/>
        <v>1.0999999999999999E-2</v>
      </c>
      <c r="H25" s="29">
        <f t="shared" si="3"/>
        <v>1.0999999999999999E-2</v>
      </c>
      <c r="I25" s="30">
        <f t="shared" si="11"/>
        <v>1.0489510489510474E-3</v>
      </c>
      <c r="J25" s="37">
        <f t="shared" si="15"/>
        <v>1.5734265734265736E-2</v>
      </c>
      <c r="K25" s="87">
        <f t="shared" si="12"/>
        <v>15.734265734265735</v>
      </c>
      <c r="L25" s="68">
        <f t="shared" si="13"/>
        <v>1</v>
      </c>
      <c r="M25" s="28">
        <f t="shared" si="4"/>
        <v>12.58117275885763</v>
      </c>
      <c r="N25" s="28">
        <f t="shared" si="17"/>
        <v>2.3698224852070971E-4</v>
      </c>
      <c r="O25" s="28">
        <f t="shared" si="16"/>
        <v>0.22592307692307692</v>
      </c>
      <c r="P25" s="28">
        <f t="shared" si="5"/>
        <v>0.3594230769230769</v>
      </c>
      <c r="Q25" s="28">
        <f t="shared" si="6"/>
        <v>0.15403846153846154</v>
      </c>
    </row>
    <row r="26" spans="1:25" x14ac:dyDescent="0.25">
      <c r="A26" s="28">
        <f t="shared" si="0"/>
        <v>24</v>
      </c>
      <c r="B26" s="31">
        <f t="shared" si="1"/>
        <v>3.6923076923076925</v>
      </c>
      <c r="C26" s="29">
        <f t="shared" si="2"/>
        <v>0</v>
      </c>
      <c r="D26" s="27">
        <f t="shared" si="7"/>
        <v>25.839793281653748</v>
      </c>
      <c r="E26" s="27">
        <f t="shared" si="8"/>
        <v>1.2724140631117375</v>
      </c>
      <c r="F26" s="29">
        <f t="shared" si="9"/>
        <v>1.0999999999999999E-2</v>
      </c>
      <c r="G26" s="27">
        <f t="shared" si="10"/>
        <v>1.0999999999999999E-2</v>
      </c>
      <c r="H26" s="29">
        <f t="shared" si="3"/>
        <v>1.0999999999999999E-2</v>
      </c>
      <c r="I26" s="30">
        <f t="shared" si="11"/>
        <v>1.0489510489510513E-3</v>
      </c>
      <c r="J26" s="37">
        <f t="shared" si="15"/>
        <v>1.6783216783216787E-2</v>
      </c>
      <c r="K26" s="87">
        <f t="shared" si="12"/>
        <v>16.783216783216787</v>
      </c>
      <c r="L26" s="68">
        <f t="shared" si="13"/>
        <v>1</v>
      </c>
      <c r="M26" s="28">
        <f t="shared" si="4"/>
        <v>12.724140631117375</v>
      </c>
      <c r="N26" s="28">
        <f t="shared" si="17"/>
        <v>2.3431952662721943E-4</v>
      </c>
      <c r="O26" s="28">
        <f t="shared" si="16"/>
        <v>0.22338461538461535</v>
      </c>
      <c r="P26" s="28">
        <f t="shared" si="5"/>
        <v>0.35538461538461535</v>
      </c>
      <c r="Q26" s="28">
        <f t="shared" si="6"/>
        <v>0.15230769230769228</v>
      </c>
    </row>
    <row r="27" spans="1:25" x14ac:dyDescent="0.25">
      <c r="A27" s="28">
        <f t="shared" si="0"/>
        <v>24</v>
      </c>
      <c r="B27" s="31">
        <f t="shared" si="1"/>
        <v>3.9230769230769234</v>
      </c>
      <c r="C27" s="29">
        <f t="shared" si="2"/>
        <v>0</v>
      </c>
      <c r="D27" s="27">
        <f t="shared" si="7"/>
        <v>25.839793281653748</v>
      </c>
      <c r="E27" s="27">
        <f t="shared" si="8"/>
        <v>1.287039512113022</v>
      </c>
      <c r="F27" s="29">
        <f t="shared" si="9"/>
        <v>1.0999999999999999E-2</v>
      </c>
      <c r="G27" s="27">
        <f t="shared" si="10"/>
        <v>1.0999999999999999E-2</v>
      </c>
      <c r="H27" s="29">
        <f t="shared" si="3"/>
        <v>1.0999999999999999E-2</v>
      </c>
      <c r="I27" s="30">
        <f t="shared" si="11"/>
        <v>1.0489510489510494E-3</v>
      </c>
      <c r="J27" s="37">
        <f t="shared" si="15"/>
        <v>1.7832167832167838E-2</v>
      </c>
      <c r="K27" s="87">
        <f t="shared" si="12"/>
        <v>17.832167832167837</v>
      </c>
      <c r="L27" s="68">
        <f t="shared" si="13"/>
        <v>1</v>
      </c>
      <c r="M27" s="28">
        <f t="shared" si="4"/>
        <v>12.870395121130221</v>
      </c>
      <c r="N27" s="28">
        <f t="shared" si="17"/>
        <v>2.316568047337279E-4</v>
      </c>
      <c r="O27" s="28">
        <f t="shared" si="16"/>
        <v>0.22084615384615383</v>
      </c>
      <c r="P27" s="28">
        <f t="shared" si="5"/>
        <v>0.35134615384615381</v>
      </c>
      <c r="Q27" s="28">
        <f t="shared" si="6"/>
        <v>0.15057692307692305</v>
      </c>
    </row>
    <row r="28" spans="1:25" x14ac:dyDescent="0.25">
      <c r="A28" s="28">
        <f t="shared" si="0"/>
        <v>24</v>
      </c>
      <c r="B28" s="31">
        <f t="shared" si="1"/>
        <v>4.1538461538461533</v>
      </c>
      <c r="C28" s="29">
        <f t="shared" si="2"/>
        <v>0</v>
      </c>
      <c r="D28" s="27">
        <f t="shared" si="7"/>
        <v>25.839793281653748</v>
      </c>
      <c r="E28" s="27">
        <f t="shared" si="8"/>
        <v>1.3020050878352663</v>
      </c>
      <c r="F28" s="29">
        <f t="shared" si="9"/>
        <v>1.0999999999999999E-2</v>
      </c>
      <c r="G28" s="27">
        <f t="shared" si="10"/>
        <v>1.0999999999999999E-2</v>
      </c>
      <c r="H28" s="29">
        <f t="shared" si="3"/>
        <v>1.0999999999999999E-2</v>
      </c>
      <c r="I28" s="30">
        <f t="shared" si="11"/>
        <v>1.0489510489510453E-3</v>
      </c>
      <c r="J28" s="37">
        <f t="shared" si="15"/>
        <v>1.8881118881118882E-2</v>
      </c>
      <c r="K28" s="87">
        <f t="shared" si="12"/>
        <v>18.88111888111888</v>
      </c>
      <c r="L28" s="68">
        <f t="shared" si="13"/>
        <v>1</v>
      </c>
      <c r="M28" s="28">
        <f t="shared" si="4"/>
        <v>13.020050878352663</v>
      </c>
      <c r="N28" s="28">
        <f t="shared" si="17"/>
        <v>2.2899408284023586E-4</v>
      </c>
      <c r="O28" s="28">
        <f t="shared" si="16"/>
        <v>0.21830769230769231</v>
      </c>
      <c r="P28" s="28">
        <f t="shared" si="5"/>
        <v>0.34730769230769226</v>
      </c>
      <c r="Q28" s="28">
        <f t="shared" si="6"/>
        <v>0.14884615384615382</v>
      </c>
    </row>
    <row r="29" spans="1:25" x14ac:dyDescent="0.25">
      <c r="A29" s="28">
        <f t="shared" si="0"/>
        <v>24</v>
      </c>
      <c r="B29" s="31">
        <f t="shared" si="1"/>
        <v>4.3846153846153841</v>
      </c>
      <c r="C29" s="29">
        <f t="shared" si="2"/>
        <v>0</v>
      </c>
      <c r="D29" s="27">
        <f t="shared" si="7"/>
        <v>25.839793281653748</v>
      </c>
      <c r="E29" s="27">
        <f t="shared" si="8"/>
        <v>1.3173227947509754</v>
      </c>
      <c r="F29" s="29">
        <f t="shared" si="9"/>
        <v>1.0999999999999999E-2</v>
      </c>
      <c r="G29" s="27">
        <f t="shared" si="10"/>
        <v>1.0999999999999999E-2</v>
      </c>
      <c r="H29" s="29">
        <f t="shared" si="3"/>
        <v>1.0999999999999999E-2</v>
      </c>
      <c r="I29" s="30">
        <f t="shared" si="11"/>
        <v>1.0489510489510494E-3</v>
      </c>
      <c r="J29" s="37">
        <f t="shared" si="15"/>
        <v>1.9930069930069932E-2</v>
      </c>
      <c r="K29" s="87">
        <f t="shared" si="12"/>
        <v>19.930069930069934</v>
      </c>
      <c r="L29" s="68">
        <f t="shared" si="13"/>
        <v>1</v>
      </c>
      <c r="M29" s="28">
        <f t="shared" si="4"/>
        <v>13.173227947509753</v>
      </c>
      <c r="N29" s="28">
        <f t="shared" si="17"/>
        <v>2.2633136094674566E-4</v>
      </c>
      <c r="O29" s="28">
        <f t="shared" si="16"/>
        <v>0.21576923076923077</v>
      </c>
      <c r="P29" s="28">
        <f t="shared" si="5"/>
        <v>0.34326923076923077</v>
      </c>
      <c r="Q29" s="28">
        <f t="shared" si="6"/>
        <v>0.14711538461538459</v>
      </c>
    </row>
    <row r="30" spans="1:25" x14ac:dyDescent="0.25">
      <c r="A30" s="28">
        <f t="shared" si="0"/>
        <v>24</v>
      </c>
      <c r="B30" s="31">
        <f t="shared" si="1"/>
        <v>4.6153846153846159</v>
      </c>
      <c r="C30" s="29">
        <f t="shared" si="2"/>
        <v>0</v>
      </c>
      <c r="D30" s="27">
        <f t="shared" si="7"/>
        <v>25.839793281653748</v>
      </c>
      <c r="E30" s="27">
        <f t="shared" si="8"/>
        <v>1.3330052089742013</v>
      </c>
      <c r="F30" s="29">
        <f t="shared" si="9"/>
        <v>1.0999999999999999E-2</v>
      </c>
      <c r="G30" s="27">
        <f t="shared" si="10"/>
        <v>1.0999999999999999E-2</v>
      </c>
      <c r="H30" s="29">
        <f t="shared" si="3"/>
        <v>1.0999999999999999E-2</v>
      </c>
      <c r="I30" s="30">
        <f t="shared" si="11"/>
        <v>1.0489510489510535E-3</v>
      </c>
      <c r="J30" s="37">
        <f t="shared" si="15"/>
        <v>2.0979020979020987E-2</v>
      </c>
      <c r="K30" s="87">
        <f t="shared" si="12"/>
        <v>20.979020979020987</v>
      </c>
      <c r="L30" s="68">
        <f t="shared" si="13"/>
        <v>1</v>
      </c>
      <c r="M30" s="28">
        <f t="shared" si="4"/>
        <v>13.330052089742013</v>
      </c>
      <c r="N30" s="28">
        <f t="shared" si="17"/>
        <v>2.2366863905325538E-4</v>
      </c>
      <c r="O30" s="28">
        <f t="shared" si="16"/>
        <v>0.2132307692307692</v>
      </c>
      <c r="P30" s="28">
        <f t="shared" si="5"/>
        <v>0.33923076923076917</v>
      </c>
      <c r="Q30" s="28">
        <f t="shared" si="6"/>
        <v>0.14538461538461536</v>
      </c>
    </row>
    <row r="31" spans="1:25" x14ac:dyDescent="0.25">
      <c r="A31" s="28">
        <f t="shared" si="0"/>
        <v>24</v>
      </c>
      <c r="B31" s="31">
        <f t="shared" si="1"/>
        <v>4.8461538461538467</v>
      </c>
      <c r="C31" s="29">
        <f t="shared" si="2"/>
        <v>0</v>
      </c>
      <c r="D31" s="27">
        <f t="shared" si="7"/>
        <v>25.839793281653748</v>
      </c>
      <c r="E31" s="27">
        <f t="shared" si="8"/>
        <v>1.3490655126967821</v>
      </c>
      <c r="F31" s="29">
        <f t="shared" si="9"/>
        <v>1.0999999999999999E-2</v>
      </c>
      <c r="G31" s="27">
        <f t="shared" si="10"/>
        <v>1.0999999999999999E-2</v>
      </c>
      <c r="H31" s="29">
        <f t="shared" si="3"/>
        <v>1.0999999999999999E-2</v>
      </c>
      <c r="I31" s="30">
        <f t="shared" si="11"/>
        <v>1.0489510489510494E-3</v>
      </c>
      <c r="J31" s="37">
        <f t="shared" si="15"/>
        <v>2.2027972027972038E-2</v>
      </c>
      <c r="K31" s="87">
        <f t="shared" si="12"/>
        <v>22.027972027972037</v>
      </c>
      <c r="L31" s="68">
        <f t="shared" si="13"/>
        <v>1</v>
      </c>
      <c r="M31" s="28">
        <f t="shared" si="4"/>
        <v>13.490655126967821</v>
      </c>
      <c r="N31" s="28">
        <f t="shared" si="17"/>
        <v>2.2100591715976339E-4</v>
      </c>
      <c r="O31" s="28">
        <f t="shared" si="16"/>
        <v>0.21069230769230768</v>
      </c>
      <c r="P31" s="28">
        <f t="shared" si="5"/>
        <v>0.33519230769230762</v>
      </c>
      <c r="Q31" s="28">
        <f t="shared" si="6"/>
        <v>0.14365384615384613</v>
      </c>
    </row>
    <row r="32" spans="1:25" x14ac:dyDescent="0.25">
      <c r="A32" s="28">
        <f t="shared" si="0"/>
        <v>24</v>
      </c>
      <c r="B32" s="31">
        <f t="shared" si="1"/>
        <v>5.0769230769230766</v>
      </c>
      <c r="C32" s="29">
        <f t="shared" si="2"/>
        <v>0</v>
      </c>
      <c r="D32" s="27">
        <f t="shared" si="7"/>
        <v>25.839793281653748</v>
      </c>
      <c r="E32" s="27">
        <f t="shared" si="8"/>
        <v>1.3655175311443037</v>
      </c>
      <c r="F32" s="29">
        <f t="shared" si="9"/>
        <v>1.0999999999999999E-2</v>
      </c>
      <c r="G32" s="27">
        <f t="shared" si="10"/>
        <v>1.0999999999999999E-2</v>
      </c>
      <c r="H32" s="29">
        <f t="shared" si="3"/>
        <v>1.0999999999999999E-2</v>
      </c>
      <c r="I32" s="30">
        <f t="shared" si="11"/>
        <v>1.0489510489510453E-3</v>
      </c>
      <c r="J32" s="37">
        <f t="shared" si="15"/>
        <v>2.3076923076923082E-2</v>
      </c>
      <c r="K32" s="87">
        <f t="shared" si="12"/>
        <v>23.07692307692308</v>
      </c>
      <c r="L32" s="68">
        <f t="shared" si="13"/>
        <v>1</v>
      </c>
      <c r="M32" s="28">
        <f t="shared" si="4"/>
        <v>13.655175311443038</v>
      </c>
      <c r="N32" s="28">
        <f t="shared" si="17"/>
        <v>2.1834319526627141E-4</v>
      </c>
      <c r="O32" s="28">
        <f t="shared" si="16"/>
        <v>0.20815384615384613</v>
      </c>
      <c r="P32" s="28">
        <f t="shared" si="5"/>
        <v>0.33115384615384613</v>
      </c>
      <c r="Q32" s="28">
        <f t="shared" si="6"/>
        <v>0.1419230769230769</v>
      </c>
    </row>
    <row r="33" spans="1:17" x14ac:dyDescent="0.25">
      <c r="A33" s="28">
        <f t="shared" si="0"/>
        <v>24</v>
      </c>
      <c r="B33" s="31">
        <f t="shared" si="1"/>
        <v>5.3076923076923075</v>
      </c>
      <c r="C33" s="29">
        <f t="shared" si="2"/>
        <v>0</v>
      </c>
      <c r="D33" s="27">
        <f t="shared" si="7"/>
        <v>25.839793281653748</v>
      </c>
      <c r="E33" s="27">
        <f t="shared" si="8"/>
        <v>1.382375772269542</v>
      </c>
      <c r="F33" s="29">
        <f t="shared" si="9"/>
        <v>1.0999999999999999E-2</v>
      </c>
      <c r="G33" s="27">
        <f t="shared" si="10"/>
        <v>1.0999999999999999E-2</v>
      </c>
      <c r="H33" s="29">
        <f t="shared" si="3"/>
        <v>1.0999999999999999E-2</v>
      </c>
      <c r="I33" s="30">
        <f t="shared" si="11"/>
        <v>1.0489510489510494E-3</v>
      </c>
      <c r="J33" s="37">
        <f t="shared" si="15"/>
        <v>2.4125874125874133E-2</v>
      </c>
      <c r="K33" s="87">
        <f t="shared" si="12"/>
        <v>24.125874125874134</v>
      </c>
      <c r="L33" s="68">
        <f t="shared" si="13"/>
        <v>1</v>
      </c>
      <c r="M33" s="28">
        <f t="shared" si="4"/>
        <v>13.82375772269542</v>
      </c>
      <c r="N33" s="28">
        <f t="shared" si="17"/>
        <v>2.1568047337278115E-4</v>
      </c>
      <c r="O33" s="28">
        <f t="shared" si="16"/>
        <v>0.20561538461538462</v>
      </c>
      <c r="P33" s="28">
        <f t="shared" si="5"/>
        <v>0.32711538461538459</v>
      </c>
      <c r="Q33" s="28">
        <f t="shared" si="6"/>
        <v>0.14019230769230767</v>
      </c>
    </row>
    <row r="34" spans="1:17" x14ac:dyDescent="0.25">
      <c r="A34" s="28">
        <f t="shared" si="0"/>
        <v>24</v>
      </c>
      <c r="B34" s="31">
        <f t="shared" si="1"/>
        <v>5.5384615384615383</v>
      </c>
      <c r="C34" s="29">
        <f t="shared" si="2"/>
        <v>0</v>
      </c>
      <c r="D34" s="27">
        <f t="shared" si="7"/>
        <v>25.839793281653748</v>
      </c>
      <c r="E34" s="27">
        <f t="shared" si="8"/>
        <v>1.3996554694229115</v>
      </c>
      <c r="F34" s="29">
        <f t="shared" si="9"/>
        <v>1.0999999999999999E-2</v>
      </c>
      <c r="G34" s="27">
        <f t="shared" si="10"/>
        <v>1.0999999999999999E-2</v>
      </c>
      <c r="H34" s="29">
        <f t="shared" si="3"/>
        <v>1.0999999999999999E-2</v>
      </c>
      <c r="I34" s="30">
        <f t="shared" si="11"/>
        <v>1.0489510489510494E-3</v>
      </c>
      <c r="J34" s="37">
        <f t="shared" si="15"/>
        <v>2.5174825174825183E-2</v>
      </c>
      <c r="K34" s="87">
        <f t="shared" si="12"/>
        <v>25.174825174825184</v>
      </c>
      <c r="L34" s="68">
        <f t="shared" si="13"/>
        <v>1</v>
      </c>
      <c r="M34" s="28">
        <f t="shared" si="4"/>
        <v>13.996554694229115</v>
      </c>
      <c r="N34" s="28">
        <f t="shared" si="17"/>
        <v>2.1301775147929001E-4</v>
      </c>
      <c r="O34" s="28">
        <f t="shared" si="16"/>
        <v>0.20307692307692304</v>
      </c>
      <c r="P34" s="28">
        <f t="shared" si="5"/>
        <v>0.32307692307692304</v>
      </c>
      <c r="Q34" s="28">
        <f t="shared" si="6"/>
        <v>0.13846153846153844</v>
      </c>
    </row>
    <row r="35" spans="1:17" x14ac:dyDescent="0.25">
      <c r="A35" s="28">
        <f t="shared" si="0"/>
        <v>24</v>
      </c>
      <c r="B35" s="31">
        <f t="shared" si="1"/>
        <v>5.7692307692307692</v>
      </c>
      <c r="C35" s="29">
        <f t="shared" si="2"/>
        <v>0</v>
      </c>
      <c r="D35" s="27">
        <f t="shared" si="7"/>
        <v>25.839793281653748</v>
      </c>
      <c r="E35" s="27">
        <f t="shared" si="8"/>
        <v>1.4173726272637077</v>
      </c>
      <c r="F35" s="29">
        <f t="shared" si="9"/>
        <v>1.0999999999999999E-2</v>
      </c>
      <c r="G35" s="27">
        <f t="shared" si="10"/>
        <v>1.0999999999999999E-2</v>
      </c>
      <c r="H35" s="29">
        <f t="shared" si="3"/>
        <v>1.0999999999999999E-2</v>
      </c>
      <c r="I35" s="30">
        <f t="shared" si="11"/>
        <v>1.0489510489510494E-3</v>
      </c>
      <c r="J35" s="37">
        <f t="shared" si="15"/>
        <v>2.6223776223776234E-2</v>
      </c>
      <c r="K35" s="87">
        <f t="shared" si="12"/>
        <v>26.223776223776234</v>
      </c>
      <c r="L35" s="68">
        <f t="shared" si="13"/>
        <v>1</v>
      </c>
      <c r="M35" s="28">
        <f t="shared" si="4"/>
        <v>14.173726272637078</v>
      </c>
      <c r="N35" s="28">
        <f t="shared" si="17"/>
        <v>2.1035502958579889E-4</v>
      </c>
      <c r="O35" s="28">
        <f t="shared" si="16"/>
        <v>0.20053846153846153</v>
      </c>
      <c r="P35" s="28">
        <f t="shared" si="5"/>
        <v>0.31903846153846149</v>
      </c>
      <c r="Q35" s="28">
        <f t="shared" si="6"/>
        <v>0.13673076923076921</v>
      </c>
    </row>
    <row r="36" spans="1:17" x14ac:dyDescent="0.25">
      <c r="A36" s="28">
        <f t="shared" si="0"/>
        <v>24</v>
      </c>
      <c r="B36" s="31">
        <f t="shared" si="1"/>
        <v>6</v>
      </c>
      <c r="C36" s="29">
        <f t="shared" si="2"/>
        <v>0</v>
      </c>
      <c r="D36" s="27">
        <f t="shared" si="7"/>
        <v>25.839793281653748</v>
      </c>
      <c r="E36" s="27">
        <f t="shared" si="8"/>
        <v>1.4355440712029859</v>
      </c>
      <c r="F36" s="29">
        <f t="shared" si="9"/>
        <v>1.0999999999999999E-2</v>
      </c>
      <c r="G36" s="27">
        <f t="shared" si="10"/>
        <v>1.0999999999999999E-2</v>
      </c>
      <c r="H36" s="29">
        <f t="shared" si="3"/>
        <v>1.0999999999999999E-2</v>
      </c>
      <c r="I36" s="30">
        <f t="shared" si="11"/>
        <v>1.0489510489510494E-3</v>
      </c>
      <c r="J36" s="37">
        <f t="shared" si="15"/>
        <v>2.7272727272727285E-2</v>
      </c>
      <c r="K36" s="87">
        <f t="shared" si="12"/>
        <v>27.272727272727284</v>
      </c>
      <c r="L36" s="68">
        <f t="shared" si="13"/>
        <v>1</v>
      </c>
      <c r="M36" s="28">
        <f t="shared" si="4"/>
        <v>14.355440712029859</v>
      </c>
      <c r="N36" s="28">
        <f t="shared" si="17"/>
        <v>2.0769230769230777E-4</v>
      </c>
      <c r="O36" s="28">
        <f t="shared" si="16"/>
        <v>0.19799999999999998</v>
      </c>
      <c r="P36" s="28">
        <f t="shared" si="5"/>
        <v>0.31499999999999995</v>
      </c>
      <c r="Q36" s="28">
        <f t="shared" si="6"/>
        <v>0.13499999999999998</v>
      </c>
    </row>
    <row r="37" spans="1:17" x14ac:dyDescent="0.25">
      <c r="A37" s="28">
        <f t="shared" si="0"/>
        <v>24</v>
      </c>
      <c r="B37" s="31">
        <f t="shared" si="1"/>
        <v>6.2307692307692317</v>
      </c>
      <c r="C37" s="29">
        <f t="shared" si="2"/>
        <v>0</v>
      </c>
      <c r="D37" s="27">
        <f t="shared" si="7"/>
        <v>25.839793281653748</v>
      </c>
      <c r="E37" s="27">
        <f t="shared" si="8"/>
        <v>1.4541875006991289</v>
      </c>
      <c r="F37" s="29">
        <f t="shared" si="9"/>
        <v>1.0999999999999999E-2</v>
      </c>
      <c r="G37" s="27">
        <f t="shared" si="10"/>
        <v>1.0999999999999999E-2</v>
      </c>
      <c r="H37" s="29">
        <f t="shared" si="3"/>
        <v>1.0999999999999999E-2</v>
      </c>
      <c r="I37" s="30">
        <f t="shared" si="11"/>
        <v>1.0489510489510535E-3</v>
      </c>
      <c r="J37" s="37">
        <f t="shared" si="15"/>
        <v>2.832167832167834E-2</v>
      </c>
      <c r="K37" s="87">
        <f t="shared" si="12"/>
        <v>28.321678321678341</v>
      </c>
      <c r="L37" s="68">
        <f t="shared" si="13"/>
        <v>1</v>
      </c>
      <c r="M37" s="28">
        <f t="shared" si="4"/>
        <v>14.54187500699129</v>
      </c>
      <c r="N37" s="28">
        <f t="shared" si="17"/>
        <v>2.0502958579881743E-4</v>
      </c>
      <c r="O37" s="28">
        <f t="shared" si="16"/>
        <v>0.19546153846153841</v>
      </c>
      <c r="P37" s="28">
        <f t="shared" si="5"/>
        <v>0.3109615384615384</v>
      </c>
      <c r="Q37" s="28">
        <f t="shared" si="6"/>
        <v>0.13326923076923072</v>
      </c>
    </row>
    <row r="38" spans="1:17" x14ac:dyDescent="0.25">
      <c r="A38" s="28">
        <f t="shared" si="0"/>
        <v>24</v>
      </c>
      <c r="B38" s="31">
        <f t="shared" si="1"/>
        <v>6.4615384615384617</v>
      </c>
      <c r="C38" s="29">
        <f t="shared" si="2"/>
        <v>0</v>
      </c>
      <c r="D38" s="27">
        <f t="shared" si="7"/>
        <v>25.839793281653748</v>
      </c>
      <c r="E38" s="27">
        <f t="shared" si="8"/>
        <v>1.4733215467609591</v>
      </c>
      <c r="F38" s="29">
        <f t="shared" si="9"/>
        <v>1.0999999999999999E-2</v>
      </c>
      <c r="G38" s="27">
        <f t="shared" si="10"/>
        <v>1.0999999999999999E-2</v>
      </c>
      <c r="H38" s="29">
        <f t="shared" si="3"/>
        <v>1.0999999999999999E-2</v>
      </c>
      <c r="I38" s="30">
        <f t="shared" si="11"/>
        <v>1.0489510489510453E-3</v>
      </c>
      <c r="J38" s="37">
        <f t="shared" si="15"/>
        <v>2.9370629370629384E-2</v>
      </c>
      <c r="K38" s="87">
        <f t="shared" si="12"/>
        <v>29.370629370629384</v>
      </c>
      <c r="L38" s="68">
        <f t="shared" si="13"/>
        <v>1</v>
      </c>
      <c r="M38" s="28">
        <f t="shared" si="4"/>
        <v>14.733215467609591</v>
      </c>
      <c r="N38" s="28">
        <f t="shared" si="17"/>
        <v>2.0236686390532474E-4</v>
      </c>
      <c r="O38" s="28">
        <f t="shared" si="16"/>
        <v>0.19292307692307692</v>
      </c>
      <c r="P38" s="28">
        <f t="shared" si="5"/>
        <v>0.30692307692307691</v>
      </c>
      <c r="Q38" s="28">
        <f t="shared" si="6"/>
        <v>0.13153846153846152</v>
      </c>
    </row>
    <row r="39" spans="1:17" x14ac:dyDescent="0.25">
      <c r="A39" s="28">
        <f t="shared" si="0"/>
        <v>24</v>
      </c>
      <c r="B39" s="31">
        <f t="shared" si="1"/>
        <v>6.6923076923076925</v>
      </c>
      <c r="C39" s="29">
        <f t="shared" si="2"/>
        <v>0</v>
      </c>
      <c r="D39" s="27">
        <f t="shared" si="7"/>
        <v>25.839793281653748</v>
      </c>
      <c r="E39" s="27">
        <f t="shared" si="8"/>
        <v>1.4929658340511056</v>
      </c>
      <c r="F39" s="29">
        <f t="shared" si="9"/>
        <v>1.0999999999999999E-2</v>
      </c>
      <c r="G39" s="27">
        <f t="shared" si="10"/>
        <v>1.0999999999999999E-2</v>
      </c>
      <c r="H39" s="29">
        <f t="shared" si="3"/>
        <v>1.0999999999999999E-2</v>
      </c>
      <c r="I39" s="30">
        <f t="shared" si="11"/>
        <v>1.0489510489510494E-3</v>
      </c>
      <c r="J39" s="37">
        <f t="shared" si="15"/>
        <v>3.0419580419580435E-2</v>
      </c>
      <c r="K39" s="87">
        <f t="shared" si="12"/>
        <v>30.419580419580434</v>
      </c>
      <c r="L39" s="68">
        <f t="shared" si="13"/>
        <v>1</v>
      </c>
      <c r="M39" s="28">
        <f t="shared" si="4"/>
        <v>14.929658340511057</v>
      </c>
      <c r="N39" s="28">
        <f t="shared" si="17"/>
        <v>1.9970414201183438E-4</v>
      </c>
      <c r="O39" s="28">
        <f t="shared" si="16"/>
        <v>0.19038461538461537</v>
      </c>
      <c r="P39" s="28">
        <f t="shared" si="5"/>
        <v>0.30288461538461531</v>
      </c>
      <c r="Q39" s="28">
        <f t="shared" si="6"/>
        <v>0.12980769230769229</v>
      </c>
    </row>
    <row r="40" spans="1:17" x14ac:dyDescent="0.25">
      <c r="A40" s="28">
        <f t="shared" si="0"/>
        <v>24</v>
      </c>
      <c r="B40" s="31">
        <f t="shared" si="1"/>
        <v>6.9230769230769225</v>
      </c>
      <c r="C40" s="29">
        <f t="shared" si="2"/>
        <v>0</v>
      </c>
      <c r="D40" s="27">
        <f t="shared" si="7"/>
        <v>25.839793281653748</v>
      </c>
      <c r="E40" s="27">
        <f t="shared" si="8"/>
        <v>1.5131410480247691</v>
      </c>
      <c r="F40" s="29">
        <f t="shared" si="9"/>
        <v>1.0999999999999999E-2</v>
      </c>
      <c r="G40" s="27">
        <f t="shared" si="10"/>
        <v>1.0999999999999999E-2</v>
      </c>
      <c r="H40" s="29">
        <f t="shared" si="3"/>
        <v>1.0999999999999999E-2</v>
      </c>
      <c r="I40" s="30">
        <f t="shared" si="11"/>
        <v>1.0489510489510453E-3</v>
      </c>
      <c r="J40" s="37">
        <f t="shared" si="15"/>
        <v>3.1468531468531478E-2</v>
      </c>
      <c r="K40" s="87">
        <f t="shared" si="12"/>
        <v>31.468531468531477</v>
      </c>
      <c r="L40" s="68">
        <f t="shared" si="13"/>
        <v>1</v>
      </c>
      <c r="M40" s="28">
        <f t="shared" si="4"/>
        <v>15.131410480247691</v>
      </c>
      <c r="N40" s="28">
        <f t="shared" si="17"/>
        <v>1.970414201183425E-4</v>
      </c>
      <c r="O40" s="28">
        <f t="shared" si="16"/>
        <v>0.18784615384615383</v>
      </c>
      <c r="P40" s="28">
        <f t="shared" si="5"/>
        <v>0.29884615384615382</v>
      </c>
      <c r="Q40" s="28">
        <f t="shared" si="6"/>
        <v>0.12807692307692306</v>
      </c>
    </row>
    <row r="41" spans="1:17" x14ac:dyDescent="0.25">
      <c r="A41" s="28">
        <f t="shared" si="0"/>
        <v>24</v>
      </c>
      <c r="B41" s="31">
        <f t="shared" si="1"/>
        <v>7.1538461538461533</v>
      </c>
      <c r="C41" s="29">
        <f t="shared" si="2"/>
        <v>0</v>
      </c>
      <c r="D41" s="27">
        <f t="shared" si="7"/>
        <v>25.839793281653748</v>
      </c>
      <c r="E41" s="27">
        <f t="shared" si="8"/>
        <v>1.533869007586752</v>
      </c>
      <c r="F41" s="29">
        <f t="shared" si="9"/>
        <v>1.0999999999999999E-2</v>
      </c>
      <c r="G41" s="27">
        <f t="shared" si="10"/>
        <v>1.0999999999999999E-2</v>
      </c>
      <c r="H41" s="29">
        <f t="shared" si="3"/>
        <v>1.0999999999999999E-2</v>
      </c>
      <c r="I41" s="30">
        <f t="shared" si="11"/>
        <v>1.0489510489510494E-3</v>
      </c>
      <c r="J41" s="37">
        <f t="shared" si="15"/>
        <v>3.2517482517482529E-2</v>
      </c>
      <c r="K41" s="87">
        <f t="shared" si="12"/>
        <v>32.517482517482527</v>
      </c>
      <c r="L41" s="68">
        <f t="shared" si="13"/>
        <v>1</v>
      </c>
      <c r="M41" s="28">
        <f t="shared" si="4"/>
        <v>15.338690075867522</v>
      </c>
      <c r="N41" s="28">
        <f t="shared" si="17"/>
        <v>1.9437869822485216E-4</v>
      </c>
      <c r="O41" s="28">
        <f t="shared" si="16"/>
        <v>0.18530769230769231</v>
      </c>
      <c r="P41" s="28">
        <f t="shared" si="5"/>
        <v>0.29480769230769227</v>
      </c>
      <c r="Q41" s="28">
        <f t="shared" si="6"/>
        <v>0.12634615384615383</v>
      </c>
    </row>
    <row r="42" spans="1:17" x14ac:dyDescent="0.25">
      <c r="A42" s="28">
        <f t="shared" ref="A42:A73" si="18">VINMAX</f>
        <v>24</v>
      </c>
      <c r="B42" s="31">
        <f t="shared" ref="B42:B73" si="19">VINMAX*((ROW()-10)/104)</f>
        <v>7.384615384615385</v>
      </c>
      <c r="C42" s="29">
        <f t="shared" ref="C42:C73" si="20">IF(B42&gt;=$H$2,IF($D$2="CC", $G$2, B42/$G$2), 0)</f>
        <v>0</v>
      </c>
      <c r="D42" s="27">
        <f t="shared" ref="D42:D73" si="21">$B$2-B42*$J$2/($I$2*0.001)</f>
        <v>25.839793281653748</v>
      </c>
      <c r="E42" s="27">
        <f t="shared" si="8"/>
        <v>1.555172743803235</v>
      </c>
      <c r="F42" s="29">
        <f t="shared" ref="F42:F73" si="22">I_Cout_ss+C42</f>
        <v>1.0999999999999999E-2</v>
      </c>
      <c r="G42" s="27">
        <f t="shared" si="10"/>
        <v>1.0999999999999999E-2</v>
      </c>
      <c r="H42" s="29">
        <f t="shared" ref="H42:H73" si="23">G42-C42</f>
        <v>1.0999999999999999E-2</v>
      </c>
      <c r="I42" s="30">
        <f t="shared" si="11"/>
        <v>1.0489510489510535E-3</v>
      </c>
      <c r="J42" s="37">
        <f t="shared" si="15"/>
        <v>3.356643356643358E-2</v>
      </c>
      <c r="K42" s="87">
        <f t="shared" si="12"/>
        <v>33.566433566433581</v>
      </c>
      <c r="L42" s="68">
        <f t="shared" si="13"/>
        <v>1</v>
      </c>
      <c r="M42" s="28">
        <f t="shared" ref="M42:M73" si="24">1/COUTMAX*(E42/2-C42)*1000</f>
        <v>15.55172743803235</v>
      </c>
      <c r="N42" s="28">
        <f t="shared" si="17"/>
        <v>1.9171597633136175E-4</v>
      </c>
      <c r="O42" s="28">
        <f t="shared" si="16"/>
        <v>0.18276923076923074</v>
      </c>
      <c r="P42" s="28">
        <f t="shared" ref="P42:P73" si="25">(A42-B42)*(I_Cout_ss*$Q$2+C42)</f>
        <v>0.29076923076923072</v>
      </c>
      <c r="Q42" s="28">
        <f t="shared" ref="Q42:Q73" si="26">(A42-B42)*(I_Cout_ss*$R$2+C42)</f>
        <v>0.12461538461538459</v>
      </c>
    </row>
    <row r="43" spans="1:17" x14ac:dyDescent="0.25">
      <c r="A43" s="28">
        <f t="shared" si="18"/>
        <v>24</v>
      </c>
      <c r="B43" s="31">
        <f t="shared" si="19"/>
        <v>7.615384615384615</v>
      </c>
      <c r="C43" s="29">
        <f t="shared" si="20"/>
        <v>0</v>
      </c>
      <c r="D43" s="27">
        <f t="shared" si="21"/>
        <v>25.839793281653748</v>
      </c>
      <c r="E43" s="27">
        <f t="shared" si="8"/>
        <v>1.577076585265252</v>
      </c>
      <c r="F43" s="29">
        <f t="shared" si="22"/>
        <v>1.0999999999999999E-2</v>
      </c>
      <c r="G43" s="27">
        <f t="shared" si="10"/>
        <v>1.0999999999999999E-2</v>
      </c>
      <c r="H43" s="29">
        <f t="shared" si="23"/>
        <v>1.0999999999999999E-2</v>
      </c>
      <c r="I43" s="30">
        <f t="shared" ref="I43:I74" si="27">(COUTMAX/1000000)*(B43-B42)/H43</f>
        <v>1.0489510489510453E-3</v>
      </c>
      <c r="J43" s="37">
        <f t="shared" si="15"/>
        <v>3.4615384615384624E-2</v>
      </c>
      <c r="K43" s="87">
        <f t="shared" si="12"/>
        <v>34.615384615384627</v>
      </c>
      <c r="L43" s="68">
        <f t="shared" si="13"/>
        <v>1</v>
      </c>
      <c r="M43" s="28">
        <f t="shared" si="24"/>
        <v>15.77076585265252</v>
      </c>
      <c r="N43" s="28">
        <f t="shared" si="17"/>
        <v>1.8905325443786916E-4</v>
      </c>
      <c r="O43" s="28">
        <f t="shared" si="16"/>
        <v>0.18023076923076925</v>
      </c>
      <c r="P43" s="28">
        <f t="shared" si="25"/>
        <v>0.28673076923076923</v>
      </c>
      <c r="Q43" s="28">
        <f t="shared" si="26"/>
        <v>0.12288461538461538</v>
      </c>
    </row>
    <row r="44" spans="1:17" x14ac:dyDescent="0.25">
      <c r="A44" s="28">
        <f t="shared" si="18"/>
        <v>24</v>
      </c>
      <c r="B44" s="31">
        <f t="shared" si="19"/>
        <v>7.8461538461538467</v>
      </c>
      <c r="C44" s="29">
        <f t="shared" si="20"/>
        <v>0</v>
      </c>
      <c r="D44" s="27">
        <f t="shared" si="21"/>
        <v>25.839793281653748</v>
      </c>
      <c r="E44" s="27">
        <f t="shared" si="8"/>
        <v>1.5996062507690416</v>
      </c>
      <c r="F44" s="29">
        <f t="shared" si="22"/>
        <v>1.0999999999999999E-2</v>
      </c>
      <c r="G44" s="27">
        <f t="shared" si="10"/>
        <v>1.0999999999999999E-2</v>
      </c>
      <c r="H44" s="29">
        <f t="shared" si="23"/>
        <v>1.0999999999999999E-2</v>
      </c>
      <c r="I44" s="30">
        <f t="shared" si="27"/>
        <v>1.0489510489510535E-3</v>
      </c>
      <c r="J44" s="37">
        <f t="shared" si="15"/>
        <v>3.5664335664335675E-2</v>
      </c>
      <c r="K44" s="87">
        <f t="shared" si="12"/>
        <v>35.664335664335674</v>
      </c>
      <c r="L44" s="68">
        <f t="shared" si="13"/>
        <v>1</v>
      </c>
      <c r="M44" s="28">
        <f t="shared" si="24"/>
        <v>15.996062507690416</v>
      </c>
      <c r="N44" s="28">
        <f t="shared" si="17"/>
        <v>1.8639053254437951E-4</v>
      </c>
      <c r="O44" s="28">
        <f t="shared" si="16"/>
        <v>0.17769230769230768</v>
      </c>
      <c r="P44" s="28">
        <f t="shared" si="25"/>
        <v>0.28269230769230763</v>
      </c>
      <c r="Q44" s="28">
        <f t="shared" si="26"/>
        <v>0.12115384615384613</v>
      </c>
    </row>
    <row r="45" spans="1:17" x14ac:dyDescent="0.25">
      <c r="A45" s="28">
        <f t="shared" si="18"/>
        <v>24</v>
      </c>
      <c r="B45" s="31">
        <f t="shared" si="19"/>
        <v>8.0769230769230766</v>
      </c>
      <c r="C45" s="29">
        <f t="shared" si="20"/>
        <v>0</v>
      </c>
      <c r="D45" s="27">
        <f t="shared" si="21"/>
        <v>25.839793281653748</v>
      </c>
      <c r="E45" s="27">
        <f t="shared" si="8"/>
        <v>1.6227889500555492</v>
      </c>
      <c r="F45" s="29">
        <f t="shared" si="22"/>
        <v>1.0999999999999999E-2</v>
      </c>
      <c r="G45" s="27">
        <f t="shared" si="10"/>
        <v>1.0999999999999999E-2</v>
      </c>
      <c r="H45" s="29">
        <f t="shared" si="23"/>
        <v>1.0999999999999999E-2</v>
      </c>
      <c r="I45" s="30">
        <f t="shared" si="27"/>
        <v>1.0489510489510453E-3</v>
      </c>
      <c r="J45" s="37">
        <f t="shared" si="15"/>
        <v>3.6713286713286719E-2</v>
      </c>
      <c r="K45" s="87">
        <f t="shared" si="12"/>
        <v>36.71328671328672</v>
      </c>
      <c r="L45" s="68">
        <f t="shared" si="13"/>
        <v>1</v>
      </c>
      <c r="M45" s="28">
        <f t="shared" si="24"/>
        <v>16.227889500555492</v>
      </c>
      <c r="N45" s="28">
        <f t="shared" si="17"/>
        <v>1.8372781065088692E-4</v>
      </c>
      <c r="O45" s="28">
        <f t="shared" si="16"/>
        <v>0.17515384615384616</v>
      </c>
      <c r="P45" s="28">
        <f t="shared" si="25"/>
        <v>0.27865384615384614</v>
      </c>
      <c r="Q45" s="28">
        <f t="shared" si="26"/>
        <v>0.11942307692307691</v>
      </c>
    </row>
    <row r="46" spans="1:17" x14ac:dyDescent="0.25">
      <c r="A46" s="28">
        <f t="shared" si="18"/>
        <v>24</v>
      </c>
      <c r="B46" s="31">
        <f t="shared" si="19"/>
        <v>8.3076923076923066</v>
      </c>
      <c r="C46" s="29">
        <f t="shared" si="20"/>
        <v>0</v>
      </c>
      <c r="D46" s="27">
        <f t="shared" si="21"/>
        <v>25.839793281653748</v>
      </c>
      <c r="E46" s="27">
        <f t="shared" si="8"/>
        <v>1.6466534934387191</v>
      </c>
      <c r="F46" s="29">
        <f t="shared" si="22"/>
        <v>1.0999999999999999E-2</v>
      </c>
      <c r="G46" s="27">
        <f t="shared" si="10"/>
        <v>1.0999999999999999E-2</v>
      </c>
      <c r="H46" s="29">
        <f t="shared" si="23"/>
        <v>1.0999999999999999E-2</v>
      </c>
      <c r="I46" s="30">
        <f t="shared" si="27"/>
        <v>1.0489510489510453E-3</v>
      </c>
      <c r="J46" s="37">
        <f t="shared" si="15"/>
        <v>3.7762237762237763E-2</v>
      </c>
      <c r="K46" s="87">
        <f t="shared" si="12"/>
        <v>37.76223776223776</v>
      </c>
      <c r="L46" s="68">
        <f t="shared" si="13"/>
        <v>1</v>
      </c>
      <c r="M46" s="28">
        <f t="shared" si="24"/>
        <v>16.466534934387191</v>
      </c>
      <c r="N46" s="28">
        <f t="shared" si="17"/>
        <v>1.810650887573958E-4</v>
      </c>
      <c r="O46" s="28">
        <f t="shared" si="16"/>
        <v>0.17261538461538461</v>
      </c>
      <c r="P46" s="28">
        <f t="shared" si="25"/>
        <v>0.27461538461538459</v>
      </c>
      <c r="Q46" s="28">
        <f t="shared" si="26"/>
        <v>0.11769230769230768</v>
      </c>
    </row>
    <row r="47" spans="1:17" x14ac:dyDescent="0.25">
      <c r="A47" s="28">
        <f t="shared" si="18"/>
        <v>24</v>
      </c>
      <c r="B47" s="31">
        <f t="shared" si="19"/>
        <v>8.5384615384615383</v>
      </c>
      <c r="C47" s="29">
        <f t="shared" si="20"/>
        <v>0</v>
      </c>
      <c r="D47" s="27">
        <f t="shared" si="21"/>
        <v>25.839793281653748</v>
      </c>
      <c r="E47" s="27">
        <f t="shared" si="8"/>
        <v>1.6712304112512375</v>
      </c>
      <c r="F47" s="29">
        <f t="shared" si="22"/>
        <v>1.0999999999999999E-2</v>
      </c>
      <c r="G47" s="27">
        <f t="shared" si="10"/>
        <v>1.0999999999999999E-2</v>
      </c>
      <c r="H47" s="29">
        <f t="shared" si="23"/>
        <v>1.0999999999999999E-2</v>
      </c>
      <c r="I47" s="30">
        <f t="shared" si="27"/>
        <v>1.0489510489510535E-3</v>
      </c>
      <c r="J47" s="37">
        <f t="shared" si="15"/>
        <v>3.8811188811188814E-2</v>
      </c>
      <c r="K47" s="87">
        <f t="shared" si="12"/>
        <v>38.811188811188813</v>
      </c>
      <c r="L47" s="68">
        <f t="shared" si="13"/>
        <v>1</v>
      </c>
      <c r="M47" s="28">
        <f t="shared" si="24"/>
        <v>16.712304112512374</v>
      </c>
      <c r="N47" s="28">
        <f t="shared" si="17"/>
        <v>1.7840236686390609E-4</v>
      </c>
      <c r="O47" s="28">
        <f t="shared" si="16"/>
        <v>0.17007692307692307</v>
      </c>
      <c r="P47" s="28">
        <f t="shared" si="25"/>
        <v>0.27057692307692305</v>
      </c>
      <c r="Q47" s="28">
        <f t="shared" si="26"/>
        <v>0.11596153846153845</v>
      </c>
    </row>
    <row r="48" spans="1:17" x14ac:dyDescent="0.25">
      <c r="A48" s="28">
        <f t="shared" si="18"/>
        <v>24</v>
      </c>
      <c r="B48" s="31">
        <f t="shared" si="19"/>
        <v>8.7692307692307683</v>
      </c>
      <c r="C48" s="29">
        <f t="shared" si="20"/>
        <v>0</v>
      </c>
      <c r="D48" s="27">
        <f t="shared" si="21"/>
        <v>25.839793281653748</v>
      </c>
      <c r="E48" s="27">
        <f t="shared" si="8"/>
        <v>1.6965520841489834</v>
      </c>
      <c r="F48" s="29">
        <f t="shared" si="22"/>
        <v>1.0999999999999999E-2</v>
      </c>
      <c r="G48" s="27">
        <f t="shared" si="10"/>
        <v>1.0999999999999999E-2</v>
      </c>
      <c r="H48" s="29">
        <f t="shared" si="23"/>
        <v>1.0999999999999999E-2</v>
      </c>
      <c r="I48" s="30">
        <f t="shared" si="27"/>
        <v>1.0489510489510453E-3</v>
      </c>
      <c r="J48" s="37">
        <f t="shared" si="15"/>
        <v>3.9860139860139858E-2</v>
      </c>
      <c r="K48" s="87">
        <f t="shared" si="12"/>
        <v>39.86013986013986</v>
      </c>
      <c r="L48" s="68">
        <f t="shared" si="13"/>
        <v>1</v>
      </c>
      <c r="M48" s="28">
        <f t="shared" si="24"/>
        <v>16.965520841489834</v>
      </c>
      <c r="N48" s="28">
        <f t="shared" si="17"/>
        <v>1.7573964497041359E-4</v>
      </c>
      <c r="O48" s="28">
        <f t="shared" si="16"/>
        <v>0.16753846153846155</v>
      </c>
      <c r="P48" s="28">
        <f t="shared" si="25"/>
        <v>0.2665384615384615</v>
      </c>
      <c r="Q48" s="28">
        <f t="shared" si="26"/>
        <v>0.11423076923076922</v>
      </c>
    </row>
    <row r="49" spans="1:17" x14ac:dyDescent="0.25">
      <c r="A49" s="28">
        <f t="shared" si="18"/>
        <v>24</v>
      </c>
      <c r="B49" s="31">
        <f t="shared" si="19"/>
        <v>9</v>
      </c>
      <c r="C49" s="29">
        <f t="shared" si="20"/>
        <v>0</v>
      </c>
      <c r="D49" s="27">
        <f t="shared" si="21"/>
        <v>25.839793281653748</v>
      </c>
      <c r="E49" s="27">
        <f t="shared" si="8"/>
        <v>1.7226528854435832</v>
      </c>
      <c r="F49" s="29">
        <f t="shared" si="22"/>
        <v>1.0999999999999999E-2</v>
      </c>
      <c r="G49" s="27">
        <f t="shared" si="10"/>
        <v>1.0999999999999999E-2</v>
      </c>
      <c r="H49" s="29">
        <f t="shared" si="23"/>
        <v>1.0999999999999999E-2</v>
      </c>
      <c r="I49" s="30">
        <f t="shared" si="27"/>
        <v>1.0489510489510535E-3</v>
      </c>
      <c r="J49" s="37">
        <f t="shared" si="15"/>
        <v>4.0909090909090909E-2</v>
      </c>
      <c r="K49" s="87">
        <f t="shared" si="12"/>
        <v>40.909090909090907</v>
      </c>
      <c r="L49" s="68">
        <f t="shared" si="13"/>
        <v>1</v>
      </c>
      <c r="M49" s="28">
        <f t="shared" si="24"/>
        <v>17.226528854435834</v>
      </c>
      <c r="N49" s="28">
        <f t="shared" si="17"/>
        <v>1.7307692307692382E-4</v>
      </c>
      <c r="O49" s="28">
        <f t="shared" si="16"/>
        <v>0.16499999999999998</v>
      </c>
      <c r="P49" s="28">
        <f t="shared" si="25"/>
        <v>0.26249999999999996</v>
      </c>
      <c r="Q49" s="28">
        <f t="shared" si="26"/>
        <v>0.11249999999999999</v>
      </c>
    </row>
    <row r="50" spans="1:17" x14ac:dyDescent="0.25">
      <c r="A50" s="28">
        <f t="shared" si="18"/>
        <v>24</v>
      </c>
      <c r="B50" s="31">
        <f t="shared" si="19"/>
        <v>9.2307692307692317</v>
      </c>
      <c r="C50" s="29">
        <f t="shared" si="20"/>
        <v>0</v>
      </c>
      <c r="D50" s="27">
        <f t="shared" si="21"/>
        <v>25.839793281653748</v>
      </c>
      <c r="E50" s="27">
        <f t="shared" si="8"/>
        <v>1.7495693367786394</v>
      </c>
      <c r="F50" s="29">
        <f t="shared" si="22"/>
        <v>1.0999999999999999E-2</v>
      </c>
      <c r="G50" s="27">
        <f t="shared" si="10"/>
        <v>1.0999999999999999E-2</v>
      </c>
      <c r="H50" s="29">
        <f t="shared" si="23"/>
        <v>1.0999999999999999E-2</v>
      </c>
      <c r="I50" s="30">
        <f t="shared" si="27"/>
        <v>1.0489510489510535E-3</v>
      </c>
      <c r="J50" s="37">
        <f t="shared" si="15"/>
        <v>4.195804195804196E-2</v>
      </c>
      <c r="K50" s="87">
        <f t="shared" si="12"/>
        <v>41.95804195804196</v>
      </c>
      <c r="L50" s="68">
        <f t="shared" si="13"/>
        <v>1</v>
      </c>
      <c r="M50" s="28">
        <f t="shared" si="24"/>
        <v>17.495693367786394</v>
      </c>
      <c r="N50" s="28">
        <f t="shared" si="17"/>
        <v>1.7041420118343268E-4</v>
      </c>
      <c r="O50" s="28">
        <f t="shared" si="16"/>
        <v>0.16246153846153844</v>
      </c>
      <c r="P50" s="28">
        <f t="shared" si="25"/>
        <v>0.25846153846153841</v>
      </c>
      <c r="Q50" s="28">
        <f t="shared" si="26"/>
        <v>0.11076923076923074</v>
      </c>
    </row>
    <row r="51" spans="1:17" x14ac:dyDescent="0.25">
      <c r="A51" s="28">
        <f t="shared" si="18"/>
        <v>24</v>
      </c>
      <c r="B51" s="31">
        <f t="shared" si="19"/>
        <v>9.4615384615384617</v>
      </c>
      <c r="C51" s="29">
        <f t="shared" si="20"/>
        <v>0</v>
      </c>
      <c r="D51" s="27">
        <f t="shared" si="21"/>
        <v>25.839793281653748</v>
      </c>
      <c r="E51" s="27">
        <f t="shared" si="8"/>
        <v>1.7773402786322683</v>
      </c>
      <c r="F51" s="29">
        <f t="shared" si="22"/>
        <v>1.0999999999999999E-2</v>
      </c>
      <c r="G51" s="27">
        <f t="shared" si="10"/>
        <v>1.0999999999999999E-2</v>
      </c>
      <c r="H51" s="29">
        <f t="shared" si="23"/>
        <v>1.0999999999999999E-2</v>
      </c>
      <c r="I51" s="30">
        <f t="shared" si="27"/>
        <v>1.0489510489510453E-3</v>
      </c>
      <c r="J51" s="37">
        <f t="shared" si="15"/>
        <v>4.3006993006993004E-2</v>
      </c>
      <c r="K51" s="87">
        <f t="shared" si="12"/>
        <v>43.006993006993007</v>
      </c>
      <c r="L51" s="68">
        <f t="shared" si="13"/>
        <v>1</v>
      </c>
      <c r="M51" s="28">
        <f t="shared" si="24"/>
        <v>17.773402786322684</v>
      </c>
      <c r="N51" s="28">
        <f t="shared" si="17"/>
        <v>1.6775147928994023E-4</v>
      </c>
      <c r="O51" s="28">
        <f t="shared" si="16"/>
        <v>0.15992307692307692</v>
      </c>
      <c r="P51" s="28">
        <f t="shared" si="25"/>
        <v>0.25442307692307692</v>
      </c>
      <c r="Q51" s="28">
        <f t="shared" si="26"/>
        <v>0.10903846153846151</v>
      </c>
    </row>
    <row r="52" spans="1:17" x14ac:dyDescent="0.25">
      <c r="A52" s="28">
        <f t="shared" si="18"/>
        <v>24</v>
      </c>
      <c r="B52" s="31">
        <f t="shared" si="19"/>
        <v>9.6923076923076934</v>
      </c>
      <c r="C52" s="29">
        <f t="shared" si="20"/>
        <v>0</v>
      </c>
      <c r="D52" s="27">
        <f t="shared" si="21"/>
        <v>25.839793281653748</v>
      </c>
      <c r="E52" s="27">
        <f t="shared" si="8"/>
        <v>1.8060070573198856</v>
      </c>
      <c r="F52" s="29">
        <f t="shared" si="22"/>
        <v>1.0999999999999999E-2</v>
      </c>
      <c r="G52" s="27">
        <f t="shared" si="10"/>
        <v>1.0999999999999999E-2</v>
      </c>
      <c r="H52" s="29">
        <f t="shared" si="23"/>
        <v>1.0999999999999999E-2</v>
      </c>
      <c r="I52" s="30">
        <f t="shared" si="27"/>
        <v>1.0489510489510535E-3</v>
      </c>
      <c r="J52" s="37">
        <f t="shared" si="15"/>
        <v>4.4055944055944055E-2</v>
      </c>
      <c r="K52" s="87">
        <f t="shared" si="12"/>
        <v>44.055944055944053</v>
      </c>
      <c r="L52" s="68">
        <f t="shared" si="13"/>
        <v>1</v>
      </c>
      <c r="M52" s="28">
        <f t="shared" si="24"/>
        <v>18.060070573198857</v>
      </c>
      <c r="N52" s="28">
        <f t="shared" si="17"/>
        <v>1.6508875739645041E-4</v>
      </c>
      <c r="O52" s="28">
        <f t="shared" si="16"/>
        <v>0.15738461538461537</v>
      </c>
      <c r="P52" s="28">
        <f t="shared" si="25"/>
        <v>0.25038461538461532</v>
      </c>
      <c r="Q52" s="28">
        <f t="shared" si="26"/>
        <v>0.10730769230769228</v>
      </c>
    </row>
    <row r="53" spans="1:17" x14ac:dyDescent="0.25">
      <c r="A53" s="28">
        <f t="shared" si="18"/>
        <v>24</v>
      </c>
      <c r="B53" s="31">
        <f t="shared" si="19"/>
        <v>9.9230769230769234</v>
      </c>
      <c r="C53" s="29">
        <f t="shared" si="20"/>
        <v>0</v>
      </c>
      <c r="D53" s="27">
        <f t="shared" si="21"/>
        <v>25.839793281653748</v>
      </c>
      <c r="E53" s="27">
        <f t="shared" si="8"/>
        <v>1.8356137303907034</v>
      </c>
      <c r="F53" s="29">
        <f t="shared" si="22"/>
        <v>1.0999999999999999E-2</v>
      </c>
      <c r="G53" s="27">
        <f t="shared" si="10"/>
        <v>1.0999999999999999E-2</v>
      </c>
      <c r="H53" s="29">
        <f t="shared" si="23"/>
        <v>1.0999999999999999E-2</v>
      </c>
      <c r="I53" s="30">
        <f t="shared" si="27"/>
        <v>1.0489510489510453E-3</v>
      </c>
      <c r="J53" s="37">
        <f t="shared" si="15"/>
        <v>4.5104895104895099E-2</v>
      </c>
      <c r="K53" s="87">
        <f t="shared" si="12"/>
        <v>45.1048951048951</v>
      </c>
      <c r="L53" s="68">
        <f t="shared" si="13"/>
        <v>1</v>
      </c>
      <c r="M53" s="28">
        <f t="shared" si="24"/>
        <v>18.356137303907033</v>
      </c>
      <c r="N53" s="28">
        <f t="shared" si="17"/>
        <v>1.6242603550295799E-4</v>
      </c>
      <c r="O53" s="28">
        <f t="shared" si="16"/>
        <v>0.15484615384615383</v>
      </c>
      <c r="P53" s="28">
        <f t="shared" si="25"/>
        <v>0.24634615384615383</v>
      </c>
      <c r="Q53" s="28">
        <f t="shared" si="26"/>
        <v>0.10557692307692305</v>
      </c>
    </row>
    <row r="54" spans="1:17" x14ac:dyDescent="0.25">
      <c r="A54" s="28">
        <f t="shared" si="18"/>
        <v>24</v>
      </c>
      <c r="B54" s="31">
        <f t="shared" si="19"/>
        <v>10.153846153846153</v>
      </c>
      <c r="C54" s="29">
        <f t="shared" si="20"/>
        <v>0</v>
      </c>
      <c r="D54" s="27">
        <f t="shared" si="21"/>
        <v>25.839793281653748</v>
      </c>
      <c r="E54" s="27">
        <f t="shared" si="8"/>
        <v>1.8662072925638817</v>
      </c>
      <c r="F54" s="29">
        <f t="shared" si="22"/>
        <v>1.0999999999999999E-2</v>
      </c>
      <c r="G54" s="27">
        <f t="shared" si="10"/>
        <v>1.0999999999999999E-2</v>
      </c>
      <c r="H54" s="29">
        <f t="shared" si="23"/>
        <v>1.0999999999999999E-2</v>
      </c>
      <c r="I54" s="30">
        <f t="shared" si="27"/>
        <v>1.0489510489510453E-3</v>
      </c>
      <c r="J54" s="37">
        <f t="shared" si="15"/>
        <v>4.6153846153846143E-2</v>
      </c>
      <c r="K54" s="87">
        <f t="shared" si="12"/>
        <v>46.153846153846139</v>
      </c>
      <c r="L54" s="68">
        <f t="shared" si="13"/>
        <v>1</v>
      </c>
      <c r="M54" s="28">
        <f t="shared" si="24"/>
        <v>18.662072925638817</v>
      </c>
      <c r="N54" s="28">
        <f t="shared" si="17"/>
        <v>1.597633136094669E-4</v>
      </c>
      <c r="O54" s="28">
        <f t="shared" si="16"/>
        <v>0.15230769230769231</v>
      </c>
      <c r="P54" s="28">
        <f t="shared" si="25"/>
        <v>0.24230769230769228</v>
      </c>
      <c r="Q54" s="28">
        <f t="shared" si="26"/>
        <v>0.10384615384615384</v>
      </c>
    </row>
    <row r="55" spans="1:17" x14ac:dyDescent="0.25">
      <c r="A55" s="28">
        <f t="shared" si="18"/>
        <v>24</v>
      </c>
      <c r="B55" s="31">
        <f t="shared" si="19"/>
        <v>10.384615384615385</v>
      </c>
      <c r="C55" s="29">
        <f t="shared" si="20"/>
        <v>0</v>
      </c>
      <c r="D55" s="27">
        <f t="shared" si="21"/>
        <v>25.839793281653748</v>
      </c>
      <c r="E55" s="27">
        <f t="shared" si="8"/>
        <v>1.8978379246412358</v>
      </c>
      <c r="F55" s="29">
        <f t="shared" si="22"/>
        <v>1.0999999999999999E-2</v>
      </c>
      <c r="G55" s="27">
        <f t="shared" si="10"/>
        <v>1.0999999999999999E-2</v>
      </c>
      <c r="H55" s="29">
        <f t="shared" si="23"/>
        <v>1.0999999999999999E-2</v>
      </c>
      <c r="I55" s="30">
        <f t="shared" si="27"/>
        <v>1.0489510489510535E-3</v>
      </c>
      <c r="J55" s="37">
        <f t="shared" si="15"/>
        <v>4.7202797202797193E-2</v>
      </c>
      <c r="K55" s="87">
        <f t="shared" si="12"/>
        <v>47.202797202797193</v>
      </c>
      <c r="L55" s="68">
        <f t="shared" si="13"/>
        <v>1</v>
      </c>
      <c r="M55" s="28">
        <f t="shared" si="24"/>
        <v>18.978379246412359</v>
      </c>
      <c r="N55" s="28">
        <f t="shared" si="17"/>
        <v>1.5710059171597702E-4</v>
      </c>
      <c r="O55" s="28">
        <f t="shared" si="16"/>
        <v>0.14976923076923077</v>
      </c>
      <c r="P55" s="28">
        <f t="shared" si="25"/>
        <v>0.23826923076923073</v>
      </c>
      <c r="Q55" s="28">
        <f t="shared" si="26"/>
        <v>0.10211538461538459</v>
      </c>
    </row>
    <row r="56" spans="1:17" x14ac:dyDescent="0.25">
      <c r="A56" s="28">
        <f t="shared" si="18"/>
        <v>24</v>
      </c>
      <c r="B56" s="31">
        <f t="shared" si="19"/>
        <v>10.615384615384615</v>
      </c>
      <c r="C56" s="29">
        <f t="shared" si="20"/>
        <v>0</v>
      </c>
      <c r="D56" s="27">
        <f t="shared" si="21"/>
        <v>25.839793281653748</v>
      </c>
      <c r="E56" s="27">
        <f t="shared" si="8"/>
        <v>1.9305592681695327</v>
      </c>
      <c r="F56" s="29">
        <f t="shared" si="22"/>
        <v>1.0999999999999999E-2</v>
      </c>
      <c r="G56" s="27">
        <f t="shared" si="10"/>
        <v>1.0999999999999999E-2</v>
      </c>
      <c r="H56" s="29">
        <f t="shared" si="23"/>
        <v>1.0999999999999999E-2</v>
      </c>
      <c r="I56" s="30">
        <f t="shared" si="27"/>
        <v>1.0489510489510453E-3</v>
      </c>
      <c r="J56" s="37">
        <f t="shared" si="15"/>
        <v>4.8251748251748237E-2</v>
      </c>
      <c r="K56" s="87">
        <f t="shared" si="12"/>
        <v>48.251748251748239</v>
      </c>
      <c r="L56" s="68">
        <f t="shared" si="13"/>
        <v>1</v>
      </c>
      <c r="M56" s="28">
        <f t="shared" si="24"/>
        <v>19.30559268169533</v>
      </c>
      <c r="N56" s="28">
        <f t="shared" si="17"/>
        <v>1.5443786982248465E-4</v>
      </c>
      <c r="O56" s="28">
        <f t="shared" si="16"/>
        <v>0.14723076923076922</v>
      </c>
      <c r="P56" s="28">
        <f t="shared" si="25"/>
        <v>0.23423076923076921</v>
      </c>
      <c r="Q56" s="28">
        <f t="shared" si="26"/>
        <v>0.10038461538461538</v>
      </c>
    </row>
    <row r="57" spans="1:17" x14ac:dyDescent="0.25">
      <c r="A57" s="28">
        <f t="shared" si="18"/>
        <v>24</v>
      </c>
      <c r="B57" s="31">
        <f t="shared" si="19"/>
        <v>10.846153846153847</v>
      </c>
      <c r="C57" s="29">
        <f t="shared" si="20"/>
        <v>0</v>
      </c>
      <c r="D57" s="27">
        <f t="shared" si="21"/>
        <v>25.839793281653748</v>
      </c>
      <c r="E57" s="27">
        <f t="shared" si="8"/>
        <v>1.9644287290146125</v>
      </c>
      <c r="F57" s="29">
        <f t="shared" si="22"/>
        <v>1.0999999999999999E-2</v>
      </c>
      <c r="G57" s="27">
        <f t="shared" si="10"/>
        <v>1.0999999999999999E-2</v>
      </c>
      <c r="H57" s="29">
        <f t="shared" si="23"/>
        <v>1.0999999999999999E-2</v>
      </c>
      <c r="I57" s="30">
        <f t="shared" si="27"/>
        <v>1.0489510489510535E-3</v>
      </c>
      <c r="J57" s="37">
        <f t="shared" si="15"/>
        <v>4.9300699300699288E-2</v>
      </c>
      <c r="K57" s="87">
        <f t="shared" si="12"/>
        <v>49.300699300699286</v>
      </c>
      <c r="L57" s="68">
        <f t="shared" si="13"/>
        <v>1</v>
      </c>
      <c r="M57" s="28">
        <f t="shared" si="24"/>
        <v>19.644287290146124</v>
      </c>
      <c r="N57" s="28">
        <f t="shared" si="17"/>
        <v>1.5177514792899473E-4</v>
      </c>
      <c r="O57" s="28">
        <f t="shared" si="16"/>
        <v>0.14469230769230768</v>
      </c>
      <c r="P57" s="28">
        <f t="shared" si="25"/>
        <v>0.23019230769230767</v>
      </c>
      <c r="Q57" s="28">
        <f t="shared" si="26"/>
        <v>9.8653846153846134E-2</v>
      </c>
    </row>
    <row r="58" spans="1:17" x14ac:dyDescent="0.25">
      <c r="A58" s="28">
        <f t="shared" si="18"/>
        <v>24</v>
      </c>
      <c r="B58" s="31">
        <f t="shared" si="19"/>
        <v>11.076923076923077</v>
      </c>
      <c r="C58" s="29">
        <f t="shared" si="20"/>
        <v>0</v>
      </c>
      <c r="D58" s="27">
        <f t="shared" si="21"/>
        <v>25.839793281653748</v>
      </c>
      <c r="E58" s="27">
        <f t="shared" si="8"/>
        <v>1.9995078134613018</v>
      </c>
      <c r="F58" s="29">
        <f t="shared" si="22"/>
        <v>1.0999999999999999E-2</v>
      </c>
      <c r="G58" s="27">
        <f t="shared" si="10"/>
        <v>1.0999999999999999E-2</v>
      </c>
      <c r="H58" s="29">
        <f t="shared" si="23"/>
        <v>1.0999999999999999E-2</v>
      </c>
      <c r="I58" s="30">
        <f t="shared" si="27"/>
        <v>1.0489510489510453E-3</v>
      </c>
      <c r="J58" s="37">
        <f t="shared" si="15"/>
        <v>5.0349650349650332E-2</v>
      </c>
      <c r="K58" s="87">
        <f t="shared" si="12"/>
        <v>50.349650349650332</v>
      </c>
      <c r="L58" s="68">
        <f t="shared" si="13"/>
        <v>1</v>
      </c>
      <c r="M58" s="28">
        <f t="shared" si="24"/>
        <v>19.995078134613017</v>
      </c>
      <c r="N58" s="28">
        <f t="shared" si="17"/>
        <v>1.4911242603550244E-4</v>
      </c>
      <c r="O58" s="28">
        <f t="shared" si="16"/>
        <v>0.14215384615384616</v>
      </c>
      <c r="P58" s="28">
        <f t="shared" si="25"/>
        <v>0.22615384615384612</v>
      </c>
      <c r="Q58" s="28">
        <f t="shared" si="26"/>
        <v>9.6923076923076903E-2</v>
      </c>
    </row>
    <row r="59" spans="1:17" x14ac:dyDescent="0.25">
      <c r="A59" s="28">
        <f t="shared" si="18"/>
        <v>24</v>
      </c>
      <c r="B59" s="31">
        <f t="shared" si="19"/>
        <v>11.307692307692307</v>
      </c>
      <c r="C59" s="29">
        <f t="shared" si="20"/>
        <v>0</v>
      </c>
      <c r="D59" s="27">
        <f t="shared" si="21"/>
        <v>25.839793281653748</v>
      </c>
      <c r="E59" s="27">
        <f t="shared" si="8"/>
        <v>2.0358625009787801</v>
      </c>
      <c r="F59" s="29">
        <f t="shared" si="22"/>
        <v>1.0999999999999999E-2</v>
      </c>
      <c r="G59" s="27">
        <f t="shared" si="10"/>
        <v>1.0999999999999999E-2</v>
      </c>
      <c r="H59" s="29">
        <f t="shared" si="23"/>
        <v>1.0999999999999999E-2</v>
      </c>
      <c r="I59" s="30">
        <f t="shared" si="27"/>
        <v>1.0489510489510453E-3</v>
      </c>
      <c r="J59" s="37">
        <f t="shared" si="15"/>
        <v>5.1398601398601376E-2</v>
      </c>
      <c r="K59" s="87">
        <f t="shared" si="12"/>
        <v>51.398601398601379</v>
      </c>
      <c r="L59" s="68">
        <f t="shared" si="13"/>
        <v>1</v>
      </c>
      <c r="M59" s="28">
        <f t="shared" si="24"/>
        <v>20.358625009787801</v>
      </c>
      <c r="N59" s="28">
        <f t="shared" si="17"/>
        <v>1.4644970414201132E-4</v>
      </c>
      <c r="O59" s="28">
        <f t="shared" si="16"/>
        <v>0.13961538461538461</v>
      </c>
      <c r="P59" s="28">
        <f t="shared" si="25"/>
        <v>0.2221153846153846</v>
      </c>
      <c r="Q59" s="28">
        <f t="shared" si="26"/>
        <v>9.5192307692307687E-2</v>
      </c>
    </row>
    <row r="60" spans="1:17" x14ac:dyDescent="0.25">
      <c r="A60" s="28">
        <f t="shared" si="18"/>
        <v>24</v>
      </c>
      <c r="B60" s="31">
        <f t="shared" si="19"/>
        <v>11.538461538461538</v>
      </c>
      <c r="C60" s="29">
        <f t="shared" si="20"/>
        <v>0</v>
      </c>
      <c r="D60" s="27">
        <f t="shared" si="21"/>
        <v>25.839793281653748</v>
      </c>
      <c r="E60" s="27">
        <f t="shared" si="8"/>
        <v>2.0735636584043129</v>
      </c>
      <c r="F60" s="29">
        <f t="shared" si="22"/>
        <v>1.0999999999999999E-2</v>
      </c>
      <c r="G60" s="27">
        <f t="shared" si="10"/>
        <v>1.0999999999999999E-2</v>
      </c>
      <c r="H60" s="29">
        <f t="shared" si="23"/>
        <v>1.0999999999999999E-2</v>
      </c>
      <c r="I60" s="30">
        <f t="shared" si="27"/>
        <v>1.0489510489510535E-3</v>
      </c>
      <c r="J60" s="37">
        <f t="shared" si="15"/>
        <v>5.2447552447552427E-2</v>
      </c>
      <c r="K60" s="87">
        <f t="shared" si="12"/>
        <v>52.447552447552425</v>
      </c>
      <c r="L60" s="68">
        <f t="shared" si="13"/>
        <v>1</v>
      </c>
      <c r="M60" s="28">
        <f t="shared" si="24"/>
        <v>20.735636584043128</v>
      </c>
      <c r="N60" s="28">
        <f t="shared" si="17"/>
        <v>1.4378698224852134E-4</v>
      </c>
      <c r="O60" s="28">
        <f t="shared" si="16"/>
        <v>0.13707692307692307</v>
      </c>
      <c r="P60" s="28">
        <f t="shared" si="25"/>
        <v>0.21807692307692306</v>
      </c>
      <c r="Q60" s="28">
        <f t="shared" si="26"/>
        <v>9.3461538461538443E-2</v>
      </c>
    </row>
    <row r="61" spans="1:17" x14ac:dyDescent="0.25">
      <c r="A61" s="28">
        <f t="shared" si="18"/>
        <v>24</v>
      </c>
      <c r="B61" s="31">
        <f t="shared" si="19"/>
        <v>11.769230769230768</v>
      </c>
      <c r="C61" s="29">
        <f t="shared" si="20"/>
        <v>0</v>
      </c>
      <c r="D61" s="27">
        <f t="shared" si="21"/>
        <v>25.839793281653748</v>
      </c>
      <c r="E61" s="27">
        <f t="shared" si="8"/>
        <v>2.1126875010157149</v>
      </c>
      <c r="F61" s="29">
        <f t="shared" si="22"/>
        <v>1.0999999999999999E-2</v>
      </c>
      <c r="G61" s="27">
        <f t="shared" si="10"/>
        <v>1.0999999999999999E-2</v>
      </c>
      <c r="H61" s="29">
        <f t="shared" si="23"/>
        <v>1.0999999999999999E-2</v>
      </c>
      <c r="I61" s="30">
        <f t="shared" si="27"/>
        <v>1.0489510489510453E-3</v>
      </c>
      <c r="J61" s="37">
        <f t="shared" si="15"/>
        <v>5.3496503496503471E-2</v>
      </c>
      <c r="K61" s="87">
        <f t="shared" si="12"/>
        <v>53.496503496503472</v>
      </c>
      <c r="L61" s="68">
        <f t="shared" si="13"/>
        <v>1</v>
      </c>
      <c r="M61" s="28">
        <f t="shared" si="24"/>
        <v>21.12687501015715</v>
      </c>
      <c r="N61" s="28">
        <f>I61*G61*(A61-B61)</f>
        <v>1.4112426035502908E-4</v>
      </c>
      <c r="O61" s="28">
        <f t="shared" si="16"/>
        <v>0.13453846153846155</v>
      </c>
      <c r="P61" s="28">
        <f t="shared" si="25"/>
        <v>0.21403846153846154</v>
      </c>
      <c r="Q61" s="28">
        <f t="shared" si="26"/>
        <v>9.1730769230769227E-2</v>
      </c>
    </row>
    <row r="62" spans="1:17" x14ac:dyDescent="0.25">
      <c r="A62" s="28">
        <f t="shared" si="18"/>
        <v>24</v>
      </c>
      <c r="B62" s="31">
        <f t="shared" si="19"/>
        <v>12</v>
      </c>
      <c r="C62" s="29">
        <f t="shared" si="20"/>
        <v>0</v>
      </c>
      <c r="D62" s="27">
        <f t="shared" si="21"/>
        <v>25.839793281653748</v>
      </c>
      <c r="E62" s="27">
        <f t="shared" si="8"/>
        <v>2.1533161068044788</v>
      </c>
      <c r="F62" s="29">
        <f t="shared" si="22"/>
        <v>1.0999999999999999E-2</v>
      </c>
      <c r="G62" s="27">
        <f t="shared" si="10"/>
        <v>1.0999999999999999E-2</v>
      </c>
      <c r="H62" s="29">
        <f t="shared" si="23"/>
        <v>1.0999999999999999E-2</v>
      </c>
      <c r="I62" s="30">
        <f t="shared" si="27"/>
        <v>1.0489510489510535E-3</v>
      </c>
      <c r="J62" s="37">
        <f t="shared" si="15"/>
        <v>5.4545454545454522E-2</v>
      </c>
      <c r="K62" s="87">
        <f t="shared" si="12"/>
        <v>54.545454545454525</v>
      </c>
      <c r="L62" s="68">
        <f t="shared" si="13"/>
        <v>1</v>
      </c>
      <c r="M62" s="28">
        <f t="shared" si="24"/>
        <v>21.533161068044787</v>
      </c>
      <c r="N62" s="28">
        <f t="shared" si="17"/>
        <v>1.3846153846153907E-4</v>
      </c>
      <c r="O62" s="28">
        <f t="shared" si="16"/>
        <v>0.13200000000000001</v>
      </c>
      <c r="P62" s="28">
        <f t="shared" si="25"/>
        <v>0.20999999999999996</v>
      </c>
      <c r="Q62" s="28">
        <f t="shared" si="26"/>
        <v>8.9999999999999983E-2</v>
      </c>
    </row>
    <row r="63" spans="1:17" x14ac:dyDescent="0.25">
      <c r="A63" s="28">
        <f t="shared" si="18"/>
        <v>24</v>
      </c>
      <c r="B63" s="31">
        <f t="shared" si="19"/>
        <v>12.23076923076923</v>
      </c>
      <c r="C63" s="29">
        <f t="shared" si="20"/>
        <v>0</v>
      </c>
      <c r="D63" s="27">
        <f t="shared" si="21"/>
        <v>25.839793281653748</v>
      </c>
      <c r="E63" s="27">
        <f t="shared" si="8"/>
        <v>2.1955379912516255</v>
      </c>
      <c r="F63" s="29">
        <f t="shared" si="22"/>
        <v>1.0999999999999999E-2</v>
      </c>
      <c r="G63" s="27">
        <f t="shared" si="10"/>
        <v>1.0999999999999999E-2</v>
      </c>
      <c r="H63" s="29">
        <f t="shared" si="23"/>
        <v>1.0999999999999999E-2</v>
      </c>
      <c r="I63" s="30">
        <f t="shared" si="27"/>
        <v>1.0489510489510453E-3</v>
      </c>
      <c r="J63" s="37">
        <f t="shared" si="15"/>
        <v>5.5594405594405566E-2</v>
      </c>
      <c r="K63" s="87">
        <f t="shared" si="12"/>
        <v>55.594405594405565</v>
      </c>
      <c r="L63" s="68">
        <f t="shared" si="13"/>
        <v>1</v>
      </c>
      <c r="M63" s="28">
        <f t="shared" si="24"/>
        <v>21.955379912516253</v>
      </c>
      <c r="N63" s="28">
        <f t="shared" si="17"/>
        <v>1.3579881656804687E-4</v>
      </c>
      <c r="O63" s="28">
        <f t="shared" si="16"/>
        <v>0.12946153846153846</v>
      </c>
      <c r="P63" s="28">
        <f t="shared" si="25"/>
        <v>0.20596153846153845</v>
      </c>
      <c r="Q63" s="28">
        <f t="shared" si="26"/>
        <v>8.8269230769230766E-2</v>
      </c>
    </row>
    <row r="64" spans="1:17" x14ac:dyDescent="0.25">
      <c r="A64" s="28">
        <f t="shared" si="18"/>
        <v>24</v>
      </c>
      <c r="B64" s="31">
        <f t="shared" si="19"/>
        <v>12.461538461538463</v>
      </c>
      <c r="C64" s="29">
        <f t="shared" si="20"/>
        <v>0</v>
      </c>
      <c r="D64" s="27">
        <f t="shared" si="21"/>
        <v>25.839793281653748</v>
      </c>
      <c r="E64" s="27">
        <f t="shared" si="8"/>
        <v>2.2394487510766585</v>
      </c>
      <c r="F64" s="29">
        <f t="shared" si="22"/>
        <v>1.0999999999999999E-2</v>
      </c>
      <c r="G64" s="27">
        <f t="shared" si="10"/>
        <v>1.0999999999999999E-2</v>
      </c>
      <c r="H64" s="29">
        <f t="shared" si="23"/>
        <v>1.0999999999999999E-2</v>
      </c>
      <c r="I64" s="30">
        <f t="shared" si="27"/>
        <v>1.0489510489510615E-3</v>
      </c>
      <c r="J64" s="37">
        <f t="shared" si="15"/>
        <v>5.6643356643356631E-2</v>
      </c>
      <c r="K64" s="87">
        <f t="shared" si="12"/>
        <v>56.643356643356633</v>
      </c>
      <c r="L64" s="68">
        <f t="shared" si="13"/>
        <v>1</v>
      </c>
      <c r="M64" s="28">
        <f t="shared" si="24"/>
        <v>22.394487510766588</v>
      </c>
      <c r="N64" s="28">
        <f t="shared" si="17"/>
        <v>1.3313609467455778E-4</v>
      </c>
      <c r="O64" s="28">
        <f t="shared" si="16"/>
        <v>0.12692307692307689</v>
      </c>
      <c r="P64" s="28">
        <f t="shared" si="25"/>
        <v>0.20192307692307687</v>
      </c>
      <c r="Q64" s="28">
        <f t="shared" si="26"/>
        <v>8.6538461538461509E-2</v>
      </c>
    </row>
    <row r="65" spans="1:17" x14ac:dyDescent="0.25">
      <c r="A65" s="28">
        <f t="shared" si="18"/>
        <v>24</v>
      </c>
      <c r="B65" s="31">
        <f t="shared" si="19"/>
        <v>12.692307692307693</v>
      </c>
      <c r="C65" s="29">
        <f t="shared" si="20"/>
        <v>0</v>
      </c>
      <c r="D65" s="27">
        <f t="shared" si="21"/>
        <v>25.839793281653748</v>
      </c>
      <c r="E65" s="27">
        <f t="shared" si="8"/>
        <v>2.2851517868129165</v>
      </c>
      <c r="F65" s="29">
        <f t="shared" si="22"/>
        <v>1.0999999999999999E-2</v>
      </c>
      <c r="G65" s="27">
        <f t="shared" si="10"/>
        <v>1.0999999999999999E-2</v>
      </c>
      <c r="H65" s="29">
        <f t="shared" si="23"/>
        <v>1.0999999999999999E-2</v>
      </c>
      <c r="I65" s="30">
        <f t="shared" si="27"/>
        <v>1.0489510489510453E-3</v>
      </c>
      <c r="J65" s="37">
        <f t="shared" si="15"/>
        <v>5.7692307692307675E-2</v>
      </c>
      <c r="K65" s="87">
        <f t="shared" si="12"/>
        <v>57.692307692307672</v>
      </c>
      <c r="L65" s="68">
        <f t="shared" si="13"/>
        <v>1</v>
      </c>
      <c r="M65" s="28">
        <f t="shared" si="24"/>
        <v>22.851517868129164</v>
      </c>
      <c r="N65" s="28">
        <f t="shared" si="17"/>
        <v>1.304733727810646E-4</v>
      </c>
      <c r="O65" s="28">
        <f t="shared" si="16"/>
        <v>0.12438461538461537</v>
      </c>
      <c r="P65" s="28">
        <f t="shared" si="25"/>
        <v>0.19788461538461535</v>
      </c>
      <c r="Q65" s="28">
        <f t="shared" si="26"/>
        <v>8.4807692307692292E-2</v>
      </c>
    </row>
    <row r="66" spans="1:17" x14ac:dyDescent="0.25">
      <c r="A66" s="28">
        <f t="shared" si="18"/>
        <v>24</v>
      </c>
      <c r="B66" s="31">
        <f t="shared" si="19"/>
        <v>12.923076923076923</v>
      </c>
      <c r="C66" s="29">
        <f t="shared" si="20"/>
        <v>0</v>
      </c>
      <c r="D66" s="27">
        <f t="shared" si="21"/>
        <v>25.839793281653748</v>
      </c>
      <c r="E66" s="27">
        <f t="shared" si="8"/>
        <v>2.3327591157048522</v>
      </c>
      <c r="F66" s="29">
        <f t="shared" si="22"/>
        <v>1.0999999999999999E-2</v>
      </c>
      <c r="G66" s="27">
        <f t="shared" si="10"/>
        <v>1.0999999999999999E-2</v>
      </c>
      <c r="H66" s="29">
        <f t="shared" si="23"/>
        <v>1.0999999999999999E-2</v>
      </c>
      <c r="I66" s="30">
        <f t="shared" si="27"/>
        <v>1.0489510489510453E-3</v>
      </c>
      <c r="J66" s="37">
        <f t="shared" si="15"/>
        <v>5.8741258741258719E-2</v>
      </c>
      <c r="K66" s="87">
        <f t="shared" si="12"/>
        <v>58.741258741258719</v>
      </c>
      <c r="L66" s="68">
        <f t="shared" si="13"/>
        <v>1</v>
      </c>
      <c r="M66" s="28">
        <f t="shared" si="24"/>
        <v>23.327591157048523</v>
      </c>
      <c r="N66" s="28">
        <f t="shared" si="17"/>
        <v>1.2781065088757351E-4</v>
      </c>
      <c r="O66" s="28">
        <f t="shared" si="16"/>
        <v>0.12184615384615384</v>
      </c>
      <c r="P66" s="28">
        <f t="shared" si="25"/>
        <v>0.19384615384615383</v>
      </c>
      <c r="Q66" s="28">
        <f t="shared" si="26"/>
        <v>8.3076923076923062E-2</v>
      </c>
    </row>
    <row r="67" spans="1:17" x14ac:dyDescent="0.25">
      <c r="A67" s="28">
        <f t="shared" si="18"/>
        <v>24</v>
      </c>
      <c r="B67" s="31">
        <f t="shared" si="19"/>
        <v>13.153846153846155</v>
      </c>
      <c r="C67" s="29">
        <f t="shared" si="20"/>
        <v>0</v>
      </c>
      <c r="D67" s="27">
        <f t="shared" si="21"/>
        <v>25.839793281653748</v>
      </c>
      <c r="E67" s="27">
        <f t="shared" si="8"/>
        <v>2.3823922883794237</v>
      </c>
      <c r="F67" s="29">
        <f t="shared" si="22"/>
        <v>1.0999999999999999E-2</v>
      </c>
      <c r="G67" s="27">
        <f t="shared" si="10"/>
        <v>1.0999999999999999E-2</v>
      </c>
      <c r="H67" s="29">
        <f t="shared" si="23"/>
        <v>1.0999999999999999E-2</v>
      </c>
      <c r="I67" s="30">
        <f t="shared" si="27"/>
        <v>1.0489510489510535E-3</v>
      </c>
      <c r="J67" s="37">
        <f t="shared" si="15"/>
        <v>5.979020979020977E-2</v>
      </c>
      <c r="K67" s="87">
        <f t="shared" si="12"/>
        <v>59.790209790209772</v>
      </c>
      <c r="L67" s="68">
        <f t="shared" si="13"/>
        <v>1</v>
      </c>
      <c r="M67" s="28">
        <f t="shared" si="24"/>
        <v>23.823922883794236</v>
      </c>
      <c r="N67" s="28">
        <f t="shared" si="17"/>
        <v>1.2514792899408336E-4</v>
      </c>
      <c r="O67" s="28">
        <f t="shared" si="16"/>
        <v>0.11930769230769228</v>
      </c>
      <c r="P67" s="28">
        <f t="shared" si="25"/>
        <v>0.18980769230769226</v>
      </c>
      <c r="Q67" s="28">
        <f t="shared" si="26"/>
        <v>8.1346153846153818E-2</v>
      </c>
    </row>
    <row r="68" spans="1:17" x14ac:dyDescent="0.25">
      <c r="A68" s="28">
        <f t="shared" si="18"/>
        <v>24</v>
      </c>
      <c r="B68" s="31">
        <f t="shared" si="19"/>
        <v>13.384615384615385</v>
      </c>
      <c r="C68" s="29">
        <f t="shared" si="20"/>
        <v>0</v>
      </c>
      <c r="D68" s="27">
        <f t="shared" si="21"/>
        <v>25.839793281653748</v>
      </c>
      <c r="E68" s="27">
        <f t="shared" si="8"/>
        <v>2.4341834250833241</v>
      </c>
      <c r="F68" s="29">
        <f t="shared" si="22"/>
        <v>1.0999999999999999E-2</v>
      </c>
      <c r="G68" s="27">
        <f t="shared" si="10"/>
        <v>1.0999999999999999E-2</v>
      </c>
      <c r="H68" s="29">
        <f t="shared" si="23"/>
        <v>1.0999999999999999E-2</v>
      </c>
      <c r="I68" s="30">
        <f t="shared" si="27"/>
        <v>1.0489510489510453E-3</v>
      </c>
      <c r="J68" s="37">
        <f t="shared" si="15"/>
        <v>6.0839160839160814E-2</v>
      </c>
      <c r="K68" s="87">
        <f t="shared" si="12"/>
        <v>60.839160839160812</v>
      </c>
      <c r="L68" s="68">
        <f t="shared" si="13"/>
        <v>1</v>
      </c>
      <c r="M68" s="28">
        <f t="shared" si="24"/>
        <v>24.341834250833244</v>
      </c>
      <c r="N68" s="28">
        <f t="shared" si="17"/>
        <v>1.2248520710059126E-4</v>
      </c>
      <c r="O68" s="28">
        <f t="shared" si="16"/>
        <v>0.11676923076923076</v>
      </c>
      <c r="P68" s="28">
        <f t="shared" si="25"/>
        <v>0.18576923076923074</v>
      </c>
      <c r="Q68" s="28">
        <f t="shared" si="26"/>
        <v>7.9615384615384602E-2</v>
      </c>
    </row>
    <row r="69" spans="1:17" x14ac:dyDescent="0.25">
      <c r="A69" s="28">
        <f t="shared" si="18"/>
        <v>24</v>
      </c>
      <c r="B69" s="31">
        <f t="shared" si="19"/>
        <v>13.615384615384615</v>
      </c>
      <c r="C69" s="29">
        <f t="shared" si="20"/>
        <v>0</v>
      </c>
      <c r="D69" s="27">
        <f t="shared" si="21"/>
        <v>25.839793281653748</v>
      </c>
      <c r="E69" s="27">
        <f t="shared" si="8"/>
        <v>2.4882763900851756</v>
      </c>
      <c r="F69" s="29">
        <f t="shared" si="22"/>
        <v>1.0999999999999999E-2</v>
      </c>
      <c r="G69" s="27">
        <f t="shared" si="10"/>
        <v>1.0999999999999999E-2</v>
      </c>
      <c r="H69" s="29">
        <f t="shared" si="23"/>
        <v>1.0999999999999999E-2</v>
      </c>
      <c r="I69" s="30">
        <f t="shared" si="27"/>
        <v>1.0489510489510453E-3</v>
      </c>
      <c r="J69" s="37">
        <f t="shared" si="15"/>
        <v>6.1888111888111857E-2</v>
      </c>
      <c r="K69" s="87">
        <f t="shared" si="12"/>
        <v>61.888111888111858</v>
      </c>
      <c r="L69" s="68">
        <f t="shared" si="13"/>
        <v>1</v>
      </c>
      <c r="M69" s="28">
        <f t="shared" si="24"/>
        <v>24.882763900851756</v>
      </c>
      <c r="N69" s="28">
        <f t="shared" si="17"/>
        <v>1.1982248520710017E-4</v>
      </c>
      <c r="O69" s="28">
        <f t="shared" si="16"/>
        <v>0.11423076923076923</v>
      </c>
      <c r="P69" s="28">
        <f t="shared" si="25"/>
        <v>0.18173076923076922</v>
      </c>
      <c r="Q69" s="28">
        <f t="shared" si="26"/>
        <v>7.7884615384615372E-2</v>
      </c>
    </row>
    <row r="70" spans="1:17" x14ac:dyDescent="0.25">
      <c r="A70" s="28">
        <f t="shared" si="18"/>
        <v>24</v>
      </c>
      <c r="B70" s="31">
        <f t="shared" si="19"/>
        <v>13.846153846153845</v>
      </c>
      <c r="C70" s="29">
        <f t="shared" si="20"/>
        <v>0</v>
      </c>
      <c r="D70" s="27">
        <f t="shared" si="21"/>
        <v>25.839793281653748</v>
      </c>
      <c r="E70" s="27">
        <f t="shared" si="8"/>
        <v>2.5448281262234747</v>
      </c>
      <c r="F70" s="29">
        <f t="shared" si="22"/>
        <v>1.0999999999999999E-2</v>
      </c>
      <c r="G70" s="27">
        <f t="shared" si="10"/>
        <v>1.0999999999999999E-2</v>
      </c>
      <c r="H70" s="29">
        <f t="shared" si="23"/>
        <v>1.0999999999999999E-2</v>
      </c>
      <c r="I70" s="30">
        <f t="shared" si="27"/>
        <v>1.0489510489510453E-3</v>
      </c>
      <c r="J70" s="37">
        <f t="shared" si="15"/>
        <v>6.2937062937062901E-2</v>
      </c>
      <c r="K70" s="87">
        <f t="shared" si="12"/>
        <v>62.937062937062905</v>
      </c>
      <c r="L70" s="68">
        <f t="shared" si="13"/>
        <v>1</v>
      </c>
      <c r="M70" s="28">
        <f t="shared" si="24"/>
        <v>25.448281262234747</v>
      </c>
      <c r="N70" s="28">
        <f t="shared" si="17"/>
        <v>1.1715976331360906E-4</v>
      </c>
      <c r="O70" s="28">
        <f t="shared" si="16"/>
        <v>0.1116923076923077</v>
      </c>
      <c r="P70" s="28">
        <f t="shared" si="25"/>
        <v>0.1776923076923077</v>
      </c>
      <c r="Q70" s="28">
        <f t="shared" si="26"/>
        <v>7.6153846153846155E-2</v>
      </c>
    </row>
    <row r="71" spans="1:17" x14ac:dyDescent="0.25">
      <c r="A71" s="28">
        <f t="shared" si="18"/>
        <v>24</v>
      </c>
      <c r="B71" s="31">
        <f t="shared" si="19"/>
        <v>14.076923076923077</v>
      </c>
      <c r="C71" s="29">
        <f t="shared" si="20"/>
        <v>0</v>
      </c>
      <c r="D71" s="27">
        <f t="shared" si="21"/>
        <v>25.839793281653748</v>
      </c>
      <c r="E71" s="27">
        <f t="shared" si="8"/>
        <v>2.6040101756705325</v>
      </c>
      <c r="F71" s="29">
        <f t="shared" si="22"/>
        <v>1.0999999999999999E-2</v>
      </c>
      <c r="G71" s="27">
        <f t="shared" si="10"/>
        <v>1.0999999999999999E-2</v>
      </c>
      <c r="H71" s="29">
        <f t="shared" si="23"/>
        <v>1.0999999999999999E-2</v>
      </c>
      <c r="I71" s="30">
        <f t="shared" si="27"/>
        <v>1.0489510489510535E-3</v>
      </c>
      <c r="J71" s="37">
        <f t="shared" si="15"/>
        <v>6.3986013986013959E-2</v>
      </c>
      <c r="K71" s="87">
        <f t="shared" si="12"/>
        <v>63.986013986013958</v>
      </c>
      <c r="L71" s="68">
        <f t="shared" si="13"/>
        <v>1</v>
      </c>
      <c r="M71" s="28">
        <f t="shared" si="24"/>
        <v>26.040101756705326</v>
      </c>
      <c r="N71" s="28">
        <f t="shared" si="17"/>
        <v>1.1449704142011884E-4</v>
      </c>
      <c r="O71" s="28">
        <f t="shared" si="16"/>
        <v>0.10915384615384616</v>
      </c>
      <c r="P71" s="28">
        <f t="shared" si="25"/>
        <v>0.17365384615384613</v>
      </c>
      <c r="Q71" s="28">
        <f t="shared" si="26"/>
        <v>7.4423076923076911E-2</v>
      </c>
    </row>
    <row r="72" spans="1:17" x14ac:dyDescent="0.25">
      <c r="A72" s="28">
        <f t="shared" si="18"/>
        <v>24</v>
      </c>
      <c r="B72" s="31">
        <f t="shared" si="19"/>
        <v>14.307692307692307</v>
      </c>
      <c r="C72" s="29">
        <f t="shared" si="20"/>
        <v>0</v>
      </c>
      <c r="D72" s="27">
        <f t="shared" si="21"/>
        <v>25.839793281653748</v>
      </c>
      <c r="E72" s="27">
        <f t="shared" si="8"/>
        <v>2.6660104179484021</v>
      </c>
      <c r="F72" s="29">
        <f t="shared" si="22"/>
        <v>1.0999999999999999E-2</v>
      </c>
      <c r="G72" s="27">
        <f t="shared" si="10"/>
        <v>1.0999999999999999E-2</v>
      </c>
      <c r="H72" s="29">
        <f t="shared" si="23"/>
        <v>1.0999999999999999E-2</v>
      </c>
      <c r="I72" s="30">
        <f t="shared" si="27"/>
        <v>1.0489510489510453E-3</v>
      </c>
      <c r="J72" s="37">
        <f t="shared" si="15"/>
        <v>6.5034965034965003E-2</v>
      </c>
      <c r="K72" s="87">
        <f t="shared" si="12"/>
        <v>65.034965034964998</v>
      </c>
      <c r="L72" s="68">
        <f t="shared" si="13"/>
        <v>1</v>
      </c>
      <c r="M72" s="28">
        <f t="shared" si="24"/>
        <v>26.660104179484023</v>
      </c>
      <c r="N72" s="28">
        <f t="shared" si="17"/>
        <v>1.1183431952662684E-4</v>
      </c>
      <c r="O72" s="28">
        <f t="shared" si="16"/>
        <v>0.10661538461538463</v>
      </c>
      <c r="P72" s="28">
        <f t="shared" si="25"/>
        <v>0.16961538461538461</v>
      </c>
      <c r="Q72" s="28">
        <f t="shared" si="26"/>
        <v>7.2692307692307695E-2</v>
      </c>
    </row>
    <row r="73" spans="1:17" x14ac:dyDescent="0.25">
      <c r="A73" s="28">
        <f t="shared" si="18"/>
        <v>24</v>
      </c>
      <c r="B73" s="31">
        <f t="shared" si="19"/>
        <v>14.538461538461537</v>
      </c>
      <c r="C73" s="29">
        <f t="shared" si="20"/>
        <v>0</v>
      </c>
      <c r="D73" s="27">
        <f t="shared" si="21"/>
        <v>25.839793281653748</v>
      </c>
      <c r="E73" s="27">
        <f t="shared" si="8"/>
        <v>2.731035062288607</v>
      </c>
      <c r="F73" s="29">
        <f t="shared" si="22"/>
        <v>1.0999999999999999E-2</v>
      </c>
      <c r="G73" s="27">
        <f t="shared" si="10"/>
        <v>1.0999999999999999E-2</v>
      </c>
      <c r="H73" s="29">
        <f t="shared" si="23"/>
        <v>1.0999999999999999E-2</v>
      </c>
      <c r="I73" s="30">
        <f t="shared" si="27"/>
        <v>1.0489510489510453E-3</v>
      </c>
      <c r="J73" s="37">
        <f t="shared" si="15"/>
        <v>6.6083916083916047E-2</v>
      </c>
      <c r="K73" s="87">
        <f t="shared" si="12"/>
        <v>66.083916083916051</v>
      </c>
      <c r="L73" s="68">
        <f t="shared" si="13"/>
        <v>1</v>
      </c>
      <c r="M73" s="28">
        <f t="shared" si="24"/>
        <v>27.31035062288607</v>
      </c>
      <c r="N73" s="28">
        <f t="shared" si="17"/>
        <v>1.0917159763313573E-4</v>
      </c>
      <c r="O73" s="28">
        <f t="shared" si="16"/>
        <v>0.10407692307692309</v>
      </c>
      <c r="P73" s="28">
        <f t="shared" si="25"/>
        <v>0.16557692307692309</v>
      </c>
      <c r="Q73" s="28">
        <f t="shared" si="26"/>
        <v>7.0961538461538465E-2</v>
      </c>
    </row>
    <row r="74" spans="1:17" x14ac:dyDescent="0.25">
      <c r="A74" s="28">
        <f t="shared" ref="A74:A105" si="28">VINMAX</f>
        <v>24</v>
      </c>
      <c r="B74" s="31">
        <f t="shared" ref="B74:B105" si="29">VINMAX*((ROW()-10)/104)</f>
        <v>14.76923076923077</v>
      </c>
      <c r="C74" s="29">
        <f t="shared" ref="C74:C105" si="30">IF(B74&gt;=$H$2,IF($D$2="CC", $G$2, B74/$G$2), 0)</f>
        <v>0</v>
      </c>
      <c r="D74" s="27">
        <f t="shared" ref="D74:D105" si="31">$B$2-B74*$J$2/($I$2*0.001)</f>
        <v>25.839793281653748</v>
      </c>
      <c r="E74" s="27">
        <f t="shared" si="8"/>
        <v>2.799310938845823</v>
      </c>
      <c r="F74" s="29">
        <f t="shared" ref="F74:F105" si="32">I_Cout_ss+C74</f>
        <v>1.0999999999999999E-2</v>
      </c>
      <c r="G74" s="27">
        <f t="shared" si="10"/>
        <v>1.0999999999999999E-2</v>
      </c>
      <c r="H74" s="29">
        <f t="shared" ref="H74:H105" si="33">G74-C74</f>
        <v>1.0999999999999999E-2</v>
      </c>
      <c r="I74" s="30">
        <f t="shared" si="27"/>
        <v>1.0489510489510615E-3</v>
      </c>
      <c r="J74" s="37">
        <f t="shared" si="15"/>
        <v>6.7132867132867105E-2</v>
      </c>
      <c r="K74" s="87">
        <f t="shared" si="12"/>
        <v>67.132867132867105</v>
      </c>
      <c r="L74" s="68">
        <f t="shared" si="13"/>
        <v>1</v>
      </c>
      <c r="M74" s="28">
        <f t="shared" ref="M74:M105" si="34">1/COUTMAX*(E74/2-C74)*1000</f>
        <v>27.99310938845823</v>
      </c>
      <c r="N74" s="28">
        <f t="shared" si="17"/>
        <v>1.0650887573964624E-4</v>
      </c>
      <c r="O74" s="28">
        <f t="shared" si="16"/>
        <v>0.10153846153846152</v>
      </c>
      <c r="P74" s="28">
        <f t="shared" ref="P74:P105" si="35">(A74-B74)*(I_Cout_ss*$Q$2+C74)</f>
        <v>0.16153846153846152</v>
      </c>
      <c r="Q74" s="28">
        <f t="shared" ref="Q74:Q105" si="36">(A74-B74)*(I_Cout_ss*$R$2+C74)</f>
        <v>6.9230769230769221E-2</v>
      </c>
    </row>
    <row r="75" spans="1:17" x14ac:dyDescent="0.25">
      <c r="A75" s="28">
        <f t="shared" si="28"/>
        <v>24</v>
      </c>
      <c r="B75" s="31">
        <f t="shared" si="29"/>
        <v>15</v>
      </c>
      <c r="C75" s="29">
        <f t="shared" si="30"/>
        <v>0</v>
      </c>
      <c r="D75" s="27">
        <f t="shared" si="31"/>
        <v>25.839793281653748</v>
      </c>
      <c r="E75" s="27">
        <f t="shared" ref="E75:E110" si="37">MIN(D75/(A75-B75),$C$2)</f>
        <v>2.8710881424059718</v>
      </c>
      <c r="F75" s="29">
        <f t="shared" si="32"/>
        <v>1.0999999999999999E-2</v>
      </c>
      <c r="G75" s="27">
        <f t="shared" ref="G75:G110" si="38">IF($F$2="YES", F75, E75)</f>
        <v>1.0999999999999999E-2</v>
      </c>
      <c r="H75" s="29">
        <f t="shared" si="33"/>
        <v>1.0999999999999999E-2</v>
      </c>
      <c r="I75" s="30">
        <f t="shared" ref="I75:I106" si="39">(COUTMAX/1000000)*(B75-B74)/H75</f>
        <v>1.0489510489510453E-3</v>
      </c>
      <c r="J75" s="37">
        <f t="shared" si="15"/>
        <v>6.8181818181818149E-2</v>
      </c>
      <c r="K75" s="87">
        <f t="shared" ref="K75:K114" si="40">J75*1000</f>
        <v>68.181818181818144</v>
      </c>
      <c r="L75" s="68">
        <f t="shared" ref="L75:L110" si="41">H75/G75</f>
        <v>1</v>
      </c>
      <c r="M75" s="28">
        <f t="shared" si="34"/>
        <v>28.710881424059718</v>
      </c>
      <c r="N75" s="28">
        <f t="shared" ref="N75:N110" si="42">I75*G75*(A75-B75)</f>
        <v>1.0384615384615348E-4</v>
      </c>
      <c r="O75" s="28">
        <f t="shared" ref="O75:O114" si="43">G75*(A75-B75)</f>
        <v>9.8999999999999991E-2</v>
      </c>
      <c r="P75" s="28">
        <f t="shared" si="35"/>
        <v>0.15749999999999997</v>
      </c>
      <c r="Q75" s="28">
        <f t="shared" si="36"/>
        <v>6.7499999999999991E-2</v>
      </c>
    </row>
    <row r="76" spans="1:17" x14ac:dyDescent="0.25">
      <c r="A76" s="28">
        <f t="shared" si="28"/>
        <v>24</v>
      </c>
      <c r="B76" s="31">
        <f t="shared" si="29"/>
        <v>15.23076923076923</v>
      </c>
      <c r="C76" s="29">
        <f t="shared" si="30"/>
        <v>0</v>
      </c>
      <c r="D76" s="27">
        <f t="shared" si="31"/>
        <v>25.839793281653748</v>
      </c>
      <c r="E76" s="27">
        <f t="shared" si="37"/>
        <v>2.9466430935219181</v>
      </c>
      <c r="F76" s="29">
        <f t="shared" si="32"/>
        <v>1.0999999999999999E-2</v>
      </c>
      <c r="G76" s="27">
        <f t="shared" si="38"/>
        <v>1.0999999999999999E-2</v>
      </c>
      <c r="H76" s="29">
        <f t="shared" si="33"/>
        <v>1.0999999999999999E-2</v>
      </c>
      <c r="I76" s="30">
        <f t="shared" si="39"/>
        <v>1.0489510489510453E-3</v>
      </c>
      <c r="J76" s="37">
        <f t="shared" ref="J76:J110" si="44">J75+I76</f>
        <v>6.9230769230769193E-2</v>
      </c>
      <c r="K76" s="87">
        <f t="shared" si="40"/>
        <v>69.230769230769198</v>
      </c>
      <c r="L76" s="68">
        <f t="shared" si="41"/>
        <v>1</v>
      </c>
      <c r="M76" s="28">
        <f t="shared" si="34"/>
        <v>29.466430935219183</v>
      </c>
      <c r="N76" s="28">
        <f t="shared" si="42"/>
        <v>1.0118343195266237E-4</v>
      </c>
      <c r="O76" s="28">
        <f t="shared" si="43"/>
        <v>9.646153846153846E-2</v>
      </c>
      <c r="P76" s="28">
        <f t="shared" si="35"/>
        <v>0.15346153846153845</v>
      </c>
      <c r="Q76" s="28">
        <f t="shared" si="36"/>
        <v>6.576923076923076E-2</v>
      </c>
    </row>
    <row r="77" spans="1:17" x14ac:dyDescent="0.25">
      <c r="A77" s="28">
        <f t="shared" si="28"/>
        <v>24</v>
      </c>
      <c r="B77" s="31">
        <f t="shared" si="29"/>
        <v>15.461538461538463</v>
      </c>
      <c r="C77" s="29">
        <f t="shared" si="30"/>
        <v>0</v>
      </c>
      <c r="D77" s="27">
        <f t="shared" si="31"/>
        <v>25.839793281653748</v>
      </c>
      <c r="E77" s="27">
        <f t="shared" si="37"/>
        <v>3.0262820960495387</v>
      </c>
      <c r="F77" s="29">
        <f t="shared" si="32"/>
        <v>1.0999999999999999E-2</v>
      </c>
      <c r="G77" s="27">
        <f t="shared" si="38"/>
        <v>1.0999999999999999E-2</v>
      </c>
      <c r="H77" s="29">
        <f t="shared" si="33"/>
        <v>1.0999999999999999E-2</v>
      </c>
      <c r="I77" s="30">
        <f t="shared" si="39"/>
        <v>1.0489510489510615E-3</v>
      </c>
      <c r="J77" s="37">
        <f t="shared" si="44"/>
        <v>7.0279720279720251E-2</v>
      </c>
      <c r="K77" s="87">
        <f t="shared" si="40"/>
        <v>70.279720279720252</v>
      </c>
      <c r="L77" s="68">
        <f t="shared" si="41"/>
        <v>1</v>
      </c>
      <c r="M77" s="28">
        <f t="shared" si="34"/>
        <v>30.262820960495386</v>
      </c>
      <c r="N77" s="28">
        <f t="shared" si="42"/>
        <v>9.8520710059172754E-5</v>
      </c>
      <c r="O77" s="28">
        <f t="shared" si="43"/>
        <v>9.3923076923076901E-2</v>
      </c>
      <c r="P77" s="28">
        <f t="shared" si="35"/>
        <v>0.14942307692307688</v>
      </c>
      <c r="Q77" s="28">
        <f t="shared" si="36"/>
        <v>6.4038461538461516E-2</v>
      </c>
    </row>
    <row r="78" spans="1:17" x14ac:dyDescent="0.25">
      <c r="A78" s="28">
        <f t="shared" si="28"/>
        <v>24</v>
      </c>
      <c r="B78" s="31">
        <f t="shared" si="29"/>
        <v>15.692307692307693</v>
      </c>
      <c r="C78" s="29">
        <f t="shared" si="30"/>
        <v>0</v>
      </c>
      <c r="D78" s="27">
        <f t="shared" si="31"/>
        <v>25.839793281653748</v>
      </c>
      <c r="E78" s="27">
        <f t="shared" si="37"/>
        <v>3.11034548760647</v>
      </c>
      <c r="F78" s="29">
        <f t="shared" si="32"/>
        <v>1.0999999999999999E-2</v>
      </c>
      <c r="G78" s="27">
        <f t="shared" si="38"/>
        <v>1.0999999999999999E-2</v>
      </c>
      <c r="H78" s="29">
        <f t="shared" si="33"/>
        <v>1.0999999999999999E-2</v>
      </c>
      <c r="I78" s="30">
        <f t="shared" si="39"/>
        <v>1.0489510489510453E-3</v>
      </c>
      <c r="J78" s="37">
        <f t="shared" si="44"/>
        <v>7.1328671328671295E-2</v>
      </c>
      <c r="K78" s="87">
        <f t="shared" si="40"/>
        <v>71.328671328671291</v>
      </c>
      <c r="L78" s="68">
        <f t="shared" si="41"/>
        <v>1</v>
      </c>
      <c r="M78" s="28">
        <f t="shared" si="34"/>
        <v>31.103454876064699</v>
      </c>
      <c r="N78" s="28">
        <f t="shared" si="42"/>
        <v>9.5857988165680115E-5</v>
      </c>
      <c r="O78" s="28">
        <f t="shared" si="43"/>
        <v>9.138461538461537E-2</v>
      </c>
      <c r="P78" s="28">
        <f t="shared" si="35"/>
        <v>0.14538461538461536</v>
      </c>
      <c r="Q78" s="28">
        <f t="shared" si="36"/>
        <v>6.2307692307692293E-2</v>
      </c>
    </row>
    <row r="79" spans="1:17" x14ac:dyDescent="0.25">
      <c r="A79" s="28">
        <f t="shared" si="28"/>
        <v>24</v>
      </c>
      <c r="B79" s="31">
        <f t="shared" si="29"/>
        <v>15.923076923076923</v>
      </c>
      <c r="C79" s="29">
        <f t="shared" si="30"/>
        <v>0</v>
      </c>
      <c r="D79" s="27">
        <f t="shared" si="31"/>
        <v>25.839793281653748</v>
      </c>
      <c r="E79" s="27">
        <f t="shared" si="37"/>
        <v>3.1992125015380832</v>
      </c>
      <c r="F79" s="29">
        <f t="shared" si="32"/>
        <v>1.0999999999999999E-2</v>
      </c>
      <c r="G79" s="27">
        <f t="shared" si="38"/>
        <v>1.0999999999999999E-2</v>
      </c>
      <c r="H79" s="29">
        <f t="shared" si="33"/>
        <v>1.0999999999999999E-2</v>
      </c>
      <c r="I79" s="30">
        <f t="shared" si="39"/>
        <v>1.0489510489510453E-3</v>
      </c>
      <c r="J79" s="37">
        <f t="shared" si="44"/>
        <v>7.2377622377622339E-2</v>
      </c>
      <c r="K79" s="87">
        <f t="shared" si="40"/>
        <v>72.377622377622345</v>
      </c>
      <c r="L79" s="68">
        <f t="shared" si="41"/>
        <v>1</v>
      </c>
      <c r="M79" s="28">
        <f t="shared" si="34"/>
        <v>31.992125015380832</v>
      </c>
      <c r="N79" s="28">
        <f t="shared" si="42"/>
        <v>9.3195266272189009E-5</v>
      </c>
      <c r="O79" s="28">
        <f t="shared" si="43"/>
        <v>8.8846153846153839E-2</v>
      </c>
      <c r="P79" s="28">
        <f t="shared" si="35"/>
        <v>0.14134615384615382</v>
      </c>
      <c r="Q79" s="28">
        <f t="shared" si="36"/>
        <v>6.0576923076923063E-2</v>
      </c>
    </row>
    <row r="80" spans="1:17" x14ac:dyDescent="0.25">
      <c r="A80" s="28">
        <f t="shared" si="28"/>
        <v>24</v>
      </c>
      <c r="B80" s="31">
        <f t="shared" si="29"/>
        <v>16.153846153846153</v>
      </c>
      <c r="C80" s="29">
        <f t="shared" si="30"/>
        <v>0</v>
      </c>
      <c r="D80" s="27">
        <f t="shared" si="31"/>
        <v>25.839793281653748</v>
      </c>
      <c r="E80" s="27">
        <f t="shared" si="37"/>
        <v>3.2933069868774383</v>
      </c>
      <c r="F80" s="29">
        <f t="shared" si="32"/>
        <v>1.0999999999999999E-2</v>
      </c>
      <c r="G80" s="27">
        <f t="shared" si="38"/>
        <v>1.0999999999999999E-2</v>
      </c>
      <c r="H80" s="29">
        <f t="shared" si="33"/>
        <v>1.0999999999999999E-2</v>
      </c>
      <c r="I80" s="30">
        <f t="shared" si="39"/>
        <v>1.0489510489510453E-3</v>
      </c>
      <c r="J80" s="37">
        <f t="shared" si="44"/>
        <v>7.3426573426573383E-2</v>
      </c>
      <c r="K80" s="87">
        <f t="shared" si="40"/>
        <v>73.426573426573384</v>
      </c>
      <c r="L80" s="68">
        <f t="shared" si="41"/>
        <v>1</v>
      </c>
      <c r="M80" s="28">
        <f t="shared" si="34"/>
        <v>32.933069868774382</v>
      </c>
      <c r="N80" s="28">
        <f t="shared" si="42"/>
        <v>9.0532544378697902E-5</v>
      </c>
      <c r="O80" s="28">
        <f t="shared" si="43"/>
        <v>8.6307692307692307E-2</v>
      </c>
      <c r="P80" s="28">
        <f t="shared" si="35"/>
        <v>0.1373076923076923</v>
      </c>
      <c r="Q80" s="28">
        <f t="shared" si="36"/>
        <v>5.884615384615384E-2</v>
      </c>
    </row>
    <row r="81" spans="1:17" x14ac:dyDescent="0.25">
      <c r="A81" s="28">
        <f t="shared" si="28"/>
        <v>24</v>
      </c>
      <c r="B81" s="31">
        <f t="shared" si="29"/>
        <v>16.384615384615387</v>
      </c>
      <c r="C81" s="29">
        <f t="shared" si="30"/>
        <v>0</v>
      </c>
      <c r="D81" s="27">
        <f t="shared" si="31"/>
        <v>25.839793281653748</v>
      </c>
      <c r="E81" s="27">
        <f t="shared" si="37"/>
        <v>3.3931041682979677</v>
      </c>
      <c r="F81" s="29">
        <f t="shared" si="32"/>
        <v>1.0999999999999999E-2</v>
      </c>
      <c r="G81" s="27">
        <f t="shared" si="38"/>
        <v>1.0999999999999999E-2</v>
      </c>
      <c r="H81" s="29">
        <f t="shared" si="33"/>
        <v>1.0999999999999999E-2</v>
      </c>
      <c r="I81" s="30">
        <f t="shared" si="39"/>
        <v>1.0489510489510615E-3</v>
      </c>
      <c r="J81" s="37">
        <f t="shared" si="44"/>
        <v>7.4475524475524441E-2</v>
      </c>
      <c r="K81" s="87">
        <f t="shared" si="40"/>
        <v>74.475524475524438</v>
      </c>
      <c r="L81" s="68">
        <f t="shared" si="41"/>
        <v>1</v>
      </c>
      <c r="M81" s="28">
        <f t="shared" si="34"/>
        <v>33.931041682979675</v>
      </c>
      <c r="N81" s="28">
        <f t="shared" si="42"/>
        <v>8.7869822485208123E-5</v>
      </c>
      <c r="O81" s="28">
        <f t="shared" si="43"/>
        <v>8.3769230769230735E-2</v>
      </c>
      <c r="P81" s="28">
        <f t="shared" si="35"/>
        <v>0.13326923076923072</v>
      </c>
      <c r="Q81" s="28">
        <f t="shared" si="36"/>
        <v>5.7115384615384589E-2</v>
      </c>
    </row>
    <row r="82" spans="1:17" x14ac:dyDescent="0.25">
      <c r="A82" s="28">
        <f t="shared" si="28"/>
        <v>24</v>
      </c>
      <c r="B82" s="31">
        <f t="shared" si="29"/>
        <v>16.615384615384613</v>
      </c>
      <c r="C82" s="29">
        <f t="shared" si="30"/>
        <v>0</v>
      </c>
      <c r="D82" s="27">
        <f t="shared" si="31"/>
        <v>25.839793281653748</v>
      </c>
      <c r="E82" s="27">
        <f t="shared" si="37"/>
        <v>3.4991386735572774</v>
      </c>
      <c r="F82" s="29">
        <f t="shared" si="32"/>
        <v>1.0999999999999999E-2</v>
      </c>
      <c r="G82" s="27">
        <f t="shared" si="38"/>
        <v>1.0999999999999999E-2</v>
      </c>
      <c r="H82" s="29">
        <f t="shared" si="33"/>
        <v>1.0999999999999999E-2</v>
      </c>
      <c r="I82" s="30">
        <f t="shared" si="39"/>
        <v>1.0489510489510292E-3</v>
      </c>
      <c r="J82" s="37">
        <f t="shared" si="44"/>
        <v>7.5524475524475471E-2</v>
      </c>
      <c r="K82" s="87">
        <f t="shared" si="40"/>
        <v>75.524475524475477</v>
      </c>
      <c r="L82" s="68">
        <f t="shared" si="41"/>
        <v>1</v>
      </c>
      <c r="M82" s="28">
        <f t="shared" si="34"/>
        <v>34.991386735572775</v>
      </c>
      <c r="N82" s="28">
        <f t="shared" si="42"/>
        <v>8.5207100591714401E-5</v>
      </c>
      <c r="O82" s="28">
        <f t="shared" si="43"/>
        <v>8.1230769230769245E-2</v>
      </c>
      <c r="P82" s="28">
        <f t="shared" si="35"/>
        <v>0.12923076923076926</v>
      </c>
      <c r="Q82" s="28">
        <f t="shared" si="36"/>
        <v>5.5384615384615393E-2</v>
      </c>
    </row>
    <row r="83" spans="1:17" x14ac:dyDescent="0.25">
      <c r="A83" s="28">
        <f t="shared" si="28"/>
        <v>24</v>
      </c>
      <c r="B83" s="31">
        <f t="shared" si="29"/>
        <v>16.846153846153847</v>
      </c>
      <c r="C83" s="29">
        <f t="shared" si="30"/>
        <v>0</v>
      </c>
      <c r="D83" s="27">
        <f t="shared" si="31"/>
        <v>25.839793281653748</v>
      </c>
      <c r="E83" s="27">
        <f t="shared" si="37"/>
        <v>3.6120141146397713</v>
      </c>
      <c r="F83" s="29">
        <f t="shared" si="32"/>
        <v>1.0999999999999999E-2</v>
      </c>
      <c r="G83" s="27">
        <f t="shared" si="38"/>
        <v>1.0999999999999999E-2</v>
      </c>
      <c r="H83" s="29">
        <f t="shared" si="33"/>
        <v>1.0999999999999999E-2</v>
      </c>
      <c r="I83" s="30">
        <f t="shared" si="39"/>
        <v>1.0489510489510615E-3</v>
      </c>
      <c r="J83" s="37">
        <f t="shared" si="44"/>
        <v>7.6573426573426528E-2</v>
      </c>
      <c r="K83" s="87">
        <f t="shared" si="40"/>
        <v>76.573426573426531</v>
      </c>
      <c r="L83" s="68">
        <f t="shared" si="41"/>
        <v>1</v>
      </c>
      <c r="M83" s="28">
        <f t="shared" si="34"/>
        <v>36.120141146397714</v>
      </c>
      <c r="N83" s="28">
        <f t="shared" si="42"/>
        <v>8.2544378698225842E-5</v>
      </c>
      <c r="O83" s="28">
        <f t="shared" si="43"/>
        <v>7.8692307692307686E-2</v>
      </c>
      <c r="P83" s="28">
        <f t="shared" si="35"/>
        <v>0.12519230769230766</v>
      </c>
      <c r="Q83" s="28">
        <f t="shared" si="36"/>
        <v>5.3653846153846142E-2</v>
      </c>
    </row>
    <row r="84" spans="1:17" x14ac:dyDescent="0.25">
      <c r="A84" s="28">
        <f t="shared" si="28"/>
        <v>24</v>
      </c>
      <c r="B84" s="31">
        <f t="shared" si="29"/>
        <v>17.076923076923077</v>
      </c>
      <c r="C84" s="29">
        <f t="shared" si="30"/>
        <v>0</v>
      </c>
      <c r="D84" s="27">
        <f t="shared" si="31"/>
        <v>25.839793281653748</v>
      </c>
      <c r="E84" s="27">
        <f t="shared" si="37"/>
        <v>3.7324145851277635</v>
      </c>
      <c r="F84" s="29">
        <f t="shared" si="32"/>
        <v>1.0999999999999999E-2</v>
      </c>
      <c r="G84" s="27">
        <f t="shared" si="38"/>
        <v>1.0999999999999999E-2</v>
      </c>
      <c r="H84" s="29">
        <f t="shared" si="33"/>
        <v>1.0999999999999999E-2</v>
      </c>
      <c r="I84" s="30">
        <f t="shared" si="39"/>
        <v>1.0489510489510453E-3</v>
      </c>
      <c r="J84" s="37">
        <f t="shared" si="44"/>
        <v>7.7622377622377572E-2</v>
      </c>
      <c r="K84" s="87">
        <f t="shared" si="40"/>
        <v>77.62237762237757</v>
      </c>
      <c r="L84" s="68">
        <f t="shared" si="41"/>
        <v>1</v>
      </c>
      <c r="M84" s="28">
        <f t="shared" si="34"/>
        <v>37.324145851277635</v>
      </c>
      <c r="N84" s="28">
        <f t="shared" si="42"/>
        <v>7.9881656804733448E-5</v>
      </c>
      <c r="O84" s="28">
        <f t="shared" si="43"/>
        <v>7.6153846153846155E-2</v>
      </c>
      <c r="P84" s="28">
        <f t="shared" si="35"/>
        <v>0.12115384615384614</v>
      </c>
      <c r="Q84" s="28">
        <f t="shared" si="36"/>
        <v>5.1923076923076919E-2</v>
      </c>
    </row>
    <row r="85" spans="1:17" x14ac:dyDescent="0.25">
      <c r="A85" s="28">
        <f t="shared" si="28"/>
        <v>24</v>
      </c>
      <c r="B85" s="31">
        <f t="shared" si="29"/>
        <v>17.307692307692307</v>
      </c>
      <c r="C85" s="29">
        <f t="shared" si="30"/>
        <v>0</v>
      </c>
      <c r="D85" s="27">
        <f t="shared" si="31"/>
        <v>25.839793281653748</v>
      </c>
      <c r="E85" s="27">
        <f t="shared" si="37"/>
        <v>3.861118536339065</v>
      </c>
      <c r="F85" s="29">
        <f t="shared" si="32"/>
        <v>1.0999999999999999E-2</v>
      </c>
      <c r="G85" s="27">
        <f t="shared" si="38"/>
        <v>1.0999999999999999E-2</v>
      </c>
      <c r="H85" s="29">
        <f t="shared" si="33"/>
        <v>1.0999999999999999E-2</v>
      </c>
      <c r="I85" s="30">
        <f t="shared" si="39"/>
        <v>1.0489510489510453E-3</v>
      </c>
      <c r="J85" s="37">
        <f t="shared" si="44"/>
        <v>7.8671328671328616E-2</v>
      </c>
      <c r="K85" s="87">
        <f t="shared" si="40"/>
        <v>78.67132867132861</v>
      </c>
      <c r="L85" s="68">
        <f t="shared" si="41"/>
        <v>1</v>
      </c>
      <c r="M85" s="28">
        <f t="shared" si="34"/>
        <v>38.611185363390653</v>
      </c>
      <c r="N85" s="28">
        <f t="shared" si="42"/>
        <v>7.7218934911242341E-5</v>
      </c>
      <c r="O85" s="28">
        <f t="shared" si="43"/>
        <v>7.3615384615384624E-2</v>
      </c>
      <c r="P85" s="28">
        <f t="shared" si="35"/>
        <v>0.11711538461538462</v>
      </c>
      <c r="Q85" s="28">
        <f t="shared" si="36"/>
        <v>5.0192307692307696E-2</v>
      </c>
    </row>
    <row r="86" spans="1:17" x14ac:dyDescent="0.25">
      <c r="A86" s="28">
        <f t="shared" si="28"/>
        <v>24</v>
      </c>
      <c r="B86" s="31">
        <f t="shared" si="29"/>
        <v>17.538461538461537</v>
      </c>
      <c r="C86" s="29">
        <f t="shared" si="30"/>
        <v>0</v>
      </c>
      <c r="D86" s="27">
        <f t="shared" si="31"/>
        <v>25.839793281653748</v>
      </c>
      <c r="E86" s="27">
        <f t="shared" si="37"/>
        <v>3.9990156269226027</v>
      </c>
      <c r="F86" s="29">
        <f t="shared" si="32"/>
        <v>1.0999999999999999E-2</v>
      </c>
      <c r="G86" s="27">
        <f t="shared" si="38"/>
        <v>1.0999999999999999E-2</v>
      </c>
      <c r="H86" s="29">
        <f t="shared" si="33"/>
        <v>1.0999999999999999E-2</v>
      </c>
      <c r="I86" s="30">
        <f t="shared" si="39"/>
        <v>1.0489510489510453E-3</v>
      </c>
      <c r="J86" s="37">
        <f t="shared" si="44"/>
        <v>7.972027972027966E-2</v>
      </c>
      <c r="K86" s="87">
        <f t="shared" si="40"/>
        <v>79.720279720279663</v>
      </c>
      <c r="L86" s="68">
        <f t="shared" si="41"/>
        <v>1</v>
      </c>
      <c r="M86" s="28">
        <f t="shared" si="34"/>
        <v>39.990156269226027</v>
      </c>
      <c r="N86" s="28">
        <f t="shared" si="42"/>
        <v>7.4556213017751234E-5</v>
      </c>
      <c r="O86" s="28">
        <f t="shared" si="43"/>
        <v>7.1076923076923093E-2</v>
      </c>
      <c r="P86" s="28">
        <f t="shared" si="35"/>
        <v>0.1130769230769231</v>
      </c>
      <c r="Q86" s="28">
        <f t="shared" si="36"/>
        <v>4.8461538461538466E-2</v>
      </c>
    </row>
    <row r="87" spans="1:17" x14ac:dyDescent="0.25">
      <c r="A87" s="28">
        <f t="shared" si="28"/>
        <v>24</v>
      </c>
      <c r="B87" s="31">
        <f t="shared" si="29"/>
        <v>17.76923076923077</v>
      </c>
      <c r="C87" s="29">
        <f t="shared" si="30"/>
        <v>0</v>
      </c>
      <c r="D87" s="27">
        <f t="shared" si="31"/>
        <v>25.839793281653748</v>
      </c>
      <c r="E87" s="27">
        <f t="shared" si="37"/>
        <v>4.1471273168086267</v>
      </c>
      <c r="F87" s="29">
        <f t="shared" si="32"/>
        <v>1.0999999999999999E-2</v>
      </c>
      <c r="G87" s="27">
        <f t="shared" si="38"/>
        <v>1.0999999999999999E-2</v>
      </c>
      <c r="H87" s="29">
        <f t="shared" si="33"/>
        <v>1.0999999999999999E-2</v>
      </c>
      <c r="I87" s="30">
        <f t="shared" si="39"/>
        <v>1.0489510489510615E-3</v>
      </c>
      <c r="J87" s="37">
        <f t="shared" si="44"/>
        <v>8.0769230769230718E-2</v>
      </c>
      <c r="K87" s="87">
        <f t="shared" si="40"/>
        <v>80.769230769230717</v>
      </c>
      <c r="L87" s="68">
        <f t="shared" si="41"/>
        <v>1</v>
      </c>
      <c r="M87" s="28">
        <f t="shared" si="34"/>
        <v>41.47127316808627</v>
      </c>
      <c r="N87" s="28">
        <f t="shared" si="42"/>
        <v>7.1893491124261211E-5</v>
      </c>
      <c r="O87" s="28">
        <f t="shared" si="43"/>
        <v>6.853846153846152E-2</v>
      </c>
      <c r="P87" s="28">
        <f t="shared" si="35"/>
        <v>0.10903846153846151</v>
      </c>
      <c r="Q87" s="28">
        <f t="shared" si="36"/>
        <v>4.6730769230769215E-2</v>
      </c>
    </row>
    <row r="88" spans="1:17" x14ac:dyDescent="0.25">
      <c r="A88" s="28">
        <f t="shared" si="28"/>
        <v>24</v>
      </c>
      <c r="B88" s="31">
        <f t="shared" si="29"/>
        <v>18</v>
      </c>
      <c r="C88" s="29">
        <f t="shared" si="30"/>
        <v>0</v>
      </c>
      <c r="D88" s="27">
        <f t="shared" si="31"/>
        <v>25.839793281653748</v>
      </c>
      <c r="E88" s="27">
        <f t="shared" si="37"/>
        <v>4.3066322136089576</v>
      </c>
      <c r="F88" s="29">
        <f t="shared" si="32"/>
        <v>1.0999999999999999E-2</v>
      </c>
      <c r="G88" s="27">
        <f t="shared" si="38"/>
        <v>1.0999999999999999E-2</v>
      </c>
      <c r="H88" s="29">
        <f t="shared" si="33"/>
        <v>1.0999999999999999E-2</v>
      </c>
      <c r="I88" s="30">
        <f t="shared" si="39"/>
        <v>1.0489510489510453E-3</v>
      </c>
      <c r="J88" s="37">
        <f t="shared" si="44"/>
        <v>8.1818181818181762E-2</v>
      </c>
      <c r="K88" s="87">
        <f t="shared" si="40"/>
        <v>81.818181818181756</v>
      </c>
      <c r="L88" s="68">
        <f t="shared" si="41"/>
        <v>1</v>
      </c>
      <c r="M88" s="28">
        <f t="shared" si="34"/>
        <v>43.066322136089575</v>
      </c>
      <c r="N88" s="28">
        <f t="shared" si="42"/>
        <v>6.923076923076898E-5</v>
      </c>
      <c r="O88" s="28">
        <f t="shared" si="43"/>
        <v>6.6000000000000003E-2</v>
      </c>
      <c r="P88" s="28">
        <f t="shared" si="35"/>
        <v>0.10499999999999998</v>
      </c>
      <c r="Q88" s="28">
        <f t="shared" si="36"/>
        <v>4.4999999999999991E-2</v>
      </c>
    </row>
    <row r="89" spans="1:17" x14ac:dyDescent="0.25">
      <c r="A89" s="28">
        <f t="shared" si="28"/>
        <v>24</v>
      </c>
      <c r="B89" s="31">
        <f t="shared" si="29"/>
        <v>18.23076923076923</v>
      </c>
      <c r="C89" s="29">
        <f t="shared" si="30"/>
        <v>0</v>
      </c>
      <c r="D89" s="27">
        <f t="shared" si="31"/>
        <v>25.839793281653748</v>
      </c>
      <c r="E89" s="27">
        <f t="shared" si="37"/>
        <v>4.4788975021533153</v>
      </c>
      <c r="F89" s="29">
        <f t="shared" si="32"/>
        <v>1.0999999999999999E-2</v>
      </c>
      <c r="G89" s="27">
        <f t="shared" si="38"/>
        <v>1.0999999999999999E-2</v>
      </c>
      <c r="H89" s="29">
        <f t="shared" si="33"/>
        <v>1.0999999999999999E-2</v>
      </c>
      <c r="I89" s="30">
        <f t="shared" si="39"/>
        <v>1.0489510489510453E-3</v>
      </c>
      <c r="J89" s="37">
        <f t="shared" si="44"/>
        <v>8.2867132867132806E-2</v>
      </c>
      <c r="K89" s="87">
        <f t="shared" si="40"/>
        <v>82.86713286713281</v>
      </c>
      <c r="L89" s="68">
        <f t="shared" si="41"/>
        <v>1</v>
      </c>
      <c r="M89" s="28">
        <f t="shared" si="34"/>
        <v>44.788975021533155</v>
      </c>
      <c r="N89" s="28">
        <f t="shared" si="42"/>
        <v>6.6568047337277873E-5</v>
      </c>
      <c r="O89" s="28">
        <f t="shared" si="43"/>
        <v>6.3461538461538472E-2</v>
      </c>
      <c r="P89" s="28">
        <f t="shared" si="35"/>
        <v>0.10096153846153846</v>
      </c>
      <c r="Q89" s="28">
        <f t="shared" si="36"/>
        <v>4.3269230769230768E-2</v>
      </c>
    </row>
    <row r="90" spans="1:17" x14ac:dyDescent="0.25">
      <c r="A90" s="28">
        <f t="shared" si="28"/>
        <v>24</v>
      </c>
      <c r="B90" s="31">
        <f t="shared" si="29"/>
        <v>18.461538461538463</v>
      </c>
      <c r="C90" s="29">
        <f t="shared" si="30"/>
        <v>0</v>
      </c>
      <c r="D90" s="27">
        <f t="shared" si="31"/>
        <v>25.839793281653748</v>
      </c>
      <c r="E90" s="27">
        <f t="shared" si="37"/>
        <v>4.6655182314097061</v>
      </c>
      <c r="F90" s="29">
        <f t="shared" si="32"/>
        <v>1.0999999999999999E-2</v>
      </c>
      <c r="G90" s="27">
        <f t="shared" si="38"/>
        <v>1.0999999999999999E-2</v>
      </c>
      <c r="H90" s="29">
        <f t="shared" si="33"/>
        <v>1.0999999999999999E-2</v>
      </c>
      <c r="I90" s="30">
        <f t="shared" si="39"/>
        <v>1.0489510489510615E-3</v>
      </c>
      <c r="J90" s="37">
        <f t="shared" si="44"/>
        <v>8.3916083916083864E-2</v>
      </c>
      <c r="K90" s="87">
        <f t="shared" si="40"/>
        <v>83.916083916083863</v>
      </c>
      <c r="L90" s="68">
        <f t="shared" si="41"/>
        <v>1</v>
      </c>
      <c r="M90" s="28">
        <f t="shared" si="34"/>
        <v>46.655182314097061</v>
      </c>
      <c r="N90" s="28">
        <f t="shared" si="42"/>
        <v>6.3905325443787728E-5</v>
      </c>
      <c r="O90" s="28">
        <f t="shared" si="43"/>
        <v>6.0923076923076899E-2</v>
      </c>
      <c r="P90" s="28">
        <f t="shared" si="35"/>
        <v>9.6923076923076876E-2</v>
      </c>
      <c r="Q90" s="28">
        <f t="shared" si="36"/>
        <v>4.1538461538461517E-2</v>
      </c>
    </row>
    <row r="91" spans="1:17" x14ac:dyDescent="0.25">
      <c r="A91" s="28">
        <f t="shared" si="28"/>
        <v>24</v>
      </c>
      <c r="B91" s="31">
        <f t="shared" si="29"/>
        <v>18.692307692307693</v>
      </c>
      <c r="C91" s="29">
        <f t="shared" si="30"/>
        <v>0</v>
      </c>
      <c r="D91" s="27">
        <f t="shared" si="31"/>
        <v>25.839793281653748</v>
      </c>
      <c r="E91" s="27">
        <f t="shared" si="37"/>
        <v>4.8683668501666491</v>
      </c>
      <c r="F91" s="29">
        <f t="shared" si="32"/>
        <v>1.0999999999999999E-2</v>
      </c>
      <c r="G91" s="27">
        <f t="shared" si="38"/>
        <v>1.0999999999999999E-2</v>
      </c>
      <c r="H91" s="29">
        <f t="shared" si="33"/>
        <v>1.0999999999999999E-2</v>
      </c>
      <c r="I91" s="30">
        <f t="shared" si="39"/>
        <v>1.0489510489510453E-3</v>
      </c>
      <c r="J91" s="37">
        <f t="shared" si="44"/>
        <v>8.4965034965034908E-2</v>
      </c>
      <c r="K91" s="87">
        <f t="shared" si="40"/>
        <v>84.965034965034903</v>
      </c>
      <c r="L91" s="68">
        <f t="shared" si="41"/>
        <v>1</v>
      </c>
      <c r="M91" s="28">
        <f t="shared" si="34"/>
        <v>48.683668501666496</v>
      </c>
      <c r="N91" s="28">
        <f t="shared" si="42"/>
        <v>6.1242603550295632E-5</v>
      </c>
      <c r="O91" s="28">
        <f t="shared" si="43"/>
        <v>5.8384615384615368E-2</v>
      </c>
      <c r="P91" s="28">
        <f t="shared" si="35"/>
        <v>9.2884615384615357E-2</v>
      </c>
      <c r="Q91" s="28">
        <f t="shared" si="36"/>
        <v>3.9807692307692294E-2</v>
      </c>
    </row>
    <row r="92" spans="1:17" x14ac:dyDescent="0.25">
      <c r="A92" s="28">
        <f t="shared" si="28"/>
        <v>24</v>
      </c>
      <c r="B92" s="31">
        <f t="shared" si="29"/>
        <v>18.923076923076923</v>
      </c>
      <c r="C92" s="29">
        <f t="shared" si="30"/>
        <v>0</v>
      </c>
      <c r="D92" s="27">
        <f t="shared" si="31"/>
        <v>25.839793281653748</v>
      </c>
      <c r="E92" s="27">
        <f t="shared" si="37"/>
        <v>5.0896562524469502</v>
      </c>
      <c r="F92" s="29">
        <f t="shared" si="32"/>
        <v>1.0999999999999999E-2</v>
      </c>
      <c r="G92" s="27">
        <f t="shared" si="38"/>
        <v>1.0999999999999999E-2</v>
      </c>
      <c r="H92" s="29">
        <f t="shared" si="33"/>
        <v>1.0999999999999999E-2</v>
      </c>
      <c r="I92" s="30">
        <f t="shared" si="39"/>
        <v>1.0489510489510453E-3</v>
      </c>
      <c r="J92" s="37">
        <f t="shared" si="44"/>
        <v>8.6013986013985952E-2</v>
      </c>
      <c r="K92" s="87">
        <f t="shared" si="40"/>
        <v>86.013986013985956</v>
      </c>
      <c r="L92" s="68">
        <f t="shared" si="41"/>
        <v>1</v>
      </c>
      <c r="M92" s="28">
        <f t="shared" si="34"/>
        <v>50.896562524469502</v>
      </c>
      <c r="N92" s="28">
        <f t="shared" si="42"/>
        <v>5.8579881656804519E-5</v>
      </c>
      <c r="O92" s="28">
        <f t="shared" si="43"/>
        <v>5.5846153846153837E-2</v>
      </c>
      <c r="P92" s="28">
        <f t="shared" si="35"/>
        <v>8.8846153846153839E-2</v>
      </c>
      <c r="Q92" s="28">
        <f t="shared" si="36"/>
        <v>3.8076923076923071E-2</v>
      </c>
    </row>
    <row r="93" spans="1:17" x14ac:dyDescent="0.25">
      <c r="A93" s="28">
        <f t="shared" si="28"/>
        <v>24</v>
      </c>
      <c r="B93" s="31">
        <f t="shared" si="29"/>
        <v>19.153846153846153</v>
      </c>
      <c r="C93" s="29">
        <f t="shared" si="30"/>
        <v>0</v>
      </c>
      <c r="D93" s="27">
        <f t="shared" si="31"/>
        <v>25.839793281653748</v>
      </c>
      <c r="E93" s="27">
        <f t="shared" si="37"/>
        <v>5.3320208358968042</v>
      </c>
      <c r="F93" s="29">
        <f t="shared" si="32"/>
        <v>1.0999999999999999E-2</v>
      </c>
      <c r="G93" s="27">
        <f t="shared" si="38"/>
        <v>1.0999999999999999E-2</v>
      </c>
      <c r="H93" s="29">
        <f t="shared" si="33"/>
        <v>1.0999999999999999E-2</v>
      </c>
      <c r="I93" s="30">
        <f t="shared" si="39"/>
        <v>1.0489510489510453E-3</v>
      </c>
      <c r="J93" s="37">
        <f t="shared" si="44"/>
        <v>8.7062937062936996E-2</v>
      </c>
      <c r="K93" s="87">
        <f t="shared" si="40"/>
        <v>87.062937062936996</v>
      </c>
      <c r="L93" s="68">
        <f t="shared" si="41"/>
        <v>1</v>
      </c>
      <c r="M93" s="28">
        <f t="shared" si="34"/>
        <v>53.320208358968046</v>
      </c>
      <c r="N93" s="28">
        <f t="shared" si="42"/>
        <v>5.5917159763313419E-5</v>
      </c>
      <c r="O93" s="28">
        <f t="shared" si="43"/>
        <v>5.3307692307692313E-2</v>
      </c>
      <c r="P93" s="28">
        <f t="shared" si="35"/>
        <v>8.4807692307692306E-2</v>
      </c>
      <c r="Q93" s="28">
        <f t="shared" si="36"/>
        <v>3.6346153846153847E-2</v>
      </c>
    </row>
    <row r="94" spans="1:17" x14ac:dyDescent="0.25">
      <c r="A94" s="28">
        <f t="shared" si="28"/>
        <v>24</v>
      </c>
      <c r="B94" s="31">
        <f t="shared" si="29"/>
        <v>19.384615384615387</v>
      </c>
      <c r="C94" s="29">
        <f t="shared" si="30"/>
        <v>0</v>
      </c>
      <c r="D94" s="27">
        <f t="shared" si="31"/>
        <v>25.839793281653748</v>
      </c>
      <c r="E94" s="27">
        <f t="shared" si="37"/>
        <v>5.5555555555555554</v>
      </c>
      <c r="F94" s="29">
        <f t="shared" si="32"/>
        <v>1.0999999999999999E-2</v>
      </c>
      <c r="G94" s="27">
        <f t="shared" si="38"/>
        <v>1.0999999999999999E-2</v>
      </c>
      <c r="H94" s="29">
        <f t="shared" si="33"/>
        <v>1.0999999999999999E-2</v>
      </c>
      <c r="I94" s="30">
        <f t="shared" si="39"/>
        <v>1.0489510489510615E-3</v>
      </c>
      <c r="J94" s="37">
        <f t="shared" si="44"/>
        <v>8.8111888111888054E-2</v>
      </c>
      <c r="K94" s="87">
        <f t="shared" si="40"/>
        <v>88.111888111888049</v>
      </c>
      <c r="L94" s="68">
        <f t="shared" si="41"/>
        <v>1</v>
      </c>
      <c r="M94" s="28">
        <f t="shared" si="34"/>
        <v>55.55555555555555</v>
      </c>
      <c r="N94" s="28">
        <f t="shared" si="42"/>
        <v>5.3254437869823098E-5</v>
      </c>
      <c r="O94" s="28">
        <f t="shared" si="43"/>
        <v>5.076923076923074E-2</v>
      </c>
      <c r="P94" s="28">
        <f t="shared" si="35"/>
        <v>8.0769230769230718E-2</v>
      </c>
      <c r="Q94" s="28">
        <f t="shared" si="36"/>
        <v>3.4615384615384596E-2</v>
      </c>
    </row>
    <row r="95" spans="1:17" x14ac:dyDescent="0.25">
      <c r="A95" s="28">
        <f t="shared" si="28"/>
        <v>24</v>
      </c>
      <c r="B95" s="31">
        <f t="shared" si="29"/>
        <v>19.615384615384613</v>
      </c>
      <c r="C95" s="29">
        <f t="shared" si="30"/>
        <v>0</v>
      </c>
      <c r="D95" s="27">
        <f t="shared" si="31"/>
        <v>25.839793281653748</v>
      </c>
      <c r="E95" s="27">
        <f t="shared" si="37"/>
        <v>5.5555555555555554</v>
      </c>
      <c r="F95" s="29">
        <f t="shared" si="32"/>
        <v>1.0999999999999999E-2</v>
      </c>
      <c r="G95" s="27">
        <f t="shared" si="38"/>
        <v>1.0999999999999999E-2</v>
      </c>
      <c r="H95" s="29">
        <f t="shared" si="33"/>
        <v>1.0999999999999999E-2</v>
      </c>
      <c r="I95" s="30">
        <f t="shared" si="39"/>
        <v>1.0489510489510292E-3</v>
      </c>
      <c r="J95" s="37">
        <f t="shared" si="44"/>
        <v>8.9160839160839084E-2</v>
      </c>
      <c r="K95" s="87">
        <f t="shared" si="40"/>
        <v>89.160839160839089</v>
      </c>
      <c r="L95" s="68">
        <f t="shared" si="41"/>
        <v>1</v>
      </c>
      <c r="M95" s="28">
        <f t="shared" si="34"/>
        <v>55.55555555555555</v>
      </c>
      <c r="N95" s="28">
        <f t="shared" si="42"/>
        <v>5.0591715976330433E-5</v>
      </c>
      <c r="O95" s="28">
        <f t="shared" si="43"/>
        <v>4.8230769230769251E-2</v>
      </c>
      <c r="P95" s="28">
        <f t="shared" si="35"/>
        <v>7.6730769230769255E-2</v>
      </c>
      <c r="Q95" s="28">
        <f t="shared" si="36"/>
        <v>3.2884615384615394E-2</v>
      </c>
    </row>
    <row r="96" spans="1:17" x14ac:dyDescent="0.25">
      <c r="A96" s="28">
        <f t="shared" si="28"/>
        <v>24</v>
      </c>
      <c r="B96" s="31">
        <f t="shared" si="29"/>
        <v>19.846153846153847</v>
      </c>
      <c r="C96" s="29">
        <f t="shared" si="30"/>
        <v>0</v>
      </c>
      <c r="D96" s="27">
        <f t="shared" si="31"/>
        <v>25.839793281653748</v>
      </c>
      <c r="E96" s="27">
        <f t="shared" si="37"/>
        <v>5.5555555555555554</v>
      </c>
      <c r="F96" s="29">
        <f t="shared" si="32"/>
        <v>1.0999999999999999E-2</v>
      </c>
      <c r="G96" s="27">
        <f t="shared" si="38"/>
        <v>1.0999999999999999E-2</v>
      </c>
      <c r="H96" s="29">
        <f t="shared" si="33"/>
        <v>1.0999999999999999E-2</v>
      </c>
      <c r="I96" s="30">
        <f t="shared" si="39"/>
        <v>1.0489510489510615E-3</v>
      </c>
      <c r="J96" s="37">
        <f t="shared" si="44"/>
        <v>9.0209790209790142E-2</v>
      </c>
      <c r="K96" s="87">
        <f t="shared" si="40"/>
        <v>90.209790209790143</v>
      </c>
      <c r="L96" s="68">
        <f t="shared" si="41"/>
        <v>1</v>
      </c>
      <c r="M96" s="28">
        <f t="shared" si="34"/>
        <v>55.55555555555555</v>
      </c>
      <c r="N96" s="28">
        <f t="shared" si="42"/>
        <v>4.7928994082840803E-5</v>
      </c>
      <c r="O96" s="28">
        <f t="shared" si="43"/>
        <v>4.5692307692307685E-2</v>
      </c>
      <c r="P96" s="28">
        <f t="shared" si="35"/>
        <v>7.2692307692307681E-2</v>
      </c>
      <c r="Q96" s="28">
        <f t="shared" si="36"/>
        <v>3.1153846153846147E-2</v>
      </c>
    </row>
    <row r="97" spans="1:17" x14ac:dyDescent="0.25">
      <c r="A97" s="28">
        <f t="shared" si="28"/>
        <v>24</v>
      </c>
      <c r="B97" s="31">
        <f t="shared" si="29"/>
        <v>20.076923076923077</v>
      </c>
      <c r="C97" s="29">
        <f t="shared" si="30"/>
        <v>0</v>
      </c>
      <c r="D97" s="27">
        <f t="shared" si="31"/>
        <v>25.839793281653748</v>
      </c>
      <c r="E97" s="27">
        <f t="shared" si="37"/>
        <v>5.5555555555555554</v>
      </c>
      <c r="F97" s="29">
        <f t="shared" si="32"/>
        <v>1.0999999999999999E-2</v>
      </c>
      <c r="G97" s="27">
        <f t="shared" si="38"/>
        <v>1.0999999999999999E-2</v>
      </c>
      <c r="H97" s="29">
        <f t="shared" si="33"/>
        <v>1.0999999999999999E-2</v>
      </c>
      <c r="I97" s="30">
        <f t="shared" si="39"/>
        <v>1.0489510489510453E-3</v>
      </c>
      <c r="J97" s="37">
        <f t="shared" si="44"/>
        <v>9.1258741258741186E-2</v>
      </c>
      <c r="K97" s="87">
        <f t="shared" si="40"/>
        <v>91.258741258741182</v>
      </c>
      <c r="L97" s="68">
        <f t="shared" si="41"/>
        <v>1</v>
      </c>
      <c r="M97" s="28">
        <f t="shared" si="34"/>
        <v>55.55555555555555</v>
      </c>
      <c r="N97" s="28">
        <f t="shared" si="42"/>
        <v>4.5266272189348951E-5</v>
      </c>
      <c r="O97" s="28">
        <f t="shared" si="43"/>
        <v>4.3153846153846154E-2</v>
      </c>
      <c r="P97" s="28">
        <f t="shared" si="35"/>
        <v>6.8653846153846149E-2</v>
      </c>
      <c r="Q97" s="28">
        <f t="shared" si="36"/>
        <v>2.942307692307692E-2</v>
      </c>
    </row>
    <row r="98" spans="1:17" x14ac:dyDescent="0.25">
      <c r="A98" s="28">
        <f t="shared" si="28"/>
        <v>24</v>
      </c>
      <c r="B98" s="31">
        <f t="shared" si="29"/>
        <v>20.307692307692307</v>
      </c>
      <c r="C98" s="29">
        <f t="shared" si="30"/>
        <v>0</v>
      </c>
      <c r="D98" s="27">
        <f t="shared" si="31"/>
        <v>25.839793281653748</v>
      </c>
      <c r="E98" s="27">
        <f t="shared" si="37"/>
        <v>5.5555555555555554</v>
      </c>
      <c r="F98" s="29">
        <f t="shared" si="32"/>
        <v>1.0999999999999999E-2</v>
      </c>
      <c r="G98" s="27">
        <f t="shared" si="38"/>
        <v>1.0999999999999999E-2</v>
      </c>
      <c r="H98" s="29">
        <f t="shared" si="33"/>
        <v>1.0999999999999999E-2</v>
      </c>
      <c r="I98" s="30">
        <f t="shared" si="39"/>
        <v>1.0489510489510453E-3</v>
      </c>
      <c r="J98" s="37">
        <f t="shared" si="44"/>
        <v>9.230769230769223E-2</v>
      </c>
      <c r="K98" s="87">
        <f t="shared" si="40"/>
        <v>92.307692307692236</v>
      </c>
      <c r="L98" s="68">
        <f t="shared" si="41"/>
        <v>1</v>
      </c>
      <c r="M98" s="28">
        <f t="shared" si="34"/>
        <v>55.55555555555555</v>
      </c>
      <c r="N98" s="28">
        <f t="shared" si="42"/>
        <v>4.2603550295857851E-5</v>
      </c>
      <c r="O98" s="28">
        <f t="shared" si="43"/>
        <v>4.0615384615384623E-2</v>
      </c>
      <c r="P98" s="28">
        <f t="shared" si="35"/>
        <v>6.461538461538463E-2</v>
      </c>
      <c r="Q98" s="28">
        <f t="shared" si="36"/>
        <v>2.7692307692307697E-2</v>
      </c>
    </row>
    <row r="99" spans="1:17" x14ac:dyDescent="0.25">
      <c r="A99" s="28">
        <f t="shared" si="28"/>
        <v>24</v>
      </c>
      <c r="B99" s="31">
        <f t="shared" si="29"/>
        <v>20.538461538461537</v>
      </c>
      <c r="C99" s="29">
        <f t="shared" si="30"/>
        <v>0</v>
      </c>
      <c r="D99" s="27">
        <f t="shared" si="31"/>
        <v>25.839793281653748</v>
      </c>
      <c r="E99" s="27">
        <f t="shared" si="37"/>
        <v>5.5555555555555554</v>
      </c>
      <c r="F99" s="29">
        <f t="shared" si="32"/>
        <v>1.0999999999999999E-2</v>
      </c>
      <c r="G99" s="27">
        <f t="shared" si="38"/>
        <v>1.0999999999999999E-2</v>
      </c>
      <c r="H99" s="29">
        <f t="shared" si="33"/>
        <v>1.0999999999999999E-2</v>
      </c>
      <c r="I99" s="30">
        <f t="shared" si="39"/>
        <v>1.0489510489510453E-3</v>
      </c>
      <c r="J99" s="37">
        <f t="shared" si="44"/>
        <v>9.3356643356643274E-2</v>
      </c>
      <c r="K99" s="87">
        <f t="shared" si="40"/>
        <v>93.356643356643275</v>
      </c>
      <c r="L99" s="68">
        <f t="shared" si="41"/>
        <v>1</v>
      </c>
      <c r="M99" s="28">
        <f t="shared" si="34"/>
        <v>55.55555555555555</v>
      </c>
      <c r="N99" s="28">
        <f t="shared" si="42"/>
        <v>3.9940828402366744E-5</v>
      </c>
      <c r="O99" s="28">
        <f t="shared" si="43"/>
        <v>3.8076923076923098E-2</v>
      </c>
      <c r="P99" s="28">
        <f t="shared" si="35"/>
        <v>6.0576923076923105E-2</v>
      </c>
      <c r="Q99" s="28">
        <f t="shared" si="36"/>
        <v>2.5961538461538473E-2</v>
      </c>
    </row>
    <row r="100" spans="1:17" x14ac:dyDescent="0.25">
      <c r="A100" s="28">
        <f t="shared" si="28"/>
        <v>24</v>
      </c>
      <c r="B100" s="31">
        <f t="shared" si="29"/>
        <v>20.76923076923077</v>
      </c>
      <c r="C100" s="29">
        <f t="shared" si="30"/>
        <v>0</v>
      </c>
      <c r="D100" s="27">
        <f t="shared" si="31"/>
        <v>25.839793281653748</v>
      </c>
      <c r="E100" s="27">
        <f t="shared" si="37"/>
        <v>5.5555555555555554</v>
      </c>
      <c r="F100" s="29">
        <f t="shared" si="32"/>
        <v>1.0999999999999999E-2</v>
      </c>
      <c r="G100" s="27">
        <f t="shared" si="38"/>
        <v>1.0999999999999999E-2</v>
      </c>
      <c r="H100" s="29">
        <f t="shared" si="33"/>
        <v>1.0999999999999999E-2</v>
      </c>
      <c r="I100" s="30">
        <f t="shared" si="39"/>
        <v>1.0489510489510615E-3</v>
      </c>
      <c r="J100" s="37">
        <f t="shared" si="44"/>
        <v>9.4405594405594331E-2</v>
      </c>
      <c r="K100" s="87">
        <f t="shared" si="40"/>
        <v>94.405594405594329</v>
      </c>
      <c r="L100" s="68">
        <f t="shared" si="41"/>
        <v>1</v>
      </c>
      <c r="M100" s="28">
        <f t="shared" si="34"/>
        <v>55.55555555555555</v>
      </c>
      <c r="N100" s="28">
        <f t="shared" si="42"/>
        <v>3.7278106508876179E-5</v>
      </c>
      <c r="O100" s="28">
        <f t="shared" si="43"/>
        <v>3.5538461538461526E-2</v>
      </c>
      <c r="P100" s="28">
        <f t="shared" si="35"/>
        <v>5.6538461538461517E-2</v>
      </c>
      <c r="Q100" s="28">
        <f t="shared" si="36"/>
        <v>2.4230769230769222E-2</v>
      </c>
    </row>
    <row r="101" spans="1:17" x14ac:dyDescent="0.25">
      <c r="A101" s="28">
        <f t="shared" si="28"/>
        <v>24</v>
      </c>
      <c r="B101" s="31">
        <f t="shared" si="29"/>
        <v>21</v>
      </c>
      <c r="C101" s="29">
        <f t="shared" si="30"/>
        <v>0</v>
      </c>
      <c r="D101" s="27">
        <f t="shared" si="31"/>
        <v>25.839793281653748</v>
      </c>
      <c r="E101" s="27">
        <f t="shared" si="37"/>
        <v>5.5555555555555554</v>
      </c>
      <c r="F101" s="29">
        <f t="shared" si="32"/>
        <v>1.0999999999999999E-2</v>
      </c>
      <c r="G101" s="27">
        <f t="shared" si="38"/>
        <v>1.0999999999999999E-2</v>
      </c>
      <c r="H101" s="29">
        <f t="shared" si="33"/>
        <v>1.0999999999999999E-2</v>
      </c>
      <c r="I101" s="30">
        <f t="shared" si="39"/>
        <v>1.0489510489510453E-3</v>
      </c>
      <c r="J101" s="37">
        <f t="shared" si="44"/>
        <v>9.5454545454545375E-2</v>
      </c>
      <c r="K101" s="87">
        <f t="shared" si="40"/>
        <v>95.454545454545382</v>
      </c>
      <c r="L101" s="68">
        <f t="shared" si="41"/>
        <v>1</v>
      </c>
      <c r="M101" s="28">
        <f t="shared" si="34"/>
        <v>55.55555555555555</v>
      </c>
      <c r="N101" s="28">
        <f t="shared" si="42"/>
        <v>3.461538461538449E-5</v>
      </c>
      <c r="O101" s="28">
        <f t="shared" si="43"/>
        <v>3.3000000000000002E-2</v>
      </c>
      <c r="P101" s="28">
        <f t="shared" si="35"/>
        <v>5.2499999999999991E-2</v>
      </c>
      <c r="Q101" s="28">
        <f t="shared" si="36"/>
        <v>2.2499999999999996E-2</v>
      </c>
    </row>
    <row r="102" spans="1:17" x14ac:dyDescent="0.25">
      <c r="A102" s="28">
        <f t="shared" si="28"/>
        <v>24</v>
      </c>
      <c r="B102" s="31">
        <f t="shared" si="29"/>
        <v>21.23076923076923</v>
      </c>
      <c r="C102" s="29">
        <f t="shared" si="30"/>
        <v>0</v>
      </c>
      <c r="D102" s="27">
        <f t="shared" si="31"/>
        <v>25.839793281653748</v>
      </c>
      <c r="E102" s="27">
        <f t="shared" si="37"/>
        <v>5.5555555555555554</v>
      </c>
      <c r="F102" s="29">
        <f t="shared" si="32"/>
        <v>1.0999999999999999E-2</v>
      </c>
      <c r="G102" s="27">
        <f t="shared" si="38"/>
        <v>1.0999999999999999E-2</v>
      </c>
      <c r="H102" s="29">
        <f t="shared" si="33"/>
        <v>1.0999999999999999E-2</v>
      </c>
      <c r="I102" s="30">
        <f t="shared" si="39"/>
        <v>1.0489510489510453E-3</v>
      </c>
      <c r="J102" s="37">
        <f t="shared" si="44"/>
        <v>9.6503496503496419E-2</v>
      </c>
      <c r="K102" s="87">
        <f t="shared" si="40"/>
        <v>96.503496503496422</v>
      </c>
      <c r="L102" s="68">
        <f t="shared" si="41"/>
        <v>1</v>
      </c>
      <c r="M102" s="28">
        <f t="shared" si="34"/>
        <v>55.55555555555555</v>
      </c>
      <c r="N102" s="28">
        <f t="shared" si="42"/>
        <v>3.1952662721893383E-5</v>
      </c>
      <c r="O102" s="28">
        <f t="shared" si="43"/>
        <v>3.046153846153847E-2</v>
      </c>
      <c r="P102" s="28">
        <f t="shared" si="35"/>
        <v>4.8461538461538473E-2</v>
      </c>
      <c r="Q102" s="28">
        <f t="shared" si="36"/>
        <v>2.0769230769230772E-2</v>
      </c>
    </row>
    <row r="103" spans="1:17" x14ac:dyDescent="0.25">
      <c r="A103" s="28">
        <f t="shared" si="28"/>
        <v>24</v>
      </c>
      <c r="B103" s="31">
        <f t="shared" si="29"/>
        <v>21.461538461538463</v>
      </c>
      <c r="C103" s="29">
        <f t="shared" si="30"/>
        <v>0</v>
      </c>
      <c r="D103" s="27">
        <f t="shared" si="31"/>
        <v>25.839793281653748</v>
      </c>
      <c r="E103" s="27">
        <f t="shared" si="37"/>
        <v>5.5555555555555554</v>
      </c>
      <c r="F103" s="29">
        <f t="shared" si="32"/>
        <v>1.0999999999999999E-2</v>
      </c>
      <c r="G103" s="27">
        <f t="shared" si="38"/>
        <v>1.0999999999999999E-2</v>
      </c>
      <c r="H103" s="29">
        <f t="shared" si="33"/>
        <v>1.0999999999999999E-2</v>
      </c>
      <c r="I103" s="30">
        <f t="shared" si="39"/>
        <v>1.0489510489510615E-3</v>
      </c>
      <c r="J103" s="37">
        <f t="shared" si="44"/>
        <v>9.7552447552447477E-2</v>
      </c>
      <c r="K103" s="87">
        <f t="shared" si="40"/>
        <v>97.552447552447475</v>
      </c>
      <c r="L103" s="68">
        <f t="shared" si="41"/>
        <v>1</v>
      </c>
      <c r="M103" s="28">
        <f t="shared" si="34"/>
        <v>55.55555555555555</v>
      </c>
      <c r="N103" s="28">
        <f t="shared" si="42"/>
        <v>2.9289940828402696E-5</v>
      </c>
      <c r="O103" s="28">
        <f t="shared" si="43"/>
        <v>2.7923076923076901E-2</v>
      </c>
      <c r="P103" s="28">
        <f t="shared" si="35"/>
        <v>4.4423076923076885E-2</v>
      </c>
      <c r="Q103" s="28">
        <f t="shared" si="36"/>
        <v>1.9038461538461521E-2</v>
      </c>
    </row>
    <row r="104" spans="1:17" x14ac:dyDescent="0.25">
      <c r="A104" s="28">
        <f t="shared" si="28"/>
        <v>24</v>
      </c>
      <c r="B104" s="31">
        <f t="shared" si="29"/>
        <v>21.692307692307693</v>
      </c>
      <c r="C104" s="29">
        <f t="shared" si="30"/>
        <v>0</v>
      </c>
      <c r="D104" s="27">
        <f t="shared" si="31"/>
        <v>25.839793281653748</v>
      </c>
      <c r="E104" s="27">
        <f t="shared" si="37"/>
        <v>5.5555555555555554</v>
      </c>
      <c r="F104" s="29">
        <f t="shared" si="32"/>
        <v>1.0999999999999999E-2</v>
      </c>
      <c r="G104" s="27">
        <f t="shared" si="38"/>
        <v>1.0999999999999999E-2</v>
      </c>
      <c r="H104" s="29">
        <f t="shared" si="33"/>
        <v>1.0999999999999999E-2</v>
      </c>
      <c r="I104" s="30">
        <f t="shared" si="39"/>
        <v>1.0489510489510453E-3</v>
      </c>
      <c r="J104" s="37">
        <f t="shared" si="44"/>
        <v>9.8601398601398521E-2</v>
      </c>
      <c r="K104" s="87">
        <f t="shared" si="40"/>
        <v>98.601398601398515</v>
      </c>
      <c r="L104" s="68">
        <f t="shared" si="41"/>
        <v>1</v>
      </c>
      <c r="M104" s="28">
        <f t="shared" si="34"/>
        <v>55.55555555555555</v>
      </c>
      <c r="N104" s="28">
        <f t="shared" si="42"/>
        <v>2.6627218934911136E-5</v>
      </c>
      <c r="O104" s="28">
        <f t="shared" si="43"/>
        <v>2.538461538461537E-2</v>
      </c>
      <c r="P104" s="28">
        <f t="shared" si="35"/>
        <v>4.0384615384615359E-2</v>
      </c>
      <c r="Q104" s="28">
        <f t="shared" si="36"/>
        <v>1.7307692307692298E-2</v>
      </c>
    </row>
    <row r="105" spans="1:17" x14ac:dyDescent="0.25">
      <c r="A105" s="28">
        <f t="shared" si="28"/>
        <v>24</v>
      </c>
      <c r="B105" s="31">
        <f t="shared" si="29"/>
        <v>21.923076923076923</v>
      </c>
      <c r="C105" s="29">
        <f t="shared" si="30"/>
        <v>0</v>
      </c>
      <c r="D105" s="27">
        <f t="shared" si="31"/>
        <v>25.839793281653748</v>
      </c>
      <c r="E105" s="27">
        <f t="shared" si="37"/>
        <v>5.5555555555555554</v>
      </c>
      <c r="F105" s="29">
        <f t="shared" si="32"/>
        <v>1.0999999999999999E-2</v>
      </c>
      <c r="G105" s="27">
        <f t="shared" si="38"/>
        <v>1.0999999999999999E-2</v>
      </c>
      <c r="H105" s="29">
        <f t="shared" si="33"/>
        <v>1.0999999999999999E-2</v>
      </c>
      <c r="I105" s="30">
        <f t="shared" si="39"/>
        <v>1.0489510489510453E-3</v>
      </c>
      <c r="J105" s="37">
        <f t="shared" si="44"/>
        <v>9.9650349650349565E-2</v>
      </c>
      <c r="K105" s="87">
        <f t="shared" si="40"/>
        <v>99.650349650349568</v>
      </c>
      <c r="L105" s="68">
        <f t="shared" si="41"/>
        <v>1</v>
      </c>
      <c r="M105" s="28">
        <f t="shared" si="34"/>
        <v>55.55555555555555</v>
      </c>
      <c r="N105" s="28">
        <f t="shared" si="42"/>
        <v>2.3964497041420029E-5</v>
      </c>
      <c r="O105" s="28">
        <f t="shared" si="43"/>
        <v>2.2846153846153842E-2</v>
      </c>
      <c r="P105" s="28">
        <f t="shared" si="35"/>
        <v>3.6346153846153841E-2</v>
      </c>
      <c r="Q105" s="28">
        <f t="shared" si="36"/>
        <v>1.5576923076923073E-2</v>
      </c>
    </row>
    <row r="106" spans="1:17" x14ac:dyDescent="0.25">
      <c r="A106" s="28">
        <f t="shared" ref="A106:A114" si="45">VINMAX</f>
        <v>24</v>
      </c>
      <c r="B106" s="31">
        <f t="shared" ref="B106:B114" si="46">VINMAX*((ROW()-10)/104)</f>
        <v>22.153846153846153</v>
      </c>
      <c r="C106" s="29">
        <f t="shared" ref="C106:C110" si="47">IF(B106&gt;=$H$2,IF($D$2="CC", $G$2, B106/$G$2), 0)</f>
        <v>0</v>
      </c>
      <c r="D106" s="27">
        <f t="shared" ref="D106:D110" si="48">$B$2-B106*$J$2/($I$2*0.001)</f>
        <v>25.839793281653748</v>
      </c>
      <c r="E106" s="27">
        <f t="shared" si="37"/>
        <v>5.5555555555555554</v>
      </c>
      <c r="F106" s="29">
        <f t="shared" ref="F106:F110" si="49">I_Cout_ss+C106</f>
        <v>1.0999999999999999E-2</v>
      </c>
      <c r="G106" s="27">
        <f t="shared" si="38"/>
        <v>1.0999999999999999E-2</v>
      </c>
      <c r="H106" s="29">
        <f t="shared" ref="H106:H110" si="50">G106-C106</f>
        <v>1.0999999999999999E-2</v>
      </c>
      <c r="I106" s="30">
        <f t="shared" si="39"/>
        <v>1.0489510489510453E-3</v>
      </c>
      <c r="J106" s="37">
        <f t="shared" si="44"/>
        <v>0.10069930069930061</v>
      </c>
      <c r="K106" s="87">
        <f t="shared" si="40"/>
        <v>100.69930069930061</v>
      </c>
      <c r="L106" s="68">
        <f t="shared" si="41"/>
        <v>1</v>
      </c>
      <c r="M106" s="28">
        <f t="shared" ref="M106:M114" si="51">1/COUTMAX*(E106/2-C106)*1000</f>
        <v>55.55555555555555</v>
      </c>
      <c r="N106" s="28">
        <f t="shared" si="42"/>
        <v>2.1301775147928925E-5</v>
      </c>
      <c r="O106" s="28">
        <f t="shared" si="43"/>
        <v>2.0307692307692311E-2</v>
      </c>
      <c r="P106" s="28">
        <f t="shared" ref="P106:P114" si="52">(A106-B106)*(I_Cout_ss*$Q$2+C106)</f>
        <v>3.2307692307692315E-2</v>
      </c>
      <c r="Q106" s="28">
        <f t="shared" ref="Q106:Q114" si="53">(A106-B106)*(I_Cout_ss*$R$2+C106)</f>
        <v>1.3846153846153848E-2</v>
      </c>
    </row>
    <row r="107" spans="1:17" x14ac:dyDescent="0.25">
      <c r="A107" s="28">
        <f t="shared" si="45"/>
        <v>24</v>
      </c>
      <c r="B107" s="31">
        <f t="shared" si="46"/>
        <v>22.384615384615387</v>
      </c>
      <c r="C107" s="29">
        <f t="shared" si="47"/>
        <v>0</v>
      </c>
      <c r="D107" s="27">
        <f t="shared" si="48"/>
        <v>25.839793281653748</v>
      </c>
      <c r="E107" s="27">
        <f t="shared" si="37"/>
        <v>5.5555555555555554</v>
      </c>
      <c r="F107" s="29">
        <f t="shared" si="49"/>
        <v>1.0999999999999999E-2</v>
      </c>
      <c r="G107" s="27">
        <f t="shared" si="38"/>
        <v>1.0999999999999999E-2</v>
      </c>
      <c r="H107" s="29">
        <f t="shared" si="50"/>
        <v>1.0999999999999999E-2</v>
      </c>
      <c r="I107" s="30">
        <f t="shared" ref="I107:I110" si="54">(COUTMAX/1000000)*(B107-B106)/H107</f>
        <v>1.0489510489510615E-3</v>
      </c>
      <c r="J107" s="37">
        <f t="shared" si="44"/>
        <v>0.10174825174825167</v>
      </c>
      <c r="K107" s="87">
        <f t="shared" si="40"/>
        <v>101.74825174825166</v>
      </c>
      <c r="L107" s="68">
        <f t="shared" si="41"/>
        <v>1</v>
      </c>
      <c r="M107" s="28">
        <f t="shared" si="51"/>
        <v>55.55555555555555</v>
      </c>
      <c r="N107" s="28">
        <f t="shared" si="42"/>
        <v>1.8639053254438069E-5</v>
      </c>
      <c r="O107" s="28">
        <f t="shared" si="43"/>
        <v>1.7769230769230746E-2</v>
      </c>
      <c r="P107" s="28">
        <f t="shared" si="52"/>
        <v>2.8269230769230727E-2</v>
      </c>
      <c r="Q107" s="28">
        <f t="shared" si="53"/>
        <v>1.2115384615384597E-2</v>
      </c>
    </row>
    <row r="108" spans="1:17" x14ac:dyDescent="0.25">
      <c r="A108" s="28">
        <f t="shared" si="45"/>
        <v>24</v>
      </c>
      <c r="B108" s="31">
        <f t="shared" si="46"/>
        <v>22.615384615384613</v>
      </c>
      <c r="C108" s="29">
        <f t="shared" si="47"/>
        <v>0</v>
      </c>
      <c r="D108" s="27">
        <f t="shared" si="48"/>
        <v>25.839793281653748</v>
      </c>
      <c r="E108" s="27">
        <f t="shared" si="37"/>
        <v>5.5555555555555554</v>
      </c>
      <c r="F108" s="29">
        <f t="shared" si="49"/>
        <v>1.0999999999999999E-2</v>
      </c>
      <c r="G108" s="27">
        <f t="shared" si="38"/>
        <v>1.0999999999999999E-2</v>
      </c>
      <c r="H108" s="29">
        <f t="shared" si="50"/>
        <v>1.0999999999999999E-2</v>
      </c>
      <c r="I108" s="30">
        <f t="shared" si="54"/>
        <v>1.0489510489510292E-3</v>
      </c>
      <c r="J108" s="37">
        <f t="shared" si="44"/>
        <v>0.1027972027972027</v>
      </c>
      <c r="K108" s="87">
        <f t="shared" si="40"/>
        <v>102.7972027972027</v>
      </c>
      <c r="L108" s="68">
        <f t="shared" si="41"/>
        <v>1</v>
      </c>
      <c r="M108" s="28">
        <f t="shared" si="51"/>
        <v>55.55555555555555</v>
      </c>
      <c r="N108" s="28">
        <f t="shared" si="42"/>
        <v>1.5976331360946471E-5</v>
      </c>
      <c r="O108" s="28">
        <f t="shared" si="43"/>
        <v>1.5230769230769254E-2</v>
      </c>
      <c r="P108" s="28">
        <f t="shared" si="52"/>
        <v>2.4230769230769268E-2</v>
      </c>
      <c r="Q108" s="28">
        <f t="shared" si="53"/>
        <v>1.03846153846154E-2</v>
      </c>
    </row>
    <row r="109" spans="1:17" x14ac:dyDescent="0.25">
      <c r="A109" s="28">
        <f t="shared" si="45"/>
        <v>24</v>
      </c>
      <c r="B109" s="31">
        <f t="shared" si="46"/>
        <v>22.846153846153847</v>
      </c>
      <c r="C109" s="29">
        <f t="shared" si="47"/>
        <v>0</v>
      </c>
      <c r="D109" s="27">
        <f t="shared" si="48"/>
        <v>25.839793281653748</v>
      </c>
      <c r="E109" s="27">
        <f t="shared" si="37"/>
        <v>5.5555555555555554</v>
      </c>
      <c r="F109" s="29">
        <f t="shared" si="49"/>
        <v>1.0999999999999999E-2</v>
      </c>
      <c r="G109" s="27">
        <f t="shared" si="38"/>
        <v>1.0999999999999999E-2</v>
      </c>
      <c r="H109" s="29">
        <f t="shared" si="50"/>
        <v>1.0999999999999999E-2</v>
      </c>
      <c r="I109" s="30">
        <f t="shared" si="54"/>
        <v>1.0489510489510615E-3</v>
      </c>
      <c r="J109" s="37">
        <f t="shared" si="44"/>
        <v>0.10384615384615375</v>
      </c>
      <c r="K109" s="87">
        <f t="shared" si="40"/>
        <v>103.84615384615375</v>
      </c>
      <c r="L109" s="68">
        <f t="shared" si="41"/>
        <v>1</v>
      </c>
      <c r="M109" s="28">
        <f t="shared" si="51"/>
        <v>55.55555555555555</v>
      </c>
      <c r="N109" s="28">
        <f t="shared" si="42"/>
        <v>1.3313609467455774E-5</v>
      </c>
      <c r="O109" s="28">
        <f t="shared" si="43"/>
        <v>1.2692307692307685E-2</v>
      </c>
      <c r="P109" s="28">
        <f t="shared" si="52"/>
        <v>2.019230769230768E-2</v>
      </c>
      <c r="Q109" s="28">
        <f t="shared" si="53"/>
        <v>8.6538461538461491E-3</v>
      </c>
    </row>
    <row r="110" spans="1:17" x14ac:dyDescent="0.25">
      <c r="A110" s="28">
        <f t="shared" si="45"/>
        <v>24</v>
      </c>
      <c r="B110" s="31">
        <f t="shared" si="46"/>
        <v>23.076923076923077</v>
      </c>
      <c r="C110" s="29">
        <f t="shared" si="47"/>
        <v>0</v>
      </c>
      <c r="D110" s="27">
        <f t="shared" si="48"/>
        <v>25.839793281653748</v>
      </c>
      <c r="E110" s="27">
        <f t="shared" si="37"/>
        <v>5.5555555555555554</v>
      </c>
      <c r="F110" s="29">
        <f t="shared" si="49"/>
        <v>1.0999999999999999E-2</v>
      </c>
      <c r="G110" s="27">
        <f t="shared" si="38"/>
        <v>1.0999999999999999E-2</v>
      </c>
      <c r="H110" s="29">
        <f t="shared" si="50"/>
        <v>1.0999999999999999E-2</v>
      </c>
      <c r="I110" s="30">
        <f t="shared" si="54"/>
        <v>1.0489510489510453E-3</v>
      </c>
      <c r="J110" s="37">
        <f t="shared" si="44"/>
        <v>0.1048951048951048</v>
      </c>
      <c r="K110" s="87">
        <f t="shared" si="40"/>
        <v>104.89510489510479</v>
      </c>
      <c r="L110" s="68">
        <f t="shared" si="41"/>
        <v>1</v>
      </c>
      <c r="M110" s="28">
        <f t="shared" si="51"/>
        <v>55.55555555555555</v>
      </c>
      <c r="N110" s="28">
        <f t="shared" si="42"/>
        <v>1.0650887573964463E-5</v>
      </c>
      <c r="O110" s="28">
        <f t="shared" si="43"/>
        <v>1.0153846153846156E-2</v>
      </c>
      <c r="P110" s="28">
        <f t="shared" si="52"/>
        <v>1.6153846153846158E-2</v>
      </c>
      <c r="Q110" s="28">
        <f t="shared" si="53"/>
        <v>6.9230769230769242E-3</v>
      </c>
    </row>
    <row r="111" spans="1:17" x14ac:dyDescent="0.25">
      <c r="A111" s="28">
        <f t="shared" si="45"/>
        <v>24</v>
      </c>
      <c r="B111" s="31">
        <f t="shared" si="46"/>
        <v>23.307692307692307</v>
      </c>
      <c r="C111" s="29">
        <f>IF(B111&gt;=$H$2,IF($D$2="CC", $G$2, B111/$G$2), 0)</f>
        <v>0</v>
      </c>
      <c r="D111" s="27">
        <f>$B$2-B111*$J$2/($I$2*0.001)</f>
        <v>25.839793281653748</v>
      </c>
      <c r="E111" s="27">
        <f>$C$2</f>
        <v>5.5555555555555554</v>
      </c>
      <c r="F111" s="29">
        <f>I_Cout_ss+C111</f>
        <v>1.0999999999999999E-2</v>
      </c>
      <c r="G111" s="27">
        <f>IF($F$2="YES", F111, E111)</f>
        <v>1.0999999999999999E-2</v>
      </c>
      <c r="H111" s="29">
        <f>G111-C111</f>
        <v>1.0999999999999999E-2</v>
      </c>
      <c r="I111" s="30">
        <f>(COUTMAX/1000000)*(B111-B110)/H111</f>
        <v>1.0489510489510453E-3</v>
      </c>
      <c r="J111" s="37">
        <f>J110+I111</f>
        <v>0.10594405594405584</v>
      </c>
      <c r="K111" s="87">
        <f t="shared" si="40"/>
        <v>105.94405594405585</v>
      </c>
      <c r="L111" s="68">
        <f>H111/G111</f>
        <v>1</v>
      </c>
      <c r="M111" s="28">
        <f t="shared" si="51"/>
        <v>55.55555555555555</v>
      </c>
      <c r="N111" s="28">
        <f>I111*G111*(A111-B111)</f>
        <v>7.9881656804733576E-6</v>
      </c>
      <c r="O111" s="28">
        <f t="shared" si="43"/>
        <v>7.6153846153846272E-3</v>
      </c>
      <c r="P111" s="28">
        <f t="shared" si="52"/>
        <v>1.2115384615384634E-2</v>
      </c>
      <c r="Q111" s="28">
        <f t="shared" si="53"/>
        <v>5.1923076923077001E-3</v>
      </c>
    </row>
    <row r="112" spans="1:17" x14ac:dyDescent="0.25">
      <c r="A112" s="28">
        <f t="shared" si="45"/>
        <v>24</v>
      </c>
      <c r="B112" s="31">
        <f t="shared" si="46"/>
        <v>23.538461538461537</v>
      </c>
      <c r="C112" s="29">
        <f>IF(B112&gt;=$H$2,IF($D$2="CC", $G$2, B112/$G$2), 0)</f>
        <v>0</v>
      </c>
      <c r="D112" s="27">
        <f t="shared" ref="D112:D113" si="55">$B$2-B112*$J$2/($I$2*0.001)</f>
        <v>25.839793281653748</v>
      </c>
      <c r="E112" s="27">
        <f>$C$2</f>
        <v>5.5555555555555554</v>
      </c>
      <c r="F112" s="29">
        <f t="shared" ref="F112:F113" si="56">I_Cout_ss+C112</f>
        <v>1.0999999999999999E-2</v>
      </c>
      <c r="G112" s="27">
        <f t="shared" ref="G112:G113" si="57">IF($F$2="YES", F112, E112)</f>
        <v>1.0999999999999999E-2</v>
      </c>
      <c r="H112" s="29">
        <f t="shared" ref="H112:H113" si="58">G112-C112</f>
        <v>1.0999999999999999E-2</v>
      </c>
      <c r="I112" s="30">
        <f t="shared" ref="I112:I113" si="59">(COUTMAX/1000000)*(B112-B111)/H112</f>
        <v>1.0489510489510453E-3</v>
      </c>
      <c r="J112" s="37">
        <f t="shared" ref="J112:J113" si="60">J111+I112</f>
        <v>0.10699300699300689</v>
      </c>
      <c r="K112" s="87">
        <f t="shared" si="40"/>
        <v>106.99300699300689</v>
      </c>
      <c r="L112" s="68">
        <f t="shared" ref="L112:L113" si="61">H112/G112</f>
        <v>1</v>
      </c>
      <c r="M112" s="28">
        <f t="shared" si="51"/>
        <v>55.55555555555555</v>
      </c>
      <c r="N112" s="28">
        <f t="shared" ref="N112:N113" si="62">I112*G112*(A112-B112)</f>
        <v>5.3254437869822517E-6</v>
      </c>
      <c r="O112" s="28">
        <f t="shared" si="43"/>
        <v>5.0769230769230978E-3</v>
      </c>
      <c r="P112" s="28">
        <f t="shared" si="52"/>
        <v>8.07692307692311E-3</v>
      </c>
      <c r="Q112" s="28">
        <f t="shared" si="53"/>
        <v>3.4615384615384755E-3</v>
      </c>
    </row>
    <row r="113" spans="1:17" x14ac:dyDescent="0.25">
      <c r="A113" s="28">
        <f t="shared" si="45"/>
        <v>24</v>
      </c>
      <c r="B113" s="31">
        <f t="shared" si="46"/>
        <v>23.76923076923077</v>
      </c>
      <c r="C113" s="29">
        <f>IF(B113&gt;=$H$2,IF($D$2="CC", $G$2, B113/$G$2), 0)</f>
        <v>0</v>
      </c>
      <c r="D113" s="27">
        <f t="shared" si="55"/>
        <v>25.839793281653748</v>
      </c>
      <c r="E113" s="27">
        <f>$C$2</f>
        <v>5.5555555555555554</v>
      </c>
      <c r="F113" s="29">
        <f t="shared" si="56"/>
        <v>1.0999999999999999E-2</v>
      </c>
      <c r="G113" s="27">
        <f t="shared" si="57"/>
        <v>1.0999999999999999E-2</v>
      </c>
      <c r="H113" s="29">
        <f t="shared" si="58"/>
        <v>1.0999999999999999E-2</v>
      </c>
      <c r="I113" s="30">
        <f t="shared" si="59"/>
        <v>1.0489510489510615E-3</v>
      </c>
      <c r="J113" s="37">
        <f t="shared" si="60"/>
        <v>0.10804195804195794</v>
      </c>
      <c r="K113" s="87">
        <f t="shared" si="40"/>
        <v>108.04195804195794</v>
      </c>
      <c r="L113" s="68">
        <f t="shared" si="61"/>
        <v>1</v>
      </c>
      <c r="M113" s="28">
        <f t="shared" si="51"/>
        <v>55.55555555555555</v>
      </c>
      <c r="N113" s="28">
        <f t="shared" si="62"/>
        <v>2.6627218934911466E-6</v>
      </c>
      <c r="O113" s="28">
        <f t="shared" si="43"/>
        <v>2.5384615384615294E-3</v>
      </c>
      <c r="P113" s="28">
        <f t="shared" si="52"/>
        <v>4.0384615384615238E-3</v>
      </c>
      <c r="Q113" s="28">
        <f t="shared" si="53"/>
        <v>1.7307692307692243E-3</v>
      </c>
    </row>
    <row r="114" spans="1:17" x14ac:dyDescent="0.25">
      <c r="A114" s="28">
        <f t="shared" si="45"/>
        <v>24</v>
      </c>
      <c r="B114" s="31">
        <f t="shared" si="46"/>
        <v>24</v>
      </c>
      <c r="C114" s="29">
        <f>IF(B114&gt;=$H$2,IF($D$2="CC", $G$2, B114/$G$2), 0)</f>
        <v>1.1000000000000001</v>
      </c>
      <c r="D114" s="27">
        <f>$B$2-B114*$J$2/($I$2*0.001)</f>
        <v>25.839793281653748</v>
      </c>
      <c r="E114" s="27">
        <f>$C$2</f>
        <v>5.5555555555555554</v>
      </c>
      <c r="F114" s="29">
        <f t="shared" ref="F114" si="63">I_Cout_ss+C114</f>
        <v>1.111</v>
      </c>
      <c r="G114" s="27">
        <f t="shared" ref="G114" si="64">IF($F$2="YES", F114, E114)</f>
        <v>1.111</v>
      </c>
      <c r="H114" s="29">
        <f t="shared" ref="H114" si="65">G114-C114</f>
        <v>1.0999999999999899E-2</v>
      </c>
      <c r="I114" s="30">
        <f t="shared" ref="I114" si="66">(COUTMAX/1000000)*(B114-B113)/H114</f>
        <v>1.0489510489510548E-3</v>
      </c>
      <c r="J114" s="37">
        <f t="shared" ref="J114" si="67">J113+I114</f>
        <v>0.109090909090909</v>
      </c>
      <c r="K114" s="87">
        <f t="shared" si="40"/>
        <v>109.09090909090901</v>
      </c>
      <c r="L114" s="68">
        <f t="shared" ref="L114" si="68">H114/G114</f>
        <v>9.9009900990098092E-3</v>
      </c>
      <c r="M114" s="28">
        <f t="shared" si="51"/>
        <v>33.555555555555557</v>
      </c>
      <c r="N114" s="28">
        <f t="shared" ref="N114" si="69">I114*G114*(A114-B114)</f>
        <v>0</v>
      </c>
      <c r="O114" s="28">
        <f t="shared" si="43"/>
        <v>0</v>
      </c>
      <c r="P114" s="28">
        <f t="shared" si="52"/>
        <v>0</v>
      </c>
      <c r="Q114" s="28">
        <f t="shared" si="53"/>
        <v>0</v>
      </c>
    </row>
    <row r="115" spans="1:17" x14ac:dyDescent="0.25">
      <c r="K115" s="88">
        <f>K114+0.5</f>
        <v>109.59090909090901</v>
      </c>
      <c r="N115" s="28">
        <v>0</v>
      </c>
      <c r="O115" s="28">
        <v>0</v>
      </c>
    </row>
  </sheetData>
  <mergeCells count="1">
    <mergeCell ref="X12:Y12"/>
  </mergeCells>
  <pageMargins left="0.7" right="0.7" top="0.75" bottom="0.75" header="0.3" footer="0.3"/>
  <pageSetup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70"/>
  <sheetViews>
    <sheetView topLeftCell="A14" zoomScale="85" zoomScaleNormal="85" workbookViewId="0">
      <selection activeCell="F39" sqref="F39"/>
    </sheetView>
  </sheetViews>
  <sheetFormatPr defaultRowHeight="13.2" x14ac:dyDescent="0.25"/>
  <cols>
    <col min="1" max="2" width="19.77734375" customWidth="1"/>
    <col min="3" max="3" width="13.109375" customWidth="1"/>
    <col min="4" max="4" width="16" customWidth="1"/>
    <col min="5" max="6" width="17.77734375" customWidth="1"/>
    <col min="7" max="7" width="31.5546875" customWidth="1"/>
    <col min="8" max="8" width="20" customWidth="1"/>
    <col min="13" max="13" width="12.88671875" customWidth="1"/>
    <col min="15" max="15" width="17.21875" customWidth="1"/>
    <col min="17" max="17" width="13.21875" customWidth="1"/>
    <col min="18" max="18" width="16.88671875" customWidth="1"/>
    <col min="20" max="20" width="13" customWidth="1"/>
    <col min="21" max="21" width="10.109375" customWidth="1"/>
  </cols>
  <sheetData>
    <row r="1" spans="1:22" x14ac:dyDescent="0.25">
      <c r="A1" s="122"/>
      <c r="B1" s="122"/>
      <c r="C1" s="124"/>
      <c r="D1" s="124"/>
      <c r="E1" s="124"/>
      <c r="F1" s="124"/>
      <c r="G1" s="124"/>
      <c r="H1" s="122"/>
      <c r="I1" s="122"/>
      <c r="J1" s="122"/>
      <c r="K1" s="122"/>
      <c r="L1" s="122"/>
      <c r="M1" s="122"/>
      <c r="N1" s="122"/>
      <c r="O1" s="122"/>
      <c r="P1" s="122"/>
      <c r="Q1" s="122"/>
      <c r="R1" s="122"/>
      <c r="S1" s="122"/>
      <c r="T1" s="122"/>
      <c r="U1" s="122"/>
      <c r="V1" s="122"/>
    </row>
    <row r="2" spans="1:22" x14ac:dyDescent="0.25">
      <c r="A2" s="129"/>
      <c r="B2" s="144"/>
      <c r="C2" s="351" t="s">
        <v>121</v>
      </c>
      <c r="D2" s="352"/>
      <c r="E2" s="352"/>
      <c r="F2" s="132"/>
      <c r="G2" s="132"/>
      <c r="H2" s="126" t="s">
        <v>142</v>
      </c>
      <c r="I2" s="124"/>
      <c r="J2" s="124"/>
      <c r="K2" s="124"/>
      <c r="L2" s="124"/>
      <c r="M2" s="124"/>
      <c r="N2" s="124"/>
      <c r="O2" s="130"/>
      <c r="P2" s="130"/>
      <c r="Q2" s="130"/>
      <c r="R2" s="130"/>
      <c r="S2" s="130"/>
      <c r="T2" s="130"/>
      <c r="U2" s="124"/>
      <c r="V2" s="124"/>
    </row>
    <row r="3" spans="1:22" x14ac:dyDescent="0.25">
      <c r="A3" s="129"/>
      <c r="B3" s="131" t="s">
        <v>168</v>
      </c>
      <c r="C3" s="131" t="s">
        <v>122</v>
      </c>
      <c r="D3" s="131" t="s">
        <v>123</v>
      </c>
      <c r="E3" s="131" t="s">
        <v>124</v>
      </c>
      <c r="F3" s="145" t="s">
        <v>266</v>
      </c>
      <c r="G3" s="135"/>
      <c r="H3" s="126" t="s">
        <v>140</v>
      </c>
      <c r="I3" s="132"/>
      <c r="J3" s="132"/>
      <c r="K3" s="132"/>
      <c r="L3" s="132"/>
      <c r="M3" s="132"/>
      <c r="N3" s="124"/>
      <c r="O3" s="132"/>
      <c r="P3" s="132"/>
      <c r="Q3" s="133"/>
      <c r="R3" s="133"/>
      <c r="S3" s="133"/>
      <c r="T3" s="133"/>
      <c r="U3" s="124"/>
      <c r="V3" s="124"/>
    </row>
    <row r="4" spans="1:22" ht="21.6" customHeight="1" x14ac:dyDescent="0.25">
      <c r="A4" s="131" t="s">
        <v>125</v>
      </c>
      <c r="B4" s="129">
        <f>'Design Calculator'!AN55</f>
        <v>15</v>
      </c>
      <c r="C4" s="134">
        <f>'Design Calculator'!$AN$56</f>
        <v>5.5</v>
      </c>
      <c r="D4" s="134">
        <f>'Design Calculator'!$AN$57</f>
        <v>3</v>
      </c>
      <c r="E4" s="134">
        <f>IF('Design Calculator'!$AN$58 = "NA", F4, 'Design Calculator'!$AN$58)</f>
        <v>1.8</v>
      </c>
      <c r="F4" s="134">
        <f>'Design Calculator'!AN59</f>
        <v>1.8</v>
      </c>
      <c r="G4" s="138"/>
      <c r="H4" s="126" t="s">
        <v>141</v>
      </c>
      <c r="I4" s="132"/>
      <c r="J4" s="132"/>
      <c r="K4" s="132"/>
      <c r="L4" s="133"/>
      <c r="M4" s="133"/>
      <c r="N4" s="124"/>
      <c r="O4" s="132"/>
      <c r="P4" s="132"/>
      <c r="Q4" s="133"/>
      <c r="R4" s="133"/>
      <c r="S4" s="133"/>
      <c r="T4" s="133"/>
      <c r="U4" s="124"/>
      <c r="V4" s="124"/>
    </row>
    <row r="5" spans="1:22" x14ac:dyDescent="0.25">
      <c r="A5" s="124"/>
      <c r="B5" s="122"/>
      <c r="C5" s="132"/>
      <c r="D5" s="133"/>
      <c r="E5" s="133"/>
      <c r="F5" s="133"/>
      <c r="G5" s="133"/>
      <c r="H5" s="124"/>
      <c r="I5" s="132"/>
      <c r="J5" s="132"/>
      <c r="K5" s="132"/>
      <c r="L5" s="133"/>
      <c r="M5" s="133"/>
      <c r="N5" s="353"/>
      <c r="O5" s="353"/>
      <c r="P5" s="353"/>
      <c r="Q5" s="133"/>
      <c r="R5" s="354"/>
      <c r="S5" s="355"/>
      <c r="T5" s="355"/>
      <c r="U5" s="124"/>
      <c r="V5" s="124"/>
    </row>
    <row r="6" spans="1:22" x14ac:dyDescent="0.25">
      <c r="A6" s="124"/>
      <c r="B6" s="122"/>
      <c r="C6" s="132"/>
      <c r="D6" s="133"/>
      <c r="E6" s="133"/>
      <c r="F6" s="133"/>
      <c r="G6" s="133"/>
      <c r="H6" s="124"/>
      <c r="I6" s="132"/>
      <c r="J6" s="132"/>
      <c r="K6" s="132"/>
      <c r="L6" s="133"/>
      <c r="M6" s="133"/>
      <c r="N6" s="124"/>
      <c r="O6" s="135"/>
      <c r="P6" s="124"/>
      <c r="Q6" s="124"/>
      <c r="R6" s="124"/>
      <c r="S6" s="124"/>
      <c r="T6" s="124"/>
      <c r="U6" s="124"/>
      <c r="V6" s="124"/>
    </row>
    <row r="7" spans="1:22" ht="14.4" x14ac:dyDescent="0.3">
      <c r="A7" s="124"/>
      <c r="B7" s="136" t="s">
        <v>261</v>
      </c>
      <c r="C7" s="122"/>
      <c r="D7" s="122"/>
      <c r="E7" s="122"/>
      <c r="F7" s="122"/>
      <c r="G7" s="143" t="s">
        <v>248</v>
      </c>
      <c r="H7" s="124"/>
      <c r="I7" s="122"/>
      <c r="J7" s="142"/>
      <c r="K7" s="133"/>
      <c r="L7" s="124"/>
      <c r="M7" s="124"/>
      <c r="N7" s="135"/>
      <c r="O7" s="135"/>
      <c r="P7" s="135"/>
      <c r="Q7" s="124"/>
      <c r="R7" s="124"/>
      <c r="S7" s="124"/>
      <c r="T7" s="137"/>
      <c r="U7" s="132"/>
      <c r="V7" s="124"/>
    </row>
    <row r="8" spans="1:22" ht="14.4" x14ac:dyDescent="0.3">
      <c r="A8" s="124"/>
      <c r="B8" s="126" t="s">
        <v>126</v>
      </c>
      <c r="C8" s="122">
        <f>IF('Design Calculator'!F71="No", 'Design Calculator'!$F$77,'Design Calculator'!F90)</f>
        <v>1.6</v>
      </c>
      <c r="D8" s="126" t="s">
        <v>5</v>
      </c>
      <c r="E8" s="122"/>
      <c r="F8" s="122"/>
      <c r="G8" s="126" t="s">
        <v>126</v>
      </c>
      <c r="H8" s="122">
        <f>Equations!F70</f>
        <v>54.020979020979034</v>
      </c>
      <c r="I8" s="122"/>
      <c r="J8" s="141"/>
      <c r="K8" s="133"/>
      <c r="L8" s="124"/>
      <c r="M8" s="124"/>
      <c r="N8" s="135"/>
      <c r="O8" s="124"/>
      <c r="P8" s="137"/>
      <c r="Q8" s="124"/>
      <c r="R8" s="124"/>
      <c r="S8" s="124"/>
      <c r="T8" s="137"/>
      <c r="U8" s="132"/>
      <c r="V8" s="124"/>
    </row>
    <row r="9" spans="1:22" ht="14.4" x14ac:dyDescent="0.3">
      <c r="A9" s="124"/>
      <c r="B9" s="126" t="s">
        <v>127</v>
      </c>
      <c r="C9" s="122">
        <f>VINMAX</f>
        <v>24</v>
      </c>
      <c r="D9" s="122" t="s">
        <v>50</v>
      </c>
      <c r="E9" s="122"/>
      <c r="F9" s="122"/>
      <c r="G9" s="126" t="s">
        <v>127</v>
      </c>
      <c r="H9" s="122">
        <f>VINMAX</f>
        <v>24</v>
      </c>
      <c r="I9" s="122"/>
      <c r="J9" s="122"/>
      <c r="K9" s="133"/>
      <c r="L9" s="124"/>
      <c r="M9" s="124"/>
      <c r="N9" s="135"/>
      <c r="O9" s="124"/>
      <c r="P9" s="137"/>
      <c r="Q9" s="124"/>
      <c r="R9" s="124"/>
      <c r="S9" s="124"/>
      <c r="T9" s="137"/>
      <c r="U9" s="124"/>
      <c r="V9" s="124"/>
    </row>
    <row r="10" spans="1:22" ht="14.4" x14ac:dyDescent="0.3">
      <c r="A10" s="124"/>
      <c r="B10" s="126" t="s">
        <v>128</v>
      </c>
      <c r="C10" s="122">
        <f>IF(C8&lt;10, IF(C8&lt;1, 0.1, 1), IF(C8&lt;100, 10, 100))</f>
        <v>1</v>
      </c>
      <c r="D10" s="126" t="s">
        <v>5</v>
      </c>
      <c r="E10" s="122"/>
      <c r="F10" s="122"/>
      <c r="G10" s="126" t="s">
        <v>128</v>
      </c>
      <c r="H10" s="122">
        <f>IF(H8&lt;10, IF(H8&lt;1, 0.1, 1), IF(H8&lt;100, 10, 100))</f>
        <v>10</v>
      </c>
      <c r="I10" s="122"/>
      <c r="J10" s="122"/>
      <c r="K10" s="133"/>
      <c r="L10" s="124"/>
      <c r="M10" s="124"/>
      <c r="N10" s="135"/>
      <c r="O10" s="124"/>
      <c r="P10" s="137"/>
      <c r="Q10" s="124"/>
      <c r="R10" s="124"/>
      <c r="S10" s="124"/>
      <c r="T10" s="137"/>
      <c r="U10" s="124"/>
      <c r="V10" s="124"/>
    </row>
    <row r="11" spans="1:22" ht="14.4" x14ac:dyDescent="0.3">
      <c r="A11" s="124"/>
      <c r="B11" s="126" t="s">
        <v>343</v>
      </c>
      <c r="C11" s="122">
        <f>IF('Design Calculator'!F58="NA", MIN(SOA!C10,1),SOA!C10)</f>
        <v>1</v>
      </c>
      <c r="D11" s="126"/>
      <c r="E11" s="122"/>
      <c r="F11" s="122"/>
      <c r="G11" s="126" t="s">
        <v>343</v>
      </c>
      <c r="H11" s="122">
        <f>IF('Design Calculator'!F58="NA", MIN(SOA!H10,1),SOA!H10)</f>
        <v>10</v>
      </c>
      <c r="I11" s="122"/>
      <c r="J11" s="122"/>
      <c r="K11" s="133"/>
      <c r="L11" s="124"/>
      <c r="M11" s="124"/>
      <c r="N11" s="124"/>
      <c r="O11" s="124"/>
      <c r="P11" s="137"/>
      <c r="Q11" s="124"/>
      <c r="R11" s="124"/>
      <c r="S11" s="124"/>
      <c r="T11" s="124"/>
      <c r="U11" s="124"/>
      <c r="V11" s="124"/>
    </row>
    <row r="12" spans="1:22" x14ac:dyDescent="0.25">
      <c r="A12" s="124"/>
      <c r="B12" s="126" t="s">
        <v>129</v>
      </c>
      <c r="C12" s="122">
        <f>C10*10</f>
        <v>10</v>
      </c>
      <c r="D12" s="126" t="s">
        <v>5</v>
      </c>
      <c r="E12" s="122"/>
      <c r="F12" s="122"/>
      <c r="G12" s="126" t="s">
        <v>344</v>
      </c>
      <c r="H12" s="122">
        <f>H10*10</f>
        <v>100</v>
      </c>
      <c r="I12" s="122"/>
      <c r="J12" s="122"/>
      <c r="K12" s="133"/>
      <c r="L12" s="124"/>
      <c r="M12" s="124"/>
      <c r="N12" s="124"/>
      <c r="O12" s="124"/>
      <c r="P12" s="124"/>
      <c r="Q12" s="124"/>
      <c r="R12" s="124"/>
      <c r="S12" s="124"/>
      <c r="T12" s="124"/>
      <c r="U12" s="124"/>
      <c r="V12" s="124"/>
    </row>
    <row r="13" spans="1:22" x14ac:dyDescent="0.25">
      <c r="A13" s="124"/>
      <c r="B13" s="126" t="s">
        <v>345</v>
      </c>
      <c r="C13" s="122">
        <f>IF('Design Calculator'!F59="NA", MIN(SOA!C12,10),SOA!C12)</f>
        <v>10</v>
      </c>
      <c r="D13" s="126"/>
      <c r="E13" s="122"/>
      <c r="F13" s="122"/>
      <c r="G13" s="126" t="s">
        <v>345</v>
      </c>
      <c r="H13" s="122">
        <f>IF('Design Calculator'!F59="NA", MIN(SOA!H12,10),SOA!H12)</f>
        <v>100</v>
      </c>
      <c r="I13" s="122"/>
      <c r="J13" s="122"/>
      <c r="K13" s="133"/>
      <c r="L13" s="124"/>
      <c r="M13" s="124"/>
      <c r="N13" s="124"/>
      <c r="O13" s="124"/>
      <c r="P13" s="124"/>
      <c r="Q13" s="124"/>
      <c r="R13" s="124"/>
      <c r="S13" s="124"/>
      <c r="T13" s="124"/>
      <c r="U13" s="124"/>
      <c r="V13" s="124"/>
    </row>
    <row r="14" spans="1:22" x14ac:dyDescent="0.25">
      <c r="A14" s="124"/>
      <c r="B14" s="126" t="s">
        <v>130</v>
      </c>
      <c r="C14" s="122">
        <f>IF(C11=0.1, B4, IF(C11=1, C4, IF(C11=10, D4, E4)))</f>
        <v>5.5</v>
      </c>
      <c r="D14" s="126" t="s">
        <v>17</v>
      </c>
      <c r="E14" s="122"/>
      <c r="F14" s="122"/>
      <c r="G14" s="126" t="s">
        <v>130</v>
      </c>
      <c r="H14" s="122">
        <f>IF(H11=0.1, B4, IF(H11=1, C4, IF(H11=10, D4, E4)))</f>
        <v>3</v>
      </c>
      <c r="I14" s="122"/>
      <c r="J14" s="122"/>
      <c r="K14" s="133"/>
      <c r="L14" s="124"/>
      <c r="M14" s="124"/>
      <c r="N14" s="124"/>
      <c r="O14" s="124"/>
      <c r="P14" s="124"/>
      <c r="Q14" s="124"/>
      <c r="R14" s="124"/>
      <c r="S14" s="124"/>
      <c r="T14" s="124"/>
      <c r="U14" s="124"/>
      <c r="V14" s="124"/>
    </row>
    <row r="15" spans="1:22" x14ac:dyDescent="0.25">
      <c r="A15" s="124"/>
      <c r="B15" s="126" t="s">
        <v>131</v>
      </c>
      <c r="C15" s="122">
        <f>IF(C13=1000, F4, IF(C13=1, C4, IF(C13=10, D4, E4)))</f>
        <v>3</v>
      </c>
      <c r="D15" s="126" t="s">
        <v>17</v>
      </c>
      <c r="E15" s="122"/>
      <c r="F15" s="122"/>
      <c r="G15" s="126" t="s">
        <v>131</v>
      </c>
      <c r="H15" s="122">
        <f>IF(H13=1000, F4, IF(H13=1, C4, IF(H13=10, D4, E4)))</f>
        <v>1.8</v>
      </c>
      <c r="I15" s="122"/>
      <c r="J15" s="122"/>
      <c r="K15" s="133"/>
      <c r="L15" s="124"/>
      <c r="M15" s="124"/>
      <c r="N15" s="124"/>
      <c r="O15" s="124"/>
      <c r="P15" s="124"/>
      <c r="Q15" s="124"/>
      <c r="R15" s="124"/>
      <c r="S15" s="124"/>
      <c r="T15" s="124"/>
      <c r="U15" s="124"/>
      <c r="V15" s="124"/>
    </row>
    <row r="16" spans="1:22" x14ac:dyDescent="0.25">
      <c r="A16" s="124"/>
      <c r="B16" s="122"/>
      <c r="C16" s="122"/>
      <c r="D16" s="122"/>
      <c r="E16" s="122"/>
      <c r="F16" s="122"/>
      <c r="G16" s="122"/>
      <c r="H16" s="122"/>
      <c r="I16" s="122"/>
      <c r="J16" s="122"/>
      <c r="K16" s="133"/>
      <c r="L16" s="124"/>
      <c r="M16" s="124"/>
      <c r="N16" s="124"/>
      <c r="O16" s="124"/>
      <c r="P16" s="124"/>
      <c r="Q16" s="124"/>
      <c r="R16" s="124"/>
      <c r="S16" s="124"/>
      <c r="T16" s="124"/>
      <c r="U16" s="124"/>
      <c r="V16" s="124"/>
    </row>
    <row r="17" spans="1:22" x14ac:dyDescent="0.25">
      <c r="A17" s="124"/>
      <c r="B17" s="126" t="s">
        <v>135</v>
      </c>
      <c r="C17" s="122"/>
      <c r="D17" s="122"/>
      <c r="E17" s="122"/>
      <c r="F17" s="122"/>
      <c r="G17" s="126" t="s">
        <v>135</v>
      </c>
      <c r="H17" s="122"/>
      <c r="I17" s="122"/>
      <c r="J17" s="122"/>
      <c r="K17" s="133"/>
      <c r="L17" s="124"/>
      <c r="M17" s="124"/>
      <c r="N17" s="124"/>
      <c r="O17" s="124"/>
      <c r="P17" s="124"/>
      <c r="Q17" s="124"/>
      <c r="R17" s="124"/>
      <c r="S17" s="124"/>
      <c r="T17" s="124"/>
      <c r="U17" s="124"/>
      <c r="V17" s="124"/>
    </row>
    <row r="18" spans="1:22" x14ac:dyDescent="0.25">
      <c r="A18" s="124"/>
      <c r="B18" s="126" t="s">
        <v>132</v>
      </c>
      <c r="C18" s="122">
        <f>C14/C11^C19</f>
        <v>5.5</v>
      </c>
      <c r="D18" s="122"/>
      <c r="E18" s="122"/>
      <c r="F18" s="126"/>
      <c r="G18" s="126" t="s">
        <v>132</v>
      </c>
      <c r="H18" s="122">
        <f>H14/H11^H19</f>
        <v>4.9999999999999991</v>
      </c>
      <c r="I18" s="122"/>
      <c r="J18" s="122"/>
      <c r="K18" s="122"/>
      <c r="L18" s="122"/>
      <c r="M18" s="122"/>
      <c r="N18" s="122"/>
      <c r="O18" s="147"/>
      <c r="P18" s="147"/>
      <c r="Q18" s="124"/>
      <c r="R18" s="124"/>
      <c r="S18" s="124"/>
      <c r="T18" s="124"/>
      <c r="U18" s="124"/>
      <c r="V18" s="124"/>
    </row>
    <row r="19" spans="1:22" x14ac:dyDescent="0.25">
      <c r="A19" s="124"/>
      <c r="B19" s="126" t="s">
        <v>133</v>
      </c>
      <c r="C19" s="122">
        <f>LOG(C14/C15)/LOG(C11/C13)</f>
        <v>-0.2632414347745814</v>
      </c>
      <c r="D19" s="122"/>
      <c r="E19" s="122"/>
      <c r="F19" s="126"/>
      <c r="G19" s="126" t="s">
        <v>133</v>
      </c>
      <c r="H19" s="122">
        <f>IF(H14=H15,0.000000000001,LOG(H14/H15)/LOG(H11/H13))</f>
        <v>-0.22184874961635634</v>
      </c>
      <c r="I19" s="126" t="s">
        <v>351</v>
      </c>
      <c r="J19" s="122"/>
      <c r="K19" s="133"/>
      <c r="L19" s="124"/>
      <c r="M19" s="147"/>
      <c r="N19" s="147"/>
      <c r="O19" s="124"/>
      <c r="P19" s="124"/>
      <c r="Q19" s="124"/>
      <c r="R19" s="124"/>
      <c r="S19" s="124"/>
      <c r="T19" s="124"/>
      <c r="U19" s="124"/>
      <c r="V19" s="124"/>
    </row>
    <row r="20" spans="1:22" x14ac:dyDescent="0.25">
      <c r="A20" s="124"/>
      <c r="B20" s="126" t="s">
        <v>134</v>
      </c>
      <c r="C20" s="122">
        <f>C18*C8^C19</f>
        <v>4.8599281921550936</v>
      </c>
      <c r="D20" s="126" t="s">
        <v>17</v>
      </c>
      <c r="E20" s="122"/>
      <c r="F20" s="122"/>
      <c r="G20" s="126" t="s">
        <v>134</v>
      </c>
      <c r="H20" s="122">
        <f>H18*H8^H19</f>
        <v>2.0634939078679344</v>
      </c>
      <c r="I20" s="122"/>
      <c r="J20" s="122"/>
      <c r="K20" s="133"/>
      <c r="L20" s="124"/>
      <c r="M20" s="135"/>
      <c r="N20" s="124"/>
      <c r="O20" s="124"/>
      <c r="P20" s="124"/>
      <c r="Q20" s="124"/>
      <c r="R20" s="124"/>
      <c r="S20" s="124"/>
      <c r="T20" s="124"/>
      <c r="U20" s="124"/>
      <c r="V20" s="124"/>
    </row>
    <row r="21" spans="1:22" x14ac:dyDescent="0.25">
      <c r="A21" s="124"/>
      <c r="B21" s="122"/>
      <c r="C21" s="122"/>
      <c r="D21" s="122"/>
      <c r="E21" s="122"/>
      <c r="F21" s="122"/>
      <c r="G21" s="122"/>
      <c r="H21" s="122"/>
      <c r="I21" s="122"/>
      <c r="J21" s="122"/>
      <c r="K21" s="133"/>
      <c r="L21" s="124"/>
      <c r="M21" s="124"/>
      <c r="N21" s="132"/>
      <c r="O21" s="124"/>
      <c r="P21" s="124"/>
      <c r="Q21" s="124"/>
      <c r="R21" s="124"/>
      <c r="S21" s="124"/>
      <c r="T21" s="124"/>
      <c r="U21" s="124"/>
      <c r="V21" s="124"/>
    </row>
    <row r="22" spans="1:22" x14ac:dyDescent="0.25">
      <c r="A22" s="124"/>
      <c r="B22" s="127" t="s">
        <v>137</v>
      </c>
      <c r="C22" s="122">
        <f xml:space="preserve"> C20*C9</f>
        <v>116.63827661172225</v>
      </c>
      <c r="D22" s="126"/>
      <c r="E22" s="122"/>
      <c r="F22" s="122"/>
      <c r="G22" s="127" t="s">
        <v>137</v>
      </c>
      <c r="H22" s="122">
        <f>IF(H8&lt;1, H14, H20)*H9</f>
        <v>49.523853788830422</v>
      </c>
      <c r="I22" s="122"/>
      <c r="J22" s="122"/>
      <c r="K22" s="133"/>
      <c r="L22" s="124"/>
      <c r="M22" s="124"/>
      <c r="N22" s="124"/>
      <c r="O22" s="124"/>
      <c r="P22" s="124"/>
      <c r="Q22" s="124"/>
      <c r="R22" s="124"/>
      <c r="S22" s="124"/>
      <c r="T22" s="124"/>
      <c r="U22" s="124"/>
      <c r="V22" s="124"/>
    </row>
    <row r="23" spans="1:22" x14ac:dyDescent="0.25">
      <c r="A23" s="124"/>
      <c r="B23" s="122"/>
      <c r="C23" s="122"/>
      <c r="D23" s="122"/>
      <c r="E23" s="122"/>
      <c r="F23" s="122"/>
      <c r="G23" s="122"/>
      <c r="H23" s="122"/>
      <c r="I23" s="122"/>
      <c r="J23" s="122"/>
      <c r="K23" s="133"/>
      <c r="L23" s="124"/>
      <c r="M23" s="124"/>
      <c r="N23" s="124"/>
      <c r="O23" s="124"/>
      <c r="P23" s="124"/>
      <c r="Q23" s="124"/>
      <c r="R23" s="124"/>
      <c r="S23" s="124"/>
      <c r="T23" s="124"/>
      <c r="U23" s="124"/>
      <c r="V23" s="124"/>
    </row>
    <row r="24" spans="1:22" x14ac:dyDescent="0.25">
      <c r="A24" s="124"/>
      <c r="B24" s="122"/>
      <c r="C24" s="122"/>
      <c r="D24" s="122"/>
      <c r="E24" s="122"/>
      <c r="F24" s="122"/>
      <c r="G24" s="126" t="s">
        <v>269</v>
      </c>
      <c r="H24" s="122" t="str">
        <f>'Design Calculator'!F79</f>
        <v>Yes</v>
      </c>
      <c r="I24" s="122"/>
      <c r="J24" s="122"/>
      <c r="K24" s="133"/>
      <c r="L24" s="124"/>
      <c r="M24" s="124"/>
      <c r="N24" s="124"/>
      <c r="O24" s="132"/>
      <c r="P24" s="124"/>
      <c r="Q24" s="124"/>
      <c r="R24" s="124"/>
      <c r="S24" s="124"/>
      <c r="T24" s="124"/>
      <c r="U24" s="124"/>
      <c r="V24" s="124"/>
    </row>
    <row r="25" spans="1:22" x14ac:dyDescent="0.25">
      <c r="A25" s="124"/>
      <c r="B25" s="141" t="s">
        <v>143</v>
      </c>
      <c r="C25" s="122">
        <f>(TJMAX-TJ)/(TJMAX-25)</f>
        <v>0.624</v>
      </c>
      <c r="D25" s="133"/>
      <c r="E25" s="133"/>
      <c r="F25" s="133"/>
      <c r="G25" s="126" t="s">
        <v>268</v>
      </c>
      <c r="H25" s="122">
        <f>IF(H24="Yes", TJ,TAMB)</f>
        <v>81.400000000000006</v>
      </c>
      <c r="I25" s="122"/>
      <c r="J25" s="122"/>
      <c r="K25" s="133"/>
      <c r="L25" s="124"/>
      <c r="M25" s="124"/>
      <c r="N25" s="124"/>
      <c r="O25" s="132"/>
      <c r="P25" s="124"/>
      <c r="Q25" s="124"/>
      <c r="R25" s="124"/>
      <c r="S25" s="124"/>
      <c r="T25" s="124"/>
      <c r="U25" s="124"/>
      <c r="V25" s="124"/>
    </row>
    <row r="26" spans="1:22" x14ac:dyDescent="0.25">
      <c r="A26" s="124"/>
      <c r="B26" s="139" t="s">
        <v>138</v>
      </c>
      <c r="C26" s="122">
        <f>IF((C22*C25)&lt;0,0.000000001,C22*C25)</f>
        <v>72.782284605714679</v>
      </c>
      <c r="D26" s="140" t="s">
        <v>51</v>
      </c>
      <c r="E26" s="133"/>
      <c r="F26" s="133"/>
      <c r="G26" s="122"/>
      <c r="H26" s="122"/>
      <c r="I26" s="122"/>
      <c r="J26" s="122"/>
      <c r="K26" s="133"/>
      <c r="L26" s="124"/>
      <c r="M26" s="124"/>
      <c r="N26" s="124"/>
      <c r="O26" s="124"/>
      <c r="P26" s="124"/>
      <c r="Q26" s="124"/>
      <c r="R26" s="124"/>
      <c r="S26" s="124"/>
      <c r="T26" s="124"/>
      <c r="U26" s="124"/>
      <c r="V26" s="124"/>
    </row>
    <row r="27" spans="1:22" x14ac:dyDescent="0.25">
      <c r="A27" s="124"/>
      <c r="B27" s="132"/>
      <c r="C27" s="132"/>
      <c r="D27" s="133"/>
      <c r="E27" s="133"/>
      <c r="F27" s="133"/>
      <c r="G27" s="141" t="s">
        <v>143</v>
      </c>
      <c r="H27" s="122">
        <f>(TJMAX-H25)/(TJMAX-25)</f>
        <v>0.624</v>
      </c>
      <c r="I27" s="122"/>
      <c r="J27" s="122"/>
      <c r="K27" s="133"/>
      <c r="L27" s="124"/>
      <c r="M27" s="124"/>
      <c r="N27" s="124"/>
      <c r="O27" s="124"/>
      <c r="P27" s="124"/>
      <c r="Q27" s="124"/>
      <c r="R27" s="124"/>
      <c r="S27" s="124"/>
      <c r="T27" s="124"/>
      <c r="U27" s="124"/>
      <c r="V27" s="124"/>
    </row>
    <row r="28" spans="1:22" x14ac:dyDescent="0.25">
      <c r="A28" s="124"/>
      <c r="B28" s="132"/>
      <c r="C28" s="122"/>
      <c r="D28" s="133"/>
      <c r="E28" s="133"/>
      <c r="F28" s="133"/>
      <c r="G28" s="139" t="s">
        <v>138</v>
      </c>
      <c r="H28" s="122">
        <f>IF((H22*H27)&lt;0,0.000000001,H22*H27)</f>
        <v>30.902884764230183</v>
      </c>
      <c r="I28" s="122"/>
      <c r="J28" s="122"/>
      <c r="K28" s="133"/>
      <c r="L28" s="124"/>
      <c r="M28" s="124"/>
      <c r="N28" s="124"/>
      <c r="O28" s="124"/>
      <c r="P28" s="124"/>
      <c r="Q28" s="124"/>
      <c r="R28" s="124"/>
      <c r="S28" s="124"/>
      <c r="T28" s="124"/>
      <c r="U28" s="124"/>
      <c r="V28" s="124"/>
    </row>
    <row r="29" spans="1:22" x14ac:dyDescent="0.25">
      <c r="A29" s="124"/>
      <c r="B29" s="141" t="s">
        <v>300</v>
      </c>
      <c r="C29" s="122"/>
      <c r="D29" s="133"/>
      <c r="E29" s="133"/>
      <c r="F29" s="133"/>
      <c r="G29" s="122"/>
      <c r="H29" s="124"/>
      <c r="I29" s="138"/>
      <c r="J29" s="138"/>
      <c r="K29" s="138"/>
      <c r="L29" s="124"/>
      <c r="M29" s="124"/>
      <c r="N29" s="124"/>
      <c r="O29" s="124"/>
      <c r="P29" s="124"/>
      <c r="Q29" s="124"/>
      <c r="R29" s="124"/>
      <c r="S29" s="124"/>
      <c r="T29" s="124"/>
      <c r="U29" s="124"/>
      <c r="V29" s="124"/>
    </row>
    <row r="30" spans="1:22" x14ac:dyDescent="0.25">
      <c r="A30" s="124"/>
      <c r="B30" s="122"/>
      <c r="C30" s="136" t="s">
        <v>301</v>
      </c>
      <c r="D30" s="146" t="s">
        <v>302</v>
      </c>
      <c r="E30" s="146" t="s">
        <v>303</v>
      </c>
      <c r="F30" s="146" t="s">
        <v>304</v>
      </c>
      <c r="G30" s="133"/>
      <c r="H30" s="124"/>
      <c r="I30" s="138"/>
      <c r="J30" s="138"/>
      <c r="K30" s="138"/>
      <c r="L30" s="124"/>
      <c r="M30" s="124"/>
      <c r="N30" s="124"/>
      <c r="O30" s="124"/>
      <c r="P30" s="124"/>
      <c r="Q30" s="124"/>
      <c r="R30" s="124"/>
      <c r="S30" s="124"/>
      <c r="T30" s="124"/>
      <c r="U30" s="124"/>
      <c r="V30" s="124"/>
    </row>
    <row r="31" spans="1:22" x14ac:dyDescent="0.25">
      <c r="A31" s="122"/>
      <c r="B31" s="141" t="s">
        <v>305</v>
      </c>
      <c r="C31" s="128">
        <v>0.1</v>
      </c>
      <c r="D31" s="123">
        <v>1</v>
      </c>
      <c r="E31" s="133">
        <v>10</v>
      </c>
      <c r="F31" s="132">
        <v>100</v>
      </c>
      <c r="G31" s="143"/>
      <c r="H31" s="124"/>
      <c r="I31" s="124"/>
      <c r="J31" s="124"/>
      <c r="K31" s="124"/>
      <c r="L31" s="124"/>
      <c r="M31" s="124"/>
      <c r="N31" s="124"/>
      <c r="O31" s="124"/>
      <c r="P31" s="124"/>
      <c r="Q31" s="124"/>
      <c r="R31" s="124"/>
      <c r="S31" s="124"/>
      <c r="T31" s="124"/>
      <c r="U31" s="124"/>
      <c r="V31" s="124"/>
    </row>
    <row r="32" spans="1:22" x14ac:dyDescent="0.25">
      <c r="A32" s="122"/>
      <c r="B32" s="128" t="s">
        <v>306</v>
      </c>
      <c r="C32" s="123">
        <v>1</v>
      </c>
      <c r="D32" s="123">
        <v>10</v>
      </c>
      <c r="E32" s="133">
        <v>100</v>
      </c>
      <c r="F32" s="132">
        <v>1000</v>
      </c>
      <c r="G32" s="139"/>
      <c r="H32" s="124"/>
      <c r="I32" s="124"/>
      <c r="J32" s="124"/>
      <c r="K32" s="124"/>
      <c r="L32" s="124"/>
      <c r="M32" s="124"/>
      <c r="N32" s="124"/>
      <c r="O32" s="124"/>
      <c r="P32" s="124"/>
      <c r="Q32" s="124"/>
      <c r="R32" s="124"/>
      <c r="S32" s="124"/>
      <c r="T32" s="124"/>
      <c r="U32" s="124"/>
      <c r="V32" s="124"/>
    </row>
    <row r="33" spans="2:22" x14ac:dyDescent="0.25">
      <c r="B33" s="128" t="s">
        <v>132</v>
      </c>
      <c r="C33" s="123">
        <f>B4/(C31^C34)</f>
        <v>5.5000000000000009</v>
      </c>
      <c r="D33" s="123">
        <f>C4/(D31^D34)</f>
        <v>5.5</v>
      </c>
      <c r="E33" s="123">
        <f>IF('Design Calculator'!F59="NA",D33,D4/(E31^E34))</f>
        <v>4.9999999999999991</v>
      </c>
      <c r="F33" s="123">
        <f>IF('Design Calculator'!F59="NA", E33, E4/(F31^F34))</f>
        <v>1.8</v>
      </c>
      <c r="G33" s="126"/>
      <c r="H33" s="124"/>
      <c r="I33" s="124"/>
      <c r="J33" s="124"/>
      <c r="K33" s="124"/>
      <c r="L33" s="124"/>
      <c r="M33" s="124"/>
      <c r="N33" s="124"/>
      <c r="O33" s="124"/>
      <c r="P33" s="124"/>
      <c r="Q33" s="124"/>
      <c r="R33" s="124"/>
      <c r="S33" s="124"/>
      <c r="T33" s="124"/>
      <c r="U33" s="124"/>
      <c r="V33" s="124"/>
    </row>
    <row r="34" spans="2:22" x14ac:dyDescent="0.25">
      <c r="B34" s="128" t="s">
        <v>133</v>
      </c>
      <c r="C34" s="125">
        <f>LOG(B4/C4)/LOG(C31/C32)</f>
        <v>-0.43572856956143735</v>
      </c>
      <c r="D34" s="125">
        <f>LOG(C4/D4)/LOG(D31/D32)</f>
        <v>-0.2632414347745814</v>
      </c>
      <c r="E34" s="125">
        <f>IF('Design Calculator'!F59="NA", D34, LOG(D4/E4)/LOG(E31/E32))</f>
        <v>-0.22184874961635634</v>
      </c>
      <c r="F34" s="125">
        <f>IF('Design Calculator'!F59="NA",E34,LOG(E4/F4)/LOG(F31/F32))</f>
        <v>0</v>
      </c>
      <c r="G34" s="126"/>
      <c r="H34" s="124"/>
      <c r="I34" s="124"/>
      <c r="J34" s="124"/>
      <c r="K34" s="124"/>
      <c r="L34" s="124"/>
      <c r="M34" s="124"/>
      <c r="N34" s="124"/>
      <c r="O34" s="124"/>
      <c r="P34" s="124"/>
      <c r="Q34" s="124"/>
      <c r="R34" s="124"/>
      <c r="S34" s="124"/>
      <c r="T34" s="124"/>
      <c r="U34" s="124"/>
      <c r="V34" s="124"/>
    </row>
    <row r="35" spans="2:22" x14ac:dyDescent="0.25">
      <c r="B35" s="122"/>
      <c r="C35" s="122"/>
      <c r="D35" s="122"/>
      <c r="E35" s="133"/>
      <c r="F35" s="124"/>
      <c r="G35" s="126"/>
      <c r="H35" s="124"/>
      <c r="I35" s="124"/>
      <c r="J35" s="124"/>
      <c r="K35" s="124"/>
      <c r="L35" s="124"/>
      <c r="M35" s="124"/>
      <c r="N35" s="124"/>
      <c r="O35" s="124"/>
      <c r="P35" s="124"/>
      <c r="Q35" s="124"/>
      <c r="R35" s="124"/>
      <c r="S35" s="124"/>
      <c r="T35" s="124"/>
      <c r="U35" s="124"/>
      <c r="V35" s="124"/>
    </row>
    <row r="36" spans="2:22" ht="13.8" thickBot="1" x14ac:dyDescent="0.3">
      <c r="B36" s="48" t="s">
        <v>352</v>
      </c>
      <c r="C36" s="49"/>
      <c r="D36" s="122"/>
      <c r="E36" s="133"/>
      <c r="F36" s="124"/>
      <c r="G36" s="126"/>
      <c r="H36" s="124"/>
      <c r="I36" s="124"/>
      <c r="J36" s="124"/>
      <c r="K36" s="124"/>
      <c r="L36" s="124"/>
      <c r="M36" s="124"/>
      <c r="N36" s="124"/>
      <c r="O36" s="124"/>
      <c r="P36" s="124"/>
      <c r="Q36" s="124"/>
      <c r="R36" s="124"/>
      <c r="S36" s="124"/>
      <c r="T36" s="124"/>
      <c r="U36" s="124"/>
      <c r="V36" s="124"/>
    </row>
    <row r="37" spans="2:22" ht="15.6" x14ac:dyDescent="0.35">
      <c r="B37" s="50" t="s">
        <v>22</v>
      </c>
      <c r="C37" s="51" t="s">
        <v>68</v>
      </c>
      <c r="D37" s="122"/>
      <c r="E37" s="133"/>
      <c r="F37" s="124"/>
      <c r="G37" s="126"/>
      <c r="H37" s="124"/>
      <c r="I37" s="124"/>
      <c r="J37" s="124"/>
      <c r="K37" s="124"/>
      <c r="L37" s="124"/>
      <c r="M37" s="124"/>
      <c r="N37" s="124"/>
      <c r="O37" s="124"/>
      <c r="P37" s="124"/>
      <c r="Q37" s="124"/>
      <c r="R37" s="124"/>
      <c r="S37" s="124"/>
      <c r="T37" s="124"/>
      <c r="U37" s="124"/>
      <c r="V37" s="124"/>
    </row>
    <row r="38" spans="2:22" x14ac:dyDescent="0.25">
      <c r="B38" s="52" t="s">
        <v>6</v>
      </c>
      <c r="C38" s="53" t="s">
        <v>7</v>
      </c>
      <c r="D38" s="122"/>
      <c r="E38" s="133"/>
      <c r="F38" s="124"/>
      <c r="G38" s="126"/>
      <c r="H38" s="124"/>
      <c r="I38" s="124"/>
      <c r="J38" s="124"/>
      <c r="K38" s="124"/>
      <c r="L38" s="124"/>
      <c r="M38" s="124"/>
      <c r="N38" s="124"/>
      <c r="O38" s="124"/>
      <c r="P38" s="124"/>
      <c r="Q38" s="124"/>
      <c r="R38" s="124"/>
      <c r="S38" s="124"/>
      <c r="T38" s="124"/>
      <c r="U38" s="124"/>
      <c r="V38" s="124"/>
    </row>
    <row r="39" spans="2:22" x14ac:dyDescent="0.25">
      <c r="B39" s="54">
        <v>1</v>
      </c>
      <c r="C39" s="55">
        <f>SOA!$C$26/B39</f>
        <v>72.782284605714679</v>
      </c>
      <c r="D39" s="122"/>
      <c r="E39" s="133"/>
      <c r="F39" s="124"/>
      <c r="G39" s="122"/>
      <c r="H39" s="124"/>
      <c r="I39" s="124"/>
      <c r="J39" s="124"/>
      <c r="K39" s="124"/>
      <c r="L39" s="124"/>
      <c r="M39" s="124"/>
      <c r="N39" s="124"/>
      <c r="O39" s="124"/>
      <c r="P39" s="124"/>
      <c r="Q39" s="124"/>
      <c r="R39" s="124"/>
      <c r="S39" s="124"/>
      <c r="T39" s="124"/>
      <c r="U39" s="124"/>
      <c r="V39" s="124"/>
    </row>
    <row r="40" spans="2:22" x14ac:dyDescent="0.25">
      <c r="B40" s="54">
        <v>1.2</v>
      </c>
      <c r="C40" s="55">
        <f>SOA!$C$26/B40</f>
        <v>60.651903838095571</v>
      </c>
      <c r="D40" s="122"/>
      <c r="E40" s="133"/>
      <c r="F40" s="124"/>
      <c r="G40" s="126"/>
      <c r="H40" s="124"/>
      <c r="I40" s="124"/>
      <c r="J40" s="124"/>
      <c r="K40" s="124"/>
      <c r="L40" s="124"/>
      <c r="M40" s="124"/>
      <c r="N40" s="124"/>
      <c r="O40" s="124"/>
      <c r="P40" s="124"/>
      <c r="Q40" s="124"/>
      <c r="R40" s="124"/>
      <c r="S40" s="124"/>
      <c r="T40" s="124"/>
      <c r="U40" s="124"/>
      <c r="V40" s="124"/>
    </row>
    <row r="41" spans="2:22" x14ac:dyDescent="0.25">
      <c r="B41" s="54">
        <v>30</v>
      </c>
      <c r="C41" s="55">
        <f>SOA!$C$26/B41</f>
        <v>2.4260761535238227</v>
      </c>
      <c r="D41" s="122"/>
      <c r="E41" s="133"/>
      <c r="F41" s="124"/>
      <c r="G41" s="122"/>
      <c r="H41" s="124"/>
      <c r="I41" s="124"/>
      <c r="J41" s="124"/>
      <c r="K41" s="124"/>
      <c r="L41" s="124"/>
      <c r="M41" s="124"/>
      <c r="N41" s="124"/>
      <c r="O41" s="124"/>
      <c r="P41" s="124"/>
      <c r="Q41" s="124"/>
      <c r="R41" s="124"/>
      <c r="S41" s="124"/>
      <c r="T41" s="124"/>
      <c r="U41" s="124"/>
      <c r="V41" s="124"/>
    </row>
    <row r="42" spans="2:22" x14ac:dyDescent="0.25">
      <c r="B42" s="54"/>
      <c r="C42" s="55"/>
      <c r="D42" s="122"/>
      <c r="E42" s="133"/>
      <c r="F42" s="124"/>
      <c r="G42" s="126"/>
      <c r="H42" s="124"/>
      <c r="I42" s="124"/>
      <c r="J42" s="124"/>
      <c r="K42" s="124"/>
      <c r="L42" s="124"/>
      <c r="M42" s="124"/>
      <c r="N42" s="124"/>
      <c r="O42" s="124"/>
      <c r="P42" s="124"/>
      <c r="Q42" s="124"/>
      <c r="R42" s="124"/>
      <c r="S42" s="124"/>
      <c r="T42" s="124"/>
      <c r="U42" s="124"/>
      <c r="V42" s="124"/>
    </row>
    <row r="43" spans="2:22" ht="13.8" thickBot="1" x14ac:dyDescent="0.3">
      <c r="B43" s="56"/>
      <c r="C43" s="57"/>
      <c r="D43" s="122"/>
      <c r="E43" s="133"/>
      <c r="F43" s="124"/>
      <c r="G43" s="126"/>
      <c r="H43" s="124"/>
      <c r="I43" s="124"/>
      <c r="J43" s="124"/>
      <c r="K43" s="124"/>
      <c r="L43" s="124"/>
      <c r="M43" s="124"/>
      <c r="N43" s="124"/>
      <c r="O43" s="124"/>
      <c r="P43" s="124"/>
      <c r="Q43" s="124"/>
      <c r="R43" s="124"/>
      <c r="S43" s="124"/>
      <c r="T43" s="124"/>
      <c r="U43" s="124"/>
      <c r="V43" s="124"/>
    </row>
    <row r="44" spans="2:22" x14ac:dyDescent="0.25">
      <c r="B44" s="122"/>
      <c r="C44" s="122"/>
      <c r="D44" s="122"/>
      <c r="E44" s="133"/>
      <c r="F44" s="124"/>
      <c r="G44" s="126"/>
      <c r="H44" s="124"/>
      <c r="I44" s="124"/>
      <c r="J44" s="124"/>
      <c r="K44" s="124"/>
      <c r="L44" s="124"/>
      <c r="M44" s="124"/>
      <c r="N44" s="124"/>
      <c r="O44" s="124"/>
      <c r="P44" s="124"/>
      <c r="Q44" s="124"/>
      <c r="R44" s="124"/>
      <c r="S44" s="124"/>
      <c r="T44" s="124"/>
      <c r="U44" s="124"/>
      <c r="V44" s="124"/>
    </row>
    <row r="45" spans="2:22" x14ac:dyDescent="0.25">
      <c r="B45" s="122"/>
      <c r="C45" s="122"/>
      <c r="D45" s="122"/>
      <c r="E45" s="133"/>
      <c r="F45" s="124"/>
      <c r="G45" s="122"/>
      <c r="H45" s="124"/>
      <c r="I45" s="124"/>
      <c r="J45" s="124"/>
      <c r="K45" s="124"/>
      <c r="L45" s="124"/>
      <c r="M45" s="124"/>
      <c r="N45" s="124"/>
      <c r="O45" s="124"/>
      <c r="P45" s="124"/>
      <c r="Q45" s="124"/>
      <c r="R45" s="124"/>
      <c r="S45" s="124"/>
      <c r="T45" s="124"/>
      <c r="U45" s="124"/>
      <c r="V45" s="124"/>
    </row>
    <row r="46" spans="2:22" x14ac:dyDescent="0.25">
      <c r="B46" s="122"/>
      <c r="C46" s="122"/>
      <c r="D46" s="122"/>
      <c r="E46" s="133"/>
      <c r="F46" s="124"/>
      <c r="G46" s="127"/>
      <c r="H46" s="124"/>
      <c r="I46" s="124"/>
      <c r="J46" s="124"/>
      <c r="K46" s="124"/>
      <c r="L46" s="124"/>
      <c r="M46" s="124"/>
      <c r="N46" s="124"/>
      <c r="O46" s="124"/>
      <c r="P46" s="124"/>
      <c r="Q46" s="124"/>
      <c r="R46" s="124"/>
      <c r="S46" s="124"/>
      <c r="T46" s="124"/>
      <c r="U46" s="124"/>
      <c r="V46" s="124"/>
    </row>
    <row r="47" spans="2:22" x14ac:dyDescent="0.25">
      <c r="B47" s="122"/>
      <c r="C47" s="122"/>
      <c r="D47" s="122"/>
      <c r="E47" s="133"/>
      <c r="F47" s="124"/>
      <c r="G47" s="122"/>
      <c r="H47" s="124"/>
      <c r="I47" s="124"/>
      <c r="J47" s="124"/>
      <c r="K47" s="124"/>
      <c r="L47" s="124"/>
      <c r="M47" s="124"/>
      <c r="N47" s="124"/>
      <c r="O47" s="124"/>
      <c r="P47" s="124"/>
      <c r="Q47" s="124"/>
      <c r="R47" s="124"/>
      <c r="S47" s="124"/>
      <c r="T47" s="124"/>
      <c r="U47" s="124"/>
      <c r="V47" s="124"/>
    </row>
    <row r="48" spans="2:22" x14ac:dyDescent="0.25">
      <c r="B48" s="122"/>
      <c r="C48" s="122"/>
      <c r="D48" s="122"/>
      <c r="E48" s="133"/>
      <c r="F48" s="124"/>
      <c r="G48" s="122"/>
      <c r="H48" s="124"/>
      <c r="I48" s="124"/>
      <c r="J48" s="124"/>
      <c r="K48" s="124"/>
      <c r="L48" s="124"/>
      <c r="M48" s="124"/>
      <c r="N48" s="124"/>
      <c r="O48" s="124"/>
      <c r="P48" s="124"/>
      <c r="Q48" s="124"/>
      <c r="R48" s="124"/>
      <c r="S48" s="124"/>
      <c r="T48" s="124"/>
      <c r="U48" s="124"/>
      <c r="V48" s="124"/>
    </row>
    <row r="49" spans="1:22" x14ac:dyDescent="0.25">
      <c r="A49" s="122"/>
      <c r="B49" s="122"/>
      <c r="C49" s="122"/>
      <c r="D49" s="122"/>
      <c r="E49" s="133"/>
      <c r="F49" s="124"/>
      <c r="G49" s="141"/>
      <c r="H49" s="124"/>
      <c r="I49" s="124"/>
      <c r="J49" s="124"/>
      <c r="K49" s="124"/>
      <c r="L49" s="124"/>
      <c r="M49" s="124"/>
      <c r="N49" s="124"/>
      <c r="O49" s="124"/>
      <c r="P49" s="124"/>
      <c r="Q49" s="124"/>
      <c r="R49" s="124"/>
      <c r="S49" s="124"/>
      <c r="T49" s="124"/>
      <c r="U49" s="124"/>
      <c r="V49" s="124"/>
    </row>
    <row r="50" spans="1:22" x14ac:dyDescent="0.25">
      <c r="A50" s="122"/>
      <c r="B50" s="122"/>
      <c r="C50" s="122"/>
      <c r="D50" s="122"/>
      <c r="E50" s="133"/>
      <c r="F50" s="124"/>
      <c r="G50" s="139"/>
      <c r="H50" s="124"/>
      <c r="I50" s="124"/>
      <c r="J50" s="124"/>
      <c r="K50" s="124"/>
      <c r="L50" s="124"/>
      <c r="M50" s="124"/>
      <c r="N50" s="124"/>
      <c r="O50" s="124"/>
      <c r="P50" s="124"/>
      <c r="Q50" s="124"/>
      <c r="R50" s="124"/>
      <c r="S50" s="124"/>
      <c r="T50" s="124"/>
      <c r="U50" s="124"/>
      <c r="V50" s="124"/>
    </row>
    <row r="51" spans="1:22" x14ac:dyDescent="0.25">
      <c r="A51" s="122"/>
      <c r="B51" s="122"/>
      <c r="C51" s="122"/>
      <c r="D51" s="122"/>
      <c r="E51" s="133"/>
      <c r="F51" s="133"/>
      <c r="G51" s="133"/>
      <c r="H51" s="124"/>
      <c r="I51" s="124"/>
      <c r="J51" s="124"/>
      <c r="K51" s="124"/>
      <c r="L51" s="124"/>
      <c r="M51" s="124"/>
      <c r="N51" s="124"/>
      <c r="O51" s="124"/>
      <c r="P51" s="124"/>
      <c r="Q51" s="124"/>
      <c r="R51" s="124"/>
      <c r="S51" s="124"/>
      <c r="T51" s="124"/>
      <c r="U51" s="124"/>
      <c r="V51" s="124"/>
    </row>
    <row r="52" spans="1:22" x14ac:dyDescent="0.25">
      <c r="A52" s="122"/>
      <c r="B52" s="122"/>
      <c r="C52" s="122"/>
      <c r="D52" s="122"/>
      <c r="E52" s="133"/>
      <c r="F52" s="133"/>
      <c r="G52" s="133"/>
      <c r="H52" s="124"/>
      <c r="I52" s="124"/>
      <c r="J52" s="124"/>
      <c r="K52" s="124"/>
      <c r="L52" s="124"/>
      <c r="M52" s="124"/>
      <c r="N52" s="124"/>
      <c r="O52" s="124"/>
      <c r="P52" s="124"/>
      <c r="Q52" s="124"/>
      <c r="R52" s="124"/>
      <c r="S52" s="124"/>
      <c r="T52" s="124"/>
      <c r="U52" s="124"/>
      <c r="V52" s="124"/>
    </row>
    <row r="53" spans="1:22" x14ac:dyDescent="0.25">
      <c r="A53" s="124"/>
      <c r="B53" s="124"/>
      <c r="C53" s="132"/>
      <c r="D53" s="133"/>
      <c r="E53" s="133"/>
      <c r="F53" s="133"/>
      <c r="G53" s="133"/>
      <c r="H53" s="124"/>
      <c r="I53" s="124"/>
      <c r="J53" s="124"/>
      <c r="K53" s="124"/>
      <c r="L53" s="124"/>
      <c r="M53" s="124"/>
      <c r="N53" s="124"/>
      <c r="O53" s="124"/>
      <c r="P53" s="124"/>
      <c r="Q53" s="124"/>
      <c r="R53" s="124"/>
      <c r="S53" s="124"/>
      <c r="T53" s="124"/>
      <c r="U53" s="124"/>
      <c r="V53" s="124"/>
    </row>
    <row r="54" spans="1:22" x14ac:dyDescent="0.25">
      <c r="A54" s="124"/>
      <c r="B54" s="124"/>
      <c r="C54" s="132"/>
      <c r="D54" s="133"/>
      <c r="E54" s="133"/>
      <c r="F54" s="133"/>
      <c r="G54" s="133"/>
      <c r="H54" s="124"/>
      <c r="I54" s="124"/>
      <c r="J54" s="124"/>
      <c r="K54" s="124"/>
      <c r="L54" s="124"/>
      <c r="M54" s="124"/>
      <c r="N54" s="124"/>
      <c r="O54" s="124"/>
      <c r="P54" s="124"/>
      <c r="Q54" s="124"/>
      <c r="R54" s="124"/>
      <c r="S54" s="124"/>
      <c r="T54" s="124"/>
      <c r="U54" s="124"/>
      <c r="V54" s="124"/>
    </row>
    <row r="55" spans="1:22" x14ac:dyDescent="0.25">
      <c r="A55" s="124"/>
      <c r="B55" s="124"/>
      <c r="C55" s="132"/>
      <c r="D55" s="133"/>
      <c r="E55" s="133"/>
      <c r="F55" s="133"/>
      <c r="G55" s="133"/>
      <c r="H55" s="124"/>
      <c r="I55" s="124"/>
      <c r="J55" s="124"/>
      <c r="K55" s="124"/>
      <c r="L55" s="124"/>
      <c r="M55" s="124"/>
      <c r="N55" s="124"/>
      <c r="O55" s="124"/>
      <c r="P55" s="124"/>
      <c r="Q55" s="124"/>
      <c r="R55" s="124"/>
      <c r="S55" s="124"/>
      <c r="T55" s="124"/>
      <c r="U55" s="124"/>
      <c r="V55" s="124"/>
    </row>
    <row r="56" spans="1:22" x14ac:dyDescent="0.25">
      <c r="A56" s="124"/>
      <c r="B56" s="124"/>
      <c r="C56" s="132"/>
      <c r="D56" s="133"/>
      <c r="E56" s="133"/>
      <c r="F56" s="133"/>
      <c r="G56" s="133"/>
      <c r="H56" s="124"/>
      <c r="I56" s="122"/>
      <c r="J56" s="122"/>
      <c r="K56" s="122"/>
      <c r="L56" s="122"/>
      <c r="M56" s="122"/>
      <c r="N56" s="122"/>
      <c r="O56" s="122"/>
      <c r="P56" s="122"/>
      <c r="Q56" s="122"/>
      <c r="R56" s="122"/>
      <c r="S56" s="122"/>
      <c r="T56" s="122"/>
      <c r="U56" s="122"/>
      <c r="V56" s="122"/>
    </row>
    <row r="57" spans="1:22" x14ac:dyDescent="0.25">
      <c r="A57" s="124"/>
      <c r="B57" s="124"/>
      <c r="C57" s="132"/>
      <c r="D57" s="133"/>
      <c r="E57" s="133"/>
      <c r="F57" s="133"/>
      <c r="G57" s="133"/>
      <c r="H57" s="122"/>
      <c r="I57" s="122"/>
      <c r="J57" s="122"/>
      <c r="K57" s="122"/>
      <c r="L57" s="122"/>
      <c r="M57" s="122"/>
      <c r="N57" s="122"/>
      <c r="O57" s="122"/>
      <c r="P57" s="122"/>
      <c r="Q57" s="122"/>
      <c r="R57" s="122"/>
      <c r="S57" s="122"/>
      <c r="T57" s="122"/>
      <c r="U57" s="122"/>
      <c r="V57" s="122"/>
    </row>
    <row r="58" spans="1:22" x14ac:dyDescent="0.25">
      <c r="A58" s="124"/>
      <c r="B58" s="124"/>
      <c r="C58" s="132"/>
      <c r="D58" s="133"/>
      <c r="E58" s="133"/>
      <c r="F58" s="133"/>
      <c r="G58" s="133"/>
      <c r="H58" s="122"/>
      <c r="I58" s="122"/>
      <c r="J58" s="122"/>
      <c r="K58" s="122"/>
      <c r="L58" s="122"/>
      <c r="M58" s="122"/>
      <c r="N58" s="122"/>
      <c r="O58" s="122"/>
      <c r="P58" s="122"/>
      <c r="Q58" s="122"/>
      <c r="R58" s="122"/>
      <c r="S58" s="122"/>
      <c r="T58" s="122"/>
      <c r="U58" s="122"/>
      <c r="V58" s="122"/>
    </row>
    <row r="59" spans="1:22" x14ac:dyDescent="0.25">
      <c r="A59" s="124"/>
      <c r="B59" s="124"/>
      <c r="C59" s="132"/>
      <c r="D59" s="133"/>
      <c r="E59" s="133"/>
      <c r="F59" s="133"/>
      <c r="G59" s="133"/>
      <c r="H59" s="122"/>
      <c r="I59" s="122"/>
      <c r="J59" s="122"/>
      <c r="K59" s="122"/>
      <c r="L59" s="122"/>
      <c r="M59" s="122"/>
      <c r="N59" s="122"/>
      <c r="O59" s="122"/>
      <c r="P59" s="122"/>
      <c r="Q59" s="122"/>
      <c r="R59" s="122"/>
      <c r="S59" s="122"/>
      <c r="T59" s="122"/>
      <c r="U59" s="122"/>
      <c r="V59" s="122"/>
    </row>
    <row r="60" spans="1:22" x14ac:dyDescent="0.25">
      <c r="A60" s="124"/>
      <c r="B60" s="124"/>
      <c r="C60" s="132"/>
      <c r="D60" s="133"/>
      <c r="E60" s="133"/>
      <c r="F60" s="133"/>
      <c r="G60" s="133"/>
      <c r="H60" s="122"/>
      <c r="I60" s="122"/>
      <c r="J60" s="122"/>
      <c r="K60" s="122"/>
      <c r="L60" s="122"/>
      <c r="M60" s="122"/>
      <c r="N60" s="122"/>
      <c r="O60" s="122"/>
      <c r="P60" s="122"/>
      <c r="Q60" s="122"/>
      <c r="R60" s="122"/>
      <c r="S60" s="122"/>
      <c r="T60" s="122"/>
      <c r="U60" s="122"/>
      <c r="V60" s="122"/>
    </row>
    <row r="61" spans="1:22" x14ac:dyDescent="0.25">
      <c r="A61" s="124"/>
      <c r="B61" s="124"/>
      <c r="C61" s="132"/>
      <c r="D61" s="133"/>
      <c r="E61" s="133"/>
      <c r="F61" s="133"/>
      <c r="G61" s="133"/>
      <c r="H61" s="122"/>
      <c r="I61" s="122"/>
      <c r="J61" s="122"/>
      <c r="K61" s="122"/>
      <c r="L61" s="122"/>
      <c r="M61" s="122"/>
      <c r="N61" s="122"/>
      <c r="O61" s="122"/>
      <c r="P61" s="122"/>
      <c r="Q61" s="122"/>
      <c r="R61" s="122"/>
      <c r="S61" s="122"/>
      <c r="T61" s="122"/>
      <c r="U61" s="122"/>
      <c r="V61" s="122"/>
    </row>
    <row r="62" spans="1:22" x14ac:dyDescent="0.25">
      <c r="A62" s="124"/>
      <c r="B62" s="124"/>
      <c r="C62" s="132"/>
      <c r="D62" s="133"/>
      <c r="E62" s="133"/>
      <c r="F62" s="133"/>
      <c r="G62" s="133"/>
      <c r="H62" s="122"/>
      <c r="I62" s="122"/>
      <c r="J62" s="122"/>
      <c r="K62" s="122"/>
      <c r="L62" s="122"/>
      <c r="M62" s="122"/>
      <c r="N62" s="122"/>
      <c r="O62" s="122"/>
      <c r="P62" s="122"/>
      <c r="Q62" s="122"/>
      <c r="R62" s="122"/>
      <c r="S62" s="122"/>
      <c r="T62" s="122"/>
      <c r="U62" s="122"/>
      <c r="V62" s="122"/>
    </row>
    <row r="63" spans="1:22" x14ac:dyDescent="0.25">
      <c r="A63" s="124"/>
      <c r="B63" s="124"/>
      <c r="C63" s="132"/>
      <c r="D63" s="133"/>
      <c r="E63" s="133"/>
      <c r="F63" s="133"/>
      <c r="G63" s="133"/>
      <c r="H63" s="122"/>
      <c r="I63" s="122"/>
      <c r="J63" s="122"/>
      <c r="K63" s="122"/>
      <c r="L63" s="122"/>
      <c r="M63" s="122"/>
      <c r="N63" s="122"/>
      <c r="O63" s="122"/>
      <c r="P63" s="122"/>
      <c r="Q63" s="122"/>
      <c r="R63" s="122"/>
      <c r="S63" s="122"/>
      <c r="T63" s="122"/>
      <c r="U63" s="122"/>
      <c r="V63" s="122"/>
    </row>
    <row r="64" spans="1:22" x14ac:dyDescent="0.25">
      <c r="A64" s="124"/>
      <c r="B64" s="124"/>
      <c r="C64" s="132"/>
      <c r="D64" s="133"/>
      <c r="E64" s="133"/>
      <c r="F64" s="133"/>
      <c r="G64" s="133"/>
      <c r="H64" s="122"/>
      <c r="I64" s="122"/>
      <c r="J64" s="122"/>
      <c r="K64" s="122"/>
      <c r="L64" s="122"/>
      <c r="M64" s="122"/>
      <c r="N64" s="122"/>
      <c r="O64" s="122"/>
      <c r="P64" s="122"/>
      <c r="Q64" s="122"/>
      <c r="R64" s="122"/>
      <c r="S64" s="122"/>
      <c r="T64" s="122"/>
      <c r="U64" s="122"/>
      <c r="V64" s="122"/>
    </row>
    <row r="65" spans="1:7" x14ac:dyDescent="0.25">
      <c r="A65" s="124"/>
      <c r="B65" s="124"/>
      <c r="C65" s="132"/>
      <c r="D65" s="133"/>
      <c r="E65" s="133"/>
      <c r="F65" s="133"/>
      <c r="G65" s="133"/>
    </row>
    <row r="66" spans="1:7" x14ac:dyDescent="0.25">
      <c r="A66" s="124"/>
      <c r="B66" s="124"/>
      <c r="C66" s="132"/>
      <c r="D66" s="133"/>
      <c r="E66" s="133"/>
      <c r="F66" s="133"/>
      <c r="G66" s="133"/>
    </row>
    <row r="67" spans="1:7" x14ac:dyDescent="0.25">
      <c r="A67" s="124"/>
      <c r="B67" s="124"/>
      <c r="C67" s="132"/>
      <c r="D67" s="133"/>
      <c r="E67" s="133"/>
      <c r="F67" s="133"/>
      <c r="G67" s="133"/>
    </row>
    <row r="68" spans="1:7" x14ac:dyDescent="0.25">
      <c r="A68" s="124"/>
      <c r="B68" s="124"/>
      <c r="C68" s="132"/>
      <c r="D68" s="133"/>
      <c r="E68" s="133"/>
      <c r="F68" s="133"/>
      <c r="G68" s="133"/>
    </row>
    <row r="69" spans="1:7" x14ac:dyDescent="0.25">
      <c r="A69" s="124"/>
      <c r="B69" s="124"/>
      <c r="C69" s="132"/>
      <c r="D69" s="133"/>
      <c r="E69" s="133"/>
      <c r="F69" s="133"/>
      <c r="G69" s="133"/>
    </row>
    <row r="70" spans="1:7" x14ac:dyDescent="0.25">
      <c r="A70" s="124"/>
      <c r="B70" s="124"/>
      <c r="C70" s="122"/>
      <c r="D70" s="122"/>
      <c r="E70" s="122"/>
      <c r="F70" s="122"/>
      <c r="G70" s="122"/>
    </row>
  </sheetData>
  <mergeCells count="3">
    <mergeCell ref="C2:E2"/>
    <mergeCell ref="N5:P5"/>
    <mergeCell ref="R5:T5"/>
  </mergeCells>
  <pageMargins left="0.7" right="0.7" top="0.75" bottom="0.75" header="0.3" footer="0.3"/>
  <pageSetup orientation="portrait" horizontalDpi="1200" verticalDpi="12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5:Y61"/>
  <sheetViews>
    <sheetView topLeftCell="A21" zoomScale="85" zoomScaleNormal="85" workbookViewId="0">
      <selection activeCell="M21" sqref="M21"/>
    </sheetView>
  </sheetViews>
  <sheetFormatPr defaultRowHeight="13.2" x14ac:dyDescent="0.25"/>
  <cols>
    <col min="4" max="4" width="37.44140625" customWidth="1"/>
    <col min="5" max="5" width="15.77734375" customWidth="1"/>
    <col min="9" max="9" width="13.21875" customWidth="1"/>
    <col min="10" max="10" width="11.77734375" customWidth="1"/>
    <col min="11" max="11" width="11.44140625" customWidth="1"/>
    <col min="12" max="12" width="15" customWidth="1"/>
    <col min="13" max="13" width="13.77734375" customWidth="1"/>
  </cols>
  <sheetData>
    <row r="5" spans="3:4" x14ac:dyDescent="0.25">
      <c r="C5" s="113" t="s">
        <v>279</v>
      </c>
      <c r="D5" s="110"/>
    </row>
    <row r="7" spans="3:4" x14ac:dyDescent="0.25">
      <c r="C7" s="113" t="s">
        <v>280</v>
      </c>
      <c r="D7" s="110"/>
    </row>
    <row r="8" spans="3:4" x14ac:dyDescent="0.25">
      <c r="C8" s="113" t="s">
        <v>281</v>
      </c>
      <c r="D8" s="110"/>
    </row>
    <row r="10" spans="3:4" x14ac:dyDescent="0.25">
      <c r="C10" s="113" t="s">
        <v>282</v>
      </c>
      <c r="D10" s="110"/>
    </row>
    <row r="11" spans="3:4" x14ac:dyDescent="0.25">
      <c r="C11" s="113" t="s">
        <v>348</v>
      </c>
      <c r="D11" s="110"/>
    </row>
    <row r="12" spans="3:4" x14ac:dyDescent="0.25">
      <c r="C12" s="113" t="s">
        <v>349</v>
      </c>
      <c r="D12" s="110"/>
    </row>
    <row r="13" spans="3:4" x14ac:dyDescent="0.25">
      <c r="C13" s="113" t="s">
        <v>350</v>
      </c>
      <c r="D13" s="110"/>
    </row>
    <row r="14" spans="3:4" x14ac:dyDescent="0.25">
      <c r="C14" s="113" t="s">
        <v>293</v>
      </c>
      <c r="D14" s="113" t="s">
        <v>294</v>
      </c>
    </row>
    <row r="15" spans="3:4" ht="12" customHeight="1" x14ac:dyDescent="0.25">
      <c r="C15" s="113"/>
      <c r="D15" s="113" t="s">
        <v>296</v>
      </c>
    </row>
    <row r="16" spans="3:4" ht="12" customHeight="1" x14ac:dyDescent="0.25">
      <c r="C16" s="113"/>
      <c r="D16" s="113"/>
    </row>
    <row r="17" spans="3:13" ht="12" customHeight="1" x14ac:dyDescent="0.25">
      <c r="C17" s="113"/>
      <c r="D17" s="113"/>
      <c r="E17" s="110"/>
      <c r="F17" s="110"/>
      <c r="G17" s="110"/>
      <c r="H17" s="110"/>
      <c r="I17" s="110"/>
      <c r="J17" s="110"/>
      <c r="K17" s="110"/>
      <c r="L17" s="110"/>
      <c r="M17" s="110"/>
    </row>
    <row r="18" spans="3:13" ht="12" customHeight="1" x14ac:dyDescent="0.25">
      <c r="C18" s="113"/>
      <c r="D18" s="117" t="s">
        <v>311</v>
      </c>
      <c r="E18" s="110"/>
      <c r="F18" s="110"/>
      <c r="G18" s="110"/>
      <c r="H18" s="110"/>
      <c r="I18" s="110"/>
      <c r="J18" s="110"/>
      <c r="K18" s="110"/>
      <c r="L18" s="110"/>
      <c r="M18" s="110"/>
    </row>
    <row r="19" spans="3:13" x14ac:dyDescent="0.25">
      <c r="C19" s="113"/>
      <c r="D19" s="113" t="s">
        <v>309</v>
      </c>
      <c r="E19" s="110">
        <f>SOA!H25</f>
        <v>81.400000000000006</v>
      </c>
      <c r="F19" s="110"/>
      <c r="G19" s="110"/>
      <c r="H19" s="110"/>
      <c r="I19" s="110"/>
      <c r="J19" s="110"/>
      <c r="K19" s="110"/>
      <c r="L19" s="110"/>
      <c r="M19" s="110"/>
    </row>
    <row r="20" spans="3:13" x14ac:dyDescent="0.25">
      <c r="C20" s="110"/>
      <c r="D20" s="113" t="s">
        <v>291</v>
      </c>
      <c r="E20" s="110">
        <v>1.3</v>
      </c>
      <c r="F20" s="110"/>
      <c r="G20" s="110"/>
      <c r="H20" s="110"/>
      <c r="I20" s="118" t="s">
        <v>300</v>
      </c>
      <c r="J20" s="110"/>
      <c r="K20" s="116"/>
      <c r="L20" s="116"/>
      <c r="M20" s="116"/>
    </row>
    <row r="21" spans="3:13" x14ac:dyDescent="0.25">
      <c r="C21" s="110"/>
      <c r="D21" s="113" t="s">
        <v>283</v>
      </c>
      <c r="E21" s="110">
        <f>1/2*COUTMAX*VINMAX^2*0.000001</f>
        <v>1.44E-2</v>
      </c>
      <c r="F21" s="110"/>
      <c r="G21" s="110"/>
      <c r="H21" s="110"/>
      <c r="I21" s="110"/>
      <c r="J21" s="117" t="s">
        <v>301</v>
      </c>
      <c r="K21" s="121" t="s">
        <v>302</v>
      </c>
      <c r="L21" s="121" t="s">
        <v>303</v>
      </c>
      <c r="M21" s="121" t="s">
        <v>304</v>
      </c>
    </row>
    <row r="22" spans="3:13" x14ac:dyDescent="0.25">
      <c r="C22" s="110"/>
      <c r="D22" s="113" t="s">
        <v>285</v>
      </c>
      <c r="E22" s="110">
        <f>MAX(Equations!F68-E21,0)</f>
        <v>0</v>
      </c>
      <c r="F22" s="110"/>
      <c r="G22" s="110"/>
      <c r="H22" s="110"/>
      <c r="I22" s="118" t="s">
        <v>305</v>
      </c>
      <c r="J22" s="114">
        <v>0.1</v>
      </c>
      <c r="K22" s="111">
        <v>1</v>
      </c>
      <c r="L22" s="116">
        <v>10</v>
      </c>
      <c r="M22" s="115">
        <v>100</v>
      </c>
    </row>
    <row r="23" spans="3:13" x14ac:dyDescent="0.25">
      <c r="C23" s="110"/>
      <c r="D23" s="113" t="s">
        <v>286</v>
      </c>
      <c r="E23" s="110">
        <f>Equations!F67</f>
        <v>109.09090909090909</v>
      </c>
      <c r="F23" s="110"/>
      <c r="G23" s="110"/>
      <c r="H23" s="110"/>
      <c r="I23" s="114" t="s">
        <v>306</v>
      </c>
      <c r="J23" s="111">
        <v>1</v>
      </c>
      <c r="K23" s="111">
        <v>10</v>
      </c>
      <c r="L23" s="116">
        <v>100</v>
      </c>
      <c r="M23" s="115">
        <v>1000</v>
      </c>
    </row>
    <row r="24" spans="3:13" x14ac:dyDescent="0.25">
      <c r="C24" s="110"/>
      <c r="D24" s="110"/>
      <c r="E24" s="110"/>
      <c r="F24" s="110"/>
      <c r="G24" s="110"/>
      <c r="H24" s="110"/>
      <c r="I24" s="114" t="s">
        <v>132</v>
      </c>
      <c r="J24" s="111">
        <f>SOA!C33</f>
        <v>5.5000000000000009</v>
      </c>
      <c r="K24" s="111">
        <f>SOA!D33</f>
        <v>5.5</v>
      </c>
      <c r="L24" s="111">
        <f>SOA!E33</f>
        <v>4.9999999999999991</v>
      </c>
      <c r="M24" s="111">
        <f>SOA!F33</f>
        <v>1.8</v>
      </c>
    </row>
    <row r="25" spans="3:13" x14ac:dyDescent="0.25">
      <c r="C25" s="110"/>
      <c r="D25" s="110" t="s">
        <v>139</v>
      </c>
      <c r="E25" s="110">
        <f>'Design Calculator'!F68</f>
        <v>24</v>
      </c>
      <c r="F25" s="110"/>
      <c r="G25" s="110"/>
      <c r="H25" s="110"/>
      <c r="I25" s="114" t="s">
        <v>133</v>
      </c>
      <c r="J25" s="109">
        <f>SOA!C34</f>
        <v>-0.43572856956143735</v>
      </c>
      <c r="K25" s="109">
        <f>SOA!D34</f>
        <v>-0.2632414347745814</v>
      </c>
      <c r="L25" s="109">
        <f>SOA!E34</f>
        <v>-0.22184874961635634</v>
      </c>
      <c r="M25" s="109">
        <f>SOA!F34</f>
        <v>0</v>
      </c>
    </row>
    <row r="26" spans="3:13" x14ac:dyDescent="0.25">
      <c r="C26" s="110"/>
      <c r="D26" s="110" t="s">
        <v>85</v>
      </c>
      <c r="E26" s="110" t="str">
        <f>'Design Calculator'!F69</f>
        <v>Constant Current</v>
      </c>
      <c r="F26" s="110"/>
      <c r="G26" s="110"/>
      <c r="H26" s="110"/>
      <c r="I26" s="110"/>
      <c r="J26" s="110"/>
      <c r="K26" s="110"/>
      <c r="L26" s="110"/>
      <c r="M26" s="110"/>
    </row>
    <row r="27" spans="3:13" x14ac:dyDescent="0.25">
      <c r="C27" s="122"/>
      <c r="D27" s="110" t="s">
        <v>86</v>
      </c>
      <c r="E27" s="110">
        <f>'Design Calculator'!F70</f>
        <v>1.1000000000000001</v>
      </c>
      <c r="F27" s="122"/>
      <c r="G27" s="122"/>
      <c r="H27" s="122"/>
      <c r="I27" s="122"/>
      <c r="J27" s="122"/>
      <c r="K27" s="122"/>
      <c r="L27" s="122"/>
      <c r="M27" s="122"/>
    </row>
    <row r="28" spans="3:13" x14ac:dyDescent="0.25">
      <c r="C28" s="110"/>
      <c r="F28" s="110"/>
      <c r="I28" s="110"/>
      <c r="J28" s="110"/>
      <c r="K28" s="119" t="s">
        <v>322</v>
      </c>
      <c r="L28" s="117" t="s">
        <v>99</v>
      </c>
      <c r="M28" s="110"/>
    </row>
    <row r="29" spans="3:13" x14ac:dyDescent="0.25">
      <c r="C29" s="110"/>
      <c r="D29" s="110" t="s">
        <v>373</v>
      </c>
      <c r="E29" s="110">
        <f>'Design Calculator'!F67/VINMAX/3</f>
        <v>0.35888601780074647</v>
      </c>
      <c r="F29" s="110"/>
      <c r="I29" s="110" t="s">
        <v>320</v>
      </c>
      <c r="J29" s="110"/>
      <c r="K29" s="112">
        <f>SUM(E60:X60)</f>
        <v>7.1777203560149294</v>
      </c>
      <c r="L29" s="112">
        <f>IF(K29=0, "NA", K29/AVERAGE(1, E33))</f>
        <v>7.9815571473633096</v>
      </c>
      <c r="M29" s="110"/>
    </row>
    <row r="30" spans="3:13" x14ac:dyDescent="0.25">
      <c r="C30" s="110"/>
      <c r="D30" s="113" t="s">
        <v>346</v>
      </c>
      <c r="E30" s="110">
        <f>dv_dt_recommendations!E29/(0.001*COUTMAX)</f>
        <v>7.1777203560149294</v>
      </c>
      <c r="F30" s="110"/>
      <c r="I30" s="110" t="s">
        <v>321</v>
      </c>
      <c r="J30" s="110"/>
      <c r="K30" s="112">
        <f>SUM(E61:X61)</f>
        <v>0.10000000000000014</v>
      </c>
      <c r="L30" s="112">
        <f>IF(K30=0, "NA", K30*AVERAGE(1,E33))</f>
        <v>8.9928822452722573E-2</v>
      </c>
      <c r="M30" s="110"/>
    </row>
    <row r="31" spans="3:13" x14ac:dyDescent="0.25">
      <c r="C31" s="110"/>
      <c r="D31" s="113" t="s">
        <v>347</v>
      </c>
      <c r="E31" s="110">
        <v>0.1</v>
      </c>
      <c r="F31" s="110"/>
      <c r="G31" s="110"/>
      <c r="H31" s="110"/>
      <c r="I31" s="110"/>
      <c r="J31" s="110"/>
      <c r="K31" s="110"/>
      <c r="L31" s="110"/>
      <c r="M31" s="110"/>
    </row>
    <row r="32" spans="3:13" x14ac:dyDescent="0.25">
      <c r="C32" s="110"/>
      <c r="D32" s="113" t="s">
        <v>312</v>
      </c>
      <c r="E32" s="110">
        <v>20</v>
      </c>
      <c r="F32" s="110"/>
      <c r="G32" s="110"/>
      <c r="H32" s="110"/>
      <c r="I32" s="110"/>
      <c r="J32" s="110"/>
      <c r="K32" s="110"/>
      <c r="L32" s="110"/>
      <c r="M32" s="110"/>
    </row>
    <row r="33" spans="3:24" x14ac:dyDescent="0.25">
      <c r="C33" s="110"/>
      <c r="D33" s="113" t="s">
        <v>313</v>
      </c>
      <c r="E33" s="110">
        <f>(E31/E30)^(1/(E32-1))</f>
        <v>0.79857644905444891</v>
      </c>
      <c r="F33" s="110"/>
      <c r="G33" s="110"/>
      <c r="H33" s="110"/>
      <c r="I33" s="110"/>
      <c r="J33" s="110"/>
      <c r="K33" s="110"/>
      <c r="L33" s="110"/>
      <c r="M33" s="110"/>
    </row>
    <row r="34" spans="3:24" x14ac:dyDescent="0.25">
      <c r="C34" s="122"/>
      <c r="D34" s="126"/>
      <c r="E34" s="122"/>
      <c r="F34" s="122"/>
      <c r="G34" s="122"/>
      <c r="H34" s="122"/>
      <c r="I34" s="122"/>
      <c r="J34" s="122"/>
      <c r="K34" s="122"/>
      <c r="L34" s="122"/>
      <c r="M34" s="122"/>
    </row>
    <row r="35" spans="3:24" x14ac:dyDescent="0.25">
      <c r="D35" s="113" t="s">
        <v>372</v>
      </c>
      <c r="E35" s="110"/>
      <c r="F35" s="110"/>
      <c r="G35" s="110"/>
      <c r="H35" s="110"/>
      <c r="I35" s="110"/>
      <c r="J35" s="110"/>
      <c r="K35" s="110"/>
      <c r="L35" s="110"/>
      <c r="M35" s="110"/>
      <c r="N35" s="110"/>
      <c r="O35" s="110"/>
      <c r="P35" s="110"/>
      <c r="Q35" s="110"/>
      <c r="R35" s="110"/>
      <c r="S35" s="110"/>
      <c r="T35" s="110"/>
      <c r="U35" s="110"/>
      <c r="V35" s="110"/>
      <c r="W35" s="110"/>
      <c r="X35" s="110"/>
    </row>
    <row r="36" spans="3:24" x14ac:dyDescent="0.25">
      <c r="D36" s="110"/>
      <c r="E36" s="110">
        <v>1</v>
      </c>
      <c r="F36" s="110">
        <v>2</v>
      </c>
      <c r="G36" s="110">
        <v>3</v>
      </c>
      <c r="H36" s="110">
        <v>4</v>
      </c>
      <c r="I36" s="110">
        <v>5</v>
      </c>
      <c r="J36" s="110">
        <v>6</v>
      </c>
      <c r="K36" s="110">
        <v>7</v>
      </c>
      <c r="L36" s="110">
        <v>8</v>
      </c>
      <c r="M36" s="110">
        <v>9</v>
      </c>
      <c r="N36" s="110">
        <v>10</v>
      </c>
      <c r="O36" s="110">
        <v>11</v>
      </c>
      <c r="P36" s="110">
        <v>12</v>
      </c>
      <c r="Q36" s="110">
        <v>13</v>
      </c>
      <c r="R36" s="110">
        <v>14</v>
      </c>
      <c r="S36" s="110">
        <v>15</v>
      </c>
      <c r="T36" s="110">
        <v>16</v>
      </c>
      <c r="U36" s="110">
        <v>17</v>
      </c>
      <c r="V36" s="110">
        <v>18</v>
      </c>
      <c r="W36" s="110">
        <v>19</v>
      </c>
      <c r="X36" s="110">
        <v>20</v>
      </c>
    </row>
    <row r="37" spans="3:24" x14ac:dyDescent="0.25">
      <c r="D37" s="120" t="s">
        <v>284</v>
      </c>
      <c r="E37" s="120">
        <f>E30</f>
        <v>7.1777203560149294</v>
      </c>
      <c r="F37" s="120">
        <f t="shared" ref="F37:X37" si="0">E37*$E$33</f>
        <v>5.7319584342122374</v>
      </c>
      <c r="G37" s="120">
        <f t="shared" si="0"/>
        <v>4.5774070125209079</v>
      </c>
      <c r="H37" s="120">
        <f t="shared" si="0"/>
        <v>3.6554094379358801</v>
      </c>
      <c r="I37" s="120">
        <f t="shared" si="0"/>
        <v>2.9191238887869542</v>
      </c>
      <c r="J37" s="120">
        <f t="shared" si="0"/>
        <v>2.3311435894575001</v>
      </c>
      <c r="K37" s="120">
        <f t="shared" si="0"/>
        <v>1.8615963699050124</v>
      </c>
      <c r="L37" s="120">
        <f t="shared" si="0"/>
        <v>1.4866270186513972</v>
      </c>
      <c r="M37" s="120">
        <f t="shared" si="0"/>
        <v>1.1871853256230347</v>
      </c>
      <c r="N37" s="120">
        <f t="shared" si="0"/>
        <v>0.94805824170559272</v>
      </c>
      <c r="O37" s="120">
        <f t="shared" si="0"/>
        <v>0.75709698415805671</v>
      </c>
      <c r="P37" s="120">
        <f t="shared" si="0"/>
        <v>0.60459982119877331</v>
      </c>
      <c r="Q37" s="120">
        <f t="shared" si="0"/>
        <v>0.4828191783118711</v>
      </c>
      <c r="R37" s="120">
        <f t="shared" si="0"/>
        <v>0.3855680249516808</v>
      </c>
      <c r="S37" s="120">
        <f t="shared" si="0"/>
        <v>0.30790554423485039</v>
      </c>
      <c r="T37" s="120">
        <f t="shared" si="0"/>
        <v>0.24588611615924438</v>
      </c>
      <c r="U37" s="120">
        <f t="shared" si="0"/>
        <v>0.19635886151423912</v>
      </c>
      <c r="V37" s="120">
        <f t="shared" si="0"/>
        <v>0.15680756236841537</v>
      </c>
      <c r="W37" s="120">
        <f t="shared" si="0"/>
        <v>0.12522282634105317</v>
      </c>
      <c r="X37" s="120">
        <f t="shared" si="0"/>
        <v>0.10000000000000014</v>
      </c>
    </row>
    <row r="38" spans="3:24" x14ac:dyDescent="0.25">
      <c r="D38" s="113" t="s">
        <v>287</v>
      </c>
      <c r="E38" s="110">
        <f t="shared" ref="E38:X38" si="1">VINMAX/E37</f>
        <v>3.34368</v>
      </c>
      <c r="F38" s="110">
        <f t="shared" si="1"/>
        <v>4.1870505998005205</v>
      </c>
      <c r="G38" s="110">
        <f t="shared" si="1"/>
        <v>5.2431431014002223</v>
      </c>
      <c r="H38" s="110">
        <f t="shared" si="1"/>
        <v>6.5656119806793001</v>
      </c>
      <c r="I38" s="110">
        <f t="shared" si="1"/>
        <v>8.2216448887934082</v>
      </c>
      <c r="J38" s="110">
        <f t="shared" si="1"/>
        <v>10.295376101471827</v>
      </c>
      <c r="K38" s="110">
        <f t="shared" si="1"/>
        <v>12.892160936704338</v>
      </c>
      <c r="L38" s="110">
        <f t="shared" si="1"/>
        <v>16.143928301378342</v>
      </c>
      <c r="M38" s="110">
        <f t="shared" si="1"/>
        <v>20.215883301459108</v>
      </c>
      <c r="N38" s="110">
        <f t="shared" si="1"/>
        <v>25.314900439896068</v>
      </c>
      <c r="O38" s="110">
        <f t="shared" si="1"/>
        <v>31.700033816261506</v>
      </c>
      <c r="P38" s="110">
        <f t="shared" si="1"/>
        <v>39.695678295792213</v>
      </c>
      <c r="Q38" s="110">
        <f t="shared" si="1"/>
        <v>49.708050297242949</v>
      </c>
      <c r="R38" s="110">
        <f t="shared" si="1"/>
        <v>62.245825501239807</v>
      </c>
      <c r="S38" s="110">
        <f t="shared" si="1"/>
        <v>77.945981971972401</v>
      </c>
      <c r="T38" s="110">
        <f t="shared" si="1"/>
        <v>97.606161644591467</v>
      </c>
      <c r="U38" s="110">
        <f t="shared" si="1"/>
        <v>122.22519429437423</v>
      </c>
      <c r="V38" s="110">
        <f t="shared" si="1"/>
        <v>153.05384279625883</v>
      </c>
      <c r="W38" s="110">
        <f t="shared" si="1"/>
        <v>191.65834777306745</v>
      </c>
      <c r="X38" s="110">
        <f t="shared" si="1"/>
        <v>239.99999999999966</v>
      </c>
    </row>
    <row r="39" spans="3:24" x14ac:dyDescent="0.25">
      <c r="D39" s="113" t="s">
        <v>288</v>
      </c>
      <c r="E39" s="110">
        <f t="shared" ref="E39:X39" si="2">E37*COUTMAX/1000</f>
        <v>0.35888601780074647</v>
      </c>
      <c r="F39" s="110">
        <f t="shared" si="2"/>
        <v>0.28659792171061182</v>
      </c>
      <c r="G39" s="110">
        <f t="shared" si="2"/>
        <v>0.22887035062604538</v>
      </c>
      <c r="H39" s="110">
        <f t="shared" si="2"/>
        <v>0.18277047189679399</v>
      </c>
      <c r="I39" s="110">
        <f t="shared" si="2"/>
        <v>0.14595619443934771</v>
      </c>
      <c r="J39" s="110">
        <f t="shared" si="2"/>
        <v>0.116557179472875</v>
      </c>
      <c r="K39" s="110">
        <f t="shared" si="2"/>
        <v>9.3079818495250627E-2</v>
      </c>
      <c r="L39" s="110">
        <f t="shared" si="2"/>
        <v>7.4331350932569859E-2</v>
      </c>
      <c r="M39" s="110">
        <f t="shared" si="2"/>
        <v>5.9359266281151735E-2</v>
      </c>
      <c r="N39" s="110">
        <f t="shared" si="2"/>
        <v>4.7402912085279636E-2</v>
      </c>
      <c r="O39" s="110">
        <f t="shared" si="2"/>
        <v>3.7854849207902837E-2</v>
      </c>
      <c r="P39" s="110">
        <f t="shared" si="2"/>
        <v>3.0229991059938666E-2</v>
      </c>
      <c r="Q39" s="110">
        <f t="shared" si="2"/>
        <v>2.4140958915593553E-2</v>
      </c>
      <c r="R39" s="110">
        <f t="shared" si="2"/>
        <v>1.9278401247584041E-2</v>
      </c>
      <c r="S39" s="110">
        <f t="shared" si="2"/>
        <v>1.539527721174252E-2</v>
      </c>
      <c r="T39" s="110">
        <f t="shared" si="2"/>
        <v>1.229430580796222E-2</v>
      </c>
      <c r="U39" s="110">
        <f t="shared" si="2"/>
        <v>9.8179430757119549E-3</v>
      </c>
      <c r="V39" s="110">
        <f t="shared" si="2"/>
        <v>7.8403781184207683E-3</v>
      </c>
      <c r="W39" s="110">
        <f t="shared" si="2"/>
        <v>6.261141317052658E-3</v>
      </c>
      <c r="X39" s="110">
        <f t="shared" si="2"/>
        <v>5.000000000000007E-3</v>
      </c>
    </row>
    <row r="40" spans="3:24" x14ac:dyDescent="0.25">
      <c r="D40" s="113" t="s">
        <v>289</v>
      </c>
      <c r="E40" s="110">
        <f t="shared" ref="E40:X40" si="3">$E$21+$E$22*E38/$E$23</f>
        <v>1.44E-2</v>
      </c>
      <c r="F40" s="110">
        <f t="shared" si="3"/>
        <v>1.44E-2</v>
      </c>
      <c r="G40" s="110">
        <f t="shared" si="3"/>
        <v>1.44E-2</v>
      </c>
      <c r="H40" s="110">
        <f t="shared" si="3"/>
        <v>1.44E-2</v>
      </c>
      <c r="I40" s="110">
        <f t="shared" si="3"/>
        <v>1.44E-2</v>
      </c>
      <c r="J40" s="110">
        <f t="shared" si="3"/>
        <v>1.44E-2</v>
      </c>
      <c r="K40" s="110">
        <f t="shared" si="3"/>
        <v>1.44E-2</v>
      </c>
      <c r="L40" s="110">
        <f t="shared" si="3"/>
        <v>1.44E-2</v>
      </c>
      <c r="M40" s="110">
        <f t="shared" si="3"/>
        <v>1.44E-2</v>
      </c>
      <c r="N40" s="110">
        <f t="shared" si="3"/>
        <v>1.44E-2</v>
      </c>
      <c r="O40" s="110">
        <f t="shared" si="3"/>
        <v>1.44E-2</v>
      </c>
      <c r="P40" s="110">
        <f t="shared" si="3"/>
        <v>1.44E-2</v>
      </c>
      <c r="Q40" s="110">
        <f t="shared" si="3"/>
        <v>1.44E-2</v>
      </c>
      <c r="R40" s="110">
        <f t="shared" si="3"/>
        <v>1.44E-2</v>
      </c>
      <c r="S40" s="110">
        <f t="shared" si="3"/>
        <v>1.44E-2</v>
      </c>
      <c r="T40" s="110">
        <f t="shared" si="3"/>
        <v>1.44E-2</v>
      </c>
      <c r="U40" s="110">
        <f t="shared" si="3"/>
        <v>1.44E-2</v>
      </c>
      <c r="V40" s="110">
        <f t="shared" si="3"/>
        <v>1.44E-2</v>
      </c>
      <c r="W40" s="110">
        <f t="shared" si="3"/>
        <v>1.44E-2</v>
      </c>
      <c r="X40" s="110">
        <f t="shared" si="3"/>
        <v>1.44E-2</v>
      </c>
    </row>
    <row r="41" spans="3:24" x14ac:dyDescent="0.25">
      <c r="D41" s="113" t="s">
        <v>292</v>
      </c>
      <c r="E41" s="110">
        <f t="shared" ref="E41:X41" si="4">(E39+IF($E$26="Resistive",0,IF($E$25=0,$E$27,0)))*VINMAX</f>
        <v>8.6132644272179153</v>
      </c>
      <c r="F41" s="110">
        <f t="shared" si="4"/>
        <v>6.8783501210546838</v>
      </c>
      <c r="G41" s="110">
        <f t="shared" si="4"/>
        <v>5.4928884150250887</v>
      </c>
      <c r="H41" s="110">
        <f t="shared" si="4"/>
        <v>4.386491325523056</v>
      </c>
      <c r="I41" s="110">
        <f t="shared" si="4"/>
        <v>3.502948666544345</v>
      </c>
      <c r="J41" s="110">
        <f t="shared" si="4"/>
        <v>2.7973723073489998</v>
      </c>
      <c r="K41" s="110">
        <f t="shared" si="4"/>
        <v>2.2339156438860153</v>
      </c>
      <c r="L41" s="110">
        <f t="shared" si="4"/>
        <v>1.7839524223816765</v>
      </c>
      <c r="M41" s="110">
        <f t="shared" si="4"/>
        <v>1.4246223907476416</v>
      </c>
      <c r="N41" s="110">
        <f t="shared" si="4"/>
        <v>1.1376698900467113</v>
      </c>
      <c r="O41" s="110">
        <f t="shared" si="4"/>
        <v>0.90851638098966814</v>
      </c>
      <c r="P41" s="110">
        <f t="shared" si="4"/>
        <v>0.72551978543852802</v>
      </c>
      <c r="Q41" s="110">
        <f t="shared" si="4"/>
        <v>0.5793830139742453</v>
      </c>
      <c r="R41" s="110">
        <f t="shared" si="4"/>
        <v>0.462681629942017</v>
      </c>
      <c r="S41" s="110">
        <f t="shared" si="4"/>
        <v>0.36948665308182049</v>
      </c>
      <c r="T41" s="110">
        <f t="shared" si="4"/>
        <v>0.2950633393910933</v>
      </c>
      <c r="U41" s="110">
        <f t="shared" si="4"/>
        <v>0.23563063381708693</v>
      </c>
      <c r="V41" s="110">
        <f t="shared" si="4"/>
        <v>0.18816907484209844</v>
      </c>
      <c r="W41" s="110">
        <f t="shared" si="4"/>
        <v>0.15026739160926378</v>
      </c>
      <c r="X41" s="110">
        <f t="shared" si="4"/>
        <v>0.12000000000000016</v>
      </c>
    </row>
    <row r="42" spans="3:24" x14ac:dyDescent="0.25">
      <c r="D42" s="113" t="s">
        <v>290</v>
      </c>
      <c r="E42" s="110">
        <f t="shared" ref="E42:X42" si="5">(E39+IF($E$26="Resistive", $E$25/$E$27,$E$27)) *(VINMAX-$E$25)</f>
        <v>0</v>
      </c>
      <c r="F42" s="110">
        <f t="shared" si="5"/>
        <v>0</v>
      </c>
      <c r="G42" s="110">
        <f t="shared" si="5"/>
        <v>0</v>
      </c>
      <c r="H42" s="110">
        <f t="shared" si="5"/>
        <v>0</v>
      </c>
      <c r="I42" s="110">
        <f t="shared" si="5"/>
        <v>0</v>
      </c>
      <c r="J42" s="110">
        <f t="shared" si="5"/>
        <v>0</v>
      </c>
      <c r="K42" s="110">
        <f t="shared" si="5"/>
        <v>0</v>
      </c>
      <c r="L42" s="110">
        <f t="shared" si="5"/>
        <v>0</v>
      </c>
      <c r="M42" s="110">
        <f t="shared" si="5"/>
        <v>0</v>
      </c>
      <c r="N42" s="110">
        <f t="shared" si="5"/>
        <v>0</v>
      </c>
      <c r="O42" s="110">
        <f t="shared" si="5"/>
        <v>0</v>
      </c>
      <c r="P42" s="110">
        <f t="shared" si="5"/>
        <v>0</v>
      </c>
      <c r="Q42" s="110">
        <f t="shared" si="5"/>
        <v>0</v>
      </c>
      <c r="R42" s="110">
        <f t="shared" si="5"/>
        <v>0</v>
      </c>
      <c r="S42" s="110">
        <f t="shared" si="5"/>
        <v>0</v>
      </c>
      <c r="T42" s="110">
        <f t="shared" si="5"/>
        <v>0</v>
      </c>
      <c r="U42" s="110">
        <f t="shared" si="5"/>
        <v>0</v>
      </c>
      <c r="V42" s="110">
        <f t="shared" si="5"/>
        <v>0</v>
      </c>
      <c r="W42" s="110">
        <f t="shared" si="5"/>
        <v>0</v>
      </c>
      <c r="X42" s="110">
        <f t="shared" si="5"/>
        <v>0</v>
      </c>
    </row>
    <row r="43" spans="3:24" x14ac:dyDescent="0.25">
      <c r="D43" s="113" t="s">
        <v>295</v>
      </c>
      <c r="E43" s="110">
        <f t="shared" ref="E43:X43" si="6">IF($E$26="Resistive", -$E$27*E39/2 + VINMAX/2, -1)</f>
        <v>-1</v>
      </c>
      <c r="F43" s="110">
        <f t="shared" si="6"/>
        <v>-1</v>
      </c>
      <c r="G43" s="110">
        <f t="shared" si="6"/>
        <v>-1</v>
      </c>
      <c r="H43" s="110">
        <f t="shared" si="6"/>
        <v>-1</v>
      </c>
      <c r="I43" s="110">
        <f t="shared" si="6"/>
        <v>-1</v>
      </c>
      <c r="J43" s="110">
        <f t="shared" si="6"/>
        <v>-1</v>
      </c>
      <c r="K43" s="110">
        <f t="shared" si="6"/>
        <v>-1</v>
      </c>
      <c r="L43" s="110">
        <f t="shared" si="6"/>
        <v>-1</v>
      </c>
      <c r="M43" s="110">
        <f t="shared" si="6"/>
        <v>-1</v>
      </c>
      <c r="N43" s="110">
        <f t="shared" si="6"/>
        <v>-1</v>
      </c>
      <c r="O43" s="110">
        <f t="shared" si="6"/>
        <v>-1</v>
      </c>
      <c r="P43" s="110">
        <f t="shared" si="6"/>
        <v>-1</v>
      </c>
      <c r="Q43" s="110">
        <f t="shared" si="6"/>
        <v>-1</v>
      </c>
      <c r="R43" s="110">
        <f t="shared" si="6"/>
        <v>-1</v>
      </c>
      <c r="S43" s="110">
        <f t="shared" si="6"/>
        <v>-1</v>
      </c>
      <c r="T43" s="110">
        <f t="shared" si="6"/>
        <v>-1</v>
      </c>
      <c r="U43" s="110">
        <f t="shared" si="6"/>
        <v>-1</v>
      </c>
      <c r="V43" s="110">
        <f t="shared" si="6"/>
        <v>-1</v>
      </c>
      <c r="W43" s="110">
        <f t="shared" si="6"/>
        <v>-1</v>
      </c>
      <c r="X43" s="110">
        <f t="shared" si="6"/>
        <v>-1</v>
      </c>
    </row>
    <row r="44" spans="3:24" x14ac:dyDescent="0.25">
      <c r="D44" s="113" t="s">
        <v>297</v>
      </c>
      <c r="E44" s="110">
        <f t="shared" ref="E44:X44" si="7">IF(AND(E43&lt;VINMAX, E43&gt;$E$25), (VINMAX-E43)*(E39+E43/$E$27), 0)</f>
        <v>0</v>
      </c>
      <c r="F44" s="110">
        <f t="shared" si="7"/>
        <v>0</v>
      </c>
      <c r="G44" s="110">
        <f t="shared" si="7"/>
        <v>0</v>
      </c>
      <c r="H44" s="110">
        <f t="shared" si="7"/>
        <v>0</v>
      </c>
      <c r="I44" s="110">
        <f t="shared" si="7"/>
        <v>0</v>
      </c>
      <c r="J44" s="110">
        <f t="shared" si="7"/>
        <v>0</v>
      </c>
      <c r="K44" s="110">
        <f t="shared" si="7"/>
        <v>0</v>
      </c>
      <c r="L44" s="110">
        <f t="shared" si="7"/>
        <v>0</v>
      </c>
      <c r="M44" s="110">
        <f t="shared" si="7"/>
        <v>0</v>
      </c>
      <c r="N44" s="110">
        <f t="shared" si="7"/>
        <v>0</v>
      </c>
      <c r="O44" s="110">
        <f t="shared" si="7"/>
        <v>0</v>
      </c>
      <c r="P44" s="110">
        <f t="shared" si="7"/>
        <v>0</v>
      </c>
      <c r="Q44" s="110">
        <f t="shared" si="7"/>
        <v>0</v>
      </c>
      <c r="R44" s="110">
        <f t="shared" si="7"/>
        <v>0</v>
      </c>
      <c r="S44" s="110">
        <f t="shared" si="7"/>
        <v>0</v>
      </c>
      <c r="T44" s="110">
        <f t="shared" si="7"/>
        <v>0</v>
      </c>
      <c r="U44" s="110">
        <f t="shared" si="7"/>
        <v>0</v>
      </c>
      <c r="V44" s="110">
        <f t="shared" si="7"/>
        <v>0</v>
      </c>
      <c r="W44" s="110">
        <f t="shared" si="7"/>
        <v>0</v>
      </c>
      <c r="X44" s="110">
        <f t="shared" si="7"/>
        <v>0</v>
      </c>
    </row>
    <row r="46" spans="3:24" x14ac:dyDescent="0.25">
      <c r="D46" s="113" t="s">
        <v>298</v>
      </c>
      <c r="E46" s="110">
        <f t="shared" ref="E46:X46" si="8">MAX(E41,E42,E44)</f>
        <v>8.6132644272179153</v>
      </c>
      <c r="F46" s="110">
        <f t="shared" si="8"/>
        <v>6.8783501210546838</v>
      </c>
      <c r="G46" s="110">
        <f t="shared" si="8"/>
        <v>5.4928884150250887</v>
      </c>
      <c r="H46" s="110">
        <f t="shared" si="8"/>
        <v>4.386491325523056</v>
      </c>
      <c r="I46" s="110">
        <f t="shared" si="8"/>
        <v>3.502948666544345</v>
      </c>
      <c r="J46" s="110">
        <f t="shared" si="8"/>
        <v>2.7973723073489998</v>
      </c>
      <c r="K46" s="110">
        <f t="shared" si="8"/>
        <v>2.2339156438860153</v>
      </c>
      <c r="L46" s="110">
        <f t="shared" si="8"/>
        <v>1.7839524223816765</v>
      </c>
      <c r="M46" s="110">
        <f t="shared" si="8"/>
        <v>1.4246223907476416</v>
      </c>
      <c r="N46" s="110">
        <f t="shared" si="8"/>
        <v>1.1376698900467113</v>
      </c>
      <c r="O46" s="110">
        <f t="shared" si="8"/>
        <v>0.90851638098966814</v>
      </c>
      <c r="P46" s="110">
        <f t="shared" si="8"/>
        <v>0.72551978543852802</v>
      </c>
      <c r="Q46" s="110">
        <f t="shared" si="8"/>
        <v>0.5793830139742453</v>
      </c>
      <c r="R46" s="110">
        <f t="shared" si="8"/>
        <v>0.462681629942017</v>
      </c>
      <c r="S46" s="110">
        <f t="shared" si="8"/>
        <v>0.36948665308182049</v>
      </c>
      <c r="T46" s="110">
        <f t="shared" si="8"/>
        <v>0.2950633393910933</v>
      </c>
      <c r="U46" s="110">
        <f t="shared" si="8"/>
        <v>0.23563063381708693</v>
      </c>
      <c r="V46" s="110">
        <f t="shared" si="8"/>
        <v>0.18816907484209844</v>
      </c>
      <c r="W46" s="110">
        <f t="shared" si="8"/>
        <v>0.15026739160926378</v>
      </c>
      <c r="X46" s="110">
        <f t="shared" si="8"/>
        <v>0.12000000000000016</v>
      </c>
    </row>
    <row r="47" spans="3:24" x14ac:dyDescent="0.25">
      <c r="D47" s="113" t="s">
        <v>299</v>
      </c>
      <c r="E47" s="110">
        <f t="shared" ref="E47:X47" si="9">E40/E46*1000</f>
        <v>1.67184</v>
      </c>
      <c r="F47" s="110">
        <f t="shared" si="9"/>
        <v>2.0935252999002607</v>
      </c>
      <c r="G47" s="110">
        <f t="shared" si="9"/>
        <v>2.6215715507001116</v>
      </c>
      <c r="H47" s="110">
        <f t="shared" si="9"/>
        <v>3.28280599033965</v>
      </c>
      <c r="I47" s="110">
        <f t="shared" si="9"/>
        <v>4.1108224443967041</v>
      </c>
      <c r="J47" s="110">
        <f t="shared" si="9"/>
        <v>5.1476880507359146</v>
      </c>
      <c r="K47" s="110">
        <f t="shared" si="9"/>
        <v>6.446080468352168</v>
      </c>
      <c r="L47" s="110">
        <f t="shared" si="9"/>
        <v>8.0719641506891726</v>
      </c>
      <c r="M47" s="110">
        <f t="shared" si="9"/>
        <v>10.107941650729554</v>
      </c>
      <c r="N47" s="110">
        <f t="shared" si="9"/>
        <v>12.657450219948032</v>
      </c>
      <c r="O47" s="110">
        <f t="shared" si="9"/>
        <v>15.850016908130753</v>
      </c>
      <c r="P47" s="110">
        <f t="shared" si="9"/>
        <v>19.847839147896106</v>
      </c>
      <c r="Q47" s="110">
        <f t="shared" si="9"/>
        <v>24.854025148621474</v>
      </c>
      <c r="R47" s="110">
        <f t="shared" si="9"/>
        <v>31.122912750619903</v>
      </c>
      <c r="S47" s="110">
        <f t="shared" si="9"/>
        <v>38.9729909859862</v>
      </c>
      <c r="T47" s="110">
        <f t="shared" si="9"/>
        <v>48.803080822295726</v>
      </c>
      <c r="U47" s="110">
        <f t="shared" si="9"/>
        <v>61.112597147187124</v>
      </c>
      <c r="V47" s="110">
        <f t="shared" si="9"/>
        <v>76.526921398129417</v>
      </c>
      <c r="W47" s="110">
        <f t="shared" si="9"/>
        <v>95.829173886533738</v>
      </c>
      <c r="X47" s="110">
        <f t="shared" si="9"/>
        <v>119.99999999999983</v>
      </c>
    </row>
    <row r="49" spans="4:25" x14ac:dyDescent="0.25">
      <c r="D49" s="113" t="s">
        <v>132</v>
      </c>
      <c r="E49" s="110">
        <f t="shared" ref="E49:X49" si="10">IF(E47&lt;$J$23,$J$24,IF(E47&lt;$K$23,$K$24,IF(E47&lt;$L$23,$L$24,$M$24)))</f>
        <v>5.5</v>
      </c>
      <c r="F49" s="110">
        <f t="shared" si="10"/>
        <v>5.5</v>
      </c>
      <c r="G49" s="110">
        <f t="shared" si="10"/>
        <v>5.5</v>
      </c>
      <c r="H49" s="110">
        <f t="shared" si="10"/>
        <v>5.5</v>
      </c>
      <c r="I49" s="110">
        <f t="shared" si="10"/>
        <v>5.5</v>
      </c>
      <c r="J49" s="110">
        <f t="shared" si="10"/>
        <v>5.5</v>
      </c>
      <c r="K49" s="110">
        <f t="shared" si="10"/>
        <v>5.5</v>
      </c>
      <c r="L49" s="110">
        <f t="shared" si="10"/>
        <v>5.5</v>
      </c>
      <c r="M49" s="110">
        <f t="shared" si="10"/>
        <v>4.9999999999999991</v>
      </c>
      <c r="N49" s="110">
        <f t="shared" si="10"/>
        <v>4.9999999999999991</v>
      </c>
      <c r="O49" s="110">
        <f t="shared" si="10"/>
        <v>4.9999999999999991</v>
      </c>
      <c r="P49" s="110">
        <f t="shared" si="10"/>
        <v>4.9999999999999991</v>
      </c>
      <c r="Q49" s="110">
        <f t="shared" si="10"/>
        <v>4.9999999999999991</v>
      </c>
      <c r="R49" s="110">
        <f t="shared" si="10"/>
        <v>4.9999999999999991</v>
      </c>
      <c r="S49" s="110">
        <f t="shared" si="10"/>
        <v>4.9999999999999991</v>
      </c>
      <c r="T49" s="110">
        <f t="shared" si="10"/>
        <v>4.9999999999999991</v>
      </c>
      <c r="U49" s="110">
        <f t="shared" si="10"/>
        <v>4.9999999999999991</v>
      </c>
      <c r="V49" s="110">
        <f t="shared" si="10"/>
        <v>4.9999999999999991</v>
      </c>
      <c r="W49" s="110">
        <f t="shared" si="10"/>
        <v>4.9999999999999991</v>
      </c>
      <c r="X49" s="110">
        <f t="shared" si="10"/>
        <v>1.8</v>
      </c>
    </row>
    <row r="50" spans="4:25" x14ac:dyDescent="0.25">
      <c r="D50" s="113" t="s">
        <v>133</v>
      </c>
      <c r="E50" s="110">
        <f t="shared" ref="E50:X50" si="11">IF(E47&lt;$J$23,$J$25,IF(E47&lt;$K$23,$K$25,IF(E47&lt;$L$23,$L$25,$M$25)))</f>
        <v>-0.2632414347745814</v>
      </c>
      <c r="F50" s="110">
        <f t="shared" si="11"/>
        <v>-0.2632414347745814</v>
      </c>
      <c r="G50" s="110">
        <f t="shared" si="11"/>
        <v>-0.2632414347745814</v>
      </c>
      <c r="H50" s="110">
        <f t="shared" si="11"/>
        <v>-0.2632414347745814</v>
      </c>
      <c r="I50" s="110">
        <f t="shared" si="11"/>
        <v>-0.2632414347745814</v>
      </c>
      <c r="J50" s="110">
        <f t="shared" si="11"/>
        <v>-0.2632414347745814</v>
      </c>
      <c r="K50" s="110">
        <f t="shared" si="11"/>
        <v>-0.2632414347745814</v>
      </c>
      <c r="L50" s="110">
        <f t="shared" si="11"/>
        <v>-0.2632414347745814</v>
      </c>
      <c r="M50" s="110">
        <f t="shared" si="11"/>
        <v>-0.22184874961635634</v>
      </c>
      <c r="N50" s="110">
        <f t="shared" si="11"/>
        <v>-0.22184874961635634</v>
      </c>
      <c r="O50" s="110">
        <f t="shared" si="11"/>
        <v>-0.22184874961635634</v>
      </c>
      <c r="P50" s="110">
        <f t="shared" si="11"/>
        <v>-0.22184874961635634</v>
      </c>
      <c r="Q50" s="110">
        <f t="shared" si="11"/>
        <v>-0.22184874961635634</v>
      </c>
      <c r="R50" s="110">
        <f t="shared" si="11"/>
        <v>-0.22184874961635634</v>
      </c>
      <c r="S50" s="110">
        <f t="shared" si="11"/>
        <v>-0.22184874961635634</v>
      </c>
      <c r="T50" s="110">
        <f t="shared" si="11"/>
        <v>-0.22184874961635634</v>
      </c>
      <c r="U50" s="110">
        <f t="shared" si="11"/>
        <v>-0.22184874961635634</v>
      </c>
      <c r="V50" s="110">
        <f t="shared" si="11"/>
        <v>-0.22184874961635634</v>
      </c>
      <c r="W50" s="110">
        <f t="shared" si="11"/>
        <v>-0.22184874961635634</v>
      </c>
      <c r="X50" s="110">
        <f t="shared" si="11"/>
        <v>0</v>
      </c>
    </row>
    <row r="52" spans="4:25" x14ac:dyDescent="0.25">
      <c r="D52" s="113" t="s">
        <v>307</v>
      </c>
      <c r="E52" s="110">
        <f t="shared" ref="E52:X52" si="12">E49*E47^E50*VINMAX</f>
        <v>115.29748525386623</v>
      </c>
      <c r="F52" s="110">
        <f t="shared" si="12"/>
        <v>108.66895477806555</v>
      </c>
      <c r="G52" s="110">
        <f t="shared" si="12"/>
        <v>102.42150300638298</v>
      </c>
      <c r="H52" s="110">
        <f t="shared" si="12"/>
        <v>96.533221466154387</v>
      </c>
      <c r="I52" s="110">
        <f t="shared" si="12"/>
        <v>90.983461217639658</v>
      </c>
      <c r="J52" s="110">
        <f t="shared" si="12"/>
        <v>85.752760442622289</v>
      </c>
      <c r="K52" s="110">
        <f t="shared" si="12"/>
        <v>80.82277619598932</v>
      </c>
      <c r="L52" s="110">
        <f t="shared" si="12"/>
        <v>76.176220080959325</v>
      </c>
      <c r="M52" s="110">
        <f t="shared" si="12"/>
        <v>71.828711588910423</v>
      </c>
      <c r="N52" s="110">
        <f t="shared" si="12"/>
        <v>68.332469111206137</v>
      </c>
      <c r="O52" s="110">
        <f t="shared" si="12"/>
        <v>65.006405259743445</v>
      </c>
      <c r="P52" s="110">
        <f t="shared" si="12"/>
        <v>61.842236637414089</v>
      </c>
      <c r="Q52" s="110">
        <f t="shared" si="12"/>
        <v>58.832083039150902</v>
      </c>
      <c r="R52" s="110">
        <f t="shared" si="12"/>
        <v>55.968447826667685</v>
      </c>
      <c r="S52" s="110">
        <f t="shared" si="12"/>
        <v>53.244199258453307</v>
      </c>
      <c r="T52" s="110">
        <f t="shared" si="12"/>
        <v>50.652552728523119</v>
      </c>
      <c r="U52" s="110">
        <f t="shared" si="12"/>
        <v>48.187053869694083</v>
      </c>
      <c r="V52" s="110">
        <f t="shared" si="12"/>
        <v>45.841562479303342</v>
      </c>
      <c r="W52" s="110">
        <f t="shared" si="12"/>
        <v>43.61023722733794</v>
      </c>
      <c r="X52" s="110">
        <f t="shared" si="12"/>
        <v>43.2</v>
      </c>
      <c r="Y52" s="110"/>
    </row>
    <row r="53" spans="4:25" x14ac:dyDescent="0.25">
      <c r="D53" s="113" t="s">
        <v>308</v>
      </c>
      <c r="E53" s="110">
        <f t="shared" ref="E53:X53" si="13">E52*(TJMAX-$E$19)/(TJMAX - 25)</f>
        <v>71.945630798412523</v>
      </c>
      <c r="F53" s="110">
        <f t="shared" si="13"/>
        <v>67.809427781512909</v>
      </c>
      <c r="G53" s="110">
        <f t="shared" si="13"/>
        <v>63.911017875982978</v>
      </c>
      <c r="H53" s="110">
        <f t="shared" si="13"/>
        <v>60.23673019488033</v>
      </c>
      <c r="I53" s="110">
        <f t="shared" si="13"/>
        <v>56.773679799807141</v>
      </c>
      <c r="J53" s="110">
        <f t="shared" si="13"/>
        <v>53.509722516196305</v>
      </c>
      <c r="K53" s="110">
        <f t="shared" si="13"/>
        <v>50.433412346297331</v>
      </c>
      <c r="L53" s="110">
        <f t="shared" si="13"/>
        <v>47.533961330518615</v>
      </c>
      <c r="M53" s="110">
        <f t="shared" si="13"/>
        <v>44.821116031480102</v>
      </c>
      <c r="N53" s="110">
        <f t="shared" si="13"/>
        <v>42.639460725392624</v>
      </c>
      <c r="O53" s="110">
        <f t="shared" si="13"/>
        <v>40.563996882079906</v>
      </c>
      <c r="P53" s="110">
        <f t="shared" si="13"/>
        <v>38.589555661746388</v>
      </c>
      <c r="Q53" s="110">
        <f t="shared" si="13"/>
        <v>36.711219816430159</v>
      </c>
      <c r="R53" s="110">
        <f t="shared" si="13"/>
        <v>34.924311443840637</v>
      </c>
      <c r="S53" s="110">
        <f t="shared" si="13"/>
        <v>33.224380337274866</v>
      </c>
      <c r="T53" s="110">
        <f t="shared" si="13"/>
        <v>31.607192902598424</v>
      </c>
      <c r="U53" s="110">
        <f t="shared" si="13"/>
        <v>30.068721614689107</v>
      </c>
      <c r="V53" s="110">
        <f t="shared" si="13"/>
        <v>28.605134987085282</v>
      </c>
      <c r="W53" s="110">
        <f t="shared" si="13"/>
        <v>27.212788029858871</v>
      </c>
      <c r="X53" s="110">
        <f t="shared" si="13"/>
        <v>26.956800000000001</v>
      </c>
      <c r="Y53" s="110"/>
    </row>
    <row r="54" spans="4:25" x14ac:dyDescent="0.25">
      <c r="D54" s="113" t="s">
        <v>310</v>
      </c>
      <c r="E54" s="110">
        <f t="shared" ref="E54:X54" si="14">E53/E46</f>
        <v>8.3528877356956936</v>
      </c>
      <c r="F54" s="110">
        <f t="shared" si="14"/>
        <v>9.8583855994692264</v>
      </c>
      <c r="G54" s="110">
        <f t="shared" si="14"/>
        <v>11.635229599997448</v>
      </c>
      <c r="H54" s="110">
        <f t="shared" si="14"/>
        <v>13.732326300154613</v>
      </c>
      <c r="I54" s="110">
        <f t="shared" si="14"/>
        <v>16.207397025836041</v>
      </c>
      <c r="J54" s="110">
        <f t="shared" si="14"/>
        <v>19.128566610751268</v>
      </c>
      <c r="K54" s="110">
        <f t="shared" si="14"/>
        <v>22.576238491515159</v>
      </c>
      <c r="L54" s="110">
        <f t="shared" si="14"/>
        <v>26.645307763902196</v>
      </c>
      <c r="M54" s="110">
        <f t="shared" si="14"/>
        <v>31.461751775470823</v>
      </c>
      <c r="N54" s="110">
        <f t="shared" si="14"/>
        <v>37.479642467853218</v>
      </c>
      <c r="O54" s="110">
        <f t="shared" si="14"/>
        <v>44.648613641828447</v>
      </c>
      <c r="P54" s="110">
        <f t="shared" si="14"/>
        <v>53.188839830772622</v>
      </c>
      <c r="Q54" s="110">
        <f t="shared" si="14"/>
        <v>63.362609760703208</v>
      </c>
      <c r="R54" s="110">
        <f t="shared" si="14"/>
        <v>75.48238180153669</v>
      </c>
      <c r="S54" s="110">
        <f t="shared" si="14"/>
        <v>89.920380236082664</v>
      </c>
      <c r="T54" s="110">
        <f t="shared" si="14"/>
        <v>107.12002706884741</v>
      </c>
      <c r="U54" s="110">
        <f t="shared" si="14"/>
        <v>127.60956047009815</v>
      </c>
      <c r="V54" s="110">
        <f t="shared" si="14"/>
        <v>152.01825810691369</v>
      </c>
      <c r="W54" s="110">
        <f t="shared" si="14"/>
        <v>181.095763614634</v>
      </c>
      <c r="X54" s="110">
        <f t="shared" si="14"/>
        <v>224.6399999999997</v>
      </c>
      <c r="Y54" s="110"/>
    </row>
    <row r="56" spans="4:25" x14ac:dyDescent="0.25">
      <c r="D56" s="113" t="s">
        <v>314</v>
      </c>
      <c r="E56" s="110" t="str">
        <f t="shared" ref="E56:X56" si="15">IF(E54&gt;$E$20, "Y", "N")</f>
        <v>Y</v>
      </c>
      <c r="F56" s="110" t="str">
        <f t="shared" si="15"/>
        <v>Y</v>
      </c>
      <c r="G56" s="110" t="str">
        <f t="shared" si="15"/>
        <v>Y</v>
      </c>
      <c r="H56" s="110" t="str">
        <f t="shared" si="15"/>
        <v>Y</v>
      </c>
      <c r="I56" s="110" t="str">
        <f t="shared" si="15"/>
        <v>Y</v>
      </c>
      <c r="J56" s="110" t="str">
        <f t="shared" si="15"/>
        <v>Y</v>
      </c>
      <c r="K56" s="110" t="str">
        <f t="shared" si="15"/>
        <v>Y</v>
      </c>
      <c r="L56" s="110" t="str">
        <f t="shared" si="15"/>
        <v>Y</v>
      </c>
      <c r="M56" s="110" t="str">
        <f t="shared" si="15"/>
        <v>Y</v>
      </c>
      <c r="N56" s="110" t="str">
        <f t="shared" si="15"/>
        <v>Y</v>
      </c>
      <c r="O56" s="110" t="str">
        <f t="shared" si="15"/>
        <v>Y</v>
      </c>
      <c r="P56" s="110" t="str">
        <f t="shared" si="15"/>
        <v>Y</v>
      </c>
      <c r="Q56" s="110" t="str">
        <f t="shared" si="15"/>
        <v>Y</v>
      </c>
      <c r="R56" s="110" t="str">
        <f t="shared" si="15"/>
        <v>Y</v>
      </c>
      <c r="S56" s="110" t="str">
        <f t="shared" si="15"/>
        <v>Y</v>
      </c>
      <c r="T56" s="110" t="str">
        <f t="shared" si="15"/>
        <v>Y</v>
      </c>
      <c r="U56" s="110" t="str">
        <f t="shared" si="15"/>
        <v>Y</v>
      </c>
      <c r="V56" s="110" t="str">
        <f t="shared" si="15"/>
        <v>Y</v>
      </c>
      <c r="W56" s="110" t="str">
        <f t="shared" si="15"/>
        <v>Y</v>
      </c>
      <c r="X56" s="110" t="str">
        <f t="shared" si="15"/>
        <v>Y</v>
      </c>
      <c r="Y56" s="110" t="s">
        <v>317</v>
      </c>
    </row>
    <row r="57" spans="4:25" x14ac:dyDescent="0.25">
      <c r="D57" s="113" t="s">
        <v>315</v>
      </c>
      <c r="E57" s="110">
        <f>IF(E56="Y", 1, 0)</f>
        <v>1</v>
      </c>
      <c r="F57" s="110">
        <f t="shared" ref="F57:X57" si="16">IF(AND(F56="Y", E56="N"),  1, 0)</f>
        <v>0</v>
      </c>
      <c r="G57" s="110">
        <f t="shared" si="16"/>
        <v>0</v>
      </c>
      <c r="H57" s="110">
        <f t="shared" si="16"/>
        <v>0</v>
      </c>
      <c r="I57" s="110">
        <f t="shared" si="16"/>
        <v>0</v>
      </c>
      <c r="J57" s="110">
        <f t="shared" si="16"/>
        <v>0</v>
      </c>
      <c r="K57" s="110">
        <f t="shared" si="16"/>
        <v>0</v>
      </c>
      <c r="L57" s="110">
        <f t="shared" si="16"/>
        <v>0</v>
      </c>
      <c r="M57" s="110">
        <f t="shared" si="16"/>
        <v>0</v>
      </c>
      <c r="N57" s="110">
        <f t="shared" si="16"/>
        <v>0</v>
      </c>
      <c r="O57" s="110">
        <f t="shared" si="16"/>
        <v>0</v>
      </c>
      <c r="P57" s="110">
        <f t="shared" si="16"/>
        <v>0</v>
      </c>
      <c r="Q57" s="110">
        <f t="shared" si="16"/>
        <v>0</v>
      </c>
      <c r="R57" s="110">
        <f t="shared" si="16"/>
        <v>0</v>
      </c>
      <c r="S57" s="110">
        <f t="shared" si="16"/>
        <v>0</v>
      </c>
      <c r="T57" s="110">
        <f t="shared" si="16"/>
        <v>0</v>
      </c>
      <c r="U57" s="110">
        <f t="shared" si="16"/>
        <v>0</v>
      </c>
      <c r="V57" s="110">
        <f t="shared" si="16"/>
        <v>0</v>
      </c>
      <c r="W57" s="110">
        <f t="shared" si="16"/>
        <v>0</v>
      </c>
      <c r="X57" s="110">
        <f t="shared" si="16"/>
        <v>0</v>
      </c>
      <c r="Y57" s="110"/>
    </row>
    <row r="58" spans="4:25" x14ac:dyDescent="0.25">
      <c r="D58" s="113" t="s">
        <v>316</v>
      </c>
      <c r="E58" s="110">
        <v>0</v>
      </c>
      <c r="F58" s="110">
        <f t="shared" ref="F58:X58" si="17">IF(AND(F56="Y", G56="N"),  1, 0)</f>
        <v>0</v>
      </c>
      <c r="G58" s="110">
        <f t="shared" si="17"/>
        <v>0</v>
      </c>
      <c r="H58" s="110">
        <f t="shared" si="17"/>
        <v>0</v>
      </c>
      <c r="I58" s="110">
        <f t="shared" si="17"/>
        <v>0</v>
      </c>
      <c r="J58" s="110">
        <f t="shared" si="17"/>
        <v>0</v>
      </c>
      <c r="K58" s="110">
        <f t="shared" si="17"/>
        <v>0</v>
      </c>
      <c r="L58" s="110">
        <f t="shared" si="17"/>
        <v>0</v>
      </c>
      <c r="M58" s="110">
        <f t="shared" si="17"/>
        <v>0</v>
      </c>
      <c r="N58" s="110">
        <f t="shared" si="17"/>
        <v>0</v>
      </c>
      <c r="O58" s="110">
        <f t="shared" si="17"/>
        <v>0</v>
      </c>
      <c r="P58" s="110">
        <f t="shared" si="17"/>
        <v>0</v>
      </c>
      <c r="Q58" s="110">
        <f t="shared" si="17"/>
        <v>0</v>
      </c>
      <c r="R58" s="110">
        <f t="shared" si="17"/>
        <v>0</v>
      </c>
      <c r="S58" s="110">
        <f t="shared" si="17"/>
        <v>0</v>
      </c>
      <c r="T58" s="110">
        <f t="shared" si="17"/>
        <v>0</v>
      </c>
      <c r="U58" s="110">
        <f t="shared" si="17"/>
        <v>0</v>
      </c>
      <c r="V58" s="110">
        <f t="shared" si="17"/>
        <v>0</v>
      </c>
      <c r="W58" s="110">
        <f t="shared" si="17"/>
        <v>0</v>
      </c>
      <c r="X58" s="110">
        <f t="shared" si="17"/>
        <v>1</v>
      </c>
      <c r="Y58" s="110"/>
    </row>
    <row r="60" spans="4:25" x14ac:dyDescent="0.25">
      <c r="D60" s="110" t="s">
        <v>318</v>
      </c>
      <c r="E60" s="110">
        <f t="shared" ref="E60:X60" si="18">E57*E37</f>
        <v>7.1777203560149294</v>
      </c>
      <c r="F60" s="110">
        <f t="shared" si="18"/>
        <v>0</v>
      </c>
      <c r="G60" s="110">
        <f t="shared" si="18"/>
        <v>0</v>
      </c>
      <c r="H60" s="110">
        <f t="shared" si="18"/>
        <v>0</v>
      </c>
      <c r="I60" s="110">
        <f t="shared" si="18"/>
        <v>0</v>
      </c>
      <c r="J60" s="110">
        <f t="shared" si="18"/>
        <v>0</v>
      </c>
      <c r="K60" s="110">
        <f t="shared" si="18"/>
        <v>0</v>
      </c>
      <c r="L60" s="110">
        <f t="shared" si="18"/>
        <v>0</v>
      </c>
      <c r="M60" s="110">
        <f t="shared" si="18"/>
        <v>0</v>
      </c>
      <c r="N60" s="110">
        <f t="shared" si="18"/>
        <v>0</v>
      </c>
      <c r="O60" s="110">
        <f t="shared" si="18"/>
        <v>0</v>
      </c>
      <c r="P60" s="110">
        <f t="shared" si="18"/>
        <v>0</v>
      </c>
      <c r="Q60" s="110">
        <f t="shared" si="18"/>
        <v>0</v>
      </c>
      <c r="R60" s="110">
        <f t="shared" si="18"/>
        <v>0</v>
      </c>
      <c r="S60" s="110">
        <f t="shared" si="18"/>
        <v>0</v>
      </c>
      <c r="T60" s="110">
        <f t="shared" si="18"/>
        <v>0</v>
      </c>
      <c r="U60" s="110">
        <f t="shared" si="18"/>
        <v>0</v>
      </c>
      <c r="V60" s="110">
        <f t="shared" si="18"/>
        <v>0</v>
      </c>
      <c r="W60" s="110">
        <f t="shared" si="18"/>
        <v>0</v>
      </c>
      <c r="X60" s="110">
        <f t="shared" si="18"/>
        <v>0</v>
      </c>
      <c r="Y60" s="110"/>
    </row>
    <row r="61" spans="4:25" x14ac:dyDescent="0.25">
      <c r="D61" s="110" t="s">
        <v>319</v>
      </c>
      <c r="E61" s="110">
        <f t="shared" ref="E61:X61" si="19">E37*E58</f>
        <v>0</v>
      </c>
      <c r="F61" s="110">
        <f t="shared" si="19"/>
        <v>0</v>
      </c>
      <c r="G61" s="110">
        <f t="shared" si="19"/>
        <v>0</v>
      </c>
      <c r="H61" s="110">
        <f t="shared" si="19"/>
        <v>0</v>
      </c>
      <c r="I61" s="110">
        <f t="shared" si="19"/>
        <v>0</v>
      </c>
      <c r="J61" s="110">
        <f t="shared" si="19"/>
        <v>0</v>
      </c>
      <c r="K61" s="110">
        <f t="shared" si="19"/>
        <v>0</v>
      </c>
      <c r="L61" s="110">
        <f t="shared" si="19"/>
        <v>0</v>
      </c>
      <c r="M61" s="110">
        <f t="shared" si="19"/>
        <v>0</v>
      </c>
      <c r="N61" s="110">
        <f t="shared" si="19"/>
        <v>0</v>
      </c>
      <c r="O61" s="110">
        <f t="shared" si="19"/>
        <v>0</v>
      </c>
      <c r="P61" s="110">
        <f t="shared" si="19"/>
        <v>0</v>
      </c>
      <c r="Q61" s="110">
        <f t="shared" si="19"/>
        <v>0</v>
      </c>
      <c r="R61" s="110">
        <f t="shared" si="19"/>
        <v>0</v>
      </c>
      <c r="S61" s="110">
        <f t="shared" si="19"/>
        <v>0</v>
      </c>
      <c r="T61" s="110">
        <f t="shared" si="19"/>
        <v>0</v>
      </c>
      <c r="U61" s="110">
        <f t="shared" si="19"/>
        <v>0</v>
      </c>
      <c r="V61" s="110">
        <f t="shared" si="19"/>
        <v>0</v>
      </c>
      <c r="W61" s="110">
        <f t="shared" si="19"/>
        <v>0</v>
      </c>
      <c r="X61" s="110">
        <f t="shared" si="19"/>
        <v>0.10000000000000014</v>
      </c>
      <c r="Y61" s="110"/>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72F43736E84F41BD4B3E7ABAD1B9F8" ma:contentTypeVersion="0" ma:contentTypeDescription="Create a new document." ma:contentTypeScope="" ma:versionID="6d41e9362d2f52e62f002b8bc1f10a2a">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918B9AA-0A0B-42F6-9D7E-CDEF53C1FA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B96B0A9-E706-44C7-A8F1-19DE24283961}">
  <ds:schemaRefs>
    <ds:schemaRef ds:uri="http://schemas.microsoft.com/sharepoint/v3/contenttype/forms"/>
  </ds:schemaRefs>
</ds:datastoreItem>
</file>

<file path=customXml/itemProps3.xml><?xml version="1.0" encoding="utf-8"?>
<ds:datastoreItem xmlns:ds="http://schemas.openxmlformats.org/officeDocument/2006/customXml" ds:itemID="{D0E7213C-EB81-44CF-9757-6BC109954BCA}">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Instructions</vt:lpstr>
      <vt:lpstr>Design Calculator</vt:lpstr>
      <vt:lpstr>Device Parmaters</vt:lpstr>
      <vt:lpstr>Equations</vt:lpstr>
      <vt:lpstr>Start_up</vt:lpstr>
      <vt:lpstr>SOA</vt:lpstr>
      <vt:lpstr>dv_dt_recommendations</vt:lpstr>
      <vt:lpstr>CLMAX</vt:lpstr>
      <vt:lpstr>CLMAX_Threshold</vt:lpstr>
      <vt:lpstr>CLMIN</vt:lpstr>
      <vt:lpstr>CLMIN_Threshold</vt:lpstr>
      <vt:lpstr>CLNOM</vt:lpstr>
      <vt:lpstr>CLNOM_Threshold</vt:lpstr>
      <vt:lpstr>COUTMAX</vt:lpstr>
      <vt:lpstr>FETPDISS</vt:lpstr>
      <vt:lpstr>I_Cout_ss</vt:lpstr>
      <vt:lpstr>IOUTMAX</vt:lpstr>
      <vt:lpstr>NUMFETS</vt:lpstr>
      <vt:lpstr>'Design Calculator'!Print_Area</vt:lpstr>
      <vt:lpstr>RDIV1</vt:lpstr>
      <vt:lpstr>RDIV2</vt:lpstr>
      <vt:lpstr>RDSON</vt:lpstr>
      <vt:lpstr>RPWR</vt:lpstr>
      <vt:lpstr>Rs</vt:lpstr>
      <vt:lpstr>RsEFF</vt:lpstr>
      <vt:lpstr>RsMAX</vt:lpstr>
      <vt:lpstr>ss_rate</vt:lpstr>
      <vt:lpstr>TAMB</vt:lpstr>
      <vt:lpstr>Tfault</vt:lpstr>
      <vt:lpstr>ThetaJA</vt:lpstr>
      <vt:lpstr>TJ</vt:lpstr>
      <vt:lpstr>TJMAX</vt:lpstr>
      <vt:lpstr>VINMAX</vt:lpstr>
      <vt:lpstr>VINMIN</vt:lpstr>
      <vt:lpstr>VINNOM</vt:lpstr>
      <vt:lpstr>yesno</vt:lpstr>
    </vt:vector>
  </TitlesOfParts>
  <Company>NSC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TPS249x/8x Design Calculator</dc:title>
  <dc:creator>Timothy Hegarty</dc:creator>
  <cp:lastModifiedBy>Globotix</cp:lastModifiedBy>
  <cp:lastPrinted>2013-08-26T22:42:43Z</cp:lastPrinted>
  <dcterms:created xsi:type="dcterms:W3CDTF">2009-04-21T16:00:33Z</dcterms:created>
  <dcterms:modified xsi:type="dcterms:W3CDTF">2022-03-31T08:05:56Z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0x010100CF72F43736E84F41BD4B3E7ABAD1B9F8</vt:lpwstr>
  </property>
</Properties>
</file>