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799388\Desktop\"/>
    </mc:Choice>
  </mc:AlternateContent>
  <xr:revisionPtr revIDLastSave="0" documentId="13_ncr:1_{4BB73264-5CB2-4AED-8AF8-271D72E3A76F}" xr6:coauthVersionLast="36" xr6:coauthVersionMax="47" xr10:uidLastSave="{00000000-0000-0000-0000-000000000000}"/>
  <bookViews>
    <workbookView xWindow="-120" yWindow="-120" windowWidth="38640" windowHeight="15840" xr2:uid="{EBC24A4A-7015-4A1F-B0C1-07B3DBD21A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137" i="1" l="1"/>
  <c r="D128" i="1"/>
  <c r="D130" i="1" s="1"/>
  <c r="D98" i="1"/>
  <c r="D90" i="1"/>
  <c r="D76" i="1"/>
  <c r="D82" i="1" s="1"/>
  <c r="D68" i="1"/>
  <c r="D59" i="1"/>
  <c r="D55" i="1"/>
  <c r="D49" i="1"/>
  <c r="D56" i="1"/>
  <c r="D31" i="1"/>
  <c r="D20" i="1"/>
  <c r="D11" i="1"/>
  <c r="D60" i="1" l="1"/>
</calcChain>
</file>

<file path=xl/sharedStrings.xml><?xml version="1.0" encoding="utf-8"?>
<sst xmlns="http://schemas.openxmlformats.org/spreadsheetml/2006/main" count="152" uniqueCount="106">
  <si>
    <t>IPS</t>
    <phoneticPr fontId="2"/>
  </si>
  <si>
    <t>ΔILOUT</t>
    <phoneticPr fontId="2"/>
  </si>
  <si>
    <t>IMS2</t>
    <phoneticPr fontId="2"/>
  </si>
  <si>
    <t>IPRMS</t>
    <phoneticPr fontId="2"/>
  </si>
  <si>
    <t>DCRP</t>
    <phoneticPr fontId="2"/>
  </si>
  <si>
    <t>ISRMS</t>
    <phoneticPr fontId="2"/>
  </si>
  <si>
    <t>DCRS</t>
    <phoneticPr fontId="2"/>
  </si>
  <si>
    <t>PT1</t>
    <phoneticPr fontId="2"/>
  </si>
  <si>
    <t>Ω</t>
    <phoneticPr fontId="2"/>
  </si>
  <si>
    <t>A</t>
    <phoneticPr fontId="2"/>
  </si>
  <si>
    <t>W</t>
    <phoneticPr fontId="2"/>
  </si>
  <si>
    <t>Coss_qa_avg</t>
    <phoneticPr fontId="2"/>
  </si>
  <si>
    <t>pF</t>
    <phoneticPr fontId="2"/>
  </si>
  <si>
    <t>VINMAX</t>
    <phoneticPr fontId="2"/>
  </si>
  <si>
    <t>V</t>
    <phoneticPr fontId="2"/>
  </si>
  <si>
    <t>IPP</t>
    <phoneticPr fontId="2"/>
  </si>
  <si>
    <t>a1</t>
    <phoneticPr fontId="2"/>
  </si>
  <si>
    <t>LLK</t>
    <phoneticPr fontId="2"/>
  </si>
  <si>
    <t>uH</t>
    <phoneticPr fontId="2"/>
  </si>
  <si>
    <t>LS</t>
    <phoneticPr fontId="2"/>
  </si>
  <si>
    <t>Coss_spec</t>
    <phoneticPr fontId="2"/>
  </si>
  <si>
    <t>Vdsqe</t>
    <phoneticPr fontId="2"/>
  </si>
  <si>
    <t>Vds_spec</t>
    <phoneticPr fontId="2"/>
  </si>
  <si>
    <t>nF</t>
    <phoneticPr fontId="2"/>
  </si>
  <si>
    <t>Iqe_rms</t>
    <phoneticPr fontId="2"/>
  </si>
  <si>
    <t>Rds(on)qe</t>
    <phoneticPr fontId="2"/>
  </si>
  <si>
    <t>mΩ</t>
    <phoneticPr fontId="2"/>
  </si>
  <si>
    <t>Pout</t>
    <phoneticPr fontId="2"/>
  </si>
  <si>
    <t>Vout</t>
    <phoneticPr fontId="2"/>
  </si>
  <si>
    <t>tr</t>
    <phoneticPr fontId="2"/>
  </si>
  <si>
    <t>tf</t>
    <phoneticPr fontId="2"/>
  </si>
  <si>
    <t>fs</t>
    <phoneticPr fontId="2"/>
  </si>
  <si>
    <t>kHz</t>
    <phoneticPr fontId="2"/>
  </si>
  <si>
    <t>ns</t>
    <phoneticPr fontId="2"/>
  </si>
  <si>
    <t>Coss_qe_avg</t>
    <phoneticPr fontId="2"/>
  </si>
  <si>
    <t>Pqe'</t>
    <phoneticPr fontId="2"/>
  </si>
  <si>
    <t>Pqe''</t>
    <phoneticPr fontId="2"/>
  </si>
  <si>
    <t>Pqe'''</t>
    <phoneticPr fontId="2"/>
  </si>
  <si>
    <t>Qgqe</t>
    <phoneticPr fontId="2"/>
  </si>
  <si>
    <t>Vgqe</t>
    <phoneticPr fontId="2"/>
  </si>
  <si>
    <t>Pqe''''</t>
    <phoneticPr fontId="2"/>
  </si>
  <si>
    <t>Pqe</t>
    <phoneticPr fontId="2"/>
  </si>
  <si>
    <t>VIN</t>
    <phoneticPr fontId="2"/>
  </si>
  <si>
    <t>VDROP</t>
    <phoneticPr fontId="2"/>
  </si>
  <si>
    <t>CIN</t>
    <phoneticPr fontId="2"/>
  </si>
  <si>
    <t>uF</t>
    <phoneticPr fontId="2"/>
  </si>
  <si>
    <t>IPRMS1</t>
    <phoneticPr fontId="2"/>
  </si>
  <si>
    <t>VINMIN</t>
    <phoneticPr fontId="2"/>
  </si>
  <si>
    <t>ICINRMS</t>
    <phoneticPr fontId="2"/>
  </si>
  <si>
    <t>ESRCIN</t>
    <phoneticPr fontId="2"/>
  </si>
  <si>
    <t>PCIN</t>
    <phoneticPr fontId="2"/>
  </si>
  <si>
    <t>DMAX</t>
    <phoneticPr fontId="2"/>
  </si>
  <si>
    <t>LMAG</t>
    <phoneticPr fontId="2"/>
  </si>
  <si>
    <t>mH</t>
    <phoneticPr fontId="2"/>
  </si>
  <si>
    <t>Ip1</t>
    <phoneticPr fontId="2"/>
  </si>
  <si>
    <t>η</t>
    <phoneticPr fontId="2"/>
  </si>
  <si>
    <t>VP</t>
    <phoneticPr fontId="2"/>
  </si>
  <si>
    <t>IPEAK</t>
    <phoneticPr fontId="2"/>
  </si>
  <si>
    <t>a2</t>
    <phoneticPr fontId="2"/>
  </si>
  <si>
    <t>Rs</t>
    <phoneticPr fontId="2"/>
  </si>
  <si>
    <t>tAFSET</t>
    <phoneticPr fontId="2"/>
  </si>
  <si>
    <t>VADELFE</t>
    <phoneticPr fontId="2"/>
  </si>
  <si>
    <t>tABSET</t>
    <phoneticPr fontId="2"/>
  </si>
  <si>
    <t>RDELEF</t>
    <phoneticPr fontId="2"/>
  </si>
  <si>
    <t>kΩ</t>
    <phoneticPr fontId="2"/>
  </si>
  <si>
    <t>VREF</t>
    <phoneticPr fontId="2"/>
  </si>
  <si>
    <t>RT</t>
    <phoneticPr fontId="2"/>
  </si>
  <si>
    <t>Inconsistency</t>
    <phoneticPr fontId="2"/>
  </si>
  <si>
    <t>Unclear which value is it. Equation (84)?</t>
    <phoneticPr fontId="2"/>
  </si>
  <si>
    <t>In the application note SLUA560D, a voltage obtained by dividing VREF is applied to pins 13 and 14.</t>
  </si>
  <si>
    <t>On the other hand, in the data sheet SLUA16D, a voltage obtained by dividing CS is applied to pins 13 and 14.</t>
  </si>
  <si>
    <t>Which is correct?</t>
  </si>
  <si>
    <t>If tAFSET×0.5 in equation (143) is changed to tAFSET or tABSET×0.5, the calculation results will match.</t>
    <phoneticPr fontId="2"/>
  </si>
  <si>
    <t>Formula (149) and formula (10) in the data sheet SLUSA16D do not match when transformed to RT =</t>
  </si>
  <si>
    <t>The concepts and values ​​of RSUM are different in application note SLUA560D and data sheet SLUSA16D.</t>
  </si>
  <si>
    <t>How are they used differently?</t>
  </si>
  <si>
    <t>Also, please confirm the following about the data sheet SLUSA16D.</t>
  </si>
  <si>
    <t>- The calculation result does not match with the formula (169)</t>
  </si>
  <si>
    <t>- Equation 12 or Equation 13 on p.60 seems to be Equation 13 or Equation 14</t>
  </si>
  <si>
    <t>This alone exceeds Pqe</t>
    <phoneticPr fontId="2"/>
  </si>
  <si>
    <t>Unknown which value is equation (59)?</t>
    <phoneticPr fontId="2"/>
  </si>
  <si>
    <t>It is unclear what value</t>
    <phoneticPr fontId="2"/>
  </si>
  <si>
    <t>While proceeding with the design using the application note SLUA560D "UCC28950 600W Phase Shifted Full Bridge Design Review/Application Report (Rev. D)" as a reference, I came across some items where the formulas and results did not match, and some questions.</t>
  </si>
  <si>
    <t>I have summarized them below, so I would appreciate your response.</t>
  </si>
  <si>
    <t>In equation (35), the voltage at the time of Coss_spec measurement is on the numerator side.</t>
    <phoneticPr fontId="2"/>
  </si>
  <si>
    <t>Equation is correct and the equation calculates 52.5 A</t>
  </si>
  <si>
    <t>←If it is mΩ, the calculation results will match.</t>
  </si>
  <si>
    <t>You are correct this should be milliohms</t>
  </si>
  <si>
    <t>Equation is correct, your answer is not correct, I think it should be 14.2 uF</t>
  </si>
  <si>
    <t>Equation is correct and the equation calculates 2.3 nA</t>
  </si>
  <si>
    <t>FET has a max power rating that exceeds this</t>
  </si>
  <si>
    <t>QEg is gate charge of the FET</t>
  </si>
  <si>
    <t>Equation is correct and the equation calculates 14.4W</t>
  </si>
  <si>
    <t>Equation is correct and the equation calculates 264uF</t>
  </si>
  <si>
    <t>Equaqtion 78 is not correct. A1 = efficency</t>
  </si>
  <si>
    <t>Equation and calculation is correct</t>
  </si>
  <si>
    <t>Equation 84 is correct and untis work out</t>
  </si>
  <si>
    <t>Application note uses fixed delay approach.</t>
  </si>
  <si>
    <t>Data sheet uses adaptive delay approach.  95% of the customers use the fixed delay approach.</t>
  </si>
  <si>
    <t>Adapative delay is really trial an error to remove body diode conduction.  This is why most designer choose the fix delay approach.</t>
  </si>
  <si>
    <t>Thanks for letting us know.</t>
  </si>
  <si>
    <t>This equation is correct based on the application note calculation.</t>
  </si>
  <si>
    <t>The data sheet calcualtion is incorrect and will be updated in the next revision of the data sheet.</t>
  </si>
  <si>
    <t xml:space="preserve"> </t>
  </si>
  <si>
    <t>The application note was used to design UCC28950EVM-442 and the slope compensation was setup based on the application note caluculations.  The design did not have subharmonic oscillations to the slope compensation was adequate.</t>
  </si>
  <si>
    <t>I check this calculation and it will also work for setting the slope compensation.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</si>
</sst>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2" fontId="0" fillId="0" borderId="0" xfId="0" applyNumberFormat="1">
      <alignment vertical="center"/>
    </xf>
    <xf numFmtId="164" fontId="0" fillId="0" borderId="0" xfId="0" applyNumberFormat="1">
      <alignment vertical="center"/>
    </xf>
    <xf numFmtId="1" fontId="1" fillId="0" borderId="0" xfId="0" applyNumberFormat="1" applyFont="1">
      <alignment vertical="center"/>
    </xf>
    <xf numFmtId="16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10</xdr:col>
      <xdr:colOff>96167</xdr:colOff>
      <xdr:row>7</xdr:row>
      <xdr:rowOff>19086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B392F00-CF7C-A39A-846F-1FBBA2A3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8125"/>
          <a:ext cx="6573167" cy="2572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10</xdr:col>
      <xdr:colOff>124746</xdr:colOff>
      <xdr:row>14</xdr:row>
      <xdr:rowOff>76244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0D971A2-6CFD-F943-B82E-4FC1A9BF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2857500"/>
          <a:ext cx="6601746" cy="3143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162852</xdr:colOff>
      <xdr:row>24</xdr:row>
      <xdr:rowOff>76277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2DF470D-91C7-099A-FB63-C22ADA869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4286250"/>
          <a:ext cx="6639852" cy="5525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10</xdr:col>
      <xdr:colOff>124746</xdr:colOff>
      <xdr:row>35</xdr:row>
      <xdr:rowOff>38172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A22A442-D07A-E1F2-8A70-9CC47C09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5" y="6667500"/>
          <a:ext cx="6601746" cy="5144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10</xdr:col>
      <xdr:colOff>477220</xdr:colOff>
      <xdr:row>45</xdr:row>
      <xdr:rowOff>47731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184ABB9-A3E9-F31C-C9BB-A3F530610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025" y="8572500"/>
          <a:ext cx="6954220" cy="762106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56</xdr:row>
      <xdr:rowOff>0</xdr:rowOff>
    </xdr:from>
    <xdr:to>
      <xdr:col>18</xdr:col>
      <xdr:colOff>496221</xdr:colOff>
      <xdr:row>57</xdr:row>
      <xdr:rowOff>9560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0F9AE05-8966-612D-EC6C-97F28800E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13335000"/>
          <a:ext cx="6601746" cy="2476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10</xdr:col>
      <xdr:colOff>162852</xdr:colOff>
      <xdr:row>64</xdr:row>
      <xdr:rowOff>9593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7265888-AD2D-0FAD-74C0-B03629439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" y="13096875"/>
          <a:ext cx="6639852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10</xdr:col>
      <xdr:colOff>143799</xdr:colOff>
      <xdr:row>72</xdr:row>
      <xdr:rowOff>38172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5533BBC-7A37-142B-4C05-F7286CEA0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025" y="14763750"/>
          <a:ext cx="6620799" cy="5144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10</xdr:col>
      <xdr:colOff>162852</xdr:colOff>
      <xdr:row>79</xdr:row>
      <xdr:rowOff>85770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2451F36-5C84-BC7D-F119-406C0C97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0025" y="16430625"/>
          <a:ext cx="6639852" cy="3238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10</xdr:col>
      <xdr:colOff>162852</xdr:colOff>
      <xdr:row>85</xdr:row>
      <xdr:rowOff>133402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A7E18C9-0F67-9606-8306-D09F2351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025" y="17621250"/>
          <a:ext cx="6639852" cy="3715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10</xdr:col>
      <xdr:colOff>115220</xdr:colOff>
      <xdr:row>94</xdr:row>
      <xdr:rowOff>66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121DBB-28E7-98B6-0D13-49995784E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5" y="19288125"/>
          <a:ext cx="6592220" cy="4763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10</xdr:col>
      <xdr:colOff>134273</xdr:colOff>
      <xdr:row>123</xdr:row>
      <xdr:rowOff>66718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2AA428D-670D-428C-B6DA-367F8F0C8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025" y="20955000"/>
          <a:ext cx="6611273" cy="3048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10</xdr:col>
      <xdr:colOff>134273</xdr:colOff>
      <xdr:row>125</xdr:row>
      <xdr:rowOff>123876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F5FF89C-F032-4EC8-BE0B-32384975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0025" y="21431250"/>
          <a:ext cx="6611273" cy="3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10</xdr:col>
      <xdr:colOff>153325</xdr:colOff>
      <xdr:row>134</xdr:row>
      <xdr:rowOff>114382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164F90B-0739-0B7F-C0BA-90B70BC5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0025" y="23098125"/>
          <a:ext cx="6630325" cy="59063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39</xdr:row>
      <xdr:rowOff>142875</xdr:rowOff>
    </xdr:from>
    <xdr:to>
      <xdr:col>21</xdr:col>
      <xdr:colOff>933</xdr:colOff>
      <xdr:row>41</xdr:row>
      <xdr:rowOff>66731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7D72E75-F42A-4D02-851E-8261652E1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96175" y="9429750"/>
          <a:ext cx="6687483" cy="400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10</xdr:col>
      <xdr:colOff>105694</xdr:colOff>
      <xdr:row>101</xdr:row>
      <xdr:rowOff>95297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DA691427-5991-DAA0-0927-9EE5B0330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0025" y="21669375"/>
          <a:ext cx="6582694" cy="3334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10</xdr:col>
      <xdr:colOff>124746</xdr:colOff>
      <xdr:row>103</xdr:row>
      <xdr:rowOff>161981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ADA8542E-00F6-142C-A1A7-C8AF6BE3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0025" y="22145625"/>
          <a:ext cx="6601746" cy="400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10</xdr:col>
      <xdr:colOff>134273</xdr:colOff>
      <xdr:row>105</xdr:row>
      <xdr:rowOff>152455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460BB6C-98C0-85C8-2B43-2D4623EB3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0025" y="22621875"/>
          <a:ext cx="6611273" cy="3905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10</xdr:col>
      <xdr:colOff>86641</xdr:colOff>
      <xdr:row>107</xdr:row>
      <xdr:rowOff>152455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CE6FE973-BC36-63C2-E223-522E41D79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0025" y="23098125"/>
          <a:ext cx="6563641" cy="39058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100</xdr:row>
      <xdr:rowOff>0</xdr:rowOff>
    </xdr:from>
    <xdr:to>
      <xdr:col>15</xdr:col>
      <xdr:colOff>390962</xdr:colOff>
      <xdr:row>106</xdr:row>
      <xdr:rowOff>47831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A76313F6-842E-F7A5-94EF-BE5A3BA1D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362825" y="21669375"/>
          <a:ext cx="3134162" cy="147658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137</xdr:row>
      <xdr:rowOff>0</xdr:rowOff>
    </xdr:from>
    <xdr:to>
      <xdr:col>16</xdr:col>
      <xdr:colOff>58211</xdr:colOff>
      <xdr:row>142</xdr:row>
      <xdr:rowOff>57324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5932EEC6-1C99-4CB2-7472-2EF4C9E14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248025" y="29289375"/>
          <a:ext cx="7602011" cy="12479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9</xdr:col>
      <xdr:colOff>143703</xdr:colOff>
      <xdr:row>112</xdr:row>
      <xdr:rowOff>28679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951EF037-92EE-4844-BDAD-FFCC6E45E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0025" y="23812500"/>
          <a:ext cx="5934903" cy="7430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9</xdr:col>
      <xdr:colOff>115124</xdr:colOff>
      <xdr:row>116</xdr:row>
      <xdr:rowOff>76310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A4514487-40A7-B582-D198-387710CA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0025" y="24765000"/>
          <a:ext cx="5906324" cy="7906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109</xdr:row>
      <xdr:rowOff>0</xdr:rowOff>
    </xdr:from>
    <xdr:to>
      <xdr:col>14</xdr:col>
      <xdr:colOff>143182</xdr:colOff>
      <xdr:row>117</xdr:row>
      <xdr:rowOff>2166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2AB5849-7202-EDA0-58C4-4C92F217A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362825" y="23812500"/>
          <a:ext cx="2200582" cy="18671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11</xdr:col>
      <xdr:colOff>86737</xdr:colOff>
      <xdr:row>155</xdr:row>
      <xdr:rowOff>114682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000AE06-188A-C75A-4960-F2AFA141B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0025" y="34290000"/>
          <a:ext cx="7249537" cy="27340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11</xdr:col>
      <xdr:colOff>544001</xdr:colOff>
      <xdr:row>174</xdr:row>
      <xdr:rowOff>597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E413F7D-DC77-31CA-9430-D4C2CCA9C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0025" y="37147500"/>
          <a:ext cx="7706801" cy="42773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11</xdr:col>
      <xdr:colOff>496369</xdr:colOff>
      <xdr:row>184</xdr:row>
      <xdr:rowOff>19352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0CA0986-4B1C-D98B-4D6D-3BFB85DB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0025" y="41671875"/>
          <a:ext cx="7659169" cy="2162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2293-7D06-4D63-9C85-D0908EFD47C7}">
  <dimension ref="B2:T190"/>
  <sheetViews>
    <sheetView tabSelected="1" topLeftCell="A175" workbookViewId="0">
      <selection activeCell="I189" sqref="I189"/>
    </sheetView>
  </sheetViews>
  <sheetFormatPr defaultRowHeight="14.4"/>
  <cols>
    <col min="1" max="1" width="2.6640625" customWidth="1"/>
    <col min="3" max="3" width="13" bestFit="1" customWidth="1"/>
  </cols>
  <sheetData>
    <row r="2" spans="2:8">
      <c r="B2" t="s">
        <v>82</v>
      </c>
    </row>
    <row r="3" spans="2:8">
      <c r="B3" s="7" t="s">
        <v>83</v>
      </c>
    </row>
    <row r="9" spans="2:8">
      <c r="C9" t="s">
        <v>0</v>
      </c>
      <c r="D9">
        <v>55</v>
      </c>
      <c r="E9" t="s">
        <v>9</v>
      </c>
    </row>
    <row r="10" spans="2:8">
      <c r="C10" t="s">
        <v>1</v>
      </c>
      <c r="D10">
        <v>10</v>
      </c>
      <c r="E10" t="s">
        <v>9</v>
      </c>
    </row>
    <row r="11" spans="2:8">
      <c r="C11" t="s">
        <v>2</v>
      </c>
      <c r="D11" s="1">
        <f>D9-D10/4</f>
        <v>52.5</v>
      </c>
      <c r="E11" t="s">
        <v>9</v>
      </c>
      <c r="F11" s="1" t="s">
        <v>67</v>
      </c>
      <c r="H11" s="8" t="s">
        <v>85</v>
      </c>
    </row>
    <row r="12" spans="2:8">
      <c r="D12" s="1"/>
    </row>
    <row r="16" spans="2:8">
      <c r="C16" t="s">
        <v>3</v>
      </c>
      <c r="D16">
        <v>3.1</v>
      </c>
      <c r="E16" t="s">
        <v>9</v>
      </c>
    </row>
    <row r="17" spans="3:11">
      <c r="C17" t="s">
        <v>4</v>
      </c>
      <c r="D17">
        <v>0.215</v>
      </c>
      <c r="E17" t="s">
        <v>8</v>
      </c>
    </row>
    <row r="18" spans="3:11">
      <c r="C18" t="s">
        <v>5</v>
      </c>
      <c r="D18">
        <v>36</v>
      </c>
      <c r="E18" t="s">
        <v>9</v>
      </c>
    </row>
    <row r="19" spans="3:11">
      <c r="C19" t="s">
        <v>6</v>
      </c>
      <c r="D19">
        <v>0.57999999999999996</v>
      </c>
      <c r="E19" t="s">
        <v>8</v>
      </c>
      <c r="F19" t="s">
        <v>86</v>
      </c>
      <c r="K19" s="8" t="s">
        <v>87</v>
      </c>
    </row>
    <row r="20" spans="3:11">
      <c r="C20" t="s">
        <v>7</v>
      </c>
      <c r="D20" s="4">
        <f>2*(D16^2*D17+2*D18^2*D19)</f>
        <v>3010.8523</v>
      </c>
      <c r="E20" t="s">
        <v>10</v>
      </c>
      <c r="F20" s="1" t="s">
        <v>67</v>
      </c>
    </row>
    <row r="21" spans="3:11">
      <c r="D21" s="4"/>
    </row>
    <row r="26" spans="3:11">
      <c r="C26" t="s">
        <v>11</v>
      </c>
      <c r="D26">
        <v>193</v>
      </c>
      <c r="E26" t="s">
        <v>12</v>
      </c>
    </row>
    <row r="27" spans="3:11">
      <c r="C27" t="s">
        <v>13</v>
      </c>
      <c r="D27">
        <v>410</v>
      </c>
      <c r="E27" t="s">
        <v>14</v>
      </c>
    </row>
    <row r="28" spans="3:11">
      <c r="C28" t="s">
        <v>15</v>
      </c>
      <c r="D28">
        <v>3.3</v>
      </c>
      <c r="E28" t="s">
        <v>9</v>
      </c>
    </row>
    <row r="29" spans="3:11">
      <c r="C29" t="s">
        <v>16</v>
      </c>
      <c r="D29">
        <v>21</v>
      </c>
    </row>
    <row r="30" spans="3:11">
      <c r="C30" t="s">
        <v>17</v>
      </c>
      <c r="D30">
        <v>4</v>
      </c>
      <c r="E30" t="s">
        <v>18</v>
      </c>
    </row>
    <row r="31" spans="3:11">
      <c r="C31" t="s">
        <v>19</v>
      </c>
      <c r="D31" s="5">
        <f>(2*D26*10^-12*D27^2/(D28/2-D10/(2*D29))^2-D30*10^-6)*10^6</f>
        <v>28.549491794374514</v>
      </c>
      <c r="E31" t="s">
        <v>18</v>
      </c>
      <c r="F31" s="1" t="s">
        <v>67</v>
      </c>
      <c r="K31" s="8" t="s">
        <v>88</v>
      </c>
    </row>
    <row r="32" spans="3:11">
      <c r="D32" s="5"/>
    </row>
    <row r="37" spans="3:15">
      <c r="C37" t="s">
        <v>20</v>
      </c>
      <c r="D37">
        <v>1810</v>
      </c>
      <c r="E37" t="s">
        <v>12</v>
      </c>
    </row>
    <row r="38" spans="3:15">
      <c r="C38" t="s">
        <v>21</v>
      </c>
      <c r="D38">
        <v>39</v>
      </c>
      <c r="E38" t="s">
        <v>14</v>
      </c>
    </row>
    <row r="39" spans="3:15">
      <c r="C39" t="s">
        <v>22</v>
      </c>
      <c r="D39">
        <v>25</v>
      </c>
      <c r="E39" t="s">
        <v>14</v>
      </c>
      <c r="F39" t="s">
        <v>84</v>
      </c>
      <c r="O39" s="8" t="s">
        <v>89</v>
      </c>
    </row>
    <row r="40" spans="3:15">
      <c r="C40" t="s">
        <v>34</v>
      </c>
      <c r="D40" s="5">
        <f>D37*(D38/D39)^(1/2)*10^-3</f>
        <v>2.2606892754202206</v>
      </c>
      <c r="E40" t="s">
        <v>23</v>
      </c>
      <c r="F40" s="1" t="s">
        <v>67</v>
      </c>
    </row>
    <row r="41" spans="3:15">
      <c r="D41" s="5"/>
    </row>
    <row r="47" spans="3:15">
      <c r="C47" t="s">
        <v>24</v>
      </c>
      <c r="D47">
        <v>36</v>
      </c>
      <c r="E47" t="s">
        <v>9</v>
      </c>
    </row>
    <row r="48" spans="3:15">
      <c r="C48" t="s">
        <v>25</v>
      </c>
      <c r="D48">
        <v>3.2</v>
      </c>
      <c r="E48" t="s">
        <v>26</v>
      </c>
    </row>
    <row r="49" spans="3:10">
      <c r="C49" t="s">
        <v>35</v>
      </c>
      <c r="D49" s="2">
        <f>D47^2*D48*10^-3</f>
        <v>4.1471999999999998</v>
      </c>
      <c r="E49" t="s">
        <v>10</v>
      </c>
    </row>
    <row r="50" spans="3:10">
      <c r="C50" t="s">
        <v>27</v>
      </c>
      <c r="D50">
        <v>600</v>
      </c>
      <c r="E50" t="s">
        <v>10</v>
      </c>
    </row>
    <row r="51" spans="3:10">
      <c r="C51" t="s">
        <v>28</v>
      </c>
      <c r="D51">
        <v>12</v>
      </c>
      <c r="E51" t="s">
        <v>14</v>
      </c>
    </row>
    <row r="52" spans="3:10">
      <c r="C52" t="s">
        <v>29</v>
      </c>
      <c r="D52">
        <v>24</v>
      </c>
      <c r="E52" t="s">
        <v>33</v>
      </c>
    </row>
    <row r="53" spans="3:10">
      <c r="C53" t="s">
        <v>30</v>
      </c>
      <c r="D53">
        <v>24</v>
      </c>
      <c r="E53" t="s">
        <v>33</v>
      </c>
    </row>
    <row r="54" spans="3:10">
      <c r="C54" t="s">
        <v>31</v>
      </c>
      <c r="D54">
        <v>200</v>
      </c>
      <c r="E54" t="s">
        <v>32</v>
      </c>
    </row>
    <row r="55" spans="3:10">
      <c r="C55" t="s">
        <v>36</v>
      </c>
      <c r="D55" s="6">
        <f>D50/D51*D38*(D52+D53)*10^-9*D54/2*10^3</f>
        <v>9.3600000000000012</v>
      </c>
      <c r="E55" t="s">
        <v>10</v>
      </c>
      <c r="F55" t="s">
        <v>79</v>
      </c>
      <c r="I55" s="8" t="s">
        <v>90</v>
      </c>
    </row>
    <row r="56" spans="3:10">
      <c r="C56" t="s">
        <v>37</v>
      </c>
      <c r="D56" s="2">
        <f>2*D40*10^-9*D38^2*D54/2*10^3</f>
        <v>0.68770167758283118</v>
      </c>
      <c r="E56" t="s">
        <v>10</v>
      </c>
      <c r="J56" s="8" t="s">
        <v>91</v>
      </c>
    </row>
    <row r="57" spans="3:10">
      <c r="C57" t="s">
        <v>38</v>
      </c>
      <c r="F57" t="s">
        <v>80</v>
      </c>
    </row>
    <row r="58" spans="3:10">
      <c r="C58" t="s">
        <v>39</v>
      </c>
      <c r="F58" t="s">
        <v>81</v>
      </c>
    </row>
    <row r="59" spans="3:10">
      <c r="C59" t="s">
        <v>40</v>
      </c>
      <c r="D59" s="2">
        <f>2*D57*D58*D54/2*10^3</f>
        <v>0</v>
      </c>
      <c r="E59" t="s">
        <v>10</v>
      </c>
    </row>
    <row r="60" spans="3:10">
      <c r="C60" t="s">
        <v>41</v>
      </c>
      <c r="D60" s="6">
        <f>D49+D55+D56+D59</f>
        <v>14.194901677582832</v>
      </c>
      <c r="E60" t="s">
        <v>10</v>
      </c>
      <c r="F60" s="1" t="s">
        <v>67</v>
      </c>
      <c r="I60" s="8" t="s">
        <v>92</v>
      </c>
    </row>
    <row r="61" spans="3:10">
      <c r="D61" s="6"/>
    </row>
    <row r="66" spans="3:9">
      <c r="C66" t="s">
        <v>42</v>
      </c>
      <c r="D66">
        <v>390</v>
      </c>
      <c r="E66" t="s">
        <v>14</v>
      </c>
    </row>
    <row r="67" spans="3:9">
      <c r="C67" t="s">
        <v>43</v>
      </c>
      <c r="D67">
        <v>276.2</v>
      </c>
      <c r="E67" t="s">
        <v>14</v>
      </c>
    </row>
    <row r="68" spans="3:9">
      <c r="C68" t="s">
        <v>44</v>
      </c>
      <c r="D68" s="4">
        <f>2*D50/60/(D66^2-D67^2)*10^6</f>
        <v>263.80505017835856</v>
      </c>
      <c r="E68" t="s">
        <v>45</v>
      </c>
      <c r="F68" s="1" t="s">
        <v>67</v>
      </c>
      <c r="I68" s="8" t="s">
        <v>93</v>
      </c>
    </row>
    <row r="69" spans="3:9">
      <c r="D69" s="4"/>
    </row>
    <row r="74" spans="3:9">
      <c r="C74" t="s">
        <v>46</v>
      </c>
      <c r="D74">
        <v>2.5</v>
      </c>
      <c r="E74" t="s">
        <v>9</v>
      </c>
    </row>
    <row r="75" spans="3:9">
      <c r="C75" t="s">
        <v>47</v>
      </c>
      <c r="D75">
        <v>370</v>
      </c>
      <c r="E75" t="s">
        <v>14</v>
      </c>
    </row>
    <row r="76" spans="3:9">
      <c r="C76" t="s">
        <v>48</v>
      </c>
      <c r="D76" s="5">
        <f>(D74^2-(D50/(D75*D29))^2)^(1/2)</f>
        <v>2.4988071273457915</v>
      </c>
      <c r="E76" t="s">
        <v>9</v>
      </c>
      <c r="F76" s="1" t="s">
        <v>67</v>
      </c>
      <c r="I76" s="8" t="s">
        <v>94</v>
      </c>
    </row>
    <row r="77" spans="3:9">
      <c r="D77" s="5"/>
    </row>
    <row r="81" spans="3:10">
      <c r="C81" t="s">
        <v>49</v>
      </c>
      <c r="D81">
        <v>0.15</v>
      </c>
      <c r="E81" t="s">
        <v>8</v>
      </c>
    </row>
    <row r="82" spans="3:10">
      <c r="C82" t="s">
        <v>50</v>
      </c>
      <c r="D82" s="6">
        <f>D76^2*D81</f>
        <v>0.93660555895111897</v>
      </c>
      <c r="E82" t="s">
        <v>10</v>
      </c>
      <c r="F82" s="1" t="s">
        <v>67</v>
      </c>
      <c r="H82" s="8" t="s">
        <v>95</v>
      </c>
    </row>
    <row r="83" spans="3:10">
      <c r="D83" s="6"/>
    </row>
    <row r="87" spans="3:10">
      <c r="C87" t="s">
        <v>55</v>
      </c>
      <c r="D87">
        <v>0.93</v>
      </c>
    </row>
    <row r="88" spans="3:10">
      <c r="C88" t="s">
        <v>51</v>
      </c>
      <c r="D88">
        <v>0.7</v>
      </c>
    </row>
    <row r="89" spans="3:10">
      <c r="C89" t="s">
        <v>52</v>
      </c>
      <c r="D89">
        <v>2.8</v>
      </c>
      <c r="E89" t="s">
        <v>53</v>
      </c>
    </row>
    <row r="90" spans="3:10">
      <c r="C90" t="s">
        <v>54</v>
      </c>
      <c r="D90" s="5">
        <f>(D50/(D51*D87)+D10/2)/D29+D27*D88/(D89*10^-3*2*D54*10^3)</f>
        <v>3.0545090885816695</v>
      </c>
      <c r="E90" t="s">
        <v>9</v>
      </c>
      <c r="F90" s="1" t="s">
        <v>67</v>
      </c>
      <c r="H90" s="8" t="s">
        <v>95</v>
      </c>
    </row>
    <row r="91" spans="3:10">
      <c r="D91" s="5"/>
    </row>
    <row r="95" spans="3:10">
      <c r="C95" t="s">
        <v>56</v>
      </c>
      <c r="D95">
        <v>2</v>
      </c>
      <c r="E95" t="s">
        <v>14</v>
      </c>
    </row>
    <row r="96" spans="3:10">
      <c r="C96" t="s">
        <v>57</v>
      </c>
      <c r="F96" t="s">
        <v>68</v>
      </c>
      <c r="J96" s="8" t="s">
        <v>96</v>
      </c>
    </row>
    <row r="97" spans="3:5">
      <c r="C97" t="s">
        <v>58</v>
      </c>
      <c r="D97">
        <v>100</v>
      </c>
    </row>
    <row r="98" spans="3:5">
      <c r="C98" t="s">
        <v>59</v>
      </c>
      <c r="D98" s="3" t="e">
        <f>(D95-0.2)/(D96/D97*1.1)</f>
        <v>#DIV/0!</v>
      </c>
      <c r="E98" t="s">
        <v>8</v>
      </c>
    </row>
    <row r="99" spans="3:5">
      <c r="D99" s="3"/>
    </row>
    <row r="100" spans="3:5">
      <c r="D100" s="3"/>
    </row>
    <row r="101" spans="3:5">
      <c r="D101" s="3"/>
    </row>
    <row r="102" spans="3:5">
      <c r="D102" s="3"/>
    </row>
    <row r="103" spans="3:5">
      <c r="D103" s="3"/>
    </row>
    <row r="104" spans="3:5">
      <c r="D104" s="3"/>
    </row>
    <row r="105" spans="3:5">
      <c r="D105" s="3"/>
    </row>
    <row r="106" spans="3:5">
      <c r="D106" s="3"/>
    </row>
    <row r="107" spans="3:5">
      <c r="D107" s="3"/>
    </row>
    <row r="108" spans="3:5">
      <c r="D108" s="3"/>
    </row>
    <row r="109" spans="3:5">
      <c r="D109" s="3"/>
    </row>
    <row r="110" spans="3:5">
      <c r="D110" s="3"/>
    </row>
    <row r="111" spans="3:5">
      <c r="D111" s="3"/>
    </row>
    <row r="112" spans="3:5">
      <c r="D112" s="3"/>
    </row>
    <row r="113" spans="2:20">
      <c r="D113" s="3"/>
    </row>
    <row r="114" spans="2:20">
      <c r="D114" s="3"/>
    </row>
    <row r="115" spans="2:20">
      <c r="D115" s="3"/>
    </row>
    <row r="116" spans="2:20">
      <c r="D116" s="3"/>
    </row>
    <row r="117" spans="2:20">
      <c r="D117" s="3"/>
    </row>
    <row r="118" spans="2:20">
      <c r="B118" t="s">
        <v>69</v>
      </c>
      <c r="D118" s="3"/>
      <c r="L118" s="8" t="s">
        <v>97</v>
      </c>
      <c r="M118" s="8"/>
      <c r="N118" s="8"/>
      <c r="O118" s="8"/>
      <c r="P118" s="8"/>
      <c r="Q118" s="8"/>
      <c r="R118" s="8"/>
      <c r="S118" s="8"/>
      <c r="T118" s="8"/>
    </row>
    <row r="119" spans="2:20">
      <c r="B119" t="s">
        <v>70</v>
      </c>
      <c r="D119" s="3"/>
      <c r="L119" s="8" t="s">
        <v>98</v>
      </c>
      <c r="M119" s="8"/>
      <c r="N119" s="8"/>
      <c r="O119" s="8"/>
      <c r="P119" s="8"/>
      <c r="Q119" s="8"/>
      <c r="R119" s="8"/>
      <c r="S119" s="8"/>
      <c r="T119" s="8"/>
    </row>
    <row r="120" spans="2:20">
      <c r="B120" t="s">
        <v>71</v>
      </c>
      <c r="D120" s="3"/>
      <c r="L120" s="8" t="s">
        <v>99</v>
      </c>
    </row>
    <row r="121" spans="2:20">
      <c r="D121" s="3"/>
    </row>
    <row r="127" spans="2:20">
      <c r="C127" t="s">
        <v>62</v>
      </c>
      <c r="D127">
        <v>346</v>
      </c>
      <c r="E127" t="s">
        <v>33</v>
      </c>
    </row>
    <row r="128" spans="2:20">
      <c r="C128" t="s">
        <v>60</v>
      </c>
      <c r="D128">
        <f>D127*0.5</f>
        <v>173</v>
      </c>
      <c r="E128" t="s">
        <v>33</v>
      </c>
    </row>
    <row r="129" spans="3:18">
      <c r="C129" t="s">
        <v>61</v>
      </c>
      <c r="D129">
        <v>1.6919999999999999</v>
      </c>
      <c r="E129" t="s">
        <v>14</v>
      </c>
    </row>
    <row r="130" spans="3:18">
      <c r="C130" t="s">
        <v>63</v>
      </c>
      <c r="D130" s="6">
        <f>(D128*0.5-4)*(2.65-D129*1.32)/5</f>
        <v>6.8732400000000009</v>
      </c>
      <c r="E130" t="s">
        <v>64</v>
      </c>
      <c r="F130" s="1" t="s">
        <v>67</v>
      </c>
      <c r="H130" t="s">
        <v>72</v>
      </c>
      <c r="R130" s="8" t="s">
        <v>100</v>
      </c>
    </row>
    <row r="131" spans="3:18">
      <c r="D131" s="6"/>
    </row>
    <row r="134" spans="3:18">
      <c r="L134" s="8" t="s">
        <v>101</v>
      </c>
    </row>
    <row r="136" spans="3:18">
      <c r="C136" t="s">
        <v>65</v>
      </c>
      <c r="D136">
        <v>5</v>
      </c>
      <c r="E136" t="s">
        <v>14</v>
      </c>
    </row>
    <row r="137" spans="3:18">
      <c r="C137" t="s">
        <v>66</v>
      </c>
      <c r="D137" s="4">
        <f>(2.5*10^6/(D54*10^3/2)-1)*(D136-2.5)*2.5</f>
        <v>150</v>
      </c>
      <c r="E137" t="s">
        <v>64</v>
      </c>
      <c r="F137" s="1" t="s">
        <v>67</v>
      </c>
      <c r="H137" t="s">
        <v>73</v>
      </c>
    </row>
    <row r="140" spans="3:18">
      <c r="Q140" s="8" t="s">
        <v>102</v>
      </c>
    </row>
    <row r="186" spans="2:9">
      <c r="B186" t="s">
        <v>74</v>
      </c>
    </row>
    <row r="187" spans="2:9">
      <c r="B187" t="s">
        <v>75</v>
      </c>
      <c r="E187" s="8" t="s">
        <v>104</v>
      </c>
    </row>
    <row r="188" spans="2:9">
      <c r="B188" t="s">
        <v>76</v>
      </c>
      <c r="H188" t="s">
        <v>103</v>
      </c>
    </row>
    <row r="189" spans="2:9">
      <c r="B189" t="s">
        <v>77</v>
      </c>
      <c r="H189" s="8" t="s">
        <v>103</v>
      </c>
      <c r="I189" s="8" t="s">
        <v>105</v>
      </c>
    </row>
    <row r="190" spans="2:9">
      <c r="B190" t="s">
        <v>78</v>
      </c>
      <c r="I190" s="8"/>
    </row>
  </sheetData>
  <phoneticPr fontId="2"/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TOYOTA Industries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O'Loughlin, Mike</dc:creator>
  <cp:lastModifiedBy>O'Loughlin, Mike</cp:lastModifiedBy>
  <dcterms:created xsi:type="dcterms:W3CDTF">2024-09-12T23:39:33Z</dcterms:created>
  <dcterms:modified xsi:type="dcterms:W3CDTF">2024-10-02T18:13:59Z</dcterms:modified>
</cp:coreProperties>
</file>