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Alimentation HAYDN\"/>
    </mc:Choice>
  </mc:AlternateContent>
  <bookViews>
    <workbookView xWindow="-120" yWindow="-120" windowWidth="29040" windowHeight="15840" tabRatio="721"/>
  </bookViews>
  <sheets>
    <sheet name="Input Here" sheetId="1" r:id="rId1"/>
    <sheet name="Calculation" sheetId="2" r:id="rId2"/>
    <sheet name="Schematic and Values" sheetId="4" r:id="rId3"/>
    <sheet name="Secondary Resonance" sheetId="5" r:id="rId4"/>
    <sheet name="Burst Mode for USB-PD" sheetId="7" r:id="rId5"/>
    <sheet name="Hide Calculate" sheetId="6" state="hidden" r:id="rId6"/>
  </sheets>
  <definedNames>
    <definedName name="_∆V_MIN">Calculation!$D$33</definedName>
    <definedName name="_∆VO_ABM">Calculation!$D$27</definedName>
    <definedName name="BUR">'Input Here'!$C$32</definedName>
    <definedName name="Cboot">Calculation!$D$146</definedName>
    <definedName name="CBootD_T">'Input Here'!$C$65</definedName>
    <definedName name="CBULK">'Input Here'!$C$71</definedName>
    <definedName name="CBULK_act">'Input Here'!$C$70</definedName>
    <definedName name="CBULK_rec">'Input Here'!$C$69</definedName>
    <definedName name="CBUR">Calculation!$D$122</definedName>
    <definedName name="CBUR_act">Calculation!$D$121</definedName>
    <definedName name="CBUR_rec">Calculation!$D$120</definedName>
    <definedName name="Cclamp">Calculation!$D$70</definedName>
    <definedName name="Cclamp_act">Calculation!$D$69</definedName>
    <definedName name="Cclamp_rec">Calculation!$D$68</definedName>
    <definedName name="CCS">Calculation!$D$97</definedName>
    <definedName name="CCS_act">Calculation!$D$96</definedName>
    <definedName name="CCS_rec">Calculation!$D$95</definedName>
    <definedName name="CDaux_H">'Input Here'!$C$125</definedName>
    <definedName name="CDaux_T">'Input Here'!$C$124</definedName>
    <definedName name="CDD_1">Calculation!$D$162</definedName>
    <definedName name="CDD1_act">Calculation!$D$161</definedName>
    <definedName name="CDD1_rec">Calculation!$D$160</definedName>
    <definedName name="CDD2_">Calculation!$D$148</definedName>
    <definedName name="Cdiff">Calculation!$D$193</definedName>
    <definedName name="Cdiff_act">Calculation!$D$192</definedName>
    <definedName name="Cdiff_rec">Calculation!$D$191</definedName>
    <definedName name="CDz">'Input Here'!$C$120</definedName>
    <definedName name="CFB">Calculation!$D$168</definedName>
    <definedName name="CHVG">Calculation!$D$138</definedName>
    <definedName name="CHVG_act">Calculation!$D$137</definedName>
    <definedName name="CHVG_rec">Calculation!$D$136</definedName>
    <definedName name="Cint">Calculation!$D$200</definedName>
    <definedName name="Cint_act">Calculation!$D$199</definedName>
    <definedName name="Cint_rec">Calculation!$D$198</definedName>
    <definedName name="Ciss_Qs">'Input Here'!$C$114</definedName>
    <definedName name="Co_1">'Secondary Resonance'!$E$25:$G$25</definedName>
    <definedName name="Co1_dec">'Secondary Resonance'!$E$23</definedName>
    <definedName name="Co1_rec">'Secondary Resonance'!$E$24</definedName>
    <definedName name="COSS_QH_bg">'Input Here'!$C$47</definedName>
    <definedName name="COSS_QH_sm">'Input Here'!$C$48</definedName>
    <definedName name="Coss_QH_T">'Input Here'!$C$51</definedName>
    <definedName name="COSS_QL_bg">'Input Here'!$C$55</definedName>
    <definedName name="COSS_QL_sm">'Input Here'!$C$56</definedName>
    <definedName name="COSS_Qs">'Input Here'!$C$111</definedName>
    <definedName name="Coss_SR_bg">'Input Here'!$C$84</definedName>
    <definedName name="COSS_SR_H">'Input Here'!$C$88</definedName>
    <definedName name="Coss_SR_sm">'Input Here'!$C$85</definedName>
    <definedName name="Coss_SR_T">'Input Here'!$C$87</definedName>
    <definedName name="COUT">'Input Here'!$C$77</definedName>
    <definedName name="COUT_act">'Input Here'!$C$76</definedName>
    <definedName name="COUT_rec">'Input Here'!$C$75</definedName>
    <definedName name="CREF">Calculation!$D$141</definedName>
    <definedName name="CREF_act">Calculation!$D$140</definedName>
    <definedName name="CREF_rec">Calculation!$D$139</definedName>
    <definedName name="CSW_0toVx">'Hide Calculate'!$D$21</definedName>
    <definedName name="CSW_T_nor">Calculation!$D$64</definedName>
    <definedName name="CSWS">Calculation!$D$127</definedName>
    <definedName name="CSWS_act">Calculation!$D$126</definedName>
    <definedName name="CSWS_rec">Calculation!$D$125</definedName>
    <definedName name="CTr">Calculation!$D$54</definedName>
    <definedName name="CTRmax">'Input Here'!$C$98</definedName>
    <definedName name="CTRmin">'Input Here'!$C$99</definedName>
    <definedName name="D_max">Calculation!$D$48</definedName>
    <definedName name="DBUR">'Hide Calculate'!$D$39</definedName>
    <definedName name="DBUR_min">'Hide Calculate'!$D$51</definedName>
    <definedName name="Dmin">'Hide Calculate'!$D$67</definedName>
    <definedName name="DOPP_max">'Hide Calculate'!$D$28</definedName>
    <definedName name="DOPP_min">'Hide Calculate'!$D$19</definedName>
    <definedName name="DOPP_run">'Hide Calculate'!$D$12</definedName>
    <definedName name="DOPP_start">'Hide Calculate'!$D$59</definedName>
    <definedName name="Drea_CDD1">Calculation!$D$159</definedName>
    <definedName name="Drea_clamp">Calculation!$D$67</definedName>
    <definedName name="fBUR_LR">Calculation!$D$28</definedName>
    <definedName name="fBUR_standyby">'Input Here'!$C$36</definedName>
    <definedName name="fBUR_UP">Calculation!$D$29</definedName>
    <definedName name="Fcr_min">'Input Here'!$C$35</definedName>
    <definedName name="fLINE_min">'Input Here'!$C$23</definedName>
    <definedName name="fp_opto">'Input Here'!$C$97</definedName>
    <definedName name="fsw_BUR">'Hide Calculate'!$D$38</definedName>
    <definedName name="fsw_BUR_min">'Hide Calculate'!$D$50</definedName>
    <definedName name="fsw_min">'Hide Calculate'!$D$65</definedName>
    <definedName name="fsw_OPP_max">'Hide Calculate'!$D$27</definedName>
    <definedName name="fsw_OPP_min">'Hide Calculate'!$D$17</definedName>
    <definedName name="fsw_OPP_run">'Hide Calculate'!$D$9</definedName>
    <definedName name="fsw_OPP_start">'Hide Calculate'!$D$57</definedName>
    <definedName name="fSWmin">'Input Here'!$C$24</definedName>
    <definedName name="ID_SR_max">'Input Here'!$C$90</definedName>
    <definedName name="IDaux_max">'Input Here'!$C$127</definedName>
    <definedName name="IEN_VDD">Calculation!$D$23</definedName>
    <definedName name="IFB_max">Calculation!$D$26</definedName>
    <definedName name="IIN_BUR">'Hide Calculate'!$D$40</definedName>
    <definedName name="IIN_BUR_min">'Hide Calculate'!$D$52</definedName>
    <definedName name="IIN_min">'Hide Calculate'!$D$66</definedName>
    <definedName name="IIN_OPP_max">'Hide Calculate'!$D$29</definedName>
    <definedName name="IIN_OPP_min">'Hide Calculate'!$D$18</definedName>
    <definedName name="IIN_OPP_run">'Hide Calculate'!$D$10</definedName>
    <definedName name="IIN_OPP_start">'Hide Calculate'!$D$58</definedName>
    <definedName name="IKA_min">'Input Here'!$C$104</definedName>
    <definedName name="IM_nega_BUR">'Hide Calculate'!$D$37</definedName>
    <definedName name="IM_nega_BUR_min">'Hide Calculate'!$D$49</definedName>
    <definedName name="IM_nega_max">'Hide Calculate'!$D$26</definedName>
    <definedName name="IM_nega_min">'Hide Calculate'!$D$64</definedName>
    <definedName name="IM_nega_OPP_min">'Hide Calculate'!$D$16</definedName>
    <definedName name="IM_nega_run">'Hide Calculate'!$D$11</definedName>
    <definedName name="IM_nega_start">'Hide Calculate'!$D$56</definedName>
    <definedName name="IOUT">'Input Here'!$C$31</definedName>
    <definedName name="ipk_BUR">'Hide Calculate'!$D$36</definedName>
    <definedName name="ipk_BUR_min">'Hide Calculate'!$D$48</definedName>
    <definedName name="ipk_min">'Hide Calculate'!$D$63</definedName>
    <definedName name="ipk_OPP_max">'Hide Calculate'!$D$25</definedName>
    <definedName name="ipk_OPP_min">'Hide Calculate'!$D$15</definedName>
    <definedName name="ipk_OPP_run">'Hide Calculate'!$D$8</definedName>
    <definedName name="ipk_OPP_start">'Hide Calculate'!$D$55</definedName>
    <definedName name="IQH_max">'Input Here'!$C$50</definedName>
    <definedName name="IQL_max">'Input Here'!$C$58</definedName>
    <definedName name="iQL_RMS">Calculation!$D$88</definedName>
    <definedName name="Iref_431">'Input Here'!$C$106</definedName>
    <definedName name="Iref_431_max">'Input Here'!$C$107</definedName>
    <definedName name="IRUN_VDD">Calculation!$D$19</definedName>
    <definedName name="Istart_HVG">Calculation!$D$22</definedName>
    <definedName name="IVCC_qcc">'Input Here'!$C$66</definedName>
    <definedName name="IVCC_sw">'Hide Calculate'!$D$60</definedName>
    <definedName name="iVSL_BUR">'Hide Calculate'!$D$41</definedName>
    <definedName name="iVSL_max">'Hide Calculate'!$D$31</definedName>
    <definedName name="IVSL_run">Calculation!$D$7</definedName>
    <definedName name="Iwait_VDD">Calculation!$D$20</definedName>
    <definedName name="KBUR_CST">Calculation!$D$17</definedName>
    <definedName name="KCTR_Temp">'Input Here'!$C$100</definedName>
    <definedName name="Kder">'Input Here'!$C$39</definedName>
    <definedName name="Kder_SR">'Input Here'!$C$81</definedName>
    <definedName name="KDM">Calculation!$D$16</definedName>
    <definedName name="KLC">Calculation!$D$15</definedName>
    <definedName name="KRES">Calculation!$D$32</definedName>
    <definedName name="KTZ">'Input Here'!$C$43</definedName>
    <definedName name="KVC">'Hide Calculate'!$D$68</definedName>
    <definedName name="kZmax">'Hide Calculate'!#REF!</definedName>
    <definedName name="LK_actual">Calculation!$D$52</definedName>
    <definedName name="LM">Calculation!$D$51</definedName>
    <definedName name="LM_actual">Calculation!$D$50</definedName>
    <definedName name="LM_recommended">Calculation!$D$49</definedName>
    <definedName name="Lo">'Secondary Resonance'!$E$28</definedName>
    <definedName name="LQs">'Input Here'!$C$113</definedName>
    <definedName name="NA">Calculation!$D$46</definedName>
    <definedName name="NA_act">Calculation!#REF!</definedName>
    <definedName name="NA_max">Calculation!$D$45</definedName>
    <definedName name="NA_min">Calculation!$D$44</definedName>
    <definedName name="Na1_">'Burst Mode for USB-PD'!$B$5</definedName>
    <definedName name="Na2_">'Burst Mode for USB-PD'!$B$6</definedName>
    <definedName name="NP">Calculation!$D$41</definedName>
    <definedName name="NPS">Calculation!$D$40</definedName>
    <definedName name="NPS_actual">Calculation!#REF!</definedName>
    <definedName name="NPS_min">Calculation!$D$38</definedName>
    <definedName name="NPS_recommended">Calculation!#REF!</definedName>
    <definedName name="NS">Calculation!$D$42</definedName>
    <definedName name="NS_">'Burst Mode for USB-PD'!$B$7</definedName>
    <definedName name="NSS">Calculation!$D$43</definedName>
    <definedName name="OPP">'Input Here'!$C$33</definedName>
    <definedName name="OVP">'Input Here'!$C$34</definedName>
    <definedName name="PO_FL">'Input Here'!$C$30</definedName>
    <definedName name="PRcs">Calculation!$D$89</definedName>
    <definedName name="Qg_Qh">'Hide Calculate'!$D$47</definedName>
    <definedName name="R_OPP">Calculation!$D$94</definedName>
    <definedName name="R_OPP_act">Calculation!$D$93</definedName>
    <definedName name="R_OPP_rec">Calculation!$D$92</definedName>
    <definedName name="Rbias1">Calculation!$D$177</definedName>
    <definedName name="Rbias1_max_ABM">Calculation!$D$174</definedName>
    <definedName name="Rbias1_max_SBP">Calculation!$D$173</definedName>
    <definedName name="Rbias2">Calculation!$D$172</definedName>
    <definedName name="Rbias2_act">Calculation!$D$171</definedName>
    <definedName name="Rbias2_rec">Calculation!$D$170</definedName>
    <definedName name="RBLEED">Calculation!$D$73</definedName>
    <definedName name="RBLEED_act">Calculation!$D$72</definedName>
    <definedName name="RBLEED_rec">Calculation!#REF!</definedName>
    <definedName name="RBLEED_recc">Calculation!$D$71</definedName>
    <definedName name="RBUR1">Calculation!$D$118</definedName>
    <definedName name="RBUR1_act">Calculation!$D$117</definedName>
    <definedName name="RBUR1_rec">Calculation!$D$116</definedName>
    <definedName name="RBUR2">Calculation!$D$115</definedName>
    <definedName name="RBUR2_act">Calculation!$D$114</definedName>
    <definedName name="RBUR2_rec">Calculation!$D$113</definedName>
    <definedName name="RCO">'Input Here'!$C$73</definedName>
    <definedName name="RCOMP">Calculation!$D$169</definedName>
    <definedName name="RCS">Calculation!$D$87</definedName>
    <definedName name="RCS_act">Calculation!$D$86</definedName>
    <definedName name="RCS_rec">Calculation!$D$85</definedName>
    <definedName name="RDD_1">Calculation!$D$156</definedName>
    <definedName name="RDD1_act">Calculation!$D$155</definedName>
    <definedName name="RDD1_rec">Calculation!$D$154</definedName>
    <definedName name="RDD2_">Calculation!$D$150</definedName>
    <definedName name="RDD2_rec">Calculation!$D$149</definedName>
    <definedName name="Rdiff">Calculation!$D$196</definedName>
    <definedName name="Rdiff_act">Calculation!$D$195</definedName>
    <definedName name="Rdiff_rec">Calculation!$D$194</definedName>
    <definedName name="RDM">Calculation!$D$103</definedName>
    <definedName name="RDM_act">Calculation!$D$102</definedName>
    <definedName name="RDM_rec">Calculation!$D$101</definedName>
    <definedName name="RDSon_QH">'Input Here'!$C$46</definedName>
    <definedName name="RDSon_QL">'Input Here'!$C$54</definedName>
    <definedName name="RFB">Calculation!$D$167</definedName>
    <definedName name="RFB_act">Calculation!$D$166</definedName>
    <definedName name="RFB_int">Calculation!$D$25</definedName>
    <definedName name="RFB_max">Calculation!$D$165</definedName>
    <definedName name="RHVG">Calculation!$D$135</definedName>
    <definedName name="RHVG_act">Calculation!$D$134</definedName>
    <definedName name="RHVG_rec">Calculation!$D$133</definedName>
    <definedName name="Rpri_dc">Calculation!$D$55</definedName>
    <definedName name="RSWS">Calculation!$D$130</definedName>
    <definedName name="RSWS_act">Calculation!$D$129</definedName>
    <definedName name="RSWS_rec">Calculation!$D$128</definedName>
    <definedName name="RTZ">Calculation!$D$109</definedName>
    <definedName name="RTZ_act">Calculation!$D$108</definedName>
    <definedName name="RTZ_rec">Calculation!$D$107</definedName>
    <definedName name="Rvo1_">Calculation!$D$186</definedName>
    <definedName name="Rvo1_act">Calculation!$D$185</definedName>
    <definedName name="Rvo1_rec">Calculation!$D$184</definedName>
    <definedName name="Rvo2_">Calculation!$D$183</definedName>
    <definedName name="Rvo2_act">Calculation!$D$182</definedName>
    <definedName name="Rvo2_rec">Calculation!$D$181</definedName>
    <definedName name="RVS_1">Calculation!$D$78</definedName>
    <definedName name="RVS_2">Calculation!$D$81</definedName>
    <definedName name="RVS1_act">Calculation!$D$77</definedName>
    <definedName name="RVS1_rec">Calculation!$D$76</definedName>
    <definedName name="RVS2_act">Calculation!$D$80</definedName>
    <definedName name="RVS2_rec">Calculation!$D$79</definedName>
    <definedName name="SET">'Input Here'!$C$42</definedName>
    <definedName name="SETPIN">'Input Here'!#REF!</definedName>
    <definedName name="solver_adj" localSheetId="4" hidden="1">'Burst Mode for USB-PD'!$B$9</definedName>
    <definedName name="solver_eng" localSheetId="4" hidden="1">1</definedName>
    <definedName name="solver_eng" localSheetId="1" hidden="1">1</definedName>
    <definedName name="solver_neg" localSheetId="4" hidden="1">1</definedName>
    <definedName name="solver_neg" localSheetId="1" hidden="1">1</definedName>
    <definedName name="solver_num" localSheetId="4" hidden="1">0</definedName>
    <definedName name="solver_num" localSheetId="1" hidden="1">0</definedName>
    <definedName name="solver_opt" localSheetId="4" hidden="1">'Burst Mode for USB-PD'!$B$7</definedName>
    <definedName name="solver_opt" localSheetId="1" hidden="1">'Hide Calculate'!#REF!</definedName>
    <definedName name="solver_typ" localSheetId="4" hidden="1">3</definedName>
    <definedName name="solver_typ" localSheetId="1" hidden="1">1</definedName>
    <definedName name="solver_val" localSheetId="4" hidden="1">0</definedName>
    <definedName name="solver_val" localSheetId="1" hidden="1">0</definedName>
    <definedName name="solver_ver" localSheetId="4" hidden="1">3</definedName>
    <definedName name="solver_ver" localSheetId="1" hidden="1">3</definedName>
    <definedName name="T_on_min">'Hide Calculate'!$D$20</definedName>
    <definedName name="tD_CS">Calculation!$D$9</definedName>
    <definedName name="TD_CS_filter">Calculation!$D$84</definedName>
    <definedName name="tD_CST">'Hide Calculate'!$D$22</definedName>
    <definedName name="TD_HDr">'Input Here'!$C$63</definedName>
    <definedName name="TD_LDr">'Input Here'!$C$62</definedName>
    <definedName name="tD_RUN_PWML">Calculation!$D$21</definedName>
    <definedName name="TFDR">Calculation!$D$30</definedName>
    <definedName name="THVG">Calculation!$D$157</definedName>
    <definedName name="tres">'Hide Calculate'!#REF!</definedName>
    <definedName name="Trise_max">'Hide Calculate'!$D$44</definedName>
    <definedName name="TSS_max">Calculation!$D$158</definedName>
    <definedName name="tSW">'Hide Calculate'!#REF!</definedName>
    <definedName name="tSW_off">'Hide Calculate'!#REF!</definedName>
    <definedName name="tSW_on">'Hide Calculate'!#REF!</definedName>
    <definedName name="tSWmax">'Hide Calculate'!#REF!</definedName>
    <definedName name="TZ_min">Calculation!$D$106</definedName>
    <definedName name="VBULKmin_tgt">'Input Here'!#REF!</definedName>
    <definedName name="Vbur1">'Burst Mode for USB-PD'!$E$9</definedName>
    <definedName name="Vbur2">'Burst Mode for USB-PD'!$E$10</definedName>
    <definedName name="VCE_sat_opto">'Input Here'!$C$94</definedName>
    <definedName name="Vcin_rated">'Input Here'!$C$72</definedName>
    <definedName name="Vclamp_max">'Hide Calculate'!$D$5</definedName>
    <definedName name="Vclamp_max_QH">'Hide Calculate'!$D$4</definedName>
    <definedName name="Vclamp_max_SR">'Hide Calculate'!$D$3</definedName>
    <definedName name="VCST_BUR">Calculation!$D$112</definedName>
    <definedName name="VCST_max">Calculation!$D$10</definedName>
    <definedName name="VCST_OPP1">Calculation!$D$11</definedName>
    <definedName name="VCST_OPP4">Calculation!$D$12</definedName>
    <definedName name="VD_LED">'Input Here'!$C$95</definedName>
    <definedName name="VD_LED_off">'Input Here'!$C$96</definedName>
    <definedName name="VDD">Calculation!$D$153</definedName>
    <definedName name="VDD_max">Calculation!$D$5</definedName>
    <definedName name="VDD_off">Calculation!$D$3</definedName>
    <definedName name="VDD_on">Calculation!$D$4</definedName>
    <definedName name="VDD_PCT">Calculation!$D$6</definedName>
    <definedName name="VDS_actual">'Input Here'!$C$41</definedName>
    <definedName name="VDz">'Input Here'!$C$119</definedName>
    <definedName name="Vf_BootD">'Input Here'!$C$64</definedName>
    <definedName name="Vf_Daux">'Input Here'!$C$126</definedName>
    <definedName name="Vf_SR">'Input Here'!$C$89</definedName>
    <definedName name="VFB_max">Calculation!$D$24</definedName>
    <definedName name="Vgs_Qs">'Input Here'!$C$112</definedName>
    <definedName name="VHVG">Calculation!$D$18</definedName>
    <definedName name="Vhys_CS">Calculation!$D$13</definedName>
    <definedName name="VIN_LOW">'Input Here'!$C$22</definedName>
    <definedName name="Vin_type">'Input Here'!$C$16</definedName>
    <definedName name="VINPUT_Brownin">'Input Here'!$C$18</definedName>
    <definedName name="VINPUT_Brownout">'Input Here'!$C$17</definedName>
    <definedName name="VINPUT_BUR">'Input Here'!$C$20</definedName>
    <definedName name="VINPUT_max">'Input Here'!$C$19</definedName>
    <definedName name="VINPUT_nom">'Input Here'!$C$21</definedName>
    <definedName name="VLk_pri_max">'Hide Calculate'!$D$33</definedName>
    <definedName name="Vo_drop">'Input Here'!$C$74</definedName>
    <definedName name="Voffset_CS_OPP">'Hide Calculate'!$D$30</definedName>
    <definedName name="Vomax">'Burst Mode for USB-PD'!$B$9</definedName>
    <definedName name="Vomin">'Burst Mode for USB-PD'!$B$10</definedName>
    <definedName name="VOUT">'Input Here'!$C$29</definedName>
    <definedName name="VR_pri_max">'Hide Calculate'!$D$32</definedName>
    <definedName name="Vref_431">'Input Here'!$C$105</definedName>
    <definedName name="VRfl">Calculation!$D$47</definedName>
    <definedName name="Vs_clamp">Calculation!$D$14</definedName>
    <definedName name="VSR_actual">'Input Here'!$C$83</definedName>
    <definedName name="Vth_Qs">'Input Here'!$C$115</definedName>
    <definedName name="VVS_OVP">Calculation!$D$8</definedName>
    <definedName name="Vx_SR">'Input Here'!$C$86</definedName>
    <definedName name="Vxh">'Input Here'!$C$49</definedName>
    <definedName name="Vxl">'Input Here'!$C$57</definedName>
    <definedName name="ΔVCLAMP">Calculation!$D$35</definedName>
    <definedName name="ΔVSPIKE">Calculation!$D$34</definedName>
    <definedName name="η">Calculation!$D$31</definedName>
    <definedName name="η_min">'Input Here'!$C$25</definedName>
    <definedName name="ηXFMR">Calculation!$D$53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2" l="1"/>
  <c r="C17" i="1" l="1"/>
  <c r="C69" i="1" l="1"/>
  <c r="D17" i="1" l="1"/>
  <c r="D19" i="1"/>
  <c r="D20" i="1"/>
  <c r="D21" i="1"/>
  <c r="D22" i="1"/>
  <c r="D18" i="1"/>
  <c r="D73" i="2" l="1"/>
  <c r="D39" i="2"/>
  <c r="D38" i="2"/>
  <c r="C51" i="1" l="1"/>
  <c r="D181" i="2"/>
  <c r="C180" i="2"/>
  <c r="D125" i="2" l="1"/>
  <c r="C59" i="1"/>
  <c r="C87" i="1"/>
  <c r="D16" i="2"/>
  <c r="D18" i="6" l="1"/>
  <c r="C31" i="1" l="1"/>
  <c r="C75" i="1" s="1"/>
  <c r="D119" i="2" l="1"/>
  <c r="D59" i="2" l="1"/>
  <c r="D58" i="2"/>
  <c r="C43" i="1" l="1"/>
  <c r="D22" i="6" l="1"/>
  <c r="D58" i="4" l="1"/>
  <c r="D103" i="2"/>
  <c r="C82" i="1"/>
  <c r="E32" i="5"/>
  <c r="D67" i="6"/>
  <c r="D66" i="6"/>
  <c r="D59" i="6"/>
  <c r="D58" i="6"/>
  <c r="D52" i="6"/>
  <c r="D51" i="6"/>
  <c r="D40" i="6"/>
  <c r="D39" i="6"/>
  <c r="D29" i="6"/>
  <c r="D28" i="6"/>
  <c r="D19" i="6"/>
  <c r="D12" i="6"/>
  <c r="D10" i="6"/>
  <c r="D48" i="2"/>
  <c r="D49" i="2" s="1"/>
  <c r="C72" i="1"/>
  <c r="C40" i="1"/>
  <c r="E30" i="5" l="1"/>
  <c r="H35" i="5" l="1"/>
  <c r="D111" i="4" l="1"/>
  <c r="D47" i="6"/>
  <c r="D21" i="6"/>
  <c r="D139" i="2"/>
  <c r="D122" i="2" l="1"/>
  <c r="D83" i="4" s="1"/>
  <c r="D119" i="4" l="1"/>
  <c r="D122" i="4"/>
  <c r="D99" i="4"/>
  <c r="D95" i="4"/>
  <c r="D68" i="4"/>
  <c r="D64" i="4"/>
  <c r="D50" i="4"/>
  <c r="D46" i="4"/>
  <c r="D191" i="2" l="1"/>
  <c r="D174" i="2"/>
  <c r="D170" i="2"/>
  <c r="D165" i="2"/>
  <c r="D133" i="2"/>
  <c r="D196" i="2"/>
  <c r="D60" i="4" s="1"/>
  <c r="D200" i="2"/>
  <c r="D115" i="4" s="1"/>
  <c r="D193" i="2"/>
  <c r="D186" i="2"/>
  <c r="D54" i="4" s="1"/>
  <c r="D183" i="2"/>
  <c r="D147" i="2"/>
  <c r="D194" i="2" l="1"/>
  <c r="D107" i="4"/>
  <c r="D184" i="2"/>
  <c r="D56" i="4"/>
  <c r="D187" i="2"/>
  <c r="D198" i="2"/>
  <c r="D172" i="2"/>
  <c r="D173" i="2" l="1"/>
  <c r="D176" i="2" s="1"/>
  <c r="D52" i="4"/>
  <c r="D167" i="2" l="1"/>
  <c r="D24" i="4" s="1"/>
  <c r="D26" i="4" l="1"/>
  <c r="D162" i="2"/>
  <c r="D103" i="4" s="1"/>
  <c r="C77" i="1" l="1"/>
  <c r="D67" i="4" s="1"/>
  <c r="C71" i="1"/>
  <c r="D63" i="4" s="1"/>
  <c r="D156" i="2" l="1"/>
  <c r="D48" i="4" s="1"/>
  <c r="D141" i="2"/>
  <c r="D91" i="4" s="1"/>
  <c r="D138" i="2"/>
  <c r="D135" i="2"/>
  <c r="D44" i="4" s="1"/>
  <c r="D127" i="2"/>
  <c r="D118" i="2"/>
  <c r="B8" i="7" s="1"/>
  <c r="D115" i="2"/>
  <c r="D109" i="2"/>
  <c r="D36" i="4" s="1"/>
  <c r="D34" i="4"/>
  <c r="D97" i="2"/>
  <c r="D75" i="4" s="1"/>
  <c r="D94" i="2"/>
  <c r="D62" i="2"/>
  <c r="D61" i="2"/>
  <c r="D60" i="2"/>
  <c r="D38" i="4" l="1"/>
  <c r="D98" i="2"/>
  <c r="D40" i="4"/>
  <c r="D120" i="2"/>
  <c r="D128" i="2"/>
  <c r="D130" i="2" s="1"/>
  <c r="D42" i="4" s="1"/>
  <c r="D79" i="4"/>
  <c r="D157" i="2"/>
  <c r="D87" i="4"/>
  <c r="D95" i="2"/>
  <c r="D32" i="4"/>
  <c r="D70" i="2" l="1"/>
  <c r="D51" i="2"/>
  <c r="D85" i="2" s="1"/>
  <c r="D4" i="6" l="1"/>
  <c r="D3" i="6"/>
  <c r="D33" i="6"/>
  <c r="D71" i="4"/>
  <c r="D118" i="4"/>
  <c r="D120" i="4"/>
  <c r="D72" i="4"/>
  <c r="D5" i="6" l="1"/>
  <c r="D71" i="2" s="1"/>
  <c r="D87" i="2"/>
  <c r="D158" i="2" s="1"/>
  <c r="D42" i="2"/>
  <c r="D47" i="2"/>
  <c r="D63" i="2"/>
  <c r="D43" i="2" l="1"/>
  <c r="B7" i="7" s="1"/>
  <c r="D68" i="2"/>
  <c r="D123" i="4"/>
  <c r="D149" i="2"/>
  <c r="D21" i="4"/>
  <c r="D64" i="2"/>
  <c r="D26" i="6" s="1"/>
  <c r="D27" i="6" s="1"/>
  <c r="D44" i="2" l="1"/>
  <c r="D45" i="2"/>
  <c r="B5" i="7"/>
  <c r="D49" i="6"/>
  <c r="D50" i="6" s="1"/>
  <c r="D11" i="6"/>
  <c r="D9" i="6" s="1"/>
  <c r="D8" i="6" s="1"/>
  <c r="D56" i="6"/>
  <c r="D57" i="6" s="1"/>
  <c r="D37" i="6"/>
  <c r="D38" i="6" s="1"/>
  <c r="D64" i="6"/>
  <c r="D65" i="6" s="1"/>
  <c r="D63" i="6" s="1"/>
  <c r="D16" i="6"/>
  <c r="D17" i="6" s="1"/>
  <c r="E27" i="5" s="1"/>
  <c r="D106" i="2"/>
  <c r="D107" i="2" s="1"/>
  <c r="D81" i="2"/>
  <c r="D153" i="2" l="1"/>
  <c r="D154" i="2" s="1"/>
  <c r="D76" i="2"/>
  <c r="D78" i="2" s="1"/>
  <c r="D28" i="4" s="1"/>
  <c r="D124" i="4"/>
  <c r="E24" i="5"/>
  <c r="D121" i="4"/>
  <c r="D68" i="6"/>
  <c r="D175" i="2" s="1"/>
  <c r="D48" i="6"/>
  <c r="D60" i="6"/>
  <c r="D160" i="2" s="1"/>
  <c r="D25" i="6"/>
  <c r="D30" i="6" s="1"/>
  <c r="D36" i="6"/>
  <c r="D30" i="4"/>
  <c r="D101" i="2" l="1"/>
  <c r="D145" i="2"/>
  <c r="D144" i="2"/>
  <c r="D79" i="2"/>
  <c r="B12" i="7"/>
  <c r="B13" i="7"/>
  <c r="D44" i="6"/>
  <c r="D136" i="2" s="1"/>
  <c r="D15" i="6"/>
  <c r="D20" i="6" s="1"/>
  <c r="D55" i="6"/>
  <c r="D32" i="6" l="1"/>
  <c r="D88" i="2"/>
  <c r="D89" i="2" s="1"/>
  <c r="D22" i="4" s="1"/>
  <c r="D41" i="6" l="1"/>
  <c r="D31" i="6"/>
  <c r="D92" i="2" s="1"/>
  <c r="D112" i="2" l="1"/>
  <c r="D113" i="2" l="1"/>
  <c r="D116" i="2"/>
</calcChain>
</file>

<file path=xl/comments1.xml><?xml version="1.0" encoding="utf-8"?>
<comments xmlns="http://schemas.openxmlformats.org/spreadsheetml/2006/main">
  <authors>
    <author>Mozaffari, Khalegh</author>
  </authors>
  <commentList>
    <comment ref="B14" authorId="0" shapeId="0">
      <text>
        <r>
          <rPr>
            <b/>
            <sz val="9"/>
            <color indexed="81"/>
            <rFont val="Tahoma"/>
            <family val="2"/>
          </rPr>
          <t>Mozaffari, Khalegh:</t>
        </r>
        <r>
          <rPr>
            <sz val="9"/>
            <color indexed="81"/>
            <rFont val="Tahoma"/>
            <family val="2"/>
          </rPr>
          <t xml:space="preserve">
I added ''input specification" here.
What do you think?</t>
        </r>
      </text>
    </comment>
  </commentList>
</comments>
</file>

<file path=xl/sharedStrings.xml><?xml version="1.0" encoding="utf-8"?>
<sst xmlns="http://schemas.openxmlformats.org/spreadsheetml/2006/main" count="1174" uniqueCount="831">
  <si>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</si>
  <si>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</si>
  <si>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t>DESIGN REQUIREMENTS</t>
  </si>
  <si>
    <t>UCC28780 DESIGN CALCULATOR TOOL</t>
    <phoneticPr fontId="25" type="noConversion"/>
  </si>
  <si>
    <t/>
  </si>
  <si>
    <t>Hz</t>
  </si>
  <si>
    <t>For universal line enter 47 Hz</t>
  </si>
  <si>
    <t>%</t>
    <phoneticPr fontId="25" type="noConversion"/>
  </si>
  <si>
    <t>OUTPUT SPECIFICATIONS</t>
  </si>
  <si>
    <t>A</t>
  </si>
  <si>
    <t>V</t>
  </si>
  <si>
    <t>W</t>
    <phoneticPr fontId="25" type="noConversion"/>
  </si>
  <si>
    <t>Output Load into BUR, BUR =</t>
    <phoneticPr fontId="25" type="noConversion"/>
  </si>
  <si>
    <t>Output OPP, OPP =</t>
    <phoneticPr fontId="25" type="noConversion"/>
  </si>
  <si>
    <t>Output OVP, OVP =</t>
    <phoneticPr fontId="25" type="noConversion"/>
  </si>
  <si>
    <t>kHz</t>
    <phoneticPr fontId="25" type="noConversion"/>
  </si>
  <si>
    <t>Start with 50%-60% at high line</t>
    <phoneticPr fontId="25" type="noConversion"/>
  </si>
  <si>
    <t>Power level threshold to start OPP timer</t>
    <phoneticPr fontId="25" type="noConversion"/>
  </si>
  <si>
    <t>For loop compensation</t>
    <phoneticPr fontId="25" type="noConversion"/>
  </si>
  <si>
    <t>Ω</t>
  </si>
  <si>
    <t>Transformer Parameter</t>
    <phoneticPr fontId="25" type="noConversion"/>
  </si>
  <si>
    <t>µH</t>
    <phoneticPr fontId="25" type="noConversion"/>
  </si>
  <si>
    <t>Primary MOSFET Switch, QL QH</t>
    <phoneticPr fontId="25" type="noConversion"/>
  </si>
  <si>
    <t>V</t>
    <phoneticPr fontId="25" type="noConversion"/>
  </si>
  <si>
    <r>
      <t>Drain to Source On-Resistance of High Side 
Selected MOSFET, R</t>
    </r>
    <r>
      <rPr>
        <vertAlign val="subscript"/>
        <sz val="11"/>
        <color theme="1"/>
        <rFont val="Arial"/>
        <family val="2"/>
      </rPr>
      <t xml:space="preserve">DSon_QH </t>
    </r>
    <r>
      <rPr>
        <sz val="11"/>
        <color theme="1"/>
        <rFont val="Arial"/>
        <family val="2"/>
      </rPr>
      <t>=</t>
    </r>
    <phoneticPr fontId="25" type="noConversion"/>
  </si>
  <si>
    <r>
      <t>Output Capacitance Threshold of Big-Small-C, V</t>
    </r>
    <r>
      <rPr>
        <vertAlign val="subscript"/>
        <sz val="11"/>
        <color theme="1"/>
        <rFont val="Arial"/>
        <family val="2"/>
      </rPr>
      <t>xh</t>
    </r>
    <r>
      <rPr>
        <sz val="11"/>
        <color theme="1"/>
        <rFont val="Arial"/>
        <family val="2"/>
      </rPr>
      <t xml:space="preserve"> =</t>
    </r>
    <phoneticPr fontId="25" type="noConversion"/>
  </si>
  <si>
    <t>pF</t>
    <phoneticPr fontId="25" type="noConversion"/>
  </si>
  <si>
    <r>
      <t>C</t>
    </r>
    <r>
      <rPr>
        <vertAlign val="subscript"/>
        <sz val="11"/>
        <color theme="1"/>
        <rFont val="Arial"/>
        <family val="2"/>
      </rPr>
      <t>OSS_QH_T</t>
    </r>
    <r>
      <rPr>
        <sz val="11"/>
        <color theme="1"/>
        <rFont val="Arial"/>
        <family val="2"/>
      </rPr>
      <t xml:space="preserve"> =</t>
    </r>
    <phoneticPr fontId="25" type="noConversion"/>
  </si>
  <si>
    <r>
      <t>C</t>
    </r>
    <r>
      <rPr>
        <vertAlign val="subscript"/>
        <sz val="11"/>
        <color theme="1"/>
        <rFont val="Arial"/>
        <family val="2"/>
      </rPr>
      <t>OSS_QL_T</t>
    </r>
    <r>
      <rPr>
        <sz val="11"/>
        <color theme="1"/>
        <rFont val="Arial"/>
        <family val="2"/>
      </rPr>
      <t xml:space="preserve"> =</t>
    </r>
    <phoneticPr fontId="25" type="noConversion"/>
  </si>
  <si>
    <r>
      <t>Input Current Pulse Rating, I</t>
    </r>
    <r>
      <rPr>
        <vertAlign val="subscript"/>
        <sz val="11"/>
        <color theme="1"/>
        <rFont val="Arial"/>
        <family val="2"/>
      </rPr>
      <t>QH_max</t>
    </r>
    <r>
      <rPr>
        <sz val="11"/>
        <color theme="1"/>
        <rFont val="Arial"/>
        <family val="2"/>
      </rPr>
      <t xml:space="preserve"> =</t>
    </r>
    <phoneticPr fontId="25" type="noConversion"/>
  </si>
  <si>
    <t>A</t>
    <phoneticPr fontId="25" type="noConversion"/>
  </si>
  <si>
    <r>
      <t>Drain to Source On-Resistance of High Side 
Selected MOSFET, R</t>
    </r>
    <r>
      <rPr>
        <vertAlign val="subscript"/>
        <sz val="11"/>
        <color theme="1"/>
        <rFont val="Arial"/>
        <family val="2"/>
      </rPr>
      <t xml:space="preserve">DSon_QL </t>
    </r>
    <r>
      <rPr>
        <sz val="11"/>
        <color theme="1"/>
        <rFont val="Arial"/>
        <family val="2"/>
      </rPr>
      <t>=</t>
    </r>
    <phoneticPr fontId="25" type="noConversion"/>
  </si>
  <si>
    <t>QH Parameter</t>
    <phoneticPr fontId="25" type="noConversion"/>
  </si>
  <si>
    <t>QL Parameter</t>
    <phoneticPr fontId="25" type="noConversion"/>
  </si>
  <si>
    <r>
      <t>Time related output capacitance, C</t>
    </r>
    <r>
      <rPr>
        <vertAlign val="subscript"/>
        <sz val="11"/>
        <color theme="1"/>
        <rFont val="Arial"/>
        <family val="2"/>
      </rPr>
      <t>oss_QH_T</t>
    </r>
    <r>
      <rPr>
        <sz val="11"/>
        <color theme="1"/>
        <rFont val="Arial"/>
        <family val="2"/>
      </rPr>
      <t>=</t>
    </r>
    <phoneticPr fontId="25" type="noConversion"/>
  </si>
  <si>
    <t>Set pin,SET</t>
    <phoneticPr fontId="25" type="noConversion"/>
  </si>
  <si>
    <t>at 150V</t>
    <phoneticPr fontId="25" type="noConversion"/>
  </si>
  <si>
    <t>V</t>
    <phoneticPr fontId="25" type="noConversion"/>
  </si>
  <si>
    <t>for SR use 0V</t>
    <phoneticPr fontId="25" type="noConversion"/>
  </si>
  <si>
    <t>A</t>
    <phoneticPr fontId="25" type="noConversion"/>
  </si>
  <si>
    <t>Optocoupler</t>
    <phoneticPr fontId="25" type="noConversion"/>
  </si>
  <si>
    <t>Part Number</t>
    <phoneticPr fontId="25" type="noConversion"/>
  </si>
  <si>
    <t>V</t>
    <phoneticPr fontId="25" type="noConversion"/>
  </si>
  <si>
    <t>Shunt Regulator</t>
    <phoneticPr fontId="25" type="noConversion"/>
  </si>
  <si>
    <t>Depletion FET</t>
    <phoneticPr fontId="25" type="noConversion"/>
  </si>
  <si>
    <t>nH</t>
    <phoneticPr fontId="25" type="noConversion"/>
  </si>
  <si>
    <t>Auxiliary Rectifier Diode</t>
    <phoneticPr fontId="25" type="noConversion"/>
  </si>
  <si>
    <t>at 150V</t>
    <phoneticPr fontId="25" type="noConversion"/>
  </si>
  <si>
    <t>µH</t>
  </si>
  <si>
    <t>pF</t>
    <phoneticPr fontId="25" type="noConversion"/>
  </si>
  <si>
    <t>A</t>
    <phoneticPr fontId="25" type="noConversion"/>
  </si>
  <si>
    <t>Hz</t>
    <phoneticPr fontId="25" type="noConversion"/>
  </si>
  <si>
    <t>µF</t>
    <phoneticPr fontId="25" type="noConversion"/>
  </si>
  <si>
    <t>µs</t>
    <phoneticPr fontId="25" type="noConversion"/>
  </si>
  <si>
    <r>
      <t>C</t>
    </r>
    <r>
      <rPr>
        <vertAlign val="subscript"/>
        <sz val="11"/>
        <color theme="1"/>
        <rFont val="Arial"/>
        <family val="2"/>
      </rPr>
      <t xml:space="preserve">clamp_rec </t>
    </r>
    <r>
      <rPr>
        <sz val="11"/>
        <color theme="1"/>
        <rFont val="Arial"/>
        <family val="2"/>
      </rPr>
      <t>=</t>
    </r>
    <phoneticPr fontId="25" type="noConversion"/>
  </si>
  <si>
    <r>
      <t>C</t>
    </r>
    <r>
      <rPr>
        <vertAlign val="subscript"/>
        <sz val="11"/>
        <color theme="1"/>
        <rFont val="Arial"/>
        <family val="2"/>
      </rPr>
      <t>clamp</t>
    </r>
    <r>
      <rPr>
        <sz val="11"/>
        <color theme="1"/>
        <rFont val="Arial"/>
        <family val="2"/>
      </rPr>
      <t xml:space="preserve"> =</t>
    </r>
    <phoneticPr fontId="25" type="noConversion"/>
  </si>
  <si>
    <r>
      <t>Minimum Cathode Current for Regulation, I</t>
    </r>
    <r>
      <rPr>
        <vertAlign val="subscript"/>
        <sz val="11"/>
        <color theme="1"/>
        <rFont val="Arial"/>
        <family val="2"/>
      </rPr>
      <t>KA_min</t>
    </r>
    <r>
      <rPr>
        <sz val="11"/>
        <color theme="1"/>
        <rFont val="Arial"/>
        <family val="2"/>
      </rPr>
      <t>=</t>
    </r>
    <phoneticPr fontId="25" type="noConversion"/>
  </si>
  <si>
    <r>
      <t>Reference Voltage, V</t>
    </r>
    <r>
      <rPr>
        <vertAlign val="subscript"/>
        <sz val="11"/>
        <color theme="1"/>
        <rFont val="Arial"/>
        <family val="2"/>
      </rPr>
      <t>ref_431</t>
    </r>
    <r>
      <rPr>
        <sz val="11"/>
        <color theme="1"/>
        <rFont val="Arial"/>
        <family val="2"/>
      </rPr>
      <t>=</t>
    </r>
    <phoneticPr fontId="25" type="noConversion"/>
  </si>
  <si>
    <r>
      <t>Output Capacitance, C</t>
    </r>
    <r>
      <rPr>
        <vertAlign val="subscript"/>
        <sz val="11"/>
        <color theme="1"/>
        <rFont val="Arial"/>
        <family val="2"/>
      </rPr>
      <t>OSS_Qs</t>
    </r>
    <r>
      <rPr>
        <sz val="11"/>
        <color theme="1"/>
        <rFont val="Arial"/>
        <family val="2"/>
      </rPr>
      <t>=</t>
    </r>
    <phoneticPr fontId="25" type="noConversion"/>
  </si>
  <si>
    <r>
      <t>Gate Source Voltage, V</t>
    </r>
    <r>
      <rPr>
        <vertAlign val="subscript"/>
        <sz val="11"/>
        <color theme="1"/>
        <rFont val="Arial"/>
        <family val="2"/>
      </rPr>
      <t>gs_Qs</t>
    </r>
    <r>
      <rPr>
        <sz val="11"/>
        <color theme="1"/>
        <rFont val="Arial"/>
        <family val="2"/>
      </rPr>
      <t>=</t>
    </r>
    <phoneticPr fontId="25" type="noConversion"/>
  </si>
  <si>
    <r>
      <t>Maximum Input Capacitance, C</t>
    </r>
    <r>
      <rPr>
        <vertAlign val="subscript"/>
        <sz val="11"/>
        <color theme="1"/>
        <rFont val="Arial"/>
        <family val="2"/>
      </rPr>
      <t>iss_Qs</t>
    </r>
    <r>
      <rPr>
        <sz val="11"/>
        <color theme="1"/>
        <rFont val="Arial"/>
        <family val="2"/>
      </rPr>
      <t>=</t>
    </r>
    <phoneticPr fontId="25" type="noConversion"/>
  </si>
  <si>
    <r>
      <t>Gate Threshold Voltage, V</t>
    </r>
    <r>
      <rPr>
        <vertAlign val="subscript"/>
        <sz val="11"/>
        <color theme="1"/>
        <rFont val="Arial"/>
        <family val="2"/>
      </rPr>
      <t>th_Qs</t>
    </r>
    <r>
      <rPr>
        <sz val="11"/>
        <color theme="1"/>
        <rFont val="Arial"/>
        <family val="2"/>
      </rPr>
      <t>=</t>
    </r>
    <phoneticPr fontId="25" type="noConversion"/>
  </si>
  <si>
    <r>
      <t>Time Related Output Capacitance, C</t>
    </r>
    <r>
      <rPr>
        <vertAlign val="subscript"/>
        <sz val="11"/>
        <color theme="1"/>
        <rFont val="Arial"/>
        <family val="2"/>
      </rPr>
      <t>Daux_T</t>
    </r>
    <r>
      <rPr>
        <sz val="11"/>
        <color theme="1"/>
        <rFont val="Arial"/>
        <family val="2"/>
      </rPr>
      <t>=</t>
    </r>
    <phoneticPr fontId="25" type="noConversion"/>
  </si>
  <si>
    <r>
      <t>Output Capacitance During High Voltage, C</t>
    </r>
    <r>
      <rPr>
        <vertAlign val="subscript"/>
        <sz val="11"/>
        <color theme="1"/>
        <rFont val="Arial"/>
        <family val="2"/>
      </rPr>
      <t>Daux_H</t>
    </r>
    <r>
      <rPr>
        <sz val="11"/>
        <color theme="1"/>
        <rFont val="Arial"/>
        <family val="2"/>
      </rPr>
      <t>=</t>
    </r>
    <phoneticPr fontId="25" type="noConversion"/>
  </si>
  <si>
    <r>
      <t>Forward Voltage, V</t>
    </r>
    <r>
      <rPr>
        <vertAlign val="subscript"/>
        <sz val="11"/>
        <color theme="1"/>
        <rFont val="Arial"/>
        <family val="2"/>
      </rPr>
      <t>f_Daux</t>
    </r>
    <r>
      <rPr>
        <sz val="11"/>
        <color theme="1"/>
        <rFont val="Arial"/>
        <family val="2"/>
      </rPr>
      <t>=</t>
    </r>
    <phoneticPr fontId="25" type="noConversion"/>
  </si>
  <si>
    <r>
      <t>Forward Rectified Current, I</t>
    </r>
    <r>
      <rPr>
        <vertAlign val="subscript"/>
        <sz val="11"/>
        <color theme="1"/>
        <rFont val="Arial"/>
        <family val="2"/>
      </rPr>
      <t>Daux_max</t>
    </r>
    <r>
      <rPr>
        <sz val="11"/>
        <color theme="1"/>
        <rFont val="Arial"/>
        <family val="2"/>
      </rPr>
      <t>=</t>
    </r>
    <phoneticPr fontId="25" type="noConversion"/>
  </si>
  <si>
    <t>µF</t>
    <phoneticPr fontId="25" type="noConversion"/>
  </si>
  <si>
    <r>
      <t>C</t>
    </r>
    <r>
      <rPr>
        <vertAlign val="subscript"/>
        <sz val="11"/>
        <color theme="1"/>
        <rFont val="Arial"/>
        <family val="2"/>
      </rPr>
      <t>clamp_act</t>
    </r>
    <r>
      <rPr>
        <sz val="11"/>
        <color theme="1"/>
        <rFont val="Arial"/>
        <family val="2"/>
      </rPr>
      <t xml:space="preserve"> =</t>
    </r>
    <phoneticPr fontId="25" type="noConversion"/>
  </si>
  <si>
    <r>
      <t>C</t>
    </r>
    <r>
      <rPr>
        <vertAlign val="subscript"/>
        <sz val="11"/>
        <color theme="1"/>
        <rFont val="Arial"/>
        <family val="2"/>
      </rPr>
      <t>Tr</t>
    </r>
    <r>
      <rPr>
        <sz val="11"/>
        <color theme="1"/>
        <rFont val="Arial"/>
        <family val="2"/>
      </rPr>
      <t xml:space="preserve"> =</t>
    </r>
    <phoneticPr fontId="25" type="noConversion"/>
  </si>
  <si>
    <r>
      <t>K</t>
    </r>
    <r>
      <rPr>
        <vertAlign val="subscript"/>
        <sz val="11"/>
        <color theme="1"/>
        <rFont val="Arial"/>
        <family val="2"/>
      </rPr>
      <t>TZ</t>
    </r>
    <r>
      <rPr>
        <sz val="11"/>
        <color theme="1"/>
        <rFont val="Arial"/>
        <family val="2"/>
      </rPr>
      <t xml:space="preserve"> =</t>
    </r>
    <phoneticPr fontId="25" type="noConversion"/>
  </si>
  <si>
    <r>
      <t>C</t>
    </r>
    <r>
      <rPr>
        <vertAlign val="subscript"/>
        <sz val="11"/>
        <color theme="1"/>
        <rFont val="Arial"/>
        <family val="2"/>
      </rPr>
      <t>BootD_T</t>
    </r>
    <r>
      <rPr>
        <sz val="11"/>
        <color theme="1"/>
        <rFont val="Arial"/>
        <family val="2"/>
      </rPr>
      <t xml:space="preserve"> =</t>
    </r>
    <phoneticPr fontId="25" type="noConversion"/>
  </si>
  <si>
    <t>pF</t>
    <phoneticPr fontId="25" type="noConversion"/>
  </si>
  <si>
    <r>
      <t>C</t>
    </r>
    <r>
      <rPr>
        <vertAlign val="subscript"/>
        <sz val="11"/>
        <color theme="1"/>
        <rFont val="Arial"/>
        <family val="2"/>
      </rPr>
      <t xml:space="preserve">OSS_Qs </t>
    </r>
    <r>
      <rPr>
        <sz val="11"/>
        <color theme="1"/>
        <rFont val="Arial"/>
        <family val="2"/>
      </rPr>
      <t>=</t>
    </r>
    <phoneticPr fontId="25" type="noConversion"/>
  </si>
  <si>
    <r>
      <t>C</t>
    </r>
    <r>
      <rPr>
        <vertAlign val="subscript"/>
        <sz val="11"/>
        <color theme="1"/>
        <rFont val="Arial"/>
        <family val="2"/>
      </rPr>
      <t xml:space="preserve">reflect </t>
    </r>
    <r>
      <rPr>
        <sz val="11"/>
        <color theme="1"/>
        <rFont val="Arial"/>
        <family val="2"/>
      </rPr>
      <t>=</t>
    </r>
    <phoneticPr fontId="25" type="noConversion"/>
  </si>
  <si>
    <t>Resistor Divider of VS Pin</t>
    <phoneticPr fontId="25" type="noConversion"/>
  </si>
  <si>
    <t>UCC28780 Electrical Characteristic</t>
    <phoneticPr fontId="25" type="noConversion"/>
  </si>
  <si>
    <r>
      <t>R</t>
    </r>
    <r>
      <rPr>
        <vertAlign val="subscript"/>
        <sz val="11"/>
        <color theme="1"/>
        <rFont val="Arial"/>
        <family val="2"/>
      </rPr>
      <t>VS1_rec</t>
    </r>
    <r>
      <rPr>
        <sz val="11"/>
        <color theme="1"/>
        <rFont val="Arial"/>
        <family val="2"/>
      </rPr>
      <t xml:space="preserve"> =</t>
    </r>
    <phoneticPr fontId="25" type="noConversion"/>
  </si>
  <si>
    <r>
      <t>R</t>
    </r>
    <r>
      <rPr>
        <vertAlign val="subscript"/>
        <sz val="11"/>
        <color theme="1"/>
        <rFont val="Arial"/>
        <family val="2"/>
      </rPr>
      <t>VS1_act</t>
    </r>
    <r>
      <rPr>
        <sz val="11"/>
        <color theme="1"/>
        <rFont val="Arial"/>
        <family val="2"/>
      </rPr>
      <t xml:space="preserve"> =</t>
    </r>
    <phoneticPr fontId="25" type="noConversion"/>
  </si>
  <si>
    <r>
      <t>R</t>
    </r>
    <r>
      <rPr>
        <vertAlign val="subscript"/>
        <sz val="11"/>
        <color theme="1"/>
        <rFont val="Arial"/>
        <family val="2"/>
      </rPr>
      <t>VS1</t>
    </r>
    <r>
      <rPr>
        <sz val="11"/>
        <color theme="1"/>
        <rFont val="Arial"/>
        <family val="2"/>
      </rPr>
      <t xml:space="preserve"> =</t>
    </r>
    <phoneticPr fontId="25" type="noConversion"/>
  </si>
  <si>
    <r>
      <t>R</t>
    </r>
    <r>
      <rPr>
        <vertAlign val="subscript"/>
        <sz val="11"/>
        <color theme="1"/>
        <rFont val="Arial"/>
        <family val="2"/>
      </rPr>
      <t>VS2_rec</t>
    </r>
    <r>
      <rPr>
        <sz val="11"/>
        <color theme="1"/>
        <rFont val="Arial"/>
        <family val="2"/>
      </rPr>
      <t xml:space="preserve"> =</t>
    </r>
    <phoneticPr fontId="25" type="noConversion"/>
  </si>
  <si>
    <t>Ω</t>
    <phoneticPr fontId="25" type="noConversion"/>
  </si>
  <si>
    <r>
      <t>R</t>
    </r>
    <r>
      <rPr>
        <vertAlign val="subscript"/>
        <sz val="11"/>
        <color theme="1"/>
        <rFont val="Arial"/>
        <family val="2"/>
      </rPr>
      <t>VS2_act</t>
    </r>
    <r>
      <rPr>
        <sz val="11"/>
        <color theme="1"/>
        <rFont val="Arial"/>
        <family val="2"/>
      </rPr>
      <t xml:space="preserve"> =</t>
    </r>
    <phoneticPr fontId="25" type="noConversion"/>
  </si>
  <si>
    <r>
      <t>R</t>
    </r>
    <r>
      <rPr>
        <vertAlign val="subscript"/>
        <sz val="11"/>
        <color theme="1"/>
        <rFont val="Arial"/>
        <family val="2"/>
      </rPr>
      <t>VS2</t>
    </r>
    <r>
      <rPr>
        <sz val="11"/>
        <color theme="1"/>
        <rFont val="Arial"/>
        <family val="2"/>
      </rPr>
      <t xml:space="preserve"> =</t>
    </r>
    <phoneticPr fontId="25" type="noConversion"/>
  </si>
  <si>
    <r>
      <t>Current Sense Resistor, R</t>
    </r>
    <r>
      <rPr>
        <b/>
        <i/>
        <vertAlign val="subscript"/>
        <sz val="12"/>
        <color theme="0"/>
        <rFont val="Arial"/>
        <family val="2"/>
      </rPr>
      <t>CS</t>
    </r>
    <phoneticPr fontId="25" type="noConversion"/>
  </si>
  <si>
    <t>ns</t>
    <phoneticPr fontId="25" type="noConversion"/>
  </si>
  <si>
    <t>ns</t>
    <phoneticPr fontId="25" type="noConversion"/>
  </si>
  <si>
    <r>
      <t>I</t>
    </r>
    <r>
      <rPr>
        <vertAlign val="subscript"/>
        <sz val="11"/>
        <color theme="1"/>
        <rFont val="Arial"/>
        <family val="2"/>
      </rPr>
      <t xml:space="preserve">M_nega_run </t>
    </r>
    <r>
      <rPr>
        <sz val="11"/>
        <color theme="1"/>
        <rFont val="Arial"/>
        <family val="2"/>
      </rPr>
      <t>=</t>
    </r>
    <phoneticPr fontId="25" type="noConversion"/>
  </si>
  <si>
    <r>
      <t>I</t>
    </r>
    <r>
      <rPr>
        <vertAlign val="subscript"/>
        <sz val="11"/>
        <color theme="1"/>
        <rFont val="Arial"/>
        <family val="2"/>
      </rPr>
      <t xml:space="preserve">IN_OPP_run </t>
    </r>
    <r>
      <rPr>
        <sz val="11"/>
        <color theme="1"/>
        <rFont val="Arial"/>
        <family val="2"/>
      </rPr>
      <t>=</t>
    </r>
    <phoneticPr fontId="25" type="noConversion"/>
  </si>
  <si>
    <r>
      <t>f</t>
    </r>
    <r>
      <rPr>
        <vertAlign val="subscript"/>
        <sz val="11"/>
        <color theme="1"/>
        <rFont val="Arial"/>
        <family val="2"/>
      </rPr>
      <t xml:space="preserve">sw_OPP_run </t>
    </r>
    <r>
      <rPr>
        <sz val="11"/>
        <color theme="1"/>
        <rFont val="Arial"/>
        <family val="2"/>
      </rPr>
      <t>=</t>
    </r>
    <phoneticPr fontId="25" type="noConversion"/>
  </si>
  <si>
    <r>
      <t>f</t>
    </r>
    <r>
      <rPr>
        <vertAlign val="subscript"/>
        <sz val="11"/>
        <color theme="1"/>
        <rFont val="Arial"/>
        <family val="2"/>
      </rPr>
      <t xml:space="preserve">sw_OPP_min </t>
    </r>
    <r>
      <rPr>
        <sz val="11"/>
        <color theme="1"/>
        <rFont val="Arial"/>
        <family val="2"/>
      </rPr>
      <t>=</t>
    </r>
    <phoneticPr fontId="25" type="noConversion"/>
  </si>
  <si>
    <r>
      <t>I</t>
    </r>
    <r>
      <rPr>
        <vertAlign val="subscript"/>
        <sz val="11"/>
        <color theme="1"/>
        <rFont val="Arial"/>
        <family val="2"/>
      </rPr>
      <t xml:space="preserve">IN_OPP_min </t>
    </r>
    <r>
      <rPr>
        <sz val="11"/>
        <color theme="1"/>
        <rFont val="Arial"/>
        <family val="2"/>
      </rPr>
      <t>=</t>
    </r>
    <phoneticPr fontId="25" type="noConversion"/>
  </si>
  <si>
    <r>
      <t xml:space="preserve"> D</t>
    </r>
    <r>
      <rPr>
        <vertAlign val="subscript"/>
        <sz val="11"/>
        <color theme="1"/>
        <rFont val="Arial"/>
        <family val="2"/>
      </rPr>
      <t xml:space="preserve">OPP_run </t>
    </r>
    <r>
      <rPr>
        <sz val="11"/>
        <color theme="1"/>
        <rFont val="Arial"/>
        <family val="2"/>
      </rPr>
      <t>=</t>
    </r>
    <phoneticPr fontId="25" type="noConversion"/>
  </si>
  <si>
    <r>
      <t xml:space="preserve"> D</t>
    </r>
    <r>
      <rPr>
        <vertAlign val="subscript"/>
        <sz val="11"/>
        <color theme="1"/>
        <rFont val="Arial"/>
        <family val="2"/>
      </rPr>
      <t xml:space="preserve">OPP_min </t>
    </r>
    <r>
      <rPr>
        <sz val="11"/>
        <color theme="1"/>
        <rFont val="Arial"/>
        <family val="2"/>
      </rPr>
      <t>=</t>
    </r>
    <phoneticPr fontId="25" type="noConversion"/>
  </si>
  <si>
    <r>
      <t>T</t>
    </r>
    <r>
      <rPr>
        <vertAlign val="subscript"/>
        <sz val="11"/>
        <color theme="1"/>
        <rFont val="Arial"/>
        <family val="2"/>
      </rPr>
      <t>_on_min</t>
    </r>
    <r>
      <rPr>
        <sz val="11"/>
        <color theme="1"/>
        <rFont val="Arial"/>
        <family val="2"/>
      </rPr>
      <t xml:space="preserve"> =</t>
    </r>
    <phoneticPr fontId="25" type="noConversion"/>
  </si>
  <si>
    <t>pF</t>
    <phoneticPr fontId="25" type="noConversion"/>
  </si>
  <si>
    <t>V</t>
    <phoneticPr fontId="25" type="noConversion"/>
  </si>
  <si>
    <r>
      <t>t</t>
    </r>
    <r>
      <rPr>
        <vertAlign val="subscript"/>
        <sz val="11"/>
        <color theme="1"/>
        <rFont val="Arial"/>
        <family val="2"/>
      </rPr>
      <t>D_CST</t>
    </r>
    <r>
      <rPr>
        <sz val="11"/>
        <color theme="1"/>
        <rFont val="Arial"/>
        <family val="2"/>
      </rPr>
      <t xml:space="preserve"> =</t>
    </r>
    <phoneticPr fontId="25" type="noConversion"/>
  </si>
  <si>
    <t>ns</t>
    <phoneticPr fontId="25" type="noConversion"/>
  </si>
  <si>
    <r>
      <t>R</t>
    </r>
    <r>
      <rPr>
        <vertAlign val="subscript"/>
        <sz val="11"/>
        <color theme="1"/>
        <rFont val="Arial"/>
        <family val="2"/>
      </rPr>
      <t xml:space="preserve">CS_rec </t>
    </r>
    <r>
      <rPr>
        <sz val="11"/>
        <color theme="1"/>
        <rFont val="Arial"/>
        <family val="2"/>
      </rPr>
      <t>=</t>
    </r>
    <phoneticPr fontId="25" type="noConversion"/>
  </si>
  <si>
    <r>
      <t>R</t>
    </r>
    <r>
      <rPr>
        <vertAlign val="subscript"/>
        <sz val="11"/>
        <color theme="1"/>
        <rFont val="Arial"/>
        <family val="2"/>
      </rPr>
      <t xml:space="preserve">CS </t>
    </r>
    <r>
      <rPr>
        <sz val="11"/>
        <color theme="1"/>
        <rFont val="Arial"/>
        <family val="2"/>
      </rPr>
      <t>=</t>
    </r>
    <phoneticPr fontId="25" type="noConversion"/>
  </si>
  <si>
    <r>
      <t>R</t>
    </r>
    <r>
      <rPr>
        <vertAlign val="subscript"/>
        <sz val="11"/>
        <color theme="1"/>
        <rFont val="Arial"/>
        <family val="2"/>
      </rPr>
      <t xml:space="preserve">CS_act </t>
    </r>
    <r>
      <rPr>
        <sz val="11"/>
        <color theme="1"/>
        <rFont val="Arial"/>
        <family val="2"/>
      </rPr>
      <t>=</t>
    </r>
    <phoneticPr fontId="25" type="noConversion"/>
  </si>
  <si>
    <r>
      <t>Negative Magnetizing Inductor Current at Run, I</t>
    </r>
    <r>
      <rPr>
        <vertAlign val="subscript"/>
        <sz val="11"/>
        <color theme="1"/>
        <rFont val="Arial"/>
        <family val="2"/>
      </rPr>
      <t xml:space="preserve">M_nega_run </t>
    </r>
    <r>
      <rPr>
        <sz val="11"/>
        <color theme="1"/>
        <rFont val="Arial"/>
        <family val="2"/>
      </rPr>
      <t>=</t>
    </r>
    <phoneticPr fontId="25" type="noConversion"/>
  </si>
  <si>
    <r>
      <t>Switching Frequency During OPP at Run, f</t>
    </r>
    <r>
      <rPr>
        <vertAlign val="subscript"/>
        <sz val="11"/>
        <color theme="1"/>
        <rFont val="Arial"/>
        <family val="2"/>
      </rPr>
      <t xml:space="preserve">sw_OPP_run </t>
    </r>
    <r>
      <rPr>
        <sz val="11"/>
        <color theme="1"/>
        <rFont val="Arial"/>
        <family val="2"/>
      </rPr>
      <t>=</t>
    </r>
    <phoneticPr fontId="25" type="noConversion"/>
  </si>
  <si>
    <r>
      <t>Turn on Period During Minimum Input Voltage, T</t>
    </r>
    <r>
      <rPr>
        <vertAlign val="subscript"/>
        <sz val="11"/>
        <color theme="1"/>
        <rFont val="Arial"/>
        <family val="2"/>
      </rPr>
      <t>_on_min</t>
    </r>
    <r>
      <rPr>
        <sz val="11"/>
        <color theme="1"/>
        <rFont val="Arial"/>
        <family val="2"/>
      </rPr>
      <t xml:space="preserve"> =</t>
    </r>
    <phoneticPr fontId="25" type="noConversion"/>
  </si>
  <si>
    <r>
      <t>Switching Frequency During OPP at Min, f</t>
    </r>
    <r>
      <rPr>
        <vertAlign val="subscript"/>
        <sz val="11"/>
        <color theme="1"/>
        <rFont val="Arial"/>
        <family val="2"/>
      </rPr>
      <t xml:space="preserve">sw_OPP_min </t>
    </r>
    <r>
      <rPr>
        <sz val="11"/>
        <color theme="1"/>
        <rFont val="Arial"/>
        <family val="2"/>
      </rPr>
      <t>=</t>
    </r>
    <phoneticPr fontId="25" type="noConversion"/>
  </si>
  <si>
    <r>
      <t>OPP Input Current at Run Input, I</t>
    </r>
    <r>
      <rPr>
        <vertAlign val="subscript"/>
        <sz val="11"/>
        <color theme="1"/>
        <rFont val="Arial"/>
        <family val="2"/>
      </rPr>
      <t xml:space="preserve">IN_OPP_run </t>
    </r>
    <r>
      <rPr>
        <sz val="11"/>
        <color theme="1"/>
        <rFont val="Arial"/>
        <family val="2"/>
      </rPr>
      <t>=</t>
    </r>
    <phoneticPr fontId="25" type="noConversion"/>
  </si>
  <si>
    <r>
      <t>OPP Input Current at Min Input, I</t>
    </r>
    <r>
      <rPr>
        <vertAlign val="subscript"/>
        <sz val="11"/>
        <color theme="1"/>
        <rFont val="Arial"/>
        <family val="2"/>
      </rPr>
      <t xml:space="preserve">IN_OPP_min </t>
    </r>
    <r>
      <rPr>
        <sz val="11"/>
        <color theme="1"/>
        <rFont val="Arial"/>
        <family val="2"/>
      </rPr>
      <t>=</t>
    </r>
    <phoneticPr fontId="25" type="noConversion"/>
  </si>
  <si>
    <r>
      <t>Sum of Peak Current Loop Delay, t</t>
    </r>
    <r>
      <rPr>
        <vertAlign val="subscript"/>
        <sz val="11"/>
        <color theme="1"/>
        <rFont val="Arial"/>
        <family val="2"/>
      </rPr>
      <t>D_CST</t>
    </r>
    <r>
      <rPr>
        <sz val="11"/>
        <color theme="1"/>
        <rFont val="Arial"/>
        <family val="2"/>
      </rPr>
      <t xml:space="preserve"> =</t>
    </r>
    <phoneticPr fontId="25" type="noConversion"/>
  </si>
  <si>
    <r>
      <t>C</t>
    </r>
    <r>
      <rPr>
        <vertAlign val="subscript"/>
        <sz val="11"/>
        <color theme="1"/>
        <rFont val="Arial"/>
        <family val="2"/>
      </rPr>
      <t>SW_0toVxl</t>
    </r>
    <r>
      <rPr>
        <sz val="11"/>
        <color theme="1"/>
        <rFont val="Arial"/>
        <family val="2"/>
      </rPr>
      <t xml:space="preserve"> =</t>
    </r>
    <phoneticPr fontId="25" type="noConversion"/>
  </si>
  <si>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phoneticPr fontId="25" type="noConversion"/>
  </si>
  <si>
    <t>OPP Programming Resistor</t>
    <phoneticPr fontId="25" type="noConversion"/>
  </si>
  <si>
    <r>
      <t>I</t>
    </r>
    <r>
      <rPr>
        <vertAlign val="subscript"/>
        <sz val="11"/>
        <color theme="1"/>
        <rFont val="Arial"/>
        <family val="2"/>
      </rPr>
      <t xml:space="preserve">M_nega_max </t>
    </r>
    <r>
      <rPr>
        <sz val="11"/>
        <color theme="1"/>
        <rFont val="Arial"/>
        <family val="2"/>
      </rPr>
      <t>=</t>
    </r>
    <phoneticPr fontId="25" type="noConversion"/>
  </si>
  <si>
    <r>
      <t>Negative Magnetizing Inductor Current at Max, I</t>
    </r>
    <r>
      <rPr>
        <vertAlign val="subscript"/>
        <sz val="11"/>
        <color theme="1"/>
        <rFont val="Arial"/>
        <family val="2"/>
      </rPr>
      <t xml:space="preserve">M_nega_max </t>
    </r>
    <r>
      <rPr>
        <sz val="11"/>
        <color theme="1"/>
        <rFont val="Arial"/>
        <family val="2"/>
      </rPr>
      <t>=</t>
    </r>
    <phoneticPr fontId="25" type="noConversion"/>
  </si>
  <si>
    <r>
      <t>Switching Frequency During OPP at Max, f</t>
    </r>
    <r>
      <rPr>
        <vertAlign val="subscript"/>
        <sz val="11"/>
        <color theme="1"/>
        <rFont val="Arial"/>
        <family val="2"/>
      </rPr>
      <t xml:space="preserve">sw_OPP_min </t>
    </r>
    <r>
      <rPr>
        <sz val="11"/>
        <color theme="1"/>
        <rFont val="Arial"/>
        <family val="2"/>
      </rPr>
      <t>=</t>
    </r>
    <phoneticPr fontId="25" type="noConversion"/>
  </si>
  <si>
    <r>
      <t>f</t>
    </r>
    <r>
      <rPr>
        <vertAlign val="subscript"/>
        <sz val="11"/>
        <color theme="1"/>
        <rFont val="Arial"/>
        <family val="2"/>
      </rPr>
      <t xml:space="preserve">sw_OPP_max </t>
    </r>
    <r>
      <rPr>
        <sz val="11"/>
        <color theme="1"/>
        <rFont val="Arial"/>
        <family val="2"/>
      </rPr>
      <t>=</t>
    </r>
    <phoneticPr fontId="25" type="noConversion"/>
  </si>
  <si>
    <r>
      <t xml:space="preserve"> D</t>
    </r>
    <r>
      <rPr>
        <vertAlign val="subscript"/>
        <sz val="11"/>
        <color theme="1"/>
        <rFont val="Arial"/>
        <family val="2"/>
      </rPr>
      <t xml:space="preserve">OPP_max </t>
    </r>
    <r>
      <rPr>
        <sz val="11"/>
        <color theme="1"/>
        <rFont val="Arial"/>
        <family val="2"/>
      </rPr>
      <t>=</t>
    </r>
    <phoneticPr fontId="25" type="noConversion"/>
  </si>
  <si>
    <r>
      <t>OPP Input Current at Max Input, I</t>
    </r>
    <r>
      <rPr>
        <vertAlign val="subscript"/>
        <sz val="11"/>
        <color theme="1"/>
        <rFont val="Arial"/>
        <family val="2"/>
      </rPr>
      <t xml:space="preserve">IN_OPP_max </t>
    </r>
    <r>
      <rPr>
        <sz val="11"/>
        <color theme="1"/>
        <rFont val="Arial"/>
        <family val="2"/>
      </rPr>
      <t>=</t>
    </r>
    <phoneticPr fontId="25" type="noConversion"/>
  </si>
  <si>
    <r>
      <t>I</t>
    </r>
    <r>
      <rPr>
        <vertAlign val="subscript"/>
        <sz val="11"/>
        <color theme="1"/>
        <rFont val="Arial"/>
        <family val="2"/>
      </rPr>
      <t xml:space="preserve">IN_OPP_max </t>
    </r>
    <r>
      <rPr>
        <sz val="11"/>
        <color theme="1"/>
        <rFont val="Arial"/>
        <family val="2"/>
      </rPr>
      <t>=</t>
    </r>
    <phoneticPr fontId="25" type="noConversion"/>
  </si>
  <si>
    <r>
      <t>C</t>
    </r>
    <r>
      <rPr>
        <vertAlign val="subscript"/>
        <sz val="11"/>
        <color theme="1"/>
        <rFont val="Arial"/>
        <family val="2"/>
      </rPr>
      <t xml:space="preserve">SW_T_nor </t>
    </r>
    <r>
      <rPr>
        <sz val="11"/>
        <color theme="1"/>
        <rFont val="Arial"/>
        <family val="2"/>
      </rPr>
      <t>=</t>
    </r>
    <phoneticPr fontId="25" type="noConversion"/>
  </si>
  <si>
    <r>
      <t>V</t>
    </r>
    <r>
      <rPr>
        <vertAlign val="subscript"/>
        <sz val="11"/>
        <color theme="1"/>
        <rFont val="Arial"/>
        <family val="2"/>
      </rPr>
      <t xml:space="preserve">offset_CS_OPP </t>
    </r>
    <r>
      <rPr>
        <sz val="11"/>
        <color theme="1"/>
        <rFont val="Arial"/>
        <family val="2"/>
      </rPr>
      <t>=</t>
    </r>
    <phoneticPr fontId="25" type="noConversion"/>
  </si>
  <si>
    <r>
      <t>V</t>
    </r>
    <r>
      <rPr>
        <vertAlign val="subscript"/>
        <sz val="11"/>
        <color theme="1"/>
        <rFont val="Arial"/>
        <family val="2"/>
      </rPr>
      <t>R_pri_max</t>
    </r>
    <r>
      <rPr>
        <sz val="11"/>
        <color theme="1"/>
        <rFont val="Arial"/>
        <family val="2"/>
      </rPr>
      <t xml:space="preserve"> =</t>
    </r>
    <phoneticPr fontId="25" type="noConversion"/>
  </si>
  <si>
    <r>
      <t>V</t>
    </r>
    <r>
      <rPr>
        <vertAlign val="subscript"/>
        <sz val="11"/>
        <color theme="1"/>
        <rFont val="Arial"/>
        <family val="2"/>
      </rPr>
      <t>Lk_pri_max</t>
    </r>
    <r>
      <rPr>
        <sz val="11"/>
        <color theme="1"/>
        <rFont val="Arial"/>
        <family val="2"/>
      </rPr>
      <t xml:space="preserve"> =</t>
    </r>
    <phoneticPr fontId="25" type="noConversion"/>
  </si>
  <si>
    <r>
      <t>R</t>
    </r>
    <r>
      <rPr>
        <vertAlign val="subscript"/>
        <sz val="11"/>
        <color theme="1"/>
        <rFont val="Arial"/>
        <family val="2"/>
      </rPr>
      <t>_OPP_rec</t>
    </r>
    <r>
      <rPr>
        <sz val="11"/>
        <color theme="1"/>
        <rFont val="Arial"/>
        <family val="2"/>
      </rPr>
      <t xml:space="preserve"> =</t>
    </r>
    <phoneticPr fontId="25" type="noConversion"/>
  </si>
  <si>
    <t>mA</t>
    <phoneticPr fontId="25" type="noConversion"/>
  </si>
  <si>
    <r>
      <t>R</t>
    </r>
    <r>
      <rPr>
        <vertAlign val="subscript"/>
        <sz val="11"/>
        <color theme="1"/>
        <rFont val="Arial"/>
        <family val="2"/>
      </rPr>
      <t>_OPP_act</t>
    </r>
    <r>
      <rPr>
        <sz val="11"/>
        <color theme="1"/>
        <rFont val="Arial"/>
        <family val="2"/>
      </rPr>
      <t xml:space="preserve"> =</t>
    </r>
    <phoneticPr fontId="25" type="noConversion"/>
  </si>
  <si>
    <r>
      <t>Offset Voltage on CS Pin During OPP at Max Input, V</t>
    </r>
    <r>
      <rPr>
        <vertAlign val="subscript"/>
        <sz val="11"/>
        <color theme="1"/>
        <rFont val="Arial"/>
        <family val="2"/>
      </rPr>
      <t>offset_CS_OPP</t>
    </r>
    <r>
      <rPr>
        <sz val="11"/>
        <color theme="1"/>
        <rFont val="Arial"/>
        <family val="2"/>
      </rPr>
      <t xml:space="preserve"> =</t>
    </r>
    <phoneticPr fontId="25" type="noConversion"/>
  </si>
  <si>
    <r>
      <t>Voltage on Primary Resistance, V</t>
    </r>
    <r>
      <rPr>
        <vertAlign val="subscript"/>
        <sz val="11"/>
        <color theme="1"/>
        <rFont val="Arial"/>
        <family val="2"/>
      </rPr>
      <t xml:space="preserve">R_pri_max </t>
    </r>
    <r>
      <rPr>
        <sz val="11"/>
        <color theme="1"/>
        <rFont val="Arial"/>
        <family val="2"/>
      </rPr>
      <t>=</t>
    </r>
    <phoneticPr fontId="25" type="noConversion"/>
  </si>
  <si>
    <r>
      <t>C</t>
    </r>
    <r>
      <rPr>
        <vertAlign val="subscript"/>
        <sz val="11"/>
        <color theme="1"/>
        <rFont val="Arial"/>
        <family val="2"/>
      </rPr>
      <t xml:space="preserve">CS_act </t>
    </r>
    <r>
      <rPr>
        <sz val="11"/>
        <color theme="1"/>
        <rFont val="Arial"/>
        <family val="2"/>
      </rPr>
      <t>=</t>
    </r>
    <phoneticPr fontId="25" type="noConversion"/>
  </si>
  <si>
    <t>RDM Pin Setting</t>
    <phoneticPr fontId="25" type="noConversion"/>
  </si>
  <si>
    <r>
      <t>R</t>
    </r>
    <r>
      <rPr>
        <vertAlign val="subscript"/>
        <sz val="11"/>
        <color theme="1"/>
        <rFont val="Arial"/>
        <family val="2"/>
      </rPr>
      <t>DM_rec</t>
    </r>
    <r>
      <rPr>
        <sz val="11"/>
        <color theme="1"/>
        <rFont val="Arial"/>
        <family val="2"/>
      </rPr>
      <t xml:space="preserve"> =</t>
    </r>
    <phoneticPr fontId="25" type="noConversion"/>
  </si>
  <si>
    <r>
      <t>R</t>
    </r>
    <r>
      <rPr>
        <vertAlign val="subscript"/>
        <sz val="11"/>
        <color theme="1"/>
        <rFont val="Arial"/>
        <family val="2"/>
      </rPr>
      <t>DM</t>
    </r>
    <r>
      <rPr>
        <sz val="11"/>
        <color theme="1"/>
        <rFont val="Arial"/>
        <family val="2"/>
      </rPr>
      <t xml:space="preserve"> =</t>
    </r>
    <phoneticPr fontId="25" type="noConversion"/>
  </si>
  <si>
    <r>
      <t>R</t>
    </r>
    <r>
      <rPr>
        <vertAlign val="subscript"/>
        <sz val="11"/>
        <color theme="1"/>
        <rFont val="Arial"/>
        <family val="2"/>
      </rPr>
      <t>DM_act</t>
    </r>
    <r>
      <rPr>
        <sz val="11"/>
        <color theme="1"/>
        <rFont val="Arial"/>
        <family val="2"/>
      </rPr>
      <t xml:space="preserve"> =</t>
    </r>
    <phoneticPr fontId="25" type="noConversion"/>
  </si>
  <si>
    <t>RTZ Pin Setting</t>
    <phoneticPr fontId="25" type="noConversion"/>
  </si>
  <si>
    <t>Clamp Capacitance</t>
    <phoneticPr fontId="25" type="noConversion"/>
  </si>
  <si>
    <t>ns</t>
    <phoneticPr fontId="25" type="noConversion"/>
  </si>
  <si>
    <r>
      <t>R</t>
    </r>
    <r>
      <rPr>
        <vertAlign val="subscript"/>
        <sz val="11"/>
        <color theme="1"/>
        <rFont val="Arial"/>
        <family val="2"/>
      </rPr>
      <t>TZ_rec</t>
    </r>
    <r>
      <rPr>
        <sz val="11"/>
        <color theme="1"/>
        <rFont val="Arial"/>
        <family val="2"/>
      </rPr>
      <t xml:space="preserve"> =</t>
    </r>
    <phoneticPr fontId="25" type="noConversion"/>
  </si>
  <si>
    <r>
      <t>T</t>
    </r>
    <r>
      <rPr>
        <vertAlign val="subscript"/>
        <sz val="11"/>
        <color theme="1"/>
        <rFont val="Arial"/>
        <family val="2"/>
      </rPr>
      <t>Z_min</t>
    </r>
    <r>
      <rPr>
        <sz val="11"/>
        <color theme="1"/>
        <rFont val="Arial"/>
        <family val="2"/>
      </rPr>
      <t xml:space="preserve"> =</t>
    </r>
    <phoneticPr fontId="25" type="noConversion"/>
  </si>
  <si>
    <r>
      <t>R</t>
    </r>
    <r>
      <rPr>
        <vertAlign val="subscript"/>
        <sz val="11"/>
        <color theme="1"/>
        <rFont val="Arial"/>
        <family val="2"/>
      </rPr>
      <t>TZ_act</t>
    </r>
    <r>
      <rPr>
        <sz val="11"/>
        <color theme="1"/>
        <rFont val="Arial"/>
        <family val="2"/>
      </rPr>
      <t xml:space="preserve"> =</t>
    </r>
    <phoneticPr fontId="25" type="noConversion"/>
  </si>
  <si>
    <r>
      <t>R</t>
    </r>
    <r>
      <rPr>
        <vertAlign val="subscript"/>
        <sz val="11"/>
        <color theme="1"/>
        <rFont val="Arial"/>
        <family val="2"/>
      </rPr>
      <t>TZ</t>
    </r>
    <r>
      <rPr>
        <sz val="11"/>
        <color theme="1"/>
        <rFont val="Arial"/>
        <family val="2"/>
      </rPr>
      <t xml:space="preserve"> =</t>
    </r>
    <phoneticPr fontId="25" type="noConversion"/>
  </si>
  <si>
    <t>BUR Pin Setting</t>
    <phoneticPr fontId="25" type="noConversion"/>
  </si>
  <si>
    <r>
      <t xml:space="preserve"> i</t>
    </r>
    <r>
      <rPr>
        <vertAlign val="subscript"/>
        <sz val="11"/>
        <color theme="1"/>
        <rFont val="Arial"/>
        <family val="2"/>
      </rPr>
      <t>pk_BUR</t>
    </r>
    <r>
      <rPr>
        <sz val="11"/>
        <color theme="1"/>
        <rFont val="Arial"/>
        <family val="2"/>
      </rPr>
      <t xml:space="preserve"> =</t>
    </r>
    <phoneticPr fontId="25" type="noConversion"/>
  </si>
  <si>
    <r>
      <t>I</t>
    </r>
    <r>
      <rPr>
        <vertAlign val="subscript"/>
        <sz val="11"/>
        <color theme="1"/>
        <rFont val="Arial"/>
        <family val="2"/>
      </rPr>
      <t xml:space="preserve">M_nega_BUR </t>
    </r>
    <r>
      <rPr>
        <sz val="11"/>
        <color theme="1"/>
        <rFont val="Arial"/>
        <family val="2"/>
      </rPr>
      <t>=</t>
    </r>
    <phoneticPr fontId="25" type="noConversion"/>
  </si>
  <si>
    <r>
      <t>f</t>
    </r>
    <r>
      <rPr>
        <vertAlign val="subscript"/>
        <sz val="11"/>
        <color theme="1"/>
        <rFont val="Arial"/>
        <family val="2"/>
      </rPr>
      <t xml:space="preserve">sw_BUR </t>
    </r>
    <r>
      <rPr>
        <sz val="11"/>
        <color theme="1"/>
        <rFont val="Arial"/>
        <family val="2"/>
      </rPr>
      <t>=</t>
    </r>
    <phoneticPr fontId="25" type="noConversion"/>
  </si>
  <si>
    <r>
      <t xml:space="preserve"> D</t>
    </r>
    <r>
      <rPr>
        <vertAlign val="subscript"/>
        <sz val="11"/>
        <color theme="1"/>
        <rFont val="Arial"/>
        <family val="2"/>
      </rPr>
      <t xml:space="preserve">BUR </t>
    </r>
    <r>
      <rPr>
        <sz val="11"/>
        <color theme="1"/>
        <rFont val="Arial"/>
        <family val="2"/>
      </rPr>
      <t>=</t>
    </r>
    <phoneticPr fontId="25" type="noConversion"/>
  </si>
  <si>
    <r>
      <t>I</t>
    </r>
    <r>
      <rPr>
        <vertAlign val="subscript"/>
        <sz val="11"/>
        <color theme="1"/>
        <rFont val="Arial"/>
        <family val="2"/>
      </rPr>
      <t xml:space="preserve">IN_BUR </t>
    </r>
    <r>
      <rPr>
        <sz val="11"/>
        <color theme="1"/>
        <rFont val="Arial"/>
        <family val="2"/>
      </rPr>
      <t>=</t>
    </r>
    <phoneticPr fontId="25" type="noConversion"/>
  </si>
  <si>
    <r>
      <t>V</t>
    </r>
    <r>
      <rPr>
        <vertAlign val="subscript"/>
        <sz val="11"/>
        <color theme="1"/>
        <rFont val="Arial"/>
        <family val="2"/>
      </rPr>
      <t>CST_BUR</t>
    </r>
    <r>
      <rPr>
        <sz val="11"/>
        <color theme="1"/>
        <rFont val="Arial"/>
        <family val="2"/>
      </rPr>
      <t xml:space="preserve"> =</t>
    </r>
    <phoneticPr fontId="25" type="noConversion"/>
  </si>
  <si>
    <r>
      <t>Line Sensing Current at Max Input, i</t>
    </r>
    <r>
      <rPr>
        <vertAlign val="subscript"/>
        <sz val="11"/>
        <color theme="1"/>
        <rFont val="Arial"/>
        <family val="2"/>
      </rPr>
      <t>VSL_max</t>
    </r>
    <r>
      <rPr>
        <sz val="11"/>
        <color theme="1"/>
        <rFont val="Arial"/>
        <family val="2"/>
      </rPr>
      <t xml:space="preserve"> =</t>
    </r>
    <phoneticPr fontId="25" type="noConversion"/>
  </si>
  <si>
    <r>
      <t>i</t>
    </r>
    <r>
      <rPr>
        <vertAlign val="subscript"/>
        <sz val="11"/>
        <color theme="1"/>
        <rFont val="Arial"/>
        <family val="2"/>
      </rPr>
      <t>VSL_max</t>
    </r>
    <r>
      <rPr>
        <sz val="11"/>
        <color theme="1"/>
        <rFont val="Arial"/>
        <family val="2"/>
      </rPr>
      <t xml:space="preserve"> =</t>
    </r>
    <phoneticPr fontId="25" type="noConversion"/>
  </si>
  <si>
    <r>
      <t>i</t>
    </r>
    <r>
      <rPr>
        <vertAlign val="subscript"/>
        <sz val="11"/>
        <color theme="1"/>
        <rFont val="Arial"/>
        <family val="2"/>
      </rPr>
      <t>VSL_BUR</t>
    </r>
    <r>
      <rPr>
        <sz val="11"/>
        <color theme="1"/>
        <rFont val="Arial"/>
        <family val="2"/>
      </rPr>
      <t xml:space="preserve"> =</t>
    </r>
    <phoneticPr fontId="25" type="noConversion"/>
  </si>
  <si>
    <t>V</t>
    <phoneticPr fontId="25" type="noConversion"/>
  </si>
  <si>
    <r>
      <t>Peak Current During BUR, i</t>
    </r>
    <r>
      <rPr>
        <vertAlign val="subscript"/>
        <sz val="11"/>
        <color theme="1"/>
        <rFont val="Arial"/>
        <family val="2"/>
      </rPr>
      <t>pk_BUR</t>
    </r>
    <r>
      <rPr>
        <sz val="11"/>
        <color theme="1"/>
        <rFont val="Arial"/>
        <family val="2"/>
      </rPr>
      <t xml:space="preserve"> =</t>
    </r>
    <phoneticPr fontId="25" type="noConversion"/>
  </si>
  <si>
    <r>
      <t>Negative Magnetizing Inductor Current at BUR, I</t>
    </r>
    <r>
      <rPr>
        <vertAlign val="subscript"/>
        <sz val="11"/>
        <color theme="1"/>
        <rFont val="Arial"/>
        <family val="2"/>
      </rPr>
      <t xml:space="preserve">M_nega_BUR </t>
    </r>
    <r>
      <rPr>
        <sz val="11"/>
        <color theme="1"/>
        <rFont val="Arial"/>
        <family val="2"/>
      </rPr>
      <t>=</t>
    </r>
    <phoneticPr fontId="25" type="noConversion"/>
  </si>
  <si>
    <r>
      <t>Switching Frequency During BUR, f</t>
    </r>
    <r>
      <rPr>
        <vertAlign val="subscript"/>
        <sz val="11"/>
        <color theme="1"/>
        <rFont val="Arial"/>
        <family val="2"/>
      </rPr>
      <t xml:space="preserve">sw_OPP_BUR </t>
    </r>
    <r>
      <rPr>
        <sz val="11"/>
        <color theme="1"/>
        <rFont val="Arial"/>
        <family val="2"/>
      </rPr>
      <t>=</t>
    </r>
    <phoneticPr fontId="25" type="noConversion"/>
  </si>
  <si>
    <r>
      <t>OPP Input Current at BUR, I</t>
    </r>
    <r>
      <rPr>
        <vertAlign val="subscript"/>
        <sz val="11"/>
        <color theme="1"/>
        <rFont val="Arial"/>
        <family val="2"/>
      </rPr>
      <t xml:space="preserve">IN_OPP_BUR </t>
    </r>
    <r>
      <rPr>
        <sz val="11"/>
        <color theme="1"/>
        <rFont val="Arial"/>
        <family val="2"/>
      </rPr>
      <t>=</t>
    </r>
    <phoneticPr fontId="25" type="noConversion"/>
  </si>
  <si>
    <r>
      <t>Line Sensing Current at BUR, i</t>
    </r>
    <r>
      <rPr>
        <vertAlign val="subscript"/>
        <sz val="11"/>
        <color theme="1"/>
        <rFont val="Arial"/>
        <family val="2"/>
      </rPr>
      <t>VSL_BUR</t>
    </r>
    <r>
      <rPr>
        <sz val="11"/>
        <color theme="1"/>
        <rFont val="Arial"/>
        <family val="2"/>
      </rPr>
      <t xml:space="preserve"> =</t>
    </r>
    <phoneticPr fontId="25" type="noConversion"/>
  </si>
  <si>
    <r>
      <t>R</t>
    </r>
    <r>
      <rPr>
        <vertAlign val="subscript"/>
        <sz val="11"/>
        <color theme="1"/>
        <rFont val="Arial"/>
        <family val="2"/>
      </rPr>
      <t>BUR2_rec</t>
    </r>
    <r>
      <rPr>
        <sz val="11"/>
        <color theme="1"/>
        <rFont val="Arial"/>
        <family val="2"/>
      </rPr>
      <t xml:space="preserve"> =</t>
    </r>
    <phoneticPr fontId="25" type="noConversion"/>
  </si>
  <si>
    <r>
      <t>R</t>
    </r>
    <r>
      <rPr>
        <vertAlign val="subscript"/>
        <sz val="11"/>
        <color theme="1"/>
        <rFont val="Arial"/>
        <family val="2"/>
      </rPr>
      <t>BUR2_act</t>
    </r>
    <r>
      <rPr>
        <sz val="11"/>
        <color theme="1"/>
        <rFont val="Arial"/>
        <family val="2"/>
      </rPr>
      <t xml:space="preserve"> =</t>
    </r>
    <phoneticPr fontId="25" type="noConversion"/>
  </si>
  <si>
    <r>
      <t>R</t>
    </r>
    <r>
      <rPr>
        <vertAlign val="subscript"/>
        <sz val="11"/>
        <color theme="1"/>
        <rFont val="Arial"/>
        <family val="2"/>
      </rPr>
      <t xml:space="preserve">BUR2 </t>
    </r>
    <r>
      <rPr>
        <sz val="11"/>
        <color theme="1"/>
        <rFont val="Arial"/>
        <family val="2"/>
      </rPr>
      <t>=</t>
    </r>
    <phoneticPr fontId="25" type="noConversion"/>
  </si>
  <si>
    <t>Damping Network for Depletion FET</t>
    <phoneticPr fontId="25" type="noConversion"/>
  </si>
  <si>
    <t>pF</t>
    <phoneticPr fontId="25" type="noConversion"/>
  </si>
  <si>
    <r>
      <t>C</t>
    </r>
    <r>
      <rPr>
        <vertAlign val="subscript"/>
        <sz val="11"/>
        <color theme="1"/>
        <rFont val="Arial"/>
        <family val="2"/>
      </rPr>
      <t xml:space="preserve">SWS_act </t>
    </r>
    <r>
      <rPr>
        <sz val="11"/>
        <color theme="1"/>
        <rFont val="Arial"/>
        <family val="2"/>
      </rPr>
      <t>=</t>
    </r>
    <phoneticPr fontId="25" type="noConversion"/>
  </si>
  <si>
    <r>
      <t>C</t>
    </r>
    <r>
      <rPr>
        <vertAlign val="subscript"/>
        <sz val="11"/>
        <color theme="1"/>
        <rFont val="Arial"/>
        <family val="2"/>
      </rPr>
      <t>SWS</t>
    </r>
    <r>
      <rPr>
        <sz val="11"/>
        <color theme="1"/>
        <rFont val="Arial"/>
        <family val="2"/>
      </rPr>
      <t xml:space="preserve"> =</t>
    </r>
    <phoneticPr fontId="25" type="noConversion"/>
  </si>
  <si>
    <r>
      <t>R</t>
    </r>
    <r>
      <rPr>
        <vertAlign val="subscript"/>
        <sz val="11"/>
        <color theme="1"/>
        <rFont val="Arial"/>
        <family val="2"/>
      </rPr>
      <t>SWS_act</t>
    </r>
    <r>
      <rPr>
        <sz val="11"/>
        <color theme="1"/>
        <rFont val="Arial"/>
        <family val="2"/>
      </rPr>
      <t xml:space="preserve"> =</t>
    </r>
    <phoneticPr fontId="25" type="noConversion"/>
  </si>
  <si>
    <r>
      <t>R</t>
    </r>
    <r>
      <rPr>
        <vertAlign val="subscript"/>
        <sz val="11"/>
        <color theme="1"/>
        <rFont val="Arial"/>
        <family val="2"/>
      </rPr>
      <t>SWS</t>
    </r>
    <r>
      <rPr>
        <sz val="11"/>
        <color theme="1"/>
        <rFont val="Arial"/>
        <family val="2"/>
      </rPr>
      <t xml:space="preserve"> =</t>
    </r>
    <phoneticPr fontId="25" type="noConversion"/>
  </si>
  <si>
    <t>Decoupling Cap of Internal Regulator</t>
    <phoneticPr fontId="25" type="noConversion"/>
  </si>
  <si>
    <r>
      <t>R</t>
    </r>
    <r>
      <rPr>
        <vertAlign val="subscript"/>
        <sz val="11"/>
        <color theme="1"/>
        <rFont val="Arial"/>
        <family val="2"/>
      </rPr>
      <t>HVG_act</t>
    </r>
    <r>
      <rPr>
        <sz val="11"/>
        <color theme="1"/>
        <rFont val="Arial"/>
        <family val="2"/>
      </rPr>
      <t xml:space="preserve"> =</t>
    </r>
    <phoneticPr fontId="25" type="noConversion"/>
  </si>
  <si>
    <r>
      <t>R</t>
    </r>
    <r>
      <rPr>
        <vertAlign val="subscript"/>
        <sz val="11"/>
        <color theme="1"/>
        <rFont val="Arial"/>
        <family val="2"/>
      </rPr>
      <t>HVG</t>
    </r>
    <r>
      <rPr>
        <sz val="11"/>
        <color theme="1"/>
        <rFont val="Arial"/>
        <family val="2"/>
      </rPr>
      <t xml:space="preserve"> =</t>
    </r>
    <phoneticPr fontId="25" type="noConversion"/>
  </si>
  <si>
    <r>
      <t>1M</t>
    </r>
    <r>
      <rPr>
        <sz val="11"/>
        <color theme="1"/>
        <rFont val="Calibri"/>
        <family val="2"/>
      </rPr>
      <t>Ω</t>
    </r>
    <r>
      <rPr>
        <sz val="11"/>
        <color theme="1"/>
        <rFont val="Arial"/>
        <family val="2"/>
      </rPr>
      <t xml:space="preserve"> recommended</t>
    </r>
    <phoneticPr fontId="25" type="noConversion"/>
  </si>
  <si>
    <r>
      <t>C</t>
    </r>
    <r>
      <rPr>
        <vertAlign val="subscript"/>
        <sz val="11"/>
        <color theme="1"/>
        <rFont val="Arial"/>
        <family val="2"/>
      </rPr>
      <t>HVG_act</t>
    </r>
    <r>
      <rPr>
        <sz val="11"/>
        <color theme="1"/>
        <rFont val="Arial"/>
        <family val="2"/>
      </rPr>
      <t xml:space="preserve"> =</t>
    </r>
    <phoneticPr fontId="25" type="noConversion"/>
  </si>
  <si>
    <r>
      <t>C</t>
    </r>
    <r>
      <rPr>
        <vertAlign val="subscript"/>
        <sz val="11"/>
        <color theme="1"/>
        <rFont val="Arial"/>
        <family val="2"/>
      </rPr>
      <t>HVG</t>
    </r>
    <r>
      <rPr>
        <sz val="11"/>
        <color theme="1"/>
        <rFont val="Arial"/>
        <family val="2"/>
      </rPr>
      <t xml:space="preserve"> =</t>
    </r>
    <phoneticPr fontId="25" type="noConversion"/>
  </si>
  <si>
    <t>nF</t>
    <phoneticPr fontId="25" type="noConversion"/>
  </si>
  <si>
    <t>nF</t>
    <phoneticPr fontId="25" type="noConversion"/>
  </si>
  <si>
    <t>2.2nF recommended</t>
    <phoneticPr fontId="25" type="noConversion"/>
  </si>
  <si>
    <t>µF</t>
  </si>
  <si>
    <r>
      <t>C</t>
    </r>
    <r>
      <rPr>
        <vertAlign val="subscript"/>
        <sz val="11"/>
        <color theme="1"/>
        <rFont val="Arial"/>
        <family val="2"/>
      </rPr>
      <t>REF_act</t>
    </r>
    <r>
      <rPr>
        <sz val="11"/>
        <color theme="1"/>
        <rFont val="Arial"/>
        <family val="2"/>
      </rPr>
      <t xml:space="preserve"> =</t>
    </r>
    <phoneticPr fontId="25" type="noConversion"/>
  </si>
  <si>
    <r>
      <t>C</t>
    </r>
    <r>
      <rPr>
        <vertAlign val="subscript"/>
        <sz val="11"/>
        <color theme="1"/>
        <rFont val="Arial"/>
        <family val="2"/>
      </rPr>
      <t>REF</t>
    </r>
    <r>
      <rPr>
        <sz val="11"/>
        <color theme="1"/>
        <rFont val="Arial"/>
        <family val="2"/>
      </rPr>
      <t xml:space="preserve"> =</t>
    </r>
    <phoneticPr fontId="25" type="noConversion"/>
  </si>
  <si>
    <t>0.1µF recommended</t>
    <phoneticPr fontId="25" type="noConversion"/>
  </si>
  <si>
    <t>VDD Supply for Driver</t>
    <phoneticPr fontId="25" type="noConversion"/>
  </si>
  <si>
    <t>AUX Power on Primary Side</t>
    <phoneticPr fontId="25" type="noConversion"/>
  </si>
  <si>
    <r>
      <t>R</t>
    </r>
    <r>
      <rPr>
        <vertAlign val="subscript"/>
        <sz val="11"/>
        <color theme="1"/>
        <rFont val="Arial"/>
        <family val="2"/>
      </rPr>
      <t>DD1</t>
    </r>
    <r>
      <rPr>
        <sz val="11"/>
        <color theme="1"/>
        <rFont val="Arial"/>
        <family val="2"/>
      </rPr>
      <t xml:space="preserve"> =</t>
    </r>
    <phoneticPr fontId="25" type="noConversion"/>
  </si>
  <si>
    <r>
      <t>R</t>
    </r>
    <r>
      <rPr>
        <vertAlign val="subscript"/>
        <sz val="11"/>
        <rFont val="Arial"/>
        <family val="2"/>
      </rPr>
      <t>DD1_act</t>
    </r>
    <r>
      <rPr>
        <sz val="11"/>
        <rFont val="Arial"/>
        <family val="2"/>
      </rPr>
      <t xml:space="preserve"> =</t>
    </r>
    <phoneticPr fontId="25" type="noConversion"/>
  </si>
  <si>
    <t>ms</t>
    <phoneticPr fontId="25" type="noConversion"/>
  </si>
  <si>
    <r>
      <t>T</t>
    </r>
    <r>
      <rPr>
        <vertAlign val="subscript"/>
        <sz val="11"/>
        <color theme="1"/>
        <rFont val="Arial"/>
        <family val="2"/>
      </rPr>
      <t>HVG</t>
    </r>
    <r>
      <rPr>
        <sz val="11"/>
        <color theme="1"/>
        <rFont val="Arial"/>
        <family val="2"/>
      </rPr>
      <t xml:space="preserve"> =</t>
    </r>
    <phoneticPr fontId="25" type="noConversion"/>
  </si>
  <si>
    <t>Output Cap and Input Cap Selection</t>
    <phoneticPr fontId="25" type="noConversion"/>
  </si>
  <si>
    <r>
      <t>T</t>
    </r>
    <r>
      <rPr>
        <vertAlign val="subscript"/>
        <sz val="11"/>
        <color theme="1"/>
        <rFont val="Arial"/>
        <family val="2"/>
      </rPr>
      <t>SS_max</t>
    </r>
    <r>
      <rPr>
        <sz val="11"/>
        <color theme="1"/>
        <rFont val="Arial"/>
        <family val="2"/>
      </rPr>
      <t xml:space="preserve"> =</t>
    </r>
    <phoneticPr fontId="25" type="noConversion"/>
  </si>
  <si>
    <r>
      <t>I</t>
    </r>
    <r>
      <rPr>
        <vertAlign val="subscript"/>
        <sz val="11"/>
        <color theme="1"/>
        <rFont val="Arial"/>
        <family val="2"/>
      </rPr>
      <t xml:space="preserve">M_nega_start </t>
    </r>
    <r>
      <rPr>
        <sz val="11"/>
        <color theme="1"/>
        <rFont val="Arial"/>
        <family val="2"/>
      </rPr>
      <t>=</t>
    </r>
    <phoneticPr fontId="25" type="noConversion"/>
  </si>
  <si>
    <r>
      <t>f</t>
    </r>
    <r>
      <rPr>
        <vertAlign val="subscript"/>
        <sz val="11"/>
        <color theme="1"/>
        <rFont val="Arial"/>
        <family val="2"/>
      </rPr>
      <t xml:space="preserve">sw_OPP_start </t>
    </r>
    <r>
      <rPr>
        <sz val="11"/>
        <color theme="1"/>
        <rFont val="Arial"/>
        <family val="2"/>
      </rPr>
      <t>=</t>
    </r>
    <phoneticPr fontId="25" type="noConversion"/>
  </si>
  <si>
    <r>
      <t>I</t>
    </r>
    <r>
      <rPr>
        <vertAlign val="subscript"/>
        <sz val="11"/>
        <color theme="1"/>
        <rFont val="Arial"/>
        <family val="2"/>
      </rPr>
      <t xml:space="preserve">IN_OPP_start </t>
    </r>
    <r>
      <rPr>
        <sz val="11"/>
        <color theme="1"/>
        <rFont val="Arial"/>
        <family val="2"/>
      </rPr>
      <t>=</t>
    </r>
    <phoneticPr fontId="25" type="noConversion"/>
  </si>
  <si>
    <r>
      <t xml:space="preserve"> D</t>
    </r>
    <r>
      <rPr>
        <vertAlign val="subscript"/>
        <sz val="11"/>
        <color theme="1"/>
        <rFont val="Arial"/>
        <family val="2"/>
      </rPr>
      <t xml:space="preserve">OPP_start </t>
    </r>
    <r>
      <rPr>
        <sz val="11"/>
        <color theme="1"/>
        <rFont val="Arial"/>
        <family val="2"/>
      </rPr>
      <t>=</t>
    </r>
    <phoneticPr fontId="25" type="noConversion"/>
  </si>
  <si>
    <t>mA</t>
    <phoneticPr fontId="25" type="noConversion"/>
  </si>
  <si>
    <r>
      <t>Driver Current, I</t>
    </r>
    <r>
      <rPr>
        <vertAlign val="subscript"/>
        <sz val="11"/>
        <color theme="1"/>
        <rFont val="Arial"/>
        <family val="2"/>
      </rPr>
      <t xml:space="preserve">VCC_qcc </t>
    </r>
    <r>
      <rPr>
        <sz val="11"/>
        <color theme="1"/>
        <rFont val="Arial"/>
        <family val="2"/>
      </rPr>
      <t>=</t>
    </r>
    <phoneticPr fontId="25" type="noConversion"/>
  </si>
  <si>
    <r>
      <t>I</t>
    </r>
    <r>
      <rPr>
        <vertAlign val="subscript"/>
        <sz val="11"/>
        <color theme="1"/>
        <rFont val="Arial"/>
        <family val="2"/>
      </rPr>
      <t>VCC_sw</t>
    </r>
    <r>
      <rPr>
        <sz val="11"/>
        <color theme="1"/>
        <rFont val="Arial"/>
        <family val="2"/>
      </rPr>
      <t xml:space="preserve"> =</t>
    </r>
    <phoneticPr fontId="25" type="noConversion"/>
  </si>
  <si>
    <t>mA</t>
    <phoneticPr fontId="25" type="noConversion"/>
  </si>
  <si>
    <r>
      <t>C</t>
    </r>
    <r>
      <rPr>
        <vertAlign val="subscript"/>
        <sz val="11"/>
        <color theme="1"/>
        <rFont val="Arial"/>
        <family val="2"/>
      </rPr>
      <t>DD1_rec</t>
    </r>
    <r>
      <rPr>
        <sz val="11"/>
        <color theme="1"/>
        <rFont val="Arial"/>
        <family val="2"/>
      </rPr>
      <t xml:space="preserve"> =</t>
    </r>
    <phoneticPr fontId="25" type="noConversion"/>
  </si>
  <si>
    <r>
      <t>Negative Magnetizing Inductor Current at Start,
 I</t>
    </r>
    <r>
      <rPr>
        <vertAlign val="subscript"/>
        <sz val="11"/>
        <color theme="1"/>
        <rFont val="Arial"/>
        <family val="2"/>
      </rPr>
      <t xml:space="preserve">M_nega_start </t>
    </r>
    <r>
      <rPr>
        <sz val="11"/>
        <color theme="1"/>
        <rFont val="Arial"/>
        <family val="2"/>
      </rPr>
      <t>=</t>
    </r>
    <phoneticPr fontId="25" type="noConversion"/>
  </si>
  <si>
    <r>
      <t>Switching Frequency During OPP at Start, f</t>
    </r>
    <r>
      <rPr>
        <vertAlign val="subscript"/>
        <sz val="11"/>
        <color theme="1"/>
        <rFont val="Arial"/>
        <family val="2"/>
      </rPr>
      <t xml:space="preserve">sw_OPP_start </t>
    </r>
    <r>
      <rPr>
        <sz val="11"/>
        <color theme="1"/>
        <rFont val="Arial"/>
        <family val="2"/>
      </rPr>
      <t>=</t>
    </r>
    <phoneticPr fontId="25" type="noConversion"/>
  </si>
  <si>
    <r>
      <t>OPP Input Current at Start, I</t>
    </r>
    <r>
      <rPr>
        <vertAlign val="subscript"/>
        <sz val="11"/>
        <color theme="1"/>
        <rFont val="Arial"/>
        <family val="2"/>
      </rPr>
      <t xml:space="preserve">IN_OPP_start </t>
    </r>
    <r>
      <rPr>
        <sz val="11"/>
        <color theme="1"/>
        <rFont val="Arial"/>
        <family val="2"/>
      </rPr>
      <t>=</t>
    </r>
    <phoneticPr fontId="25" type="noConversion"/>
  </si>
  <si>
    <r>
      <t>Driver Require Current, I</t>
    </r>
    <r>
      <rPr>
        <vertAlign val="subscript"/>
        <sz val="11"/>
        <color theme="1"/>
        <rFont val="Arial"/>
        <family val="2"/>
      </rPr>
      <t>VCC_SW</t>
    </r>
    <r>
      <rPr>
        <sz val="11"/>
        <color theme="1"/>
        <rFont val="Arial"/>
        <family val="2"/>
      </rPr>
      <t xml:space="preserve"> =</t>
    </r>
    <phoneticPr fontId="25" type="noConversion"/>
  </si>
  <si>
    <r>
      <t>C</t>
    </r>
    <r>
      <rPr>
        <vertAlign val="subscript"/>
        <sz val="11"/>
        <color theme="1"/>
        <rFont val="Arial"/>
        <family val="2"/>
      </rPr>
      <t>DD1_act</t>
    </r>
    <r>
      <rPr>
        <sz val="11"/>
        <color theme="1"/>
        <rFont val="Arial"/>
        <family val="2"/>
      </rPr>
      <t xml:space="preserve"> =</t>
    </r>
    <phoneticPr fontId="25" type="noConversion"/>
  </si>
  <si>
    <r>
      <t>C</t>
    </r>
    <r>
      <rPr>
        <vertAlign val="subscript"/>
        <sz val="11"/>
        <color theme="1"/>
        <rFont val="Arial"/>
        <family val="2"/>
      </rPr>
      <t>DD1</t>
    </r>
    <r>
      <rPr>
        <sz val="11"/>
        <color theme="1"/>
        <rFont val="Arial"/>
        <family val="2"/>
      </rPr>
      <t xml:space="preserve"> =</t>
    </r>
    <phoneticPr fontId="25" type="noConversion"/>
  </si>
  <si>
    <r>
      <t>M</t>
    </r>
    <r>
      <rPr>
        <sz val="11"/>
        <color theme="1"/>
        <rFont val="Calibri"/>
        <family val="2"/>
      </rPr>
      <t>Ω</t>
    </r>
    <phoneticPr fontId="25" type="noConversion"/>
  </si>
  <si>
    <r>
      <t>R</t>
    </r>
    <r>
      <rPr>
        <vertAlign val="subscript"/>
        <sz val="11"/>
        <color theme="1"/>
        <rFont val="Arial"/>
        <family val="2"/>
      </rPr>
      <t>BLEED_act</t>
    </r>
    <r>
      <rPr>
        <sz val="11"/>
        <color theme="1"/>
        <rFont val="Arial"/>
        <family val="2"/>
      </rPr>
      <t xml:space="preserve"> =</t>
    </r>
    <phoneticPr fontId="25" type="noConversion"/>
  </si>
  <si>
    <r>
      <t>R</t>
    </r>
    <r>
      <rPr>
        <vertAlign val="subscript"/>
        <sz val="11"/>
        <color theme="1"/>
        <rFont val="Arial"/>
        <family val="2"/>
      </rPr>
      <t>BLEED</t>
    </r>
    <r>
      <rPr>
        <sz val="11"/>
        <color theme="1"/>
        <rFont val="Arial"/>
        <family val="2"/>
      </rPr>
      <t xml:space="preserve"> =</t>
    </r>
    <phoneticPr fontId="25" type="noConversion"/>
  </si>
  <si>
    <t>Optocoupler Feedback</t>
    <phoneticPr fontId="25" type="noConversion"/>
  </si>
  <si>
    <r>
      <t>R</t>
    </r>
    <r>
      <rPr>
        <vertAlign val="subscript"/>
        <sz val="11"/>
        <color theme="1"/>
        <rFont val="Arial"/>
        <family val="2"/>
      </rPr>
      <t>FB_max</t>
    </r>
    <r>
      <rPr>
        <sz val="11"/>
        <color theme="1"/>
        <rFont val="Arial"/>
        <family val="2"/>
      </rPr>
      <t xml:space="preserve"> =</t>
    </r>
    <phoneticPr fontId="25" type="noConversion"/>
  </si>
  <si>
    <r>
      <t>R</t>
    </r>
    <r>
      <rPr>
        <vertAlign val="subscript"/>
        <sz val="11"/>
        <color theme="1"/>
        <rFont val="Arial"/>
        <family val="2"/>
      </rPr>
      <t>FB_act</t>
    </r>
    <r>
      <rPr>
        <sz val="11"/>
        <color theme="1"/>
        <rFont val="Arial"/>
        <family val="2"/>
      </rPr>
      <t xml:space="preserve"> =</t>
    </r>
    <phoneticPr fontId="25" type="noConversion"/>
  </si>
  <si>
    <r>
      <t>R</t>
    </r>
    <r>
      <rPr>
        <vertAlign val="subscript"/>
        <sz val="11"/>
        <color theme="1"/>
        <rFont val="Arial"/>
        <family val="2"/>
      </rPr>
      <t>FB</t>
    </r>
    <r>
      <rPr>
        <sz val="11"/>
        <color theme="1"/>
        <rFont val="Arial"/>
        <family val="2"/>
      </rPr>
      <t xml:space="preserve"> =</t>
    </r>
    <phoneticPr fontId="25" type="noConversion"/>
  </si>
  <si>
    <t>smaller resistance move low frequency pole to higher frequency for better response in ABM</t>
    <phoneticPr fontId="25" type="noConversion"/>
  </si>
  <si>
    <r>
      <t>Low Side Driver Delay , T</t>
    </r>
    <r>
      <rPr>
        <vertAlign val="subscript"/>
        <sz val="11"/>
        <color theme="1"/>
        <rFont val="Arial"/>
        <family val="2"/>
      </rPr>
      <t xml:space="preserve">D_LDr </t>
    </r>
    <r>
      <rPr>
        <sz val="11"/>
        <color theme="1"/>
        <rFont val="Arial"/>
        <family val="2"/>
      </rPr>
      <t>=</t>
    </r>
    <phoneticPr fontId="25" type="noConversion"/>
  </si>
  <si>
    <r>
      <t>High Side Driver Delay, T</t>
    </r>
    <r>
      <rPr>
        <vertAlign val="subscript"/>
        <sz val="11"/>
        <color theme="1"/>
        <rFont val="Arial"/>
        <family val="2"/>
      </rPr>
      <t>D_HDr</t>
    </r>
    <r>
      <rPr>
        <sz val="11"/>
        <color theme="1"/>
        <rFont val="Arial"/>
        <family val="2"/>
      </rPr>
      <t xml:space="preserve"> =</t>
    </r>
    <phoneticPr fontId="25" type="noConversion"/>
  </si>
  <si>
    <r>
      <t>Bootstrap Diode's Parasitic Capacitance, C</t>
    </r>
    <r>
      <rPr>
        <vertAlign val="subscript"/>
        <sz val="11"/>
        <color theme="1"/>
        <rFont val="Arial"/>
        <family val="2"/>
      </rPr>
      <t xml:space="preserve">BootD_T </t>
    </r>
    <r>
      <rPr>
        <sz val="11"/>
        <color theme="1"/>
        <rFont val="Arial"/>
        <family val="2"/>
      </rPr>
      <t>=</t>
    </r>
    <phoneticPr fontId="25" type="noConversion"/>
  </si>
  <si>
    <r>
      <t>Parasitic Inductance, L</t>
    </r>
    <r>
      <rPr>
        <vertAlign val="subscript"/>
        <sz val="11"/>
        <color theme="1"/>
        <rFont val="Arial"/>
        <family val="2"/>
      </rPr>
      <t>Qs</t>
    </r>
    <r>
      <rPr>
        <sz val="11"/>
        <color theme="1"/>
        <rFont val="Arial"/>
        <family val="2"/>
      </rPr>
      <t>=</t>
    </r>
    <phoneticPr fontId="25" type="noConversion"/>
  </si>
  <si>
    <r>
      <t>R</t>
    </r>
    <r>
      <rPr>
        <vertAlign val="subscript"/>
        <sz val="11"/>
        <color theme="1"/>
        <rFont val="Arial"/>
        <family val="2"/>
      </rPr>
      <t xml:space="preserve">bias2_rec </t>
    </r>
    <r>
      <rPr>
        <sz val="11"/>
        <color theme="1"/>
        <rFont val="Arial"/>
        <family val="2"/>
      </rPr>
      <t>=</t>
    </r>
    <phoneticPr fontId="25" type="noConversion"/>
  </si>
  <si>
    <r>
      <t>R</t>
    </r>
    <r>
      <rPr>
        <vertAlign val="subscript"/>
        <sz val="11"/>
        <color theme="1"/>
        <rFont val="Arial"/>
        <family val="2"/>
      </rPr>
      <t xml:space="preserve">bias2_act </t>
    </r>
    <r>
      <rPr>
        <sz val="11"/>
        <color theme="1"/>
        <rFont val="Arial"/>
        <family val="2"/>
      </rPr>
      <t>=</t>
    </r>
    <phoneticPr fontId="25" type="noConversion"/>
  </si>
  <si>
    <r>
      <t>R</t>
    </r>
    <r>
      <rPr>
        <vertAlign val="subscript"/>
        <sz val="11"/>
        <color theme="1"/>
        <rFont val="Arial"/>
        <family val="2"/>
      </rPr>
      <t xml:space="preserve">bias2 </t>
    </r>
    <r>
      <rPr>
        <sz val="11"/>
        <color theme="1"/>
        <rFont val="Arial"/>
        <family val="2"/>
      </rPr>
      <t>=</t>
    </r>
    <phoneticPr fontId="25" type="noConversion"/>
  </si>
  <si>
    <t>Ω</t>
    <phoneticPr fontId="25" type="noConversion"/>
  </si>
  <si>
    <t>Rbias2 to supply shunt regulator when opto-coupler is cut off</t>
    <phoneticPr fontId="25" type="noConversion"/>
  </si>
  <si>
    <r>
      <t>R</t>
    </r>
    <r>
      <rPr>
        <vertAlign val="subscript"/>
        <sz val="11"/>
        <color theme="1"/>
        <rFont val="Arial"/>
        <family val="2"/>
      </rPr>
      <t>bias1_max_SBP</t>
    </r>
    <r>
      <rPr>
        <sz val="11"/>
        <color theme="1"/>
        <rFont val="Arial"/>
        <family val="2"/>
      </rPr>
      <t xml:space="preserve"> =</t>
    </r>
    <phoneticPr fontId="25" type="noConversion"/>
  </si>
  <si>
    <r>
      <t>R</t>
    </r>
    <r>
      <rPr>
        <vertAlign val="subscript"/>
        <sz val="11"/>
        <color theme="1"/>
        <rFont val="Arial"/>
        <family val="2"/>
      </rPr>
      <t>bias1_max_ABM</t>
    </r>
    <r>
      <rPr>
        <sz val="11"/>
        <color theme="1"/>
        <rFont val="Arial"/>
        <family val="2"/>
      </rPr>
      <t xml:space="preserve"> =</t>
    </r>
    <phoneticPr fontId="25" type="noConversion"/>
  </si>
  <si>
    <r>
      <t xml:space="preserve"> i</t>
    </r>
    <r>
      <rPr>
        <vertAlign val="subscript"/>
        <sz val="11"/>
        <color theme="1"/>
        <rFont val="Arial"/>
        <family val="2"/>
      </rPr>
      <t>pk_OPP_min</t>
    </r>
    <r>
      <rPr>
        <sz val="11"/>
        <color theme="1"/>
        <rFont val="Arial"/>
        <family val="2"/>
      </rPr>
      <t xml:space="preserve"> =</t>
    </r>
    <phoneticPr fontId="25" type="noConversion"/>
  </si>
  <si>
    <r>
      <t>I</t>
    </r>
    <r>
      <rPr>
        <vertAlign val="subscript"/>
        <sz val="11"/>
        <color theme="1"/>
        <rFont val="Arial"/>
        <family val="2"/>
      </rPr>
      <t xml:space="preserve">M_nega_OPP_min </t>
    </r>
    <r>
      <rPr>
        <sz val="11"/>
        <color theme="1"/>
        <rFont val="Arial"/>
        <family val="2"/>
      </rPr>
      <t>=</t>
    </r>
    <phoneticPr fontId="25" type="noConversion"/>
  </si>
  <si>
    <r>
      <t>Peak Current During OPP at Min Input, i</t>
    </r>
    <r>
      <rPr>
        <vertAlign val="subscript"/>
        <sz val="11"/>
        <color theme="1"/>
        <rFont val="Arial"/>
        <family val="2"/>
      </rPr>
      <t>pk_OPP_min</t>
    </r>
    <r>
      <rPr>
        <sz val="11"/>
        <color theme="1"/>
        <rFont val="Arial"/>
        <family val="2"/>
      </rPr>
      <t xml:space="preserve"> =</t>
    </r>
    <phoneticPr fontId="25" type="noConversion"/>
  </si>
  <si>
    <r>
      <t xml:space="preserve"> i</t>
    </r>
    <r>
      <rPr>
        <vertAlign val="subscript"/>
        <sz val="11"/>
        <color theme="1"/>
        <rFont val="Arial"/>
        <family val="2"/>
      </rPr>
      <t>pk_min</t>
    </r>
    <r>
      <rPr>
        <sz val="11"/>
        <color theme="1"/>
        <rFont val="Arial"/>
        <family val="2"/>
      </rPr>
      <t xml:space="preserve"> =</t>
    </r>
    <phoneticPr fontId="25" type="noConversion"/>
  </si>
  <si>
    <r>
      <t>I</t>
    </r>
    <r>
      <rPr>
        <vertAlign val="subscript"/>
        <sz val="11"/>
        <color theme="1"/>
        <rFont val="Arial"/>
        <family val="2"/>
      </rPr>
      <t xml:space="preserve">M_nega_min </t>
    </r>
    <r>
      <rPr>
        <sz val="11"/>
        <color theme="1"/>
        <rFont val="Arial"/>
        <family val="2"/>
      </rPr>
      <t>=</t>
    </r>
    <phoneticPr fontId="25" type="noConversion"/>
  </si>
  <si>
    <r>
      <t>f</t>
    </r>
    <r>
      <rPr>
        <vertAlign val="subscript"/>
        <sz val="11"/>
        <color theme="1"/>
        <rFont val="Arial"/>
        <family val="2"/>
      </rPr>
      <t xml:space="preserve">sw_min </t>
    </r>
    <r>
      <rPr>
        <sz val="11"/>
        <color theme="1"/>
        <rFont val="Arial"/>
        <family val="2"/>
      </rPr>
      <t>=</t>
    </r>
    <phoneticPr fontId="25" type="noConversion"/>
  </si>
  <si>
    <r>
      <t>I</t>
    </r>
    <r>
      <rPr>
        <vertAlign val="subscript"/>
        <sz val="11"/>
        <color theme="1"/>
        <rFont val="Arial"/>
        <family val="2"/>
      </rPr>
      <t xml:space="preserve">IN_min </t>
    </r>
    <r>
      <rPr>
        <sz val="11"/>
        <color theme="1"/>
        <rFont val="Arial"/>
        <family val="2"/>
      </rPr>
      <t>=</t>
    </r>
    <phoneticPr fontId="25" type="noConversion"/>
  </si>
  <si>
    <r>
      <t xml:space="preserve"> D</t>
    </r>
    <r>
      <rPr>
        <vertAlign val="subscript"/>
        <sz val="11"/>
        <color theme="1"/>
        <rFont val="Arial"/>
        <family val="2"/>
      </rPr>
      <t xml:space="preserve">min </t>
    </r>
    <r>
      <rPr>
        <sz val="11"/>
        <color theme="1"/>
        <rFont val="Arial"/>
        <family val="2"/>
      </rPr>
      <t>=</t>
    </r>
    <phoneticPr fontId="25" type="noConversion"/>
  </si>
  <si>
    <r>
      <t>K</t>
    </r>
    <r>
      <rPr>
        <vertAlign val="subscript"/>
        <sz val="11"/>
        <color theme="1"/>
        <rFont val="Arial"/>
        <family val="2"/>
      </rPr>
      <t>VC</t>
    </r>
    <r>
      <rPr>
        <sz val="11"/>
        <color theme="1"/>
        <rFont val="Arial"/>
        <family val="2"/>
      </rPr>
      <t xml:space="preserve"> =</t>
    </r>
    <phoneticPr fontId="25" type="noConversion"/>
  </si>
  <si>
    <r>
      <t>R</t>
    </r>
    <r>
      <rPr>
        <vertAlign val="subscript"/>
        <sz val="11"/>
        <color theme="1"/>
        <rFont val="Arial"/>
        <family val="2"/>
      </rPr>
      <t>bias1_min</t>
    </r>
    <r>
      <rPr>
        <sz val="11"/>
        <color theme="1"/>
        <rFont val="Arial"/>
        <family val="2"/>
      </rPr>
      <t xml:space="preserve"> =</t>
    </r>
    <phoneticPr fontId="25" type="noConversion"/>
  </si>
  <si>
    <r>
      <t>R</t>
    </r>
    <r>
      <rPr>
        <vertAlign val="subscript"/>
        <sz val="11"/>
        <color theme="1"/>
        <rFont val="Arial"/>
        <family val="2"/>
      </rPr>
      <t>bias1_max</t>
    </r>
    <r>
      <rPr>
        <sz val="11"/>
        <color theme="1"/>
        <rFont val="Arial"/>
        <family val="2"/>
      </rPr>
      <t xml:space="preserve"> =</t>
    </r>
    <phoneticPr fontId="25" type="noConversion"/>
  </si>
  <si>
    <r>
      <t>R</t>
    </r>
    <r>
      <rPr>
        <vertAlign val="subscript"/>
        <sz val="11"/>
        <color theme="1"/>
        <rFont val="Arial"/>
        <family val="2"/>
      </rPr>
      <t>bias1</t>
    </r>
    <r>
      <rPr>
        <sz val="11"/>
        <color theme="1"/>
        <rFont val="Arial"/>
        <family val="2"/>
      </rPr>
      <t xml:space="preserve"> =</t>
    </r>
    <phoneticPr fontId="25" type="noConversion"/>
  </si>
  <si>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phoneticPr fontId="25" type="noConversion"/>
  </si>
  <si>
    <r>
      <t>Peak Current During Min Input, i</t>
    </r>
    <r>
      <rPr>
        <vertAlign val="subscript"/>
        <sz val="11"/>
        <color theme="1"/>
        <rFont val="Arial"/>
        <family val="2"/>
      </rPr>
      <t>pk_min</t>
    </r>
    <r>
      <rPr>
        <sz val="11"/>
        <color theme="1"/>
        <rFont val="Arial"/>
        <family val="2"/>
      </rPr>
      <t xml:space="preserve"> =</t>
    </r>
    <phoneticPr fontId="25" type="noConversion"/>
  </si>
  <si>
    <r>
      <t>Negative Magnetizing Inductor Current at Min, I</t>
    </r>
    <r>
      <rPr>
        <vertAlign val="subscript"/>
        <sz val="11"/>
        <color theme="1"/>
        <rFont val="Arial"/>
        <family val="2"/>
      </rPr>
      <t xml:space="preserve">M_nega_min </t>
    </r>
    <r>
      <rPr>
        <sz val="11"/>
        <color theme="1"/>
        <rFont val="Arial"/>
        <family val="2"/>
      </rPr>
      <t>=</t>
    </r>
    <phoneticPr fontId="25" type="noConversion"/>
  </si>
  <si>
    <r>
      <t>Negative Magnetizing Inductor Current at Min, I</t>
    </r>
    <r>
      <rPr>
        <vertAlign val="subscript"/>
        <sz val="11"/>
        <color theme="1"/>
        <rFont val="Arial"/>
        <family val="2"/>
      </rPr>
      <t xml:space="preserve">M_nega_OPP_min </t>
    </r>
    <r>
      <rPr>
        <sz val="11"/>
        <color theme="1"/>
        <rFont val="Arial"/>
        <family val="2"/>
      </rPr>
      <t>=</t>
    </r>
    <phoneticPr fontId="25" type="noConversion"/>
  </si>
  <si>
    <r>
      <t>Switching Frequency During Min Input, f</t>
    </r>
    <r>
      <rPr>
        <vertAlign val="subscript"/>
        <sz val="11"/>
        <color theme="1"/>
        <rFont val="Arial"/>
        <family val="2"/>
      </rPr>
      <t xml:space="preserve">sw_OPP_min </t>
    </r>
    <r>
      <rPr>
        <sz val="11"/>
        <color theme="1"/>
        <rFont val="Arial"/>
        <family val="2"/>
      </rPr>
      <t>=</t>
    </r>
    <phoneticPr fontId="25" type="noConversion"/>
  </si>
  <si>
    <r>
      <t>Input Current at Min Input, I</t>
    </r>
    <r>
      <rPr>
        <vertAlign val="subscript"/>
        <sz val="11"/>
        <color theme="1"/>
        <rFont val="Arial"/>
        <family val="2"/>
      </rPr>
      <t xml:space="preserve">IN_OPP_min </t>
    </r>
    <r>
      <rPr>
        <sz val="11"/>
        <color theme="1"/>
        <rFont val="Arial"/>
        <family val="2"/>
      </rPr>
      <t>=</t>
    </r>
    <phoneticPr fontId="25" type="noConversion"/>
  </si>
  <si>
    <r>
      <t xml:space="preserve"> i</t>
    </r>
    <r>
      <rPr>
        <vertAlign val="subscript"/>
        <sz val="11"/>
        <color theme="1"/>
        <rFont val="Arial"/>
        <family val="2"/>
      </rPr>
      <t>pk_OPP_run</t>
    </r>
    <r>
      <rPr>
        <sz val="11"/>
        <color theme="1"/>
        <rFont val="Arial"/>
        <family val="2"/>
      </rPr>
      <t xml:space="preserve"> =</t>
    </r>
    <phoneticPr fontId="25" type="noConversion"/>
  </si>
  <si>
    <r>
      <t>Peak Current During OPP at Run Input, i</t>
    </r>
    <r>
      <rPr>
        <vertAlign val="subscript"/>
        <sz val="11"/>
        <color theme="1"/>
        <rFont val="Arial"/>
        <family val="2"/>
      </rPr>
      <t>pk_OPP_run</t>
    </r>
    <r>
      <rPr>
        <sz val="11"/>
        <color theme="1"/>
        <rFont val="Arial"/>
        <family val="2"/>
      </rPr>
      <t xml:space="preserve"> =</t>
    </r>
    <phoneticPr fontId="25" type="noConversion"/>
  </si>
  <si>
    <r>
      <t>Peak Current During OPP at Max Input, i</t>
    </r>
    <r>
      <rPr>
        <vertAlign val="subscript"/>
        <sz val="11"/>
        <color theme="1"/>
        <rFont val="Arial"/>
        <family val="2"/>
      </rPr>
      <t>pk_OPP_max</t>
    </r>
    <r>
      <rPr>
        <sz val="11"/>
        <color theme="1"/>
        <rFont val="Arial"/>
        <family val="2"/>
      </rPr>
      <t xml:space="preserve"> =</t>
    </r>
    <phoneticPr fontId="25" type="noConversion"/>
  </si>
  <si>
    <r>
      <t xml:space="preserve"> i</t>
    </r>
    <r>
      <rPr>
        <vertAlign val="subscript"/>
        <sz val="11"/>
        <color theme="1"/>
        <rFont val="Arial"/>
        <family val="2"/>
      </rPr>
      <t>pk_OPP_max</t>
    </r>
    <r>
      <rPr>
        <sz val="11"/>
        <color theme="1"/>
        <rFont val="Arial"/>
        <family val="2"/>
      </rPr>
      <t xml:space="preserve"> =</t>
    </r>
    <phoneticPr fontId="25" type="noConversion"/>
  </si>
  <si>
    <r>
      <t xml:space="preserve"> i</t>
    </r>
    <r>
      <rPr>
        <vertAlign val="subscript"/>
        <sz val="11"/>
        <color theme="1"/>
        <rFont val="Arial"/>
        <family val="2"/>
      </rPr>
      <t>pk_OPP_start</t>
    </r>
    <r>
      <rPr>
        <sz val="11"/>
        <color theme="1"/>
        <rFont val="Arial"/>
        <family val="2"/>
      </rPr>
      <t xml:space="preserve"> =</t>
    </r>
    <phoneticPr fontId="25" type="noConversion"/>
  </si>
  <si>
    <r>
      <t>Peak Current During OPP at Start, i</t>
    </r>
    <r>
      <rPr>
        <vertAlign val="subscript"/>
        <sz val="11"/>
        <color theme="1"/>
        <rFont val="Arial"/>
        <family val="2"/>
      </rPr>
      <t>pk_OPP_start</t>
    </r>
    <r>
      <rPr>
        <sz val="11"/>
        <color theme="1"/>
        <rFont val="Arial"/>
        <family val="2"/>
      </rPr>
      <t xml:space="preserve"> =</t>
    </r>
    <phoneticPr fontId="25" type="noConversion"/>
  </si>
  <si>
    <r>
      <t>Q</t>
    </r>
    <r>
      <rPr>
        <vertAlign val="subscript"/>
        <sz val="11"/>
        <color theme="1"/>
        <rFont val="Arial"/>
        <family val="2"/>
      </rPr>
      <t>g_Qh</t>
    </r>
    <r>
      <rPr>
        <sz val="11"/>
        <color theme="1"/>
        <rFont val="Arial"/>
        <family val="2"/>
      </rPr>
      <t xml:space="preserve"> =</t>
    </r>
    <phoneticPr fontId="25" type="noConversion"/>
  </si>
  <si>
    <t>nC</t>
    <phoneticPr fontId="25" type="noConversion"/>
  </si>
  <si>
    <r>
      <t>Bootstrap Diode's Forward Voltage, V</t>
    </r>
    <r>
      <rPr>
        <vertAlign val="subscript"/>
        <sz val="11"/>
        <color theme="1"/>
        <rFont val="Arial"/>
        <family val="2"/>
      </rPr>
      <t>f_BootD</t>
    </r>
    <r>
      <rPr>
        <sz val="11"/>
        <color theme="1"/>
        <rFont val="Arial"/>
        <family val="2"/>
      </rPr>
      <t xml:space="preserve"> =</t>
    </r>
    <phoneticPr fontId="25" type="noConversion"/>
  </si>
  <si>
    <t>V</t>
    <phoneticPr fontId="25" type="noConversion"/>
  </si>
  <si>
    <r>
      <t xml:space="preserve"> i</t>
    </r>
    <r>
      <rPr>
        <vertAlign val="subscript"/>
        <sz val="11"/>
        <color theme="1"/>
        <rFont val="Arial"/>
        <family val="2"/>
      </rPr>
      <t>pk_BUR_min</t>
    </r>
    <r>
      <rPr>
        <sz val="11"/>
        <color theme="1"/>
        <rFont val="Arial"/>
        <family val="2"/>
      </rPr>
      <t xml:space="preserve"> =</t>
    </r>
    <phoneticPr fontId="25" type="noConversion"/>
  </si>
  <si>
    <r>
      <t>I</t>
    </r>
    <r>
      <rPr>
        <vertAlign val="subscript"/>
        <sz val="11"/>
        <color theme="1"/>
        <rFont val="Arial"/>
        <family val="2"/>
      </rPr>
      <t xml:space="preserve">M_nega_BUR_min </t>
    </r>
    <r>
      <rPr>
        <sz val="11"/>
        <color theme="1"/>
        <rFont val="Arial"/>
        <family val="2"/>
      </rPr>
      <t>=</t>
    </r>
    <phoneticPr fontId="25" type="noConversion"/>
  </si>
  <si>
    <r>
      <t>f</t>
    </r>
    <r>
      <rPr>
        <vertAlign val="subscript"/>
        <sz val="11"/>
        <color theme="1"/>
        <rFont val="Arial"/>
        <family val="2"/>
      </rPr>
      <t xml:space="preserve">sw_BUR_min </t>
    </r>
    <r>
      <rPr>
        <sz val="11"/>
        <color theme="1"/>
        <rFont val="Arial"/>
        <family val="2"/>
      </rPr>
      <t>=</t>
    </r>
    <phoneticPr fontId="25" type="noConversion"/>
  </si>
  <si>
    <r>
      <t xml:space="preserve"> D</t>
    </r>
    <r>
      <rPr>
        <vertAlign val="subscript"/>
        <sz val="11"/>
        <color theme="1"/>
        <rFont val="Arial"/>
        <family val="2"/>
      </rPr>
      <t xml:space="preserve">BUR_min </t>
    </r>
    <r>
      <rPr>
        <sz val="11"/>
        <color theme="1"/>
        <rFont val="Arial"/>
        <family val="2"/>
      </rPr>
      <t>=</t>
    </r>
    <phoneticPr fontId="25" type="noConversion"/>
  </si>
  <si>
    <r>
      <t>I</t>
    </r>
    <r>
      <rPr>
        <vertAlign val="subscript"/>
        <sz val="11"/>
        <color theme="1"/>
        <rFont val="Arial"/>
        <family val="2"/>
      </rPr>
      <t xml:space="preserve">IN_BUR_min </t>
    </r>
    <r>
      <rPr>
        <sz val="11"/>
        <color theme="1"/>
        <rFont val="Arial"/>
        <family val="2"/>
      </rPr>
      <t>=</t>
    </r>
    <phoneticPr fontId="25" type="noConversion"/>
  </si>
  <si>
    <r>
      <t>C</t>
    </r>
    <r>
      <rPr>
        <vertAlign val="subscript"/>
        <sz val="11"/>
        <color theme="1"/>
        <rFont val="Arial"/>
        <family val="2"/>
      </rPr>
      <t>boot_min</t>
    </r>
    <r>
      <rPr>
        <sz val="11"/>
        <color theme="1"/>
        <rFont val="Arial"/>
        <family val="2"/>
      </rPr>
      <t xml:space="preserve"> =</t>
    </r>
    <phoneticPr fontId="25" type="noConversion"/>
  </si>
  <si>
    <r>
      <t>Driver Charge, Q</t>
    </r>
    <r>
      <rPr>
        <vertAlign val="subscript"/>
        <sz val="11"/>
        <color theme="1"/>
        <rFont val="Arial"/>
        <family val="2"/>
      </rPr>
      <t>g_Qh</t>
    </r>
    <r>
      <rPr>
        <sz val="11"/>
        <color theme="1"/>
        <rFont val="Arial"/>
        <family val="2"/>
      </rPr>
      <t xml:space="preserve"> =</t>
    </r>
    <phoneticPr fontId="25" type="noConversion"/>
  </si>
  <si>
    <r>
      <t>Peak Current During BUR and Min Input, i</t>
    </r>
    <r>
      <rPr>
        <vertAlign val="subscript"/>
        <sz val="11"/>
        <color theme="1"/>
        <rFont val="Arial"/>
        <family val="2"/>
      </rPr>
      <t>pk_BUR_min</t>
    </r>
    <r>
      <rPr>
        <sz val="11"/>
        <color theme="1"/>
        <rFont val="Arial"/>
        <family val="2"/>
      </rPr>
      <t xml:space="preserve"> =</t>
    </r>
    <phoneticPr fontId="25" type="noConversion"/>
  </si>
  <si>
    <r>
      <t>Negative Magnetizing Inductor Current at BUR and Min Input, I</t>
    </r>
    <r>
      <rPr>
        <vertAlign val="subscript"/>
        <sz val="11"/>
        <color theme="1"/>
        <rFont val="Arial"/>
        <family val="2"/>
      </rPr>
      <t xml:space="preserve">M_nega_BUR_min </t>
    </r>
    <r>
      <rPr>
        <sz val="11"/>
        <color theme="1"/>
        <rFont val="Arial"/>
        <family val="2"/>
      </rPr>
      <t>=</t>
    </r>
    <phoneticPr fontId="25" type="noConversion"/>
  </si>
  <si>
    <r>
      <t>Switching Frequency During BUR and Min Input, f</t>
    </r>
    <r>
      <rPr>
        <vertAlign val="subscript"/>
        <sz val="11"/>
        <color theme="1"/>
        <rFont val="Arial"/>
        <family val="2"/>
      </rPr>
      <t xml:space="preserve">sw_BUR_min </t>
    </r>
    <r>
      <rPr>
        <sz val="11"/>
        <color theme="1"/>
        <rFont val="Arial"/>
        <family val="2"/>
      </rPr>
      <t>=</t>
    </r>
    <phoneticPr fontId="25" type="noConversion"/>
  </si>
  <si>
    <r>
      <t>OPP Input Current at BUR and Min Input, I</t>
    </r>
    <r>
      <rPr>
        <vertAlign val="subscript"/>
        <sz val="11"/>
        <color theme="1"/>
        <rFont val="Arial"/>
        <family val="2"/>
      </rPr>
      <t xml:space="preserve">IN_BUR_min </t>
    </r>
    <r>
      <rPr>
        <sz val="11"/>
        <color theme="1"/>
        <rFont val="Arial"/>
        <family val="2"/>
      </rPr>
      <t>=</t>
    </r>
    <phoneticPr fontId="25" type="noConversion"/>
  </si>
  <si>
    <r>
      <t>C</t>
    </r>
    <r>
      <rPr>
        <vertAlign val="subscript"/>
        <sz val="11"/>
        <color theme="1"/>
        <rFont val="Arial"/>
        <family val="2"/>
      </rPr>
      <t>boot_max</t>
    </r>
    <r>
      <rPr>
        <sz val="11"/>
        <color theme="1"/>
        <rFont val="Arial"/>
        <family val="2"/>
      </rPr>
      <t xml:space="preserve"> =</t>
    </r>
    <phoneticPr fontId="25" type="noConversion"/>
  </si>
  <si>
    <r>
      <t>C</t>
    </r>
    <r>
      <rPr>
        <vertAlign val="subscript"/>
        <sz val="11"/>
        <color theme="1"/>
        <rFont val="Arial"/>
        <family val="2"/>
      </rPr>
      <t>boot</t>
    </r>
    <r>
      <rPr>
        <sz val="11"/>
        <color theme="1"/>
        <rFont val="Arial"/>
        <family val="2"/>
      </rPr>
      <t xml:space="preserve"> =</t>
    </r>
    <phoneticPr fontId="25" type="noConversion"/>
  </si>
  <si>
    <r>
      <t>V</t>
    </r>
    <r>
      <rPr>
        <vertAlign val="subscript"/>
        <sz val="11"/>
        <color theme="1"/>
        <rFont val="Arial"/>
        <family val="2"/>
      </rPr>
      <t>DD</t>
    </r>
    <r>
      <rPr>
        <sz val="11"/>
        <color theme="1"/>
        <rFont val="Arial"/>
        <family val="2"/>
      </rPr>
      <t xml:space="preserve"> =</t>
    </r>
    <phoneticPr fontId="25" type="noConversion"/>
  </si>
  <si>
    <r>
      <t>C</t>
    </r>
    <r>
      <rPr>
        <vertAlign val="subscript"/>
        <sz val="11"/>
        <color theme="1"/>
        <rFont val="Arial"/>
        <family val="2"/>
      </rPr>
      <t xml:space="preserve">DD2 </t>
    </r>
    <r>
      <rPr>
        <sz val="11"/>
        <color theme="1"/>
        <rFont val="Arial"/>
        <family val="2"/>
      </rPr>
      <t>=</t>
    </r>
    <phoneticPr fontId="25" type="noConversion"/>
  </si>
  <si>
    <r>
      <t>R</t>
    </r>
    <r>
      <rPr>
        <vertAlign val="subscript"/>
        <sz val="11"/>
        <color theme="1"/>
        <rFont val="Arial"/>
        <family val="2"/>
      </rPr>
      <t xml:space="preserve">DD2 </t>
    </r>
    <r>
      <rPr>
        <sz val="11"/>
        <color theme="1"/>
        <rFont val="Arial"/>
        <family val="2"/>
      </rPr>
      <t>=</t>
    </r>
    <phoneticPr fontId="25" type="noConversion"/>
  </si>
  <si>
    <t>Voltage Divider for Shunt Regulator</t>
    <phoneticPr fontId="25" type="noConversion"/>
  </si>
  <si>
    <t>nA</t>
    <phoneticPr fontId="25" type="noConversion"/>
  </si>
  <si>
    <r>
      <t>Maximum Reference Input Current, I</t>
    </r>
    <r>
      <rPr>
        <vertAlign val="subscript"/>
        <sz val="11"/>
        <color theme="1"/>
        <rFont val="Arial"/>
        <family val="2"/>
      </rPr>
      <t>ref_431_max</t>
    </r>
    <r>
      <rPr>
        <sz val="11"/>
        <color theme="1"/>
        <rFont val="Arial"/>
        <family val="2"/>
      </rPr>
      <t xml:space="preserve"> =</t>
    </r>
    <phoneticPr fontId="25" type="noConversion"/>
  </si>
  <si>
    <t>kΩ</t>
    <phoneticPr fontId="25" type="noConversion"/>
  </si>
  <si>
    <r>
      <t>R</t>
    </r>
    <r>
      <rPr>
        <vertAlign val="subscript"/>
        <sz val="11"/>
        <color theme="1"/>
        <rFont val="Arial"/>
        <family val="2"/>
      </rPr>
      <t xml:space="preserve">vo2_act </t>
    </r>
    <r>
      <rPr>
        <sz val="11"/>
        <color theme="1"/>
        <rFont val="Arial"/>
        <family val="2"/>
      </rPr>
      <t>=</t>
    </r>
    <phoneticPr fontId="25" type="noConversion"/>
  </si>
  <si>
    <r>
      <t>R</t>
    </r>
    <r>
      <rPr>
        <vertAlign val="subscript"/>
        <sz val="11"/>
        <color theme="1"/>
        <rFont val="Arial"/>
        <family val="2"/>
      </rPr>
      <t>vo2</t>
    </r>
    <r>
      <rPr>
        <sz val="11"/>
        <color theme="1"/>
        <rFont val="Arial"/>
        <family val="2"/>
      </rPr>
      <t xml:space="preserve"> =</t>
    </r>
    <phoneticPr fontId="25" type="noConversion"/>
  </si>
  <si>
    <r>
      <t>R</t>
    </r>
    <r>
      <rPr>
        <vertAlign val="subscript"/>
        <sz val="11"/>
        <color theme="1"/>
        <rFont val="Arial"/>
        <family val="2"/>
      </rPr>
      <t>vo1_rec</t>
    </r>
    <r>
      <rPr>
        <sz val="11"/>
        <color theme="1"/>
        <rFont val="Arial"/>
        <family val="2"/>
      </rPr>
      <t xml:space="preserve"> =</t>
    </r>
    <phoneticPr fontId="25" type="noConversion"/>
  </si>
  <si>
    <r>
      <t>R</t>
    </r>
    <r>
      <rPr>
        <vertAlign val="subscript"/>
        <sz val="11"/>
        <color theme="1"/>
        <rFont val="Arial"/>
        <family val="2"/>
      </rPr>
      <t>vo1_act</t>
    </r>
    <r>
      <rPr>
        <sz val="11"/>
        <color theme="1"/>
        <rFont val="Arial"/>
        <family val="2"/>
      </rPr>
      <t xml:space="preserve"> =</t>
    </r>
    <phoneticPr fontId="25" type="noConversion"/>
  </si>
  <si>
    <r>
      <t>R</t>
    </r>
    <r>
      <rPr>
        <vertAlign val="subscript"/>
        <sz val="11"/>
        <color theme="1"/>
        <rFont val="Arial"/>
        <family val="2"/>
      </rPr>
      <t xml:space="preserve">vo1 </t>
    </r>
    <r>
      <rPr>
        <sz val="11"/>
        <color theme="1"/>
        <rFont val="Arial"/>
        <family val="2"/>
      </rPr>
      <t>=</t>
    </r>
    <phoneticPr fontId="25" type="noConversion"/>
  </si>
  <si>
    <r>
      <t>V</t>
    </r>
    <r>
      <rPr>
        <vertAlign val="subscript"/>
        <sz val="11"/>
        <color theme="1"/>
        <rFont val="Arial"/>
        <family val="2"/>
      </rPr>
      <t>o_typ</t>
    </r>
    <r>
      <rPr>
        <sz val="11"/>
        <color theme="1"/>
        <rFont val="Arial"/>
        <family val="2"/>
      </rPr>
      <t xml:space="preserve"> =</t>
    </r>
    <phoneticPr fontId="25" type="noConversion"/>
  </si>
  <si>
    <t>nF</t>
    <phoneticPr fontId="25" type="noConversion"/>
  </si>
  <si>
    <r>
      <t>C</t>
    </r>
    <r>
      <rPr>
        <vertAlign val="subscript"/>
        <sz val="11"/>
        <color theme="1"/>
        <rFont val="Arial"/>
        <family val="2"/>
      </rPr>
      <t>diff_rec</t>
    </r>
    <r>
      <rPr>
        <sz val="11"/>
        <color theme="1"/>
        <rFont val="Arial"/>
        <family val="2"/>
      </rPr>
      <t xml:space="preserve"> =</t>
    </r>
    <phoneticPr fontId="25" type="noConversion"/>
  </si>
  <si>
    <r>
      <t>C</t>
    </r>
    <r>
      <rPr>
        <vertAlign val="subscript"/>
        <sz val="11"/>
        <color theme="1"/>
        <rFont val="Arial"/>
        <family val="2"/>
      </rPr>
      <t>diff_act</t>
    </r>
    <r>
      <rPr>
        <sz val="11"/>
        <color theme="1"/>
        <rFont val="Arial"/>
        <family val="2"/>
      </rPr>
      <t xml:space="preserve"> =</t>
    </r>
    <phoneticPr fontId="25" type="noConversion"/>
  </si>
  <si>
    <r>
      <t>C</t>
    </r>
    <r>
      <rPr>
        <vertAlign val="subscript"/>
        <sz val="11"/>
        <color theme="1"/>
        <rFont val="Arial"/>
        <family val="2"/>
      </rPr>
      <t>diff</t>
    </r>
    <r>
      <rPr>
        <sz val="11"/>
        <color theme="1"/>
        <rFont val="Arial"/>
        <family val="2"/>
      </rPr>
      <t xml:space="preserve"> =</t>
    </r>
    <phoneticPr fontId="25" type="noConversion"/>
  </si>
  <si>
    <r>
      <t>R</t>
    </r>
    <r>
      <rPr>
        <vertAlign val="subscript"/>
        <sz val="11"/>
        <color theme="1"/>
        <rFont val="Arial"/>
        <family val="2"/>
      </rPr>
      <t>diff_rec</t>
    </r>
    <r>
      <rPr>
        <sz val="11"/>
        <color theme="1"/>
        <rFont val="Arial"/>
        <family val="2"/>
      </rPr>
      <t xml:space="preserve"> =</t>
    </r>
    <phoneticPr fontId="25" type="noConversion"/>
  </si>
  <si>
    <r>
      <t>R</t>
    </r>
    <r>
      <rPr>
        <vertAlign val="subscript"/>
        <sz val="11"/>
        <color theme="1"/>
        <rFont val="Arial"/>
        <family val="2"/>
      </rPr>
      <t>diff_act</t>
    </r>
    <r>
      <rPr>
        <sz val="11"/>
        <color theme="1"/>
        <rFont val="Arial"/>
        <family val="2"/>
      </rPr>
      <t xml:space="preserve"> =</t>
    </r>
    <phoneticPr fontId="25" type="noConversion"/>
  </si>
  <si>
    <r>
      <t>R</t>
    </r>
    <r>
      <rPr>
        <vertAlign val="subscript"/>
        <sz val="11"/>
        <color theme="1"/>
        <rFont val="Arial"/>
        <family val="2"/>
      </rPr>
      <t>diff</t>
    </r>
    <r>
      <rPr>
        <sz val="11"/>
        <color theme="1"/>
        <rFont val="Arial"/>
        <family val="2"/>
      </rPr>
      <t xml:space="preserve"> =</t>
    </r>
    <phoneticPr fontId="25" type="noConversion"/>
  </si>
  <si>
    <r>
      <t>C</t>
    </r>
    <r>
      <rPr>
        <vertAlign val="subscript"/>
        <sz val="11"/>
        <color theme="1"/>
        <rFont val="Arial"/>
        <family val="2"/>
      </rPr>
      <t>int_rec</t>
    </r>
    <r>
      <rPr>
        <sz val="11"/>
        <color theme="1"/>
        <rFont val="Arial"/>
        <family val="2"/>
      </rPr>
      <t xml:space="preserve"> =</t>
    </r>
    <phoneticPr fontId="25" type="noConversion"/>
  </si>
  <si>
    <r>
      <t>C</t>
    </r>
    <r>
      <rPr>
        <vertAlign val="subscript"/>
        <sz val="11"/>
        <color theme="1"/>
        <rFont val="Arial"/>
        <family val="2"/>
      </rPr>
      <t>int_act</t>
    </r>
    <r>
      <rPr>
        <sz val="11"/>
        <color theme="1"/>
        <rFont val="Arial"/>
        <family val="2"/>
      </rPr>
      <t xml:space="preserve"> =</t>
    </r>
    <phoneticPr fontId="25" type="noConversion"/>
  </si>
  <si>
    <r>
      <t>C</t>
    </r>
    <r>
      <rPr>
        <vertAlign val="subscript"/>
        <sz val="11"/>
        <color theme="1"/>
        <rFont val="Arial"/>
        <family val="2"/>
      </rPr>
      <t>int</t>
    </r>
    <r>
      <rPr>
        <sz val="11"/>
        <color theme="1"/>
        <rFont val="Arial"/>
        <family val="2"/>
      </rPr>
      <t xml:space="preserve"> =</t>
    </r>
    <phoneticPr fontId="25" type="noConversion"/>
  </si>
  <si>
    <t>nF</t>
    <phoneticPr fontId="25" type="noConversion"/>
  </si>
  <si>
    <t>kΩ</t>
    <phoneticPr fontId="25" type="noConversion"/>
  </si>
  <si>
    <t>MΩ</t>
    <phoneticPr fontId="25" type="noConversion"/>
  </si>
  <si>
    <r>
      <t>V</t>
    </r>
    <r>
      <rPr>
        <vertAlign val="subscript"/>
        <sz val="11"/>
        <color theme="1"/>
        <rFont val="Arial"/>
        <family val="2"/>
      </rPr>
      <t xml:space="preserve">clamp_max_SR </t>
    </r>
    <r>
      <rPr>
        <sz val="11"/>
        <color theme="1"/>
        <rFont val="Arial"/>
        <family val="2"/>
      </rPr>
      <t>=</t>
    </r>
    <phoneticPr fontId="25" type="noConversion"/>
  </si>
  <si>
    <r>
      <t>V</t>
    </r>
    <r>
      <rPr>
        <vertAlign val="subscript"/>
        <sz val="11"/>
        <color theme="1"/>
        <rFont val="Arial"/>
        <family val="2"/>
      </rPr>
      <t xml:space="preserve">clamp_max </t>
    </r>
    <r>
      <rPr>
        <sz val="11"/>
        <color theme="1"/>
        <rFont val="Arial"/>
        <family val="2"/>
      </rPr>
      <t>=</t>
    </r>
    <phoneticPr fontId="25" type="noConversion"/>
  </si>
  <si>
    <r>
      <t>V</t>
    </r>
    <r>
      <rPr>
        <vertAlign val="subscript"/>
        <sz val="11"/>
        <color theme="1"/>
        <rFont val="Arial"/>
        <family val="2"/>
      </rPr>
      <t xml:space="preserve">clamp_max_QH </t>
    </r>
    <r>
      <rPr>
        <sz val="11"/>
        <color theme="1"/>
        <rFont val="Arial"/>
        <family val="2"/>
      </rPr>
      <t>=</t>
    </r>
    <phoneticPr fontId="25" type="noConversion"/>
  </si>
  <si>
    <r>
      <t>Maximum Clamp Voltage on SR, V</t>
    </r>
    <r>
      <rPr>
        <vertAlign val="subscript"/>
        <sz val="11"/>
        <color theme="1"/>
        <rFont val="Arial"/>
        <family val="2"/>
      </rPr>
      <t>clamp_max_SR</t>
    </r>
    <r>
      <rPr>
        <sz val="11"/>
        <color theme="1"/>
        <rFont val="Arial"/>
        <family val="2"/>
      </rPr>
      <t xml:space="preserve"> =</t>
    </r>
    <phoneticPr fontId="25" type="noConversion"/>
  </si>
  <si>
    <r>
      <t>Maximum Clamp Voltage on QH, V</t>
    </r>
    <r>
      <rPr>
        <vertAlign val="subscript"/>
        <sz val="11"/>
        <color theme="1"/>
        <rFont val="Arial"/>
        <family val="2"/>
      </rPr>
      <t>clamp_max_QH</t>
    </r>
    <r>
      <rPr>
        <sz val="11"/>
        <color theme="1"/>
        <rFont val="Arial"/>
        <family val="2"/>
      </rPr>
      <t xml:space="preserve"> =</t>
    </r>
    <phoneticPr fontId="25" type="noConversion"/>
  </si>
  <si>
    <r>
      <t>Maximum Clamp Voltage, V</t>
    </r>
    <r>
      <rPr>
        <vertAlign val="subscript"/>
        <sz val="11"/>
        <color theme="1"/>
        <rFont val="Arial"/>
        <family val="2"/>
      </rPr>
      <t>clamp_max</t>
    </r>
    <r>
      <rPr>
        <sz val="11"/>
        <color theme="1"/>
        <rFont val="Arial"/>
        <family val="2"/>
      </rPr>
      <t xml:space="preserve"> =</t>
    </r>
    <phoneticPr fontId="25" type="noConversion"/>
  </si>
  <si>
    <r>
      <rPr>
        <sz val="11"/>
        <color theme="1"/>
        <rFont val="FangSong"/>
        <family val="3"/>
        <charset val="134"/>
      </rPr>
      <t>≈</t>
    </r>
    <r>
      <rPr>
        <sz val="11"/>
        <color theme="1"/>
        <rFont val="Arial"/>
        <family val="2"/>
      </rPr>
      <t>R</t>
    </r>
    <r>
      <rPr>
        <vertAlign val="subscript"/>
        <sz val="11"/>
        <color theme="1"/>
        <rFont val="Arial"/>
        <family val="2"/>
      </rPr>
      <t>OPP</t>
    </r>
    <r>
      <rPr>
        <sz val="11"/>
        <color theme="1"/>
        <rFont val="Arial"/>
        <family val="2"/>
      </rPr>
      <t>*C</t>
    </r>
    <r>
      <rPr>
        <vertAlign val="subscript"/>
        <sz val="11"/>
        <color theme="1"/>
        <rFont val="Arial"/>
        <family val="2"/>
      </rPr>
      <t>CS</t>
    </r>
    <phoneticPr fontId="25" type="noConversion"/>
  </si>
  <si>
    <t>Primary to Secondary Turns Ratio Used in Calculations</t>
    <phoneticPr fontId="25" type="noConversion"/>
  </si>
  <si>
    <r>
      <t>Switching Node Capacitance, C</t>
    </r>
    <r>
      <rPr>
        <b/>
        <i/>
        <vertAlign val="subscript"/>
        <sz val="12"/>
        <color theme="0"/>
        <rFont val="Arial"/>
        <family val="2"/>
      </rPr>
      <t>SW</t>
    </r>
    <phoneticPr fontId="25" type="noConversion"/>
  </si>
  <si>
    <r>
      <t>Duty Cycle During OPP at Run Input, D</t>
    </r>
    <r>
      <rPr>
        <vertAlign val="subscript"/>
        <sz val="11"/>
        <color theme="1"/>
        <rFont val="Arial"/>
        <family val="2"/>
      </rPr>
      <t>OPP_run</t>
    </r>
    <r>
      <rPr>
        <sz val="11"/>
        <color theme="1"/>
        <rFont val="Arial"/>
        <family val="2"/>
      </rPr>
      <t xml:space="preserve"> =</t>
    </r>
    <phoneticPr fontId="25" type="noConversion"/>
  </si>
  <si>
    <r>
      <t>Duty Cycle During OPP at Min Input, D</t>
    </r>
    <r>
      <rPr>
        <vertAlign val="subscript"/>
        <sz val="11"/>
        <color theme="1"/>
        <rFont val="Arial"/>
        <family val="2"/>
      </rPr>
      <t>OPP_min</t>
    </r>
    <r>
      <rPr>
        <sz val="11"/>
        <color theme="1"/>
        <rFont val="Arial"/>
        <family val="2"/>
      </rPr>
      <t xml:space="preserve"> =</t>
    </r>
    <phoneticPr fontId="25" type="noConversion"/>
  </si>
  <si>
    <r>
      <t>Duty Cycle During OPP at Max Input, D</t>
    </r>
    <r>
      <rPr>
        <vertAlign val="subscript"/>
        <sz val="11"/>
        <color theme="1"/>
        <rFont val="Arial"/>
        <family val="2"/>
      </rPr>
      <t>OPP_max</t>
    </r>
    <r>
      <rPr>
        <sz val="11"/>
        <color theme="1"/>
        <rFont val="Arial"/>
        <family val="2"/>
      </rPr>
      <t xml:space="preserve"> =</t>
    </r>
    <phoneticPr fontId="25" type="noConversion"/>
  </si>
  <si>
    <r>
      <t>Duty Cycle During BUR, D</t>
    </r>
    <r>
      <rPr>
        <vertAlign val="subscript"/>
        <sz val="11"/>
        <color theme="1"/>
        <rFont val="Arial"/>
        <family val="2"/>
      </rPr>
      <t>OPP_BUR</t>
    </r>
    <r>
      <rPr>
        <sz val="11"/>
        <color theme="1"/>
        <rFont val="Arial"/>
        <family val="2"/>
      </rPr>
      <t xml:space="preserve"> =</t>
    </r>
    <phoneticPr fontId="25" type="noConversion"/>
  </si>
  <si>
    <r>
      <t>Duty Cycle During BUR and Min Input, D</t>
    </r>
    <r>
      <rPr>
        <vertAlign val="subscript"/>
        <sz val="11"/>
        <color theme="1"/>
        <rFont val="Arial"/>
        <family val="2"/>
      </rPr>
      <t>OPP_BUR_min</t>
    </r>
    <r>
      <rPr>
        <sz val="11"/>
        <color theme="1"/>
        <rFont val="Arial"/>
        <family val="2"/>
      </rPr>
      <t xml:space="preserve"> =</t>
    </r>
    <phoneticPr fontId="25" type="noConversion"/>
  </si>
  <si>
    <r>
      <t>Duty Cycle During OPP at Start, D</t>
    </r>
    <r>
      <rPr>
        <vertAlign val="subscript"/>
        <sz val="11"/>
        <color theme="1"/>
        <rFont val="Arial"/>
        <family val="2"/>
      </rPr>
      <t>OPP_start</t>
    </r>
    <r>
      <rPr>
        <sz val="11"/>
        <color theme="1"/>
        <rFont val="Arial"/>
        <family val="2"/>
      </rPr>
      <t xml:space="preserve"> =</t>
    </r>
    <phoneticPr fontId="25" type="noConversion"/>
  </si>
  <si>
    <r>
      <t>Duty Cycle During Min Input, D</t>
    </r>
    <r>
      <rPr>
        <vertAlign val="subscript"/>
        <sz val="11"/>
        <color theme="1"/>
        <rFont val="Arial"/>
        <family val="2"/>
      </rPr>
      <t>OPP_min</t>
    </r>
    <r>
      <rPr>
        <sz val="11"/>
        <color theme="1"/>
        <rFont val="Arial"/>
        <family val="2"/>
      </rPr>
      <t xml:space="preserve"> =</t>
    </r>
    <phoneticPr fontId="25" type="noConversion"/>
  </si>
  <si>
    <t>Reference Designator</t>
  </si>
  <si>
    <t>Description/Comments</t>
  </si>
  <si>
    <t>Power Dissipation:</t>
  </si>
  <si>
    <r>
      <t>R</t>
    </r>
    <r>
      <rPr>
        <b/>
        <vertAlign val="subscript"/>
        <sz val="12"/>
        <color rgb="FFFF0000"/>
        <rFont val="Arial"/>
        <family val="2"/>
      </rPr>
      <t>CS</t>
    </r>
  </si>
  <si>
    <t>Value:</t>
  </si>
  <si>
    <t>±1%</t>
  </si>
  <si>
    <t>Type:</t>
  </si>
  <si>
    <t>kΩ</t>
  </si>
  <si>
    <r>
      <t>P</t>
    </r>
    <r>
      <rPr>
        <vertAlign val="subscript"/>
        <sz val="11"/>
        <color theme="1"/>
        <rFont val="Arial"/>
        <family val="2"/>
      </rPr>
      <t>Rcs</t>
    </r>
    <r>
      <rPr>
        <sz val="11"/>
        <color theme="1"/>
        <rFont val="Arial"/>
        <family val="2"/>
      </rPr>
      <t xml:space="preserve"> =</t>
    </r>
    <phoneticPr fontId="25" type="noConversion"/>
  </si>
  <si>
    <r>
      <t>i</t>
    </r>
    <r>
      <rPr>
        <vertAlign val="subscript"/>
        <sz val="11"/>
        <color theme="1"/>
        <rFont val="Arial"/>
        <family val="2"/>
      </rPr>
      <t>QL_RMS</t>
    </r>
    <r>
      <rPr>
        <sz val="11"/>
        <color theme="1"/>
        <rFont val="Arial"/>
        <family val="2"/>
      </rPr>
      <t xml:space="preserve"> =</t>
    </r>
    <phoneticPr fontId="25" type="noConversion"/>
  </si>
  <si>
    <r>
      <t>R</t>
    </r>
    <r>
      <rPr>
        <b/>
        <vertAlign val="subscript"/>
        <sz val="12"/>
        <color rgb="FFFF0000"/>
        <rFont val="Arial"/>
        <family val="2"/>
      </rPr>
      <t>FB</t>
    </r>
    <phoneticPr fontId="25" type="noConversion"/>
  </si>
  <si>
    <r>
      <t>R</t>
    </r>
    <r>
      <rPr>
        <b/>
        <vertAlign val="subscript"/>
        <sz val="12"/>
        <color rgb="FFFF0000"/>
        <rFont val="Arial"/>
        <family val="2"/>
      </rPr>
      <t>bleed</t>
    </r>
    <phoneticPr fontId="25" type="noConversion"/>
  </si>
  <si>
    <r>
      <t>M</t>
    </r>
    <r>
      <rPr>
        <sz val="12"/>
        <color theme="1"/>
        <rFont val="Calibri"/>
        <family val="2"/>
      </rPr>
      <t>Ω</t>
    </r>
    <phoneticPr fontId="25" type="noConversion"/>
  </si>
  <si>
    <r>
      <t>R</t>
    </r>
    <r>
      <rPr>
        <b/>
        <vertAlign val="subscript"/>
        <sz val="12"/>
        <color rgb="FFFF0000"/>
        <rFont val="Arial"/>
        <family val="2"/>
      </rPr>
      <t>VS1</t>
    </r>
    <phoneticPr fontId="25" type="noConversion"/>
  </si>
  <si>
    <r>
      <t>R</t>
    </r>
    <r>
      <rPr>
        <b/>
        <vertAlign val="subscript"/>
        <sz val="12"/>
        <color rgb="FFFF0000"/>
        <rFont val="Arial"/>
        <family val="2"/>
      </rPr>
      <t>VS2</t>
    </r>
    <phoneticPr fontId="25" type="noConversion"/>
  </si>
  <si>
    <r>
      <t>R</t>
    </r>
    <r>
      <rPr>
        <b/>
        <vertAlign val="subscript"/>
        <sz val="12"/>
        <color rgb="FFFF0000"/>
        <rFont val="Arial"/>
        <family val="2"/>
      </rPr>
      <t>OPP</t>
    </r>
    <phoneticPr fontId="25" type="noConversion"/>
  </si>
  <si>
    <r>
      <t>R</t>
    </r>
    <r>
      <rPr>
        <b/>
        <vertAlign val="subscript"/>
        <sz val="12"/>
        <color rgb="FFFF0000"/>
        <rFont val="Arial"/>
        <family val="2"/>
      </rPr>
      <t>DM</t>
    </r>
    <phoneticPr fontId="25" type="noConversion"/>
  </si>
  <si>
    <r>
      <t>R</t>
    </r>
    <r>
      <rPr>
        <b/>
        <vertAlign val="subscript"/>
        <sz val="12"/>
        <color rgb="FFFF0000"/>
        <rFont val="Arial"/>
        <family val="2"/>
      </rPr>
      <t>TZ</t>
    </r>
    <phoneticPr fontId="25" type="noConversion"/>
  </si>
  <si>
    <r>
      <t>R</t>
    </r>
    <r>
      <rPr>
        <b/>
        <vertAlign val="subscript"/>
        <sz val="12"/>
        <color rgb="FFFF0000"/>
        <rFont val="Arial"/>
        <family val="2"/>
      </rPr>
      <t>BUR1</t>
    </r>
    <phoneticPr fontId="25" type="noConversion"/>
  </si>
  <si>
    <r>
      <t>R</t>
    </r>
    <r>
      <rPr>
        <b/>
        <vertAlign val="subscript"/>
        <sz val="12"/>
        <color rgb="FFFF0000"/>
        <rFont val="Arial"/>
        <family val="2"/>
      </rPr>
      <t>BUR2</t>
    </r>
    <phoneticPr fontId="25" type="noConversion"/>
  </si>
  <si>
    <r>
      <t>R</t>
    </r>
    <r>
      <rPr>
        <b/>
        <vertAlign val="subscript"/>
        <sz val="12"/>
        <color rgb="FFFF0000"/>
        <rFont val="Arial"/>
        <family val="2"/>
      </rPr>
      <t>SWS</t>
    </r>
    <phoneticPr fontId="25" type="noConversion"/>
  </si>
  <si>
    <r>
      <t>R</t>
    </r>
    <r>
      <rPr>
        <b/>
        <vertAlign val="subscript"/>
        <sz val="12"/>
        <color rgb="FFFF0000"/>
        <rFont val="Arial"/>
        <family val="2"/>
      </rPr>
      <t>HVG</t>
    </r>
    <phoneticPr fontId="25" type="noConversion"/>
  </si>
  <si>
    <r>
      <t>R</t>
    </r>
    <r>
      <rPr>
        <b/>
        <vertAlign val="subscript"/>
        <sz val="12"/>
        <color rgb="FFFF0000"/>
        <rFont val="Arial"/>
        <family val="2"/>
      </rPr>
      <t>DD2</t>
    </r>
    <phoneticPr fontId="25" type="noConversion"/>
  </si>
  <si>
    <r>
      <t>R</t>
    </r>
    <r>
      <rPr>
        <b/>
        <vertAlign val="subscript"/>
        <sz val="12"/>
        <color rgb="FFFF0000"/>
        <rFont val="Arial"/>
        <family val="2"/>
      </rPr>
      <t>DD1</t>
    </r>
    <phoneticPr fontId="25" type="noConversion"/>
  </si>
  <si>
    <r>
      <t>R</t>
    </r>
    <r>
      <rPr>
        <b/>
        <vertAlign val="subscript"/>
        <sz val="12"/>
        <color rgb="FFFF0000"/>
        <rFont val="Arial"/>
        <family val="2"/>
      </rPr>
      <t>Bias1</t>
    </r>
    <phoneticPr fontId="25" type="noConversion"/>
  </si>
  <si>
    <r>
      <t>R</t>
    </r>
    <r>
      <rPr>
        <b/>
        <vertAlign val="subscript"/>
        <sz val="12"/>
        <color rgb="FFFF0000"/>
        <rFont val="Arial"/>
        <family val="2"/>
      </rPr>
      <t>Bias2</t>
    </r>
    <phoneticPr fontId="25" type="noConversion"/>
  </si>
  <si>
    <r>
      <t>R</t>
    </r>
    <r>
      <rPr>
        <b/>
        <vertAlign val="subscript"/>
        <sz val="12"/>
        <color rgb="FFFF0000"/>
        <rFont val="Arial"/>
        <family val="2"/>
      </rPr>
      <t>Vo1</t>
    </r>
    <phoneticPr fontId="25" type="noConversion"/>
  </si>
  <si>
    <r>
      <t>R</t>
    </r>
    <r>
      <rPr>
        <b/>
        <vertAlign val="subscript"/>
        <sz val="12"/>
        <color rgb="FFFF0000"/>
        <rFont val="Arial"/>
        <family val="2"/>
      </rPr>
      <t>Vo2</t>
    </r>
    <phoneticPr fontId="25" type="noConversion"/>
  </si>
  <si>
    <r>
      <t>R</t>
    </r>
    <r>
      <rPr>
        <b/>
        <vertAlign val="subscript"/>
        <sz val="12"/>
        <color rgb="FFFF0000"/>
        <rFont val="Arial"/>
        <family val="2"/>
      </rPr>
      <t>diff</t>
    </r>
    <phoneticPr fontId="25" type="noConversion"/>
  </si>
  <si>
    <t>Aluminum Electrolytic</t>
  </si>
  <si>
    <t>Minimum Voltage Rating:</t>
  </si>
  <si>
    <r>
      <t>C</t>
    </r>
    <r>
      <rPr>
        <b/>
        <vertAlign val="subscript"/>
        <sz val="12"/>
        <color rgb="FFFF0000"/>
        <rFont val="Arial"/>
        <family val="2"/>
      </rPr>
      <t>BULK</t>
    </r>
    <phoneticPr fontId="25" type="noConversion"/>
  </si>
  <si>
    <r>
      <t>C</t>
    </r>
    <r>
      <rPr>
        <b/>
        <vertAlign val="subscript"/>
        <sz val="12"/>
        <color rgb="FFFF0000"/>
        <rFont val="Arial"/>
        <family val="2"/>
      </rPr>
      <t>OUT</t>
    </r>
    <phoneticPr fontId="25" type="noConversion"/>
  </si>
  <si>
    <r>
      <t>C</t>
    </r>
    <r>
      <rPr>
        <b/>
        <vertAlign val="subscript"/>
        <sz val="12"/>
        <color rgb="FFFF0000"/>
        <rFont val="Arial"/>
        <family val="2"/>
      </rPr>
      <t>clamp</t>
    </r>
    <phoneticPr fontId="25" type="noConversion"/>
  </si>
  <si>
    <t>Ceramic</t>
    <phoneticPr fontId="25" type="noConversion"/>
  </si>
  <si>
    <r>
      <t>C</t>
    </r>
    <r>
      <rPr>
        <b/>
        <vertAlign val="subscript"/>
        <sz val="12"/>
        <color rgb="FFFF0000"/>
        <rFont val="Arial"/>
        <family val="2"/>
      </rPr>
      <t>CS</t>
    </r>
    <phoneticPr fontId="25" type="noConversion"/>
  </si>
  <si>
    <t>pF</t>
    <phoneticPr fontId="25" type="noConversion"/>
  </si>
  <si>
    <r>
      <t>C</t>
    </r>
    <r>
      <rPr>
        <b/>
        <vertAlign val="subscript"/>
        <sz val="12"/>
        <color rgb="FFFF0000"/>
        <rFont val="Arial"/>
        <family val="2"/>
      </rPr>
      <t>SWS</t>
    </r>
    <phoneticPr fontId="25" type="noConversion"/>
  </si>
  <si>
    <r>
      <t>C</t>
    </r>
    <r>
      <rPr>
        <b/>
        <vertAlign val="subscript"/>
        <sz val="12"/>
        <color rgb="FFFF0000"/>
        <rFont val="Arial"/>
        <family val="2"/>
      </rPr>
      <t>HVG</t>
    </r>
    <phoneticPr fontId="25" type="noConversion"/>
  </si>
  <si>
    <r>
      <t>C</t>
    </r>
    <r>
      <rPr>
        <b/>
        <vertAlign val="subscript"/>
        <sz val="12"/>
        <color rgb="FFFF0000"/>
        <rFont val="Arial"/>
        <family val="2"/>
      </rPr>
      <t>REF</t>
    </r>
    <phoneticPr fontId="25" type="noConversion"/>
  </si>
  <si>
    <r>
      <t>C</t>
    </r>
    <r>
      <rPr>
        <b/>
        <vertAlign val="subscript"/>
        <sz val="12"/>
        <color rgb="FFFF0000"/>
        <rFont val="Arial"/>
        <family val="2"/>
      </rPr>
      <t>boot</t>
    </r>
    <phoneticPr fontId="25" type="noConversion"/>
  </si>
  <si>
    <r>
      <t>C</t>
    </r>
    <r>
      <rPr>
        <b/>
        <vertAlign val="subscript"/>
        <sz val="12"/>
        <color rgb="FFFF0000"/>
        <rFont val="Arial"/>
        <family val="2"/>
      </rPr>
      <t>DD2</t>
    </r>
    <phoneticPr fontId="25" type="noConversion"/>
  </si>
  <si>
    <r>
      <t>C</t>
    </r>
    <r>
      <rPr>
        <b/>
        <vertAlign val="subscript"/>
        <sz val="12"/>
        <color rgb="FFFF0000"/>
        <rFont val="Arial"/>
        <family val="2"/>
      </rPr>
      <t>DD1</t>
    </r>
    <phoneticPr fontId="25" type="noConversion"/>
  </si>
  <si>
    <r>
      <t>C</t>
    </r>
    <r>
      <rPr>
        <b/>
        <vertAlign val="subscript"/>
        <sz val="12"/>
        <color rgb="FFFF0000"/>
        <rFont val="Arial"/>
        <family val="2"/>
      </rPr>
      <t>diff</t>
    </r>
    <phoneticPr fontId="25" type="noConversion"/>
  </si>
  <si>
    <r>
      <t>C</t>
    </r>
    <r>
      <rPr>
        <b/>
        <vertAlign val="subscript"/>
        <sz val="12"/>
        <color rgb="FFFF0000"/>
        <rFont val="Arial"/>
        <family val="2"/>
      </rPr>
      <t>int</t>
    </r>
    <phoneticPr fontId="25" type="noConversion"/>
  </si>
  <si>
    <t>TRANSFORMER</t>
  </si>
  <si>
    <t>Primary Inductance:</t>
  </si>
  <si>
    <t>Primary to Secondary Turns Ratio:</t>
  </si>
  <si>
    <t>Primary Turns:</t>
    <phoneticPr fontId="25" type="noConversion"/>
  </si>
  <si>
    <t>Secondary Turns:</t>
    <phoneticPr fontId="25" type="noConversion"/>
  </si>
  <si>
    <t>Auxiliary Turns:</t>
    <phoneticPr fontId="25" type="noConversion"/>
  </si>
  <si>
    <t>Leakage Inductance</t>
    <phoneticPr fontId="25" type="noConversion"/>
  </si>
  <si>
    <r>
      <t>Output Capacitance Threshold of Big-Small-C, V</t>
    </r>
    <r>
      <rPr>
        <vertAlign val="subscript"/>
        <sz val="11"/>
        <color theme="1"/>
        <rFont val="Arial"/>
        <family val="2"/>
      </rPr>
      <t>xl</t>
    </r>
    <r>
      <rPr>
        <sz val="11"/>
        <color theme="1"/>
        <rFont val="Arial"/>
        <family val="2"/>
      </rPr>
      <t xml:space="preserve"> =</t>
    </r>
    <phoneticPr fontId="25" type="noConversion"/>
  </si>
  <si>
    <t>Output Capacitance Threshold of Big-Small-C, Vx_SR =</t>
    <phoneticPr fontId="25" type="noConversion"/>
  </si>
  <si>
    <t>TI Literature Number:</t>
    <phoneticPr fontId="25" type="noConversion"/>
  </si>
  <si>
    <r>
      <t>R</t>
    </r>
    <r>
      <rPr>
        <vertAlign val="subscript"/>
        <sz val="11"/>
        <color theme="1"/>
        <rFont val="Arial"/>
        <family val="2"/>
      </rPr>
      <t>BUR1_rec</t>
    </r>
    <r>
      <rPr>
        <sz val="11"/>
        <color theme="1"/>
        <rFont val="Arial"/>
        <family val="2"/>
      </rPr>
      <t xml:space="preserve"> =</t>
    </r>
    <phoneticPr fontId="25" type="noConversion"/>
  </si>
  <si>
    <t>kΩ</t>
    <phoneticPr fontId="25" type="noConversion"/>
  </si>
  <si>
    <r>
      <t>R</t>
    </r>
    <r>
      <rPr>
        <vertAlign val="subscript"/>
        <sz val="11"/>
        <color theme="1"/>
        <rFont val="Arial"/>
        <family val="2"/>
      </rPr>
      <t>BUR1_act</t>
    </r>
    <r>
      <rPr>
        <sz val="11"/>
        <color theme="1"/>
        <rFont val="Arial"/>
        <family val="2"/>
      </rPr>
      <t xml:space="preserve"> =</t>
    </r>
    <phoneticPr fontId="25" type="noConversion"/>
  </si>
  <si>
    <r>
      <t>R</t>
    </r>
    <r>
      <rPr>
        <vertAlign val="subscript"/>
        <sz val="11"/>
        <color theme="1"/>
        <rFont val="Arial"/>
        <family val="2"/>
      </rPr>
      <t xml:space="preserve">BUR1 </t>
    </r>
    <r>
      <rPr>
        <sz val="11"/>
        <color theme="1"/>
        <rFont val="Arial"/>
        <family val="2"/>
      </rPr>
      <t>=</t>
    </r>
    <phoneticPr fontId="25" type="noConversion"/>
  </si>
  <si>
    <r>
      <t>C</t>
    </r>
    <r>
      <rPr>
        <vertAlign val="subscript"/>
        <sz val="11"/>
        <color theme="1"/>
        <rFont val="Arial"/>
        <family val="2"/>
      </rPr>
      <t xml:space="preserve">BUR </t>
    </r>
    <r>
      <rPr>
        <sz val="11"/>
        <color theme="1"/>
        <rFont val="Arial"/>
        <family val="2"/>
      </rPr>
      <t>=</t>
    </r>
    <phoneticPr fontId="25" type="noConversion"/>
  </si>
  <si>
    <r>
      <t>C</t>
    </r>
    <r>
      <rPr>
        <vertAlign val="subscript"/>
        <sz val="11"/>
        <color theme="1"/>
        <rFont val="Arial"/>
        <family val="2"/>
      </rPr>
      <t>BUR_act</t>
    </r>
    <r>
      <rPr>
        <sz val="11"/>
        <color theme="1"/>
        <rFont val="Arial"/>
        <family val="2"/>
      </rPr>
      <t xml:space="preserve"> =</t>
    </r>
    <phoneticPr fontId="25" type="noConversion"/>
  </si>
  <si>
    <t>pF</t>
    <phoneticPr fontId="25" type="noConversion"/>
  </si>
  <si>
    <t>pF</t>
    <phoneticPr fontId="25" type="noConversion"/>
  </si>
  <si>
    <r>
      <t>C</t>
    </r>
    <r>
      <rPr>
        <b/>
        <vertAlign val="subscript"/>
        <sz val="12"/>
        <color rgb="FFFF0000"/>
        <rFont val="Arial"/>
        <family val="2"/>
      </rPr>
      <t>BUR</t>
    </r>
    <phoneticPr fontId="25" type="noConversion"/>
  </si>
  <si>
    <t>For high side driver</t>
    <phoneticPr fontId="25" type="noConversion"/>
  </si>
  <si>
    <t>Disclaimer</t>
    <phoneticPr fontId="25" type="noConversion"/>
  </si>
  <si>
    <t>2.Increase Co1 to extend resonant current, improve efficiency</t>
    <phoneticPr fontId="25" type="noConversion"/>
  </si>
  <si>
    <t>Secondary resonance in another tab</t>
    <phoneticPr fontId="25" type="noConversion"/>
  </si>
  <si>
    <r>
      <t>C</t>
    </r>
    <r>
      <rPr>
        <vertAlign val="subscript"/>
        <sz val="11"/>
        <color theme="1"/>
        <rFont val="Arial"/>
        <family val="2"/>
      </rPr>
      <t>FB</t>
    </r>
    <r>
      <rPr>
        <sz val="11"/>
        <color theme="1"/>
        <rFont val="Arial"/>
        <family val="2"/>
      </rPr>
      <t xml:space="preserve"> =</t>
    </r>
    <phoneticPr fontId="25" type="noConversion"/>
  </si>
  <si>
    <t>pF</t>
    <phoneticPr fontId="25" type="noConversion"/>
  </si>
  <si>
    <t>Quicesent current of driver</t>
    <phoneticPr fontId="25" type="noConversion"/>
  </si>
  <si>
    <t>Hz</t>
    <phoneticPr fontId="25" type="noConversion"/>
  </si>
  <si>
    <t>A</t>
    <phoneticPr fontId="25" type="noConversion"/>
  </si>
  <si>
    <t>pF</t>
    <phoneticPr fontId="25" type="noConversion"/>
  </si>
  <si>
    <r>
      <t>R</t>
    </r>
    <r>
      <rPr>
        <vertAlign val="subscript"/>
        <sz val="11"/>
        <color theme="1"/>
        <rFont val="Arial"/>
        <family val="2"/>
      </rPr>
      <t>HVG_min</t>
    </r>
    <r>
      <rPr>
        <sz val="11"/>
        <color theme="1"/>
        <rFont val="Arial"/>
        <family val="2"/>
      </rPr>
      <t xml:space="preserve"> =</t>
    </r>
    <phoneticPr fontId="25" type="noConversion"/>
  </si>
  <si>
    <t>kΩ</t>
    <phoneticPr fontId="25" type="noConversion"/>
  </si>
  <si>
    <r>
      <t>R</t>
    </r>
    <r>
      <rPr>
        <vertAlign val="subscript"/>
        <sz val="11"/>
        <color theme="1"/>
        <rFont val="Arial"/>
        <family val="2"/>
      </rPr>
      <t>DD1_min</t>
    </r>
    <r>
      <rPr>
        <sz val="11"/>
        <color theme="1"/>
        <rFont val="Arial"/>
        <family val="2"/>
      </rPr>
      <t xml:space="preserve"> =</t>
    </r>
    <phoneticPr fontId="25" type="noConversion"/>
  </si>
  <si>
    <r>
      <t>C</t>
    </r>
    <r>
      <rPr>
        <vertAlign val="subscript"/>
        <sz val="11"/>
        <color theme="1"/>
        <rFont val="Arial"/>
        <family val="2"/>
      </rPr>
      <t xml:space="preserve">DD2_min </t>
    </r>
    <r>
      <rPr>
        <sz val="11"/>
        <color theme="1"/>
        <rFont val="Arial"/>
        <family val="2"/>
      </rPr>
      <t>=</t>
    </r>
    <phoneticPr fontId="25" type="noConversion"/>
  </si>
  <si>
    <r>
      <t>R</t>
    </r>
    <r>
      <rPr>
        <vertAlign val="subscript"/>
        <sz val="11"/>
        <color theme="1"/>
        <rFont val="Arial"/>
        <family val="2"/>
      </rPr>
      <t xml:space="preserve">DD2_min </t>
    </r>
    <r>
      <rPr>
        <sz val="11"/>
        <color theme="1"/>
        <rFont val="Arial"/>
        <family val="2"/>
      </rPr>
      <t>=</t>
    </r>
    <phoneticPr fontId="25" type="noConversion"/>
  </si>
  <si>
    <r>
      <t>C</t>
    </r>
    <r>
      <rPr>
        <vertAlign val="subscript"/>
        <sz val="11"/>
        <color theme="1"/>
        <rFont val="Arial"/>
        <family val="2"/>
      </rPr>
      <t>SWS_min</t>
    </r>
    <r>
      <rPr>
        <sz val="11"/>
        <color theme="1"/>
        <rFont val="Arial"/>
        <family val="2"/>
      </rPr>
      <t xml:space="preserve"> =</t>
    </r>
    <phoneticPr fontId="25" type="noConversion"/>
  </si>
  <si>
    <r>
      <t>R</t>
    </r>
    <r>
      <rPr>
        <vertAlign val="subscript"/>
        <sz val="11"/>
        <color theme="1"/>
        <rFont val="Arial"/>
        <family val="2"/>
      </rPr>
      <t>SWS_min</t>
    </r>
    <r>
      <rPr>
        <sz val="11"/>
        <color theme="1"/>
        <rFont val="Arial"/>
        <family val="2"/>
      </rPr>
      <t xml:space="preserve"> =</t>
    </r>
    <phoneticPr fontId="25" type="noConversion"/>
  </si>
  <si>
    <r>
      <t>C</t>
    </r>
    <r>
      <rPr>
        <vertAlign val="subscript"/>
        <sz val="11"/>
        <color theme="1"/>
        <rFont val="Arial"/>
        <family val="2"/>
      </rPr>
      <t>BUR_max</t>
    </r>
    <r>
      <rPr>
        <sz val="11"/>
        <color theme="1"/>
        <rFont val="Arial"/>
        <family val="2"/>
      </rPr>
      <t xml:space="preserve"> =</t>
    </r>
    <phoneticPr fontId="25" type="noConversion"/>
  </si>
  <si>
    <r>
      <t>C</t>
    </r>
    <r>
      <rPr>
        <vertAlign val="subscript"/>
        <sz val="11"/>
        <color theme="1"/>
        <rFont val="Arial"/>
        <family val="2"/>
      </rPr>
      <t xml:space="preserve">CS_max </t>
    </r>
    <r>
      <rPr>
        <sz val="11"/>
        <color theme="1"/>
        <rFont val="Arial"/>
        <family val="2"/>
      </rPr>
      <t>=</t>
    </r>
    <phoneticPr fontId="25" type="noConversion"/>
  </si>
  <si>
    <r>
      <t>C</t>
    </r>
    <r>
      <rPr>
        <vertAlign val="subscript"/>
        <sz val="11"/>
        <color theme="1"/>
        <rFont val="Arial"/>
        <family val="2"/>
      </rPr>
      <t>HVG_min</t>
    </r>
    <r>
      <rPr>
        <sz val="11"/>
        <color theme="1"/>
        <rFont val="Arial"/>
        <family val="2"/>
      </rPr>
      <t xml:space="preserve"> =</t>
    </r>
    <phoneticPr fontId="25" type="noConversion"/>
  </si>
  <si>
    <r>
      <t>C</t>
    </r>
    <r>
      <rPr>
        <vertAlign val="subscript"/>
        <sz val="11"/>
        <color theme="1"/>
        <rFont val="Arial"/>
        <family val="2"/>
      </rPr>
      <t>REF_min</t>
    </r>
    <r>
      <rPr>
        <sz val="11"/>
        <color theme="1"/>
        <rFont val="Arial"/>
        <family val="2"/>
      </rPr>
      <t xml:space="preserve"> =</t>
    </r>
    <phoneticPr fontId="25" type="noConversion"/>
  </si>
  <si>
    <t>µF</t>
    <phoneticPr fontId="25" type="noConversion"/>
  </si>
  <si>
    <t>20%tolerance</t>
    <phoneticPr fontId="25" type="noConversion"/>
  </si>
  <si>
    <r>
      <t>R</t>
    </r>
    <r>
      <rPr>
        <vertAlign val="subscript"/>
        <sz val="11"/>
        <color theme="1"/>
        <rFont val="Arial"/>
        <family val="2"/>
      </rPr>
      <t>int</t>
    </r>
    <r>
      <rPr>
        <sz val="11"/>
        <color theme="1"/>
        <rFont val="Arial"/>
        <family val="2"/>
      </rPr>
      <t xml:space="preserve"> =</t>
    </r>
    <phoneticPr fontId="25" type="noConversion"/>
  </si>
  <si>
    <r>
      <t>R</t>
    </r>
    <r>
      <rPr>
        <vertAlign val="subscript"/>
        <sz val="11"/>
        <color theme="1"/>
        <rFont val="Arial"/>
        <family val="2"/>
      </rPr>
      <t>_OPP</t>
    </r>
    <r>
      <rPr>
        <sz val="11"/>
        <color theme="1"/>
        <rFont val="Arial"/>
        <family val="2"/>
      </rPr>
      <t xml:space="preserve"> =</t>
    </r>
    <phoneticPr fontId="25" type="noConversion"/>
  </si>
  <si>
    <t>Ω</t>
    <phoneticPr fontId="25" type="noConversion"/>
  </si>
  <si>
    <t>20% tolerance</t>
    <phoneticPr fontId="25" type="noConversion"/>
  </si>
  <si>
    <r>
      <t>Rising Time, T</t>
    </r>
    <r>
      <rPr>
        <vertAlign val="subscript"/>
        <sz val="11"/>
        <color theme="1"/>
        <rFont val="Arial"/>
        <family val="2"/>
      </rPr>
      <t>rise_max</t>
    </r>
    <r>
      <rPr>
        <sz val="11"/>
        <color theme="1"/>
        <rFont val="Arial"/>
        <family val="2"/>
      </rPr>
      <t xml:space="preserve"> =</t>
    </r>
    <phoneticPr fontId="25" type="noConversion"/>
  </si>
  <si>
    <r>
      <t>T</t>
    </r>
    <r>
      <rPr>
        <vertAlign val="subscript"/>
        <sz val="11"/>
        <color theme="1"/>
        <rFont val="Arial"/>
        <family val="2"/>
      </rPr>
      <t>rise_max</t>
    </r>
    <r>
      <rPr>
        <sz val="11"/>
        <color theme="1"/>
        <rFont val="Arial"/>
        <family val="2"/>
      </rPr>
      <t xml:space="preserve"> =</t>
    </r>
    <phoneticPr fontId="25" type="noConversion"/>
  </si>
  <si>
    <t>ns</t>
    <phoneticPr fontId="25" type="noConversion"/>
  </si>
  <si>
    <t>0 for GaN, 1 for silicon
In schematic, connect ground for GaN, connect REF for silicon</t>
    <phoneticPr fontId="25" type="noConversion"/>
  </si>
  <si>
    <t>No load frequency</t>
    <phoneticPr fontId="25" type="noConversion"/>
  </si>
  <si>
    <r>
      <t>C</t>
    </r>
    <r>
      <rPr>
        <b/>
        <vertAlign val="subscript"/>
        <sz val="12"/>
        <color rgb="FFFF0000"/>
        <rFont val="Arial"/>
        <family val="2"/>
      </rPr>
      <t>FB</t>
    </r>
    <phoneticPr fontId="25" type="noConversion"/>
  </si>
  <si>
    <t>%</t>
    <phoneticPr fontId="25" type="noConversion"/>
  </si>
  <si>
    <t xml:space="preserve">Recommended Co1 </t>
    <phoneticPr fontId="25" type="noConversion"/>
  </si>
  <si>
    <r>
      <t>Assume C</t>
    </r>
    <r>
      <rPr>
        <b/>
        <vertAlign val="subscript"/>
        <sz val="11"/>
        <color theme="1"/>
        <rFont val="Arial"/>
        <family val="2"/>
      </rPr>
      <t>CLAMP</t>
    </r>
    <r>
      <rPr>
        <b/>
        <sz val="11"/>
        <color theme="1"/>
        <rFont val="Arial"/>
        <family val="2"/>
      </rPr>
      <t xml:space="preserve"> &gt;&gt; C</t>
    </r>
    <r>
      <rPr>
        <b/>
        <vertAlign val="subscript"/>
        <sz val="11"/>
        <color theme="1"/>
        <rFont val="Arial"/>
        <family val="2"/>
      </rPr>
      <t xml:space="preserve">o1 </t>
    </r>
    <r>
      <rPr>
        <b/>
        <sz val="11"/>
        <color theme="1"/>
        <rFont val="Arial"/>
        <family val="2"/>
      </rPr>
      <t>/ N</t>
    </r>
    <r>
      <rPr>
        <b/>
        <vertAlign val="superscript"/>
        <sz val="11"/>
        <color theme="1"/>
        <rFont val="Arial"/>
        <family val="2"/>
      </rPr>
      <t>2</t>
    </r>
    <r>
      <rPr>
        <b/>
        <sz val="11"/>
        <color theme="1"/>
        <rFont val="Arial"/>
        <family val="2"/>
      </rPr>
      <t>, clamp voltage is constant</t>
    </r>
    <phoneticPr fontId="25" type="noConversion"/>
  </si>
  <si>
    <t>µH</t>
    <phoneticPr fontId="25" type="noConversion"/>
  </si>
  <si>
    <t>Part Number for Co1</t>
    <phoneticPr fontId="25" type="noConversion"/>
  </si>
  <si>
    <t>Need to fine tune based on scope waveform</t>
    <phoneticPr fontId="25" type="noConversion"/>
  </si>
  <si>
    <t>Lo Used in Calculations</t>
    <phoneticPr fontId="25" type="noConversion"/>
  </si>
  <si>
    <t>AC</t>
    <phoneticPr fontId="25" type="noConversion"/>
  </si>
  <si>
    <t>Column1</t>
  </si>
  <si>
    <t>V</t>
    <phoneticPr fontId="25" type="noConversion"/>
  </si>
  <si>
    <t>OPP not included</t>
    <phoneticPr fontId="25" type="noConversion"/>
  </si>
  <si>
    <t>Secondary Rectifier, SR or Diode</t>
    <phoneticPr fontId="25" type="noConversion"/>
  </si>
  <si>
    <t>pF</t>
    <phoneticPr fontId="25" type="noConversion"/>
  </si>
  <si>
    <t>at~4V</t>
    <phoneticPr fontId="25" type="noConversion"/>
  </si>
  <si>
    <t>VDD Turn on Threshold</t>
    <phoneticPr fontId="25" type="noConversion"/>
  </si>
  <si>
    <t>Maximum Bias-Supply Operating Voltage</t>
    <phoneticPr fontId="25" type="noConversion"/>
  </si>
  <si>
    <t>Offset to Power Cycle for Long Output Voltage Overshoot</t>
    <phoneticPr fontId="25" type="noConversion"/>
  </si>
  <si>
    <t>VS Line Sense run Current</t>
    <phoneticPr fontId="25" type="noConversion"/>
  </si>
  <si>
    <t>VS Pin Over Voltage Threshold</t>
    <phoneticPr fontId="25" type="noConversion"/>
  </si>
  <si>
    <t>Propagation Delay of CS Comparator High to PWML Low</t>
    <phoneticPr fontId="25" type="noConversion"/>
  </si>
  <si>
    <t>Maximum Threshold on CS Pin</t>
    <phoneticPr fontId="25" type="noConversion"/>
  </si>
  <si>
    <t>Over Power Threshold on CS Pin</t>
    <phoneticPr fontId="25" type="noConversion"/>
  </si>
  <si>
    <t>Current Sense Pin Hysteresis Voltage</t>
    <phoneticPr fontId="25" type="noConversion"/>
  </si>
  <si>
    <t>VS Pin Negative Clamp Level</t>
    <phoneticPr fontId="25" type="noConversion"/>
  </si>
  <si>
    <t>Line Compensation Current Ratio</t>
    <phoneticPr fontId="25" type="noConversion"/>
  </si>
  <si>
    <t>HVG Voltage Level</t>
    <phoneticPr fontId="25" type="noConversion"/>
  </si>
  <si>
    <t>Supply Current Run</t>
    <phoneticPr fontId="25" type="noConversion"/>
  </si>
  <si>
    <t>Supply Current Wait</t>
    <phoneticPr fontId="25" type="noConversion"/>
  </si>
  <si>
    <t>Delay from Run High to PWML High</t>
    <phoneticPr fontId="25" type="noConversion"/>
  </si>
  <si>
    <t>HVG Sink Current During Startup</t>
    <phoneticPr fontId="25" type="noConversion"/>
  </si>
  <si>
    <t>Regulated FB Voltage Level</t>
    <phoneticPr fontId="25" type="noConversion"/>
  </si>
  <si>
    <t>FB Input Pin Resistance</t>
    <phoneticPr fontId="25" type="noConversion"/>
  </si>
  <si>
    <t>Maximum Control FB Current</t>
    <phoneticPr fontId="25" type="noConversion"/>
  </si>
  <si>
    <t>Minimum Primary to Secondary Turns Ratio</t>
    <phoneticPr fontId="25" type="noConversion"/>
  </si>
  <si>
    <t xml:space="preserve">Maximum Primary to Secondary Turns Ratio </t>
    <phoneticPr fontId="25" type="noConversion"/>
  </si>
  <si>
    <t>Primary Turns</t>
    <phoneticPr fontId="25" type="noConversion"/>
  </si>
  <si>
    <t>Vout Reflect to Primary Side</t>
    <phoneticPr fontId="25" type="noConversion"/>
  </si>
  <si>
    <t>Maximum Duty Cycle</t>
    <phoneticPr fontId="25" type="noConversion"/>
  </si>
  <si>
    <t>Magnetizing Inductance Used in Calculations</t>
    <phoneticPr fontId="25" type="noConversion"/>
  </si>
  <si>
    <t>Actual Leakage Inductance</t>
    <phoneticPr fontId="25" type="noConversion"/>
  </si>
  <si>
    <t>Estimate Transformer Efficiency</t>
    <phoneticPr fontId="25" type="noConversion"/>
  </si>
  <si>
    <t>Transformer Parasitic Capacitance</t>
    <phoneticPr fontId="25" type="noConversion"/>
  </si>
  <si>
    <t>Resistance of Primary Winding</t>
    <phoneticPr fontId="25" type="noConversion"/>
  </si>
  <si>
    <t>Time Based Output Capacitance of QH</t>
    <phoneticPr fontId="25" type="noConversion"/>
  </si>
  <si>
    <t>Time Based Output Capacitance of QL</t>
    <phoneticPr fontId="25" type="noConversion"/>
  </si>
  <si>
    <t>Bootstrap Diode</t>
    <phoneticPr fontId="25" type="noConversion"/>
  </si>
  <si>
    <t>Depletion FET Output Capacitance</t>
    <phoneticPr fontId="25" type="noConversion"/>
  </si>
  <si>
    <t>Secondary Side Reflect to Primary Side</t>
    <phoneticPr fontId="25" type="noConversion"/>
  </si>
  <si>
    <t>Total Time Base Switching Node Capacitance</t>
    <phoneticPr fontId="25" type="noConversion"/>
  </si>
  <si>
    <r>
      <rPr>
        <b/>
        <sz val="11"/>
        <color theme="1"/>
        <rFont val="Arial"/>
        <family val="2"/>
      </rPr>
      <t>Recommended</t>
    </r>
    <r>
      <rPr>
        <sz val="11"/>
        <color theme="1"/>
        <rFont val="Arial"/>
        <family val="2"/>
      </rPr>
      <t xml:space="preserve"> Clamp Cap Capacitance</t>
    </r>
    <phoneticPr fontId="25" type="noConversion"/>
  </si>
  <si>
    <r>
      <rPr>
        <b/>
        <sz val="11"/>
        <color theme="1"/>
        <rFont val="Arial"/>
        <family val="2"/>
      </rPr>
      <t xml:space="preserve">Actual </t>
    </r>
    <r>
      <rPr>
        <sz val="11"/>
        <color theme="1"/>
        <rFont val="Arial"/>
        <family val="2"/>
      </rPr>
      <t>Clamp Cap Capacitance</t>
    </r>
    <phoneticPr fontId="25" type="noConversion"/>
  </si>
  <si>
    <t>Clamp Cap Used in Calculations</t>
    <phoneticPr fontId="25" type="noConversion"/>
  </si>
  <si>
    <r>
      <rPr>
        <b/>
        <sz val="11"/>
        <color theme="1"/>
        <rFont val="Arial"/>
        <family val="2"/>
      </rPr>
      <t>Recommended</t>
    </r>
    <r>
      <rPr>
        <sz val="11"/>
        <color theme="1"/>
        <rFont val="Arial"/>
        <family val="2"/>
      </rPr>
      <t xml:space="preserve"> Bleed Resistor</t>
    </r>
    <phoneticPr fontId="25" type="noConversion"/>
  </si>
  <si>
    <r>
      <rPr>
        <b/>
        <sz val="11"/>
        <color theme="1"/>
        <rFont val="Arial"/>
        <family val="2"/>
      </rPr>
      <t xml:space="preserve">Actual </t>
    </r>
    <r>
      <rPr>
        <sz val="11"/>
        <color theme="1"/>
        <rFont val="Arial"/>
        <family val="2"/>
      </rPr>
      <t>Bleed Resistor</t>
    </r>
    <phoneticPr fontId="25" type="noConversion"/>
  </si>
  <si>
    <t>Bleed Resistor Used in Calculations</t>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</si>
  <si>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5"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</si>
  <si>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5" type="noConversion"/>
  </si>
  <si>
    <r>
      <t>R</t>
    </r>
    <r>
      <rPr>
        <vertAlign val="subscript"/>
        <sz val="11"/>
        <color theme="1"/>
        <rFont val="Arial"/>
        <family val="2"/>
      </rPr>
      <t>VS1</t>
    </r>
    <r>
      <rPr>
        <sz val="11"/>
        <color theme="1"/>
        <rFont val="Arial"/>
        <family val="2"/>
      </rPr>
      <t xml:space="preserve"> Used in Calculations</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</si>
  <si>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</si>
  <si>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5" type="noConversion"/>
  </si>
  <si>
    <r>
      <t>R</t>
    </r>
    <r>
      <rPr>
        <vertAlign val="subscript"/>
        <sz val="11"/>
        <color theme="1"/>
        <rFont val="Arial"/>
        <family val="2"/>
      </rPr>
      <t>VS2</t>
    </r>
    <r>
      <rPr>
        <sz val="11"/>
        <color theme="1"/>
        <rFont val="Arial"/>
        <family val="2"/>
      </rPr>
      <t xml:space="preserve"> Used in Calculations</t>
    </r>
    <phoneticPr fontId="25" type="noConversion"/>
  </si>
  <si>
    <r>
      <rPr>
        <b/>
        <sz val="11"/>
        <color theme="1"/>
        <rFont val="Arial"/>
        <family val="2"/>
      </rPr>
      <t>Recommended</t>
    </r>
    <r>
      <rPr>
        <sz val="11"/>
        <color theme="1"/>
        <rFont val="Arial"/>
        <family val="2"/>
      </rPr>
      <t xml:space="preserve"> Current Sense Resistor </t>
    </r>
    <phoneticPr fontId="25" type="noConversion"/>
  </si>
  <si>
    <r>
      <rPr>
        <b/>
        <sz val="11"/>
        <color theme="1"/>
        <rFont val="Arial"/>
        <family val="2"/>
      </rPr>
      <t>Actual</t>
    </r>
    <r>
      <rPr>
        <sz val="11"/>
        <color theme="1"/>
        <rFont val="Arial"/>
        <family val="2"/>
      </rPr>
      <t xml:space="preserve"> Current Sense Resistor</t>
    </r>
    <phoneticPr fontId="25" type="noConversion"/>
  </si>
  <si>
    <t>Current Sense Resistor Used in Calculations</t>
    <phoneticPr fontId="25" type="noConversion"/>
  </si>
  <si>
    <r>
      <t>RMS Current on R</t>
    </r>
    <r>
      <rPr>
        <vertAlign val="subscript"/>
        <sz val="11"/>
        <color theme="1"/>
        <rFont val="Arial"/>
        <family val="2"/>
      </rPr>
      <t>CS</t>
    </r>
    <r>
      <rPr>
        <sz val="11"/>
        <color theme="1"/>
        <rFont val="Arial"/>
        <family val="2"/>
      </rPr>
      <t xml:space="preserve"> Resistor</t>
    </r>
    <phoneticPr fontId="25" type="noConversion"/>
  </si>
  <si>
    <r>
      <t>Power Loss on R</t>
    </r>
    <r>
      <rPr>
        <vertAlign val="subscript"/>
        <sz val="11"/>
        <color theme="1"/>
        <rFont val="Arial"/>
        <family val="2"/>
      </rPr>
      <t>CS</t>
    </r>
    <r>
      <rPr>
        <sz val="11"/>
        <color theme="1"/>
        <rFont val="Arial"/>
        <family val="2"/>
      </rPr>
      <t/>
    </r>
    <phoneticPr fontId="25" type="noConversion"/>
  </si>
  <si>
    <r>
      <rPr>
        <b/>
        <sz val="11"/>
        <color theme="1"/>
        <rFont val="Arial"/>
        <family val="2"/>
      </rPr>
      <t>Recommended</t>
    </r>
    <r>
      <rPr>
        <sz val="11"/>
        <color theme="1"/>
        <rFont val="Arial"/>
        <family val="2"/>
      </rPr>
      <t xml:space="preserve"> OPP Resistor</t>
    </r>
    <phoneticPr fontId="25" type="noConversion"/>
  </si>
  <si>
    <r>
      <rPr>
        <b/>
        <sz val="11"/>
        <color theme="1"/>
        <rFont val="Arial"/>
        <family val="2"/>
      </rPr>
      <t>Actual</t>
    </r>
    <r>
      <rPr>
        <sz val="11"/>
        <color theme="1"/>
        <rFont val="Arial"/>
        <family val="2"/>
      </rPr>
      <t xml:space="preserve"> OPP Resistor</t>
    </r>
    <phoneticPr fontId="25" type="noConversion"/>
  </si>
  <si>
    <t>OPP Resistor Used in Calculations</t>
    <phoneticPr fontId="25" type="noConversion"/>
  </si>
  <si>
    <r>
      <rPr>
        <b/>
        <sz val="11"/>
        <color theme="1"/>
        <rFont val="Arial"/>
        <family val="2"/>
      </rPr>
      <t>Maximum</t>
    </r>
    <r>
      <rPr>
        <sz val="11"/>
        <color theme="1"/>
        <rFont val="Arial"/>
        <family val="2"/>
      </rPr>
      <t xml:space="preserve"> Current Sense Capacitance</t>
    </r>
    <phoneticPr fontId="25" type="noConversion"/>
  </si>
  <si>
    <r>
      <rPr>
        <b/>
        <sz val="11"/>
        <color theme="1"/>
        <rFont val="Arial"/>
        <family val="2"/>
      </rPr>
      <t>Actual</t>
    </r>
    <r>
      <rPr>
        <sz val="11"/>
        <color theme="1"/>
        <rFont val="Arial"/>
        <family val="2"/>
      </rPr>
      <t xml:space="preserve"> Current Sense Capacitance</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</si>
  <si>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</si>
  <si>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5" type="noConversion"/>
  </si>
  <si>
    <r>
      <t>R</t>
    </r>
    <r>
      <rPr>
        <vertAlign val="subscript"/>
        <sz val="11"/>
        <color theme="1"/>
        <rFont val="Arial"/>
        <family val="2"/>
      </rPr>
      <t>DM</t>
    </r>
    <r>
      <rPr>
        <sz val="11"/>
        <color theme="1"/>
        <rFont val="Arial"/>
        <family val="2"/>
      </rPr>
      <t xml:space="preserve"> Resistor Used in Calculations</t>
    </r>
    <phoneticPr fontId="25" type="noConversion"/>
  </si>
  <si>
    <t>Transition Time for ZVS</t>
    <phoneticPr fontId="25" type="noConversion"/>
  </si>
  <si>
    <r>
      <rPr>
        <b/>
        <sz val="11"/>
        <color theme="1"/>
        <rFont val="Arial"/>
        <family val="2"/>
      </rPr>
      <t xml:space="preserve">Recommended </t>
    </r>
    <r>
      <rPr>
        <sz val="11"/>
        <color theme="1"/>
        <rFont val="Arial"/>
        <family val="2"/>
      </rPr>
      <t>RTZ Resistor</t>
    </r>
    <phoneticPr fontId="25" type="noConversion"/>
  </si>
  <si>
    <r>
      <rPr>
        <b/>
        <sz val="11"/>
        <color theme="1"/>
        <rFont val="Arial"/>
        <family val="2"/>
      </rPr>
      <t xml:space="preserve">Actual </t>
    </r>
    <r>
      <rPr>
        <sz val="11"/>
        <color theme="1"/>
        <rFont val="Arial"/>
        <family val="2"/>
      </rPr>
      <t>RTZ Resistor</t>
    </r>
    <phoneticPr fontId="25" type="noConversion"/>
  </si>
  <si>
    <t>RTZ Resistor Used in Calculations</t>
    <phoneticPr fontId="25" type="noConversion"/>
  </si>
  <si>
    <t>Target Threshold Voltage</t>
    <phoneticPr fontId="25" type="noConversion"/>
  </si>
  <si>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phoneticPr fontId="25" type="noConversion"/>
  </si>
  <si>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phoneticPr fontId="25" type="noConversion"/>
  </si>
  <si>
    <r>
      <t>R</t>
    </r>
    <r>
      <rPr>
        <vertAlign val="subscript"/>
        <sz val="11"/>
        <color theme="1"/>
        <rFont val="Arial"/>
        <family val="2"/>
      </rPr>
      <t>BUR2</t>
    </r>
    <r>
      <rPr>
        <sz val="11"/>
        <color theme="1"/>
        <rFont val="Arial"/>
        <family val="2"/>
      </rPr>
      <t xml:space="preserve"> Resistor Used in Calculations</t>
    </r>
    <phoneticPr fontId="25" type="noConversion"/>
  </si>
  <si>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phoneticPr fontId="25" type="noConversion"/>
  </si>
  <si>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phoneticPr fontId="25" type="noConversion"/>
  </si>
  <si>
    <r>
      <t>R</t>
    </r>
    <r>
      <rPr>
        <vertAlign val="subscript"/>
        <sz val="11"/>
        <color theme="1"/>
        <rFont val="Arial"/>
        <family val="2"/>
      </rPr>
      <t>BUR1</t>
    </r>
    <r>
      <rPr>
        <sz val="11"/>
        <color theme="1"/>
        <rFont val="Arial"/>
        <family val="2"/>
      </rPr>
      <t xml:space="preserve"> Resistor Used in Calculations</t>
    </r>
    <phoneticPr fontId="25" type="noConversion"/>
  </si>
  <si>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phoneticPr fontId="25" type="noConversion"/>
  </si>
  <si>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phoneticPr fontId="25" type="noConversion"/>
  </si>
  <si>
    <r>
      <t>C</t>
    </r>
    <r>
      <rPr>
        <vertAlign val="subscript"/>
        <sz val="11"/>
        <color theme="1"/>
        <rFont val="Arial"/>
        <family val="2"/>
      </rPr>
      <t>BUR</t>
    </r>
    <r>
      <rPr>
        <sz val="11"/>
        <color theme="1"/>
        <rFont val="Arial"/>
        <family val="2"/>
      </rPr>
      <t xml:space="preserve"> Capacitance Used in Calculations</t>
    </r>
    <phoneticPr fontId="25" type="noConversion"/>
  </si>
  <si>
    <r>
      <rPr>
        <b/>
        <sz val="11"/>
        <color theme="1"/>
        <rFont val="Arial"/>
        <family val="2"/>
      </rPr>
      <t>Minimum</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</si>
  <si>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Capacitance</t>
    </r>
    <phoneticPr fontId="25" type="noConversion"/>
  </si>
  <si>
    <t>Capacitance Used in Calculations</t>
    <phoneticPr fontId="25" type="noConversion"/>
  </si>
  <si>
    <r>
      <rPr>
        <b/>
        <sz val="11"/>
        <color theme="1"/>
        <rFont val="Arial"/>
        <family val="2"/>
      </rPr>
      <t>Minimum</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</si>
  <si>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Resistor</t>
    </r>
    <phoneticPr fontId="25" type="noConversion"/>
  </si>
  <si>
    <t>Resistor Used in Calculations</t>
    <phoneticPr fontId="25" type="noConversion"/>
  </si>
  <si>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</si>
  <si>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5" type="noConversion"/>
  </si>
  <si>
    <r>
      <t>R</t>
    </r>
    <r>
      <rPr>
        <vertAlign val="subscript"/>
        <sz val="11"/>
        <color theme="1"/>
        <rFont val="Arial"/>
        <family val="2"/>
      </rPr>
      <t>HVG</t>
    </r>
    <r>
      <rPr>
        <sz val="11"/>
        <color theme="1"/>
        <rFont val="Arial"/>
        <family val="2"/>
      </rPr>
      <t xml:space="preserve"> Resistor Used in Calculations</t>
    </r>
    <phoneticPr fontId="25" type="noConversion"/>
  </si>
  <si>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</si>
  <si>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5" type="noConversion"/>
  </si>
  <si>
    <r>
      <t>C</t>
    </r>
    <r>
      <rPr>
        <vertAlign val="subscript"/>
        <sz val="11"/>
        <color theme="1"/>
        <rFont val="Arial"/>
        <family val="2"/>
      </rPr>
      <t>HVG</t>
    </r>
    <r>
      <rPr>
        <sz val="11"/>
        <color theme="1"/>
        <rFont val="Arial"/>
        <family val="2"/>
      </rPr>
      <t xml:space="preserve"> Capacitance Used in Calculations</t>
    </r>
    <phoneticPr fontId="25" type="noConversion"/>
  </si>
  <si>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</si>
  <si>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5" type="noConversion"/>
  </si>
  <si>
    <r>
      <t>C</t>
    </r>
    <r>
      <rPr>
        <vertAlign val="subscript"/>
        <sz val="11"/>
        <color theme="1"/>
        <rFont val="Arial"/>
        <family val="2"/>
      </rPr>
      <t>REF</t>
    </r>
    <r>
      <rPr>
        <sz val="11"/>
        <color theme="1"/>
        <rFont val="Arial"/>
        <family val="2"/>
      </rPr>
      <t xml:space="preserve"> Capacitance Used in Calculations</t>
    </r>
    <phoneticPr fontId="25" type="noConversion"/>
  </si>
  <si>
    <t>Minimum Boot Capacitance</t>
    <phoneticPr fontId="25" type="noConversion"/>
  </si>
  <si>
    <t>Maximum Boot Capacitance</t>
    <phoneticPr fontId="25" type="noConversion"/>
  </si>
  <si>
    <t>Boot Capacitance Used in Calculations</t>
    <phoneticPr fontId="25" type="noConversion"/>
  </si>
  <si>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phoneticPr fontId="25" type="noConversion"/>
  </si>
  <si>
    <r>
      <t>C</t>
    </r>
    <r>
      <rPr>
        <vertAlign val="subscript"/>
        <sz val="11"/>
        <color theme="1"/>
        <rFont val="Arial"/>
        <family val="2"/>
      </rPr>
      <t>DD2</t>
    </r>
    <r>
      <rPr>
        <sz val="11"/>
        <color theme="1"/>
        <rFont val="Arial"/>
        <family val="2"/>
      </rPr>
      <t xml:space="preserve"> Used in Calculations</t>
    </r>
    <phoneticPr fontId="25" type="noConversion"/>
  </si>
  <si>
    <r>
      <rPr>
        <b/>
        <sz val="11"/>
        <color theme="1"/>
        <rFont val="Arial"/>
        <family val="2"/>
      </rPr>
      <t>Minimum</t>
    </r>
    <r>
      <rPr>
        <sz val="11"/>
        <color theme="1"/>
        <rFont val="Arial"/>
        <family val="2"/>
      </rPr>
      <t xml:space="preserve"> R</t>
    </r>
    <r>
      <rPr>
        <vertAlign val="subscript"/>
        <sz val="11"/>
        <color theme="1"/>
        <rFont val="Arial"/>
        <family val="2"/>
      </rPr>
      <t>DD2</t>
    </r>
    <phoneticPr fontId="25" type="noConversion"/>
  </si>
  <si>
    <r>
      <t>R</t>
    </r>
    <r>
      <rPr>
        <vertAlign val="subscript"/>
        <sz val="11"/>
        <color theme="1"/>
        <rFont val="Arial"/>
        <family val="2"/>
      </rPr>
      <t>DD2</t>
    </r>
    <r>
      <rPr>
        <sz val="11"/>
        <color theme="1"/>
        <rFont val="Arial"/>
        <family val="2"/>
      </rPr>
      <t xml:space="preserve"> Used in Calculations</t>
    </r>
    <phoneticPr fontId="25" type="noConversion"/>
  </si>
  <si>
    <t>Output Voltage Reflect to Auxiliary Winding</t>
    <phoneticPr fontId="25" type="noConversion"/>
  </si>
  <si>
    <r>
      <rPr>
        <b/>
        <sz val="11"/>
        <color theme="1"/>
        <rFont val="Arial"/>
        <family val="2"/>
      </rPr>
      <t>Minimum</t>
    </r>
    <r>
      <rPr>
        <sz val="11"/>
        <color theme="1"/>
        <rFont val="Arial"/>
        <family val="2"/>
      </rPr>
      <t xml:space="preserve"> R</t>
    </r>
    <r>
      <rPr>
        <vertAlign val="subscript"/>
        <sz val="11"/>
        <color theme="1"/>
        <rFont val="Arial"/>
        <family val="2"/>
      </rPr>
      <t>DD1</t>
    </r>
    <r>
      <rPr>
        <sz val="11"/>
        <color theme="1"/>
        <rFont val="Arial"/>
        <family val="2"/>
      </rPr>
      <t/>
    </r>
    <phoneticPr fontId="25" type="noConversion"/>
  </si>
  <si>
    <r>
      <rPr>
        <b/>
        <sz val="11"/>
        <rFont val="Arial"/>
        <family val="2"/>
      </rPr>
      <t>Actual</t>
    </r>
    <r>
      <rPr>
        <sz val="11"/>
        <rFont val="Arial"/>
        <family val="2"/>
      </rPr>
      <t xml:space="preserve"> R</t>
    </r>
    <r>
      <rPr>
        <vertAlign val="subscript"/>
        <sz val="11"/>
        <rFont val="Arial"/>
        <family val="2"/>
      </rPr>
      <t>DD1</t>
    </r>
    <r>
      <rPr>
        <sz val="11"/>
        <rFont val="Arial"/>
        <family val="2"/>
      </rPr>
      <t/>
    </r>
    <phoneticPr fontId="25" type="noConversion"/>
  </si>
  <si>
    <r>
      <t>R</t>
    </r>
    <r>
      <rPr>
        <vertAlign val="subscript"/>
        <sz val="11"/>
        <color theme="1"/>
        <rFont val="Arial"/>
        <family val="2"/>
      </rPr>
      <t>DD1</t>
    </r>
    <r>
      <rPr>
        <sz val="11"/>
        <color theme="1"/>
        <rFont val="Arial"/>
        <family val="2"/>
      </rPr>
      <t xml:space="preserve"> Used in Calculations</t>
    </r>
    <phoneticPr fontId="25" type="noConversion"/>
  </si>
  <si>
    <t>Require Time on HVG Pin</t>
    <phoneticPr fontId="25" type="noConversion"/>
  </si>
  <si>
    <t>Vout Startup Time</t>
    <phoneticPr fontId="25" type="noConversion"/>
  </si>
  <si>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</si>
  <si>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5" type="noConversion"/>
  </si>
  <si>
    <r>
      <t>C</t>
    </r>
    <r>
      <rPr>
        <vertAlign val="subscript"/>
        <sz val="11"/>
        <color theme="1"/>
        <rFont val="Arial"/>
        <family val="2"/>
      </rPr>
      <t>DD1</t>
    </r>
    <r>
      <rPr>
        <sz val="11"/>
        <color theme="1"/>
        <rFont val="Arial"/>
        <family val="2"/>
      </rPr>
      <t xml:space="preserve"> Capacitance Used in Calculations</t>
    </r>
    <phoneticPr fontId="25" type="noConversion"/>
  </si>
  <si>
    <r>
      <rPr>
        <b/>
        <sz val="11"/>
        <color theme="1"/>
        <rFont val="Arial"/>
        <family val="2"/>
      </rPr>
      <t>Maximum</t>
    </r>
    <r>
      <rPr>
        <sz val="11"/>
        <color theme="1"/>
        <rFont val="Arial"/>
        <family val="2"/>
      </rPr>
      <t xml:space="preserve"> Feedback Pin Resistor</t>
    </r>
    <phoneticPr fontId="25" type="noConversion"/>
  </si>
  <si>
    <r>
      <rPr>
        <b/>
        <sz val="11"/>
        <color theme="1"/>
        <rFont val="Arial"/>
        <family val="2"/>
      </rPr>
      <t>Actual</t>
    </r>
    <r>
      <rPr>
        <sz val="11"/>
        <color theme="1"/>
        <rFont val="Arial"/>
        <family val="2"/>
      </rPr>
      <t xml:space="preserve"> Feedback Pin Resistor</t>
    </r>
    <phoneticPr fontId="25" type="noConversion"/>
  </si>
  <si>
    <t>Feedback Pin Resistor Used in Calculations</t>
    <phoneticPr fontId="25" type="noConversion"/>
  </si>
  <si>
    <r>
      <t>Recommended C</t>
    </r>
    <r>
      <rPr>
        <vertAlign val="subscript"/>
        <sz val="11"/>
        <color theme="1"/>
        <rFont val="Arial"/>
        <family val="2"/>
      </rPr>
      <t>FB</t>
    </r>
    <r>
      <rPr>
        <sz val="11"/>
        <color theme="1"/>
        <rFont val="Arial"/>
        <family val="2"/>
      </rPr>
      <t/>
    </r>
    <phoneticPr fontId="25" type="noConversion"/>
  </si>
  <si>
    <r>
      <rPr>
        <b/>
        <sz val="11"/>
        <color theme="1"/>
        <rFont val="Arial"/>
        <family val="2"/>
      </rPr>
      <t>Recommended</t>
    </r>
    <r>
      <rPr>
        <sz val="11"/>
        <color theme="1"/>
        <rFont val="Arial"/>
        <family val="2"/>
      </rPr>
      <t xml:space="preserve"> Bias Resistor 2</t>
    </r>
    <phoneticPr fontId="25" type="noConversion"/>
  </si>
  <si>
    <t>Bias Resistor 2 Used in Calculations</t>
    <phoneticPr fontId="25" type="noConversion"/>
  </si>
  <si>
    <r>
      <rPr>
        <b/>
        <sz val="11"/>
        <color theme="1"/>
        <rFont val="Arial"/>
        <family val="2"/>
      </rPr>
      <t>Actual</t>
    </r>
    <r>
      <rPr>
        <sz val="11"/>
        <color theme="1"/>
        <rFont val="Arial"/>
        <family val="2"/>
      </rPr>
      <t xml:space="preserve"> Bias Resistor 2</t>
    </r>
    <phoneticPr fontId="25" type="noConversion"/>
  </si>
  <si>
    <r>
      <t>Minimum for R</t>
    </r>
    <r>
      <rPr>
        <vertAlign val="subscript"/>
        <sz val="11"/>
        <color theme="1"/>
        <rFont val="Arial"/>
        <family val="2"/>
      </rPr>
      <t>bias1</t>
    </r>
    <r>
      <rPr>
        <sz val="11"/>
        <color theme="1"/>
        <rFont val="Arial"/>
        <family val="2"/>
      </rPr>
      <t/>
    </r>
    <phoneticPr fontId="25" type="noConversion"/>
  </si>
  <si>
    <r>
      <t>Maximum for R</t>
    </r>
    <r>
      <rPr>
        <vertAlign val="subscript"/>
        <sz val="11"/>
        <color theme="1"/>
        <rFont val="Arial"/>
        <family val="2"/>
      </rPr>
      <t>bias1</t>
    </r>
    <r>
      <rPr>
        <sz val="11"/>
        <color theme="1"/>
        <rFont val="Arial"/>
        <family val="2"/>
      </rPr>
      <t/>
    </r>
    <phoneticPr fontId="25" type="noConversion"/>
  </si>
  <si>
    <r>
      <t>R</t>
    </r>
    <r>
      <rPr>
        <vertAlign val="subscript"/>
        <sz val="11"/>
        <color theme="1"/>
        <rFont val="Arial"/>
        <family val="2"/>
      </rPr>
      <t>bias1</t>
    </r>
    <r>
      <rPr>
        <sz val="11"/>
        <color theme="1"/>
        <rFont val="Arial"/>
        <family val="2"/>
      </rPr>
      <t xml:space="preserve"> Used in Calculations</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</si>
  <si>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phoneticPr fontId="25" type="noConversion"/>
  </si>
  <si>
    <r>
      <t>R</t>
    </r>
    <r>
      <rPr>
        <vertAlign val="subscript"/>
        <sz val="11"/>
        <color theme="1"/>
        <rFont val="Arial"/>
        <family val="2"/>
      </rPr>
      <t>Vo2</t>
    </r>
    <r>
      <rPr>
        <sz val="11"/>
        <color theme="1"/>
        <rFont val="Arial"/>
        <family val="2"/>
      </rPr>
      <t xml:space="preserve"> Resistor Used in Calculations</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</si>
  <si>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</si>
  <si>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5" type="noConversion"/>
  </si>
  <si>
    <r>
      <t>R</t>
    </r>
    <r>
      <rPr>
        <vertAlign val="subscript"/>
        <sz val="11"/>
        <color theme="1"/>
        <rFont val="Arial"/>
        <family val="2"/>
      </rPr>
      <t>Vo1</t>
    </r>
    <r>
      <rPr>
        <sz val="11"/>
        <color theme="1"/>
        <rFont val="Arial"/>
        <family val="2"/>
      </rPr>
      <t xml:space="preserve"> Resistor Used in Calculations</t>
    </r>
    <phoneticPr fontId="25" type="noConversion"/>
  </si>
  <si>
    <t>Typical Output Voltage</t>
    <phoneticPr fontId="25" type="noConversion"/>
  </si>
  <si>
    <r>
      <rPr>
        <b/>
        <sz val="11"/>
        <color theme="1"/>
        <rFont val="Arial"/>
        <family val="2"/>
      </rPr>
      <t>Recommended</t>
    </r>
    <r>
      <rPr>
        <sz val="11"/>
        <color theme="1"/>
        <rFont val="Arial"/>
        <family val="2"/>
      </rPr>
      <t xml:space="preserve"> C</t>
    </r>
    <r>
      <rPr>
        <vertAlign val="subscript"/>
        <sz val="11"/>
        <color theme="1"/>
        <rFont val="Arial"/>
        <family val="2"/>
      </rPr>
      <t>diff</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</si>
  <si>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diff</t>
    </r>
    <phoneticPr fontId="25" type="noConversion"/>
  </si>
  <si>
    <r>
      <t>C</t>
    </r>
    <r>
      <rPr>
        <vertAlign val="subscript"/>
        <sz val="11"/>
        <color theme="1"/>
        <rFont val="Arial"/>
        <family val="2"/>
      </rPr>
      <t xml:space="preserve">diff </t>
    </r>
    <r>
      <rPr>
        <sz val="11"/>
        <color theme="1"/>
        <rFont val="Arial"/>
        <family val="2"/>
      </rPr>
      <t>Used in Calculations</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</si>
  <si>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diff</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</si>
  <si>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diff</t>
    </r>
    <phoneticPr fontId="25" type="noConversion"/>
  </si>
  <si>
    <r>
      <t>R</t>
    </r>
    <r>
      <rPr>
        <vertAlign val="subscript"/>
        <sz val="11"/>
        <color theme="1"/>
        <rFont val="Arial"/>
        <family val="2"/>
      </rPr>
      <t xml:space="preserve">diff </t>
    </r>
    <r>
      <rPr>
        <sz val="11"/>
        <color theme="1"/>
        <rFont val="Arial"/>
        <family val="2"/>
      </rPr>
      <t>Used in Calculations</t>
    </r>
    <phoneticPr fontId="25" type="noConversion"/>
  </si>
  <si>
    <r>
      <rPr>
        <b/>
        <sz val="11"/>
        <color theme="1"/>
        <rFont val="Arial"/>
        <family val="2"/>
      </rPr>
      <t>Recommended</t>
    </r>
    <r>
      <rPr>
        <sz val="11"/>
        <color theme="1"/>
        <rFont val="Arial"/>
        <family val="2"/>
      </rPr>
      <t xml:space="preserve"> C</t>
    </r>
    <r>
      <rPr>
        <vertAlign val="subscript"/>
        <sz val="11"/>
        <color theme="1"/>
        <rFont val="Arial"/>
        <family val="2"/>
      </rPr>
      <t>int</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</si>
  <si>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int</t>
    </r>
    <phoneticPr fontId="25" type="noConversion"/>
  </si>
  <si>
    <r>
      <t>C</t>
    </r>
    <r>
      <rPr>
        <vertAlign val="subscript"/>
        <sz val="11"/>
        <color theme="1"/>
        <rFont val="Arial"/>
        <family val="2"/>
      </rPr>
      <t xml:space="preserve">int </t>
    </r>
    <r>
      <rPr>
        <sz val="11"/>
        <color theme="1"/>
        <rFont val="Arial"/>
        <family val="2"/>
      </rPr>
      <t>Used in Calculations</t>
    </r>
    <phoneticPr fontId="25" type="noConversion"/>
  </si>
  <si>
    <r>
      <t>R</t>
    </r>
    <r>
      <rPr>
        <vertAlign val="subscript"/>
        <sz val="11"/>
        <color theme="1"/>
        <rFont val="Arial"/>
        <family val="2"/>
      </rPr>
      <t xml:space="preserve">int </t>
    </r>
    <r>
      <rPr>
        <sz val="11"/>
        <color theme="1"/>
        <rFont val="Arial"/>
        <family val="2"/>
      </rPr>
      <t>Used in Calculations</t>
    </r>
    <phoneticPr fontId="25" type="noConversion"/>
  </si>
  <si>
    <t>Upper Threshold of Burst Rate Frequency in Adaptive Burst Mode</t>
    <phoneticPr fontId="25" type="noConversion"/>
  </si>
  <si>
    <t>%</t>
    <phoneticPr fontId="25" type="noConversion"/>
  </si>
  <si>
    <t>Estimate Minimum Power Stage Efficiency</t>
    <phoneticPr fontId="25" type="noConversion"/>
  </si>
  <si>
    <t>Fault Delay Recovery Time</t>
    <phoneticPr fontId="25" type="noConversion"/>
  </si>
  <si>
    <t>Estimate Current Sense Filter Delay</t>
    <phoneticPr fontId="25" type="noConversion"/>
  </si>
  <si>
    <r>
      <t>T</t>
    </r>
    <r>
      <rPr>
        <vertAlign val="subscript"/>
        <sz val="11"/>
        <color theme="1"/>
        <rFont val="Arial"/>
        <family val="2"/>
      </rPr>
      <t>D_CS_filter</t>
    </r>
    <r>
      <rPr>
        <sz val="11"/>
        <color theme="1"/>
        <rFont val="Arial"/>
        <family val="2"/>
      </rPr>
      <t xml:space="preserve"> =</t>
    </r>
    <phoneticPr fontId="25" type="noConversion"/>
  </si>
  <si>
    <t>Current Sense Capacitance Used in Calculations</t>
    <phoneticPr fontId="25" type="noConversion"/>
  </si>
  <si>
    <r>
      <t>C</t>
    </r>
    <r>
      <rPr>
        <vertAlign val="subscript"/>
        <sz val="11"/>
        <color theme="1"/>
        <rFont val="Arial"/>
        <family val="2"/>
      </rPr>
      <t xml:space="preserve">CS </t>
    </r>
    <r>
      <rPr>
        <sz val="11"/>
        <color theme="1"/>
        <rFont val="Arial"/>
        <family val="2"/>
      </rPr>
      <t>=</t>
    </r>
    <phoneticPr fontId="25" type="noConversion"/>
  </si>
  <si>
    <t>pF</t>
    <phoneticPr fontId="25" type="noConversion"/>
  </si>
  <si>
    <t>Actual Current Sense Filter Delay</t>
    <phoneticPr fontId="25" type="noConversion"/>
  </si>
  <si>
    <r>
      <t>T</t>
    </r>
    <r>
      <rPr>
        <vertAlign val="subscript"/>
        <sz val="11"/>
        <color theme="1"/>
        <rFont val="Arial"/>
        <family val="2"/>
      </rPr>
      <t>D_CS_filter_act</t>
    </r>
    <r>
      <rPr>
        <sz val="11"/>
        <color theme="1"/>
        <rFont val="Arial"/>
        <family val="2"/>
      </rPr>
      <t xml:space="preserve"> =</t>
    </r>
    <phoneticPr fontId="25" type="noConversion"/>
  </si>
  <si>
    <t>ns</t>
    <phoneticPr fontId="25" type="noConversion"/>
  </si>
  <si>
    <r>
      <t>L</t>
    </r>
    <r>
      <rPr>
        <vertAlign val="subscript"/>
        <sz val="11"/>
        <color theme="1"/>
        <rFont val="Arial"/>
        <family val="2"/>
      </rPr>
      <t>DAMP</t>
    </r>
    <r>
      <rPr>
        <sz val="11"/>
        <color theme="1"/>
        <rFont val="Arial"/>
        <family val="2"/>
      </rPr>
      <t xml:space="preserve"> no smaller than</t>
    </r>
    <phoneticPr fontId="25" type="noConversion"/>
  </si>
  <si>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t>
    </r>
    <phoneticPr fontId="25" type="noConversion"/>
  </si>
  <si>
    <r>
      <t>Higher Efficiency &lt;==Unstable V</t>
    </r>
    <r>
      <rPr>
        <vertAlign val="subscript"/>
        <sz val="11"/>
        <color theme="1"/>
        <rFont val="Arial"/>
        <family val="2"/>
      </rPr>
      <t xml:space="preserve">gs(SR) </t>
    </r>
    <r>
      <rPr>
        <sz val="11"/>
        <color theme="1"/>
        <rFont val="Arial"/>
        <family val="2"/>
      </rPr>
      <t>&lt;==Higher V</t>
    </r>
    <r>
      <rPr>
        <vertAlign val="subscript"/>
        <sz val="11"/>
        <color theme="1"/>
        <rFont val="Arial"/>
        <family val="2"/>
      </rPr>
      <t>Co1</t>
    </r>
    <r>
      <rPr>
        <sz val="11"/>
        <color theme="1"/>
        <rFont val="Arial"/>
        <family val="2"/>
      </rPr>
      <t xml:space="preserve"> ripple &lt;==Increase L</t>
    </r>
    <r>
      <rPr>
        <vertAlign val="subscript"/>
        <sz val="11"/>
        <color theme="1"/>
        <rFont val="Arial"/>
        <family val="2"/>
      </rPr>
      <t>DAMP</t>
    </r>
    <r>
      <rPr>
        <sz val="11"/>
        <color theme="1"/>
        <rFont val="Arial"/>
        <family val="2"/>
      </rPr>
      <t xml:space="preserve"> for weaker damping</t>
    </r>
    <phoneticPr fontId="25" type="noConversion"/>
  </si>
  <si>
    <t>1.Capture transformer primary current ILr to fine tune, during low line and Io_max</t>
    <phoneticPr fontId="25" type="noConversion"/>
  </si>
  <si>
    <t>V</t>
    <phoneticPr fontId="25" type="noConversion"/>
  </si>
  <si>
    <t>Secordary Turns Used in Calculations</t>
    <phoneticPr fontId="25" type="noConversion"/>
  </si>
  <si>
    <t>µF</t>
    <phoneticPr fontId="25" type="noConversion"/>
  </si>
  <si>
    <r>
      <t>Suggested 10*C</t>
    </r>
    <r>
      <rPr>
        <vertAlign val="subscript"/>
        <sz val="11"/>
        <color theme="1"/>
        <rFont val="Arial"/>
        <family val="2"/>
      </rPr>
      <t>boot</t>
    </r>
    <phoneticPr fontId="25" type="noConversion"/>
  </si>
  <si>
    <t>Ω</t>
    <phoneticPr fontId="25" type="noConversion"/>
  </si>
  <si>
    <r>
      <t>Suggested 10*R</t>
    </r>
    <r>
      <rPr>
        <vertAlign val="subscript"/>
        <sz val="11"/>
        <color theme="1"/>
        <rFont val="Arial"/>
        <family val="2"/>
      </rPr>
      <t>CS</t>
    </r>
    <phoneticPr fontId="25" type="noConversion"/>
  </si>
  <si>
    <t>Maximum Bias Resistor 1 During SBP mode</t>
    <phoneticPr fontId="25" type="noConversion"/>
  </si>
  <si>
    <t>Maximum Bias Resistor 1 During ABM mode</t>
    <phoneticPr fontId="25" type="noConversion"/>
  </si>
  <si>
    <t>Shunt Regulator Part Number</t>
    <phoneticPr fontId="25" type="noConversion"/>
  </si>
  <si>
    <r>
      <t>Recommended R</t>
    </r>
    <r>
      <rPr>
        <vertAlign val="subscript"/>
        <sz val="11"/>
        <color theme="1"/>
        <rFont val="Arial"/>
        <family val="2"/>
      </rPr>
      <t>COMP</t>
    </r>
    <phoneticPr fontId="25" type="noConversion"/>
  </si>
  <si>
    <r>
      <t>R</t>
    </r>
    <r>
      <rPr>
        <vertAlign val="subscript"/>
        <sz val="11"/>
        <color theme="1"/>
        <rFont val="Arial"/>
        <family val="2"/>
      </rPr>
      <t>COMP</t>
    </r>
    <r>
      <rPr>
        <sz val="11"/>
        <color theme="1"/>
        <rFont val="Arial"/>
        <family val="2"/>
      </rPr>
      <t>=</t>
    </r>
    <phoneticPr fontId="25" type="noConversion"/>
  </si>
  <si>
    <r>
      <t>R</t>
    </r>
    <r>
      <rPr>
        <b/>
        <vertAlign val="subscript"/>
        <sz val="12"/>
        <color rgb="FFFF0000"/>
        <rFont val="Arial"/>
        <family val="2"/>
      </rPr>
      <t>COMP</t>
    </r>
    <phoneticPr fontId="25" type="noConversion"/>
  </si>
  <si>
    <t>MΩ</t>
    <phoneticPr fontId="25" type="noConversion"/>
  </si>
  <si>
    <r>
      <t>Increase C</t>
    </r>
    <r>
      <rPr>
        <vertAlign val="subscript"/>
        <sz val="11"/>
        <color theme="1"/>
        <rFont val="Arial"/>
        <family val="2"/>
      </rPr>
      <t>o1</t>
    </r>
    <phoneticPr fontId="25"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</si>
  <si>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5" type="noConversion"/>
  </si>
  <si>
    <r>
      <t>Input Current Pulse Rating, I</t>
    </r>
    <r>
      <rPr>
        <vertAlign val="subscript"/>
        <sz val="11"/>
        <color theme="1"/>
        <rFont val="Arial"/>
        <family val="2"/>
      </rPr>
      <t>QL_max</t>
    </r>
    <r>
      <rPr>
        <sz val="11"/>
        <color theme="1"/>
        <rFont val="Arial"/>
        <family val="2"/>
      </rPr>
      <t xml:space="preserve"> =</t>
    </r>
    <phoneticPr fontId="25" type="noConversion"/>
  </si>
  <si>
    <t>QH Part Number</t>
    <phoneticPr fontId="25" type="noConversion"/>
  </si>
  <si>
    <t>QL Part Number</t>
    <phoneticPr fontId="25" type="noConversion"/>
  </si>
  <si>
    <t>Clamp Cap DC Bias Derating</t>
    <phoneticPr fontId="25" type="noConversion"/>
  </si>
  <si>
    <r>
      <t>D</t>
    </r>
    <r>
      <rPr>
        <vertAlign val="subscript"/>
        <sz val="11"/>
        <color theme="1"/>
        <rFont val="Arial"/>
        <family val="2"/>
      </rPr>
      <t>rea_clamp</t>
    </r>
    <r>
      <rPr>
        <sz val="11"/>
        <color theme="1"/>
        <rFont val="Arial"/>
        <family val="2"/>
      </rPr>
      <t>=</t>
    </r>
    <phoneticPr fontId="25" type="noConversion"/>
  </si>
  <si>
    <r>
      <t>C</t>
    </r>
    <r>
      <rPr>
        <vertAlign val="subscript"/>
        <sz val="11"/>
        <color theme="1"/>
        <rFont val="Arial"/>
        <family val="2"/>
      </rPr>
      <t>DD1</t>
    </r>
    <r>
      <rPr>
        <sz val="11"/>
        <color theme="1"/>
        <rFont val="Arial"/>
        <family val="2"/>
      </rPr>
      <t xml:space="preserve"> DC Bias Derating</t>
    </r>
    <phoneticPr fontId="25" type="noConversion"/>
  </si>
  <si>
    <r>
      <t>D</t>
    </r>
    <r>
      <rPr>
        <vertAlign val="subscript"/>
        <sz val="11"/>
        <color theme="1"/>
        <rFont val="Arial"/>
        <family val="2"/>
      </rPr>
      <t xml:space="preserve">rea_CDD1 </t>
    </r>
    <r>
      <rPr>
        <sz val="11"/>
        <color theme="1"/>
        <rFont val="Arial"/>
        <family val="2"/>
      </rPr>
      <t>=</t>
    </r>
    <phoneticPr fontId="25" type="noConversion"/>
  </si>
  <si>
    <t>%</t>
    <phoneticPr fontId="25" type="noConversion"/>
  </si>
  <si>
    <t>BUR Pin Voltage</t>
    <phoneticPr fontId="25" type="noConversion"/>
  </si>
  <si>
    <r>
      <t>V</t>
    </r>
    <r>
      <rPr>
        <vertAlign val="subscript"/>
        <sz val="11"/>
        <color theme="1"/>
        <rFont val="Arial"/>
        <family val="2"/>
      </rPr>
      <t xml:space="preserve">BUR </t>
    </r>
    <r>
      <rPr>
        <sz val="11"/>
        <color theme="1"/>
        <rFont val="Arial"/>
        <family val="2"/>
      </rPr>
      <t>=</t>
    </r>
    <phoneticPr fontId="25" type="noConversion"/>
  </si>
  <si>
    <t>V</t>
    <phoneticPr fontId="25" type="noConversion"/>
  </si>
  <si>
    <t>C3216JB1E336M160AC</t>
    <phoneticPr fontId="25" type="noConversion"/>
  </si>
  <si>
    <t>from the datasheet</t>
    <phoneticPr fontId="25" type="noConversion"/>
  </si>
  <si>
    <t>Minimum Recommended Secondary Turns</t>
    <phoneticPr fontId="25" type="noConversion"/>
  </si>
  <si>
    <t>Ns</t>
    <phoneticPr fontId="25" type="noConversion"/>
  </si>
  <si>
    <t>Vbur2</t>
    <phoneticPr fontId="25" type="noConversion"/>
  </si>
  <si>
    <t>V</t>
    <phoneticPr fontId="25" type="noConversion"/>
  </si>
  <si>
    <t>RBUR2</t>
    <phoneticPr fontId="25" type="noConversion"/>
  </si>
  <si>
    <t>RBUR3</t>
    <phoneticPr fontId="25" type="noConversion"/>
  </si>
  <si>
    <t>RBUR1</t>
    <phoneticPr fontId="25" type="noConversion"/>
  </si>
  <si>
    <t>CDD2 Should use smaller value, if use extra circuit to reduce standby power loss (UCC28780EVM-002 use 0.044uF)</t>
    <phoneticPr fontId="25" type="noConversion"/>
  </si>
  <si>
    <t>1. More stable transient and ABM for lower Vo</t>
    <phoneticPr fontId="25" type="noConversion"/>
  </si>
  <si>
    <t>2. Lower average efficiency on lower Vo</t>
    <phoneticPr fontId="25" type="noConversion"/>
  </si>
  <si>
    <r>
      <t>Lower V</t>
    </r>
    <r>
      <rPr>
        <vertAlign val="subscript"/>
        <sz val="11"/>
        <color rgb="FFFF0000"/>
        <rFont val="Arial"/>
        <family val="2"/>
      </rPr>
      <t xml:space="preserve">BUR2 </t>
    </r>
    <r>
      <rPr>
        <sz val="11"/>
        <color rgb="FFFF0000"/>
        <rFont val="Arial"/>
        <family val="2"/>
      </rPr>
      <t>:</t>
    </r>
    <phoneticPr fontId="25" type="noConversion"/>
  </si>
  <si>
    <t>IPD60R180C7</t>
  </si>
  <si>
    <t>DC</t>
  </si>
  <si>
    <t>VBULK</t>
  </si>
  <si>
    <t>ns</t>
    <phoneticPr fontId="26" type="noConversion"/>
  </si>
  <si>
    <t>ds specs</t>
  </si>
  <si>
    <t>mV</t>
    <phoneticPr fontId="26" type="noConversion"/>
  </si>
  <si>
    <t>V</t>
    <phoneticPr fontId="26" type="noConversion"/>
  </si>
  <si>
    <t>A/A</t>
  </si>
  <si>
    <t>V/V</t>
  </si>
  <si>
    <t>V</t>
    <phoneticPr fontId="26" type="noConversion"/>
  </si>
  <si>
    <t>mA</t>
    <phoneticPr fontId="26" type="noConversion"/>
  </si>
  <si>
    <t>µs</t>
  </si>
  <si>
    <t>mA</t>
    <phoneticPr fontId="26" type="noConversion"/>
  </si>
  <si>
    <t>µA</t>
    <phoneticPr fontId="26" type="noConversion"/>
  </si>
  <si>
    <t>mV</t>
    <phoneticPr fontId="26" type="noConversion"/>
  </si>
  <si>
    <t>kHz</t>
    <phoneticPr fontId="26" type="noConversion"/>
  </si>
  <si>
    <t>kHz</t>
    <phoneticPr fontId="26" type="noConversion"/>
  </si>
  <si>
    <t>s</t>
    <phoneticPr fontId="26" type="noConversion"/>
  </si>
  <si>
    <r>
      <t>Time related output capacitance, C</t>
    </r>
    <r>
      <rPr>
        <vertAlign val="subscript"/>
        <sz val="11"/>
        <color theme="1"/>
        <rFont val="Arial"/>
        <family val="2"/>
      </rPr>
      <t>oss_QH_T</t>
    </r>
    <r>
      <rPr>
        <sz val="11"/>
        <color theme="1"/>
        <rFont val="Arial"/>
        <family val="2"/>
      </rPr>
      <t>=</t>
    </r>
  </si>
  <si>
    <t>1% tolerance</t>
  </si>
  <si>
    <t>UCC28780 ACTIVE-CLAMP FLYBACK DESIGN CALCULATOR</t>
  </si>
  <si>
    <r>
      <t xml:space="preserve">ALL </t>
    </r>
    <r>
      <rPr>
        <b/>
        <sz val="14"/>
        <color rgb="FF92D050"/>
        <rFont val="Arial"/>
        <family val="2"/>
      </rPr>
      <t>GREEN</t>
    </r>
    <r>
      <rPr>
        <b/>
        <sz val="14"/>
        <color theme="1"/>
        <rFont val="Arial"/>
        <family val="2"/>
      </rPr>
      <t xml:space="preserve"> CELLS ARE USER INPUTS</t>
    </r>
  </si>
  <si>
    <t>ATL431</t>
  </si>
  <si>
    <t>at  80°C ambient</t>
  </si>
  <si>
    <t>FODM8801A</t>
  </si>
  <si>
    <t>SLUC664B</t>
  </si>
  <si>
    <r>
      <t>WHERE APPLICABLE, A RECOMMENDED VALUE IS GIVEN THAT WILL BE THE BEST CHOICE TO MEET THE GIVEN SPECIFICATION.  IT IS IN THE BEST INTEREST OF THE USER TO USE A VALUE AS CLOSE AS POSSIBLE TO THE RECOMMENDED</t>
    </r>
    <r>
      <rPr>
        <sz val="11"/>
        <color rgb="FFFF00FF"/>
        <rFont val="Arial"/>
        <family val="2"/>
      </rPr>
      <t xml:space="preserve"> </t>
    </r>
    <r>
      <rPr>
        <sz val="11"/>
        <rFont val="Arial"/>
        <family val="2"/>
      </rPr>
      <t xml:space="preserve"> VALUE.  FOR ACCURATE RESULTS, THE USER MUST ENTER THE ACTUAL VALUE USED IN THE APPROPRIATE CELL.</t>
    </r>
  </si>
  <si>
    <t>Target frequency at maximum load, minimum line</t>
  </si>
  <si>
    <r>
      <rPr>
        <b/>
        <sz val="11"/>
        <rFont val="Arial"/>
        <family val="2"/>
      </rPr>
      <t>Recommended</t>
    </r>
    <r>
      <rPr>
        <sz val="11"/>
        <rFont val="Arial"/>
        <family val="2"/>
      </rPr>
      <t xml:space="preserve"> Input Capacitance, C</t>
    </r>
    <r>
      <rPr>
        <vertAlign val="subscript"/>
        <sz val="11"/>
        <color theme="1"/>
        <rFont val="Arial"/>
        <family val="2"/>
      </rPr>
      <t>BULK_rec</t>
    </r>
    <r>
      <rPr>
        <sz val="11"/>
        <color theme="1"/>
        <rFont val="Arial"/>
        <family val="2"/>
      </rPr>
      <t xml:space="preserve"> =</t>
    </r>
  </si>
  <si>
    <t xml:space="preserve">nA             </t>
  </si>
  <si>
    <t>Input Voltage Type, AC or DC</t>
  </si>
  <si>
    <t>Choose either AC or DC</t>
  </si>
  <si>
    <t>INPUT  SPECIFICATIONS</t>
  </si>
  <si>
    <t>Part Number</t>
  </si>
  <si>
    <t>BSC160N15NS5</t>
  </si>
  <si>
    <t>CDSOD323-T18</t>
  </si>
  <si>
    <t>BSS126</t>
  </si>
  <si>
    <t>CSFMT108-HF</t>
  </si>
  <si>
    <t>Voltage at which diode current is negligible</t>
  </si>
  <si>
    <t>Instantanous voltage</t>
  </si>
  <si>
    <t>µA</t>
  </si>
  <si>
    <t>V ds specs</t>
  </si>
  <si>
    <t>V   ds recommendation</t>
  </si>
  <si>
    <t>µA ds specs</t>
  </si>
  <si>
    <t>Frequency Compensation Network</t>
  </si>
  <si>
    <t>Ripple Regulation in ABM</t>
  </si>
  <si>
    <t>Loop Stability in AAM</t>
  </si>
  <si>
    <t>Auxillary to Secondary Turns Ratio:</t>
  </si>
  <si>
    <t>kΩ</t>
  </si>
  <si>
    <t>Vo_high</t>
  </si>
  <si>
    <t>Vo_low</t>
  </si>
  <si>
    <t>0.7V&lt;Vbur1&lt;2.4V</t>
  </si>
  <si>
    <t>0.7V&lt;Vbur2&lt;2.4V</t>
  </si>
  <si>
    <t>Vbur1</t>
  </si>
  <si>
    <t>Vbur1-Vbur2&gt;100 mV</t>
  </si>
  <si>
    <t>Naux1</t>
  </si>
  <si>
    <t>Naux2</t>
  </si>
  <si>
    <t>Naux1=NA</t>
  </si>
  <si>
    <t>Capacitance derating base on output voltage</t>
  </si>
  <si>
    <t>Co1 Used in Calculation</t>
  </si>
  <si>
    <t>DC Bias Derating at Design Vo</t>
  </si>
  <si>
    <t>Ω</t>
  </si>
  <si>
    <t>Additional Voltage Spike Higher than  VBULK(MAX)/NPS</t>
  </si>
  <si>
    <t>Voltage Above Reflected Output Voltage</t>
  </si>
  <si>
    <t>Estimate inductive spike voltage on output rectifier</t>
  </si>
  <si>
    <t>Estimate Duty Cycle Loss</t>
  </si>
  <si>
    <r>
      <t>N</t>
    </r>
    <r>
      <rPr>
        <vertAlign val="subscript"/>
        <sz val="12"/>
        <rFont val="Arial"/>
        <family val="2"/>
      </rPr>
      <t>PS_min</t>
    </r>
    <r>
      <rPr>
        <sz val="12"/>
        <rFont val="Arial"/>
        <family val="2"/>
      </rPr>
      <t xml:space="preserve"> =</t>
    </r>
  </si>
  <si>
    <r>
      <t>N</t>
    </r>
    <r>
      <rPr>
        <vertAlign val="subscript"/>
        <sz val="12"/>
        <rFont val="Arial"/>
        <family val="2"/>
      </rPr>
      <t>PS_max</t>
    </r>
    <r>
      <rPr>
        <sz val="12"/>
        <rFont val="Arial"/>
        <family val="2"/>
      </rPr>
      <t xml:space="preserve"> =</t>
    </r>
  </si>
  <si>
    <t>Select the primary turns target</t>
  </si>
  <si>
    <r>
      <t>VDD Supply for</t>
    </r>
    <r>
      <rPr>
        <b/>
        <i/>
        <sz val="12"/>
        <color theme="0"/>
        <rFont val="Arial"/>
        <family val="2"/>
      </rPr>
      <t xml:space="preserve"> Driver</t>
    </r>
  </si>
  <si>
    <r>
      <t>R</t>
    </r>
    <r>
      <rPr>
        <vertAlign val="subscript"/>
        <sz val="11"/>
        <color theme="1"/>
        <rFont val="Arial"/>
        <family val="2"/>
      </rPr>
      <t>BLEED_rec</t>
    </r>
    <r>
      <rPr>
        <sz val="11"/>
        <color theme="1"/>
        <rFont val="Arial"/>
        <family val="2"/>
      </rPr>
      <t xml:space="preserve"> =</t>
    </r>
  </si>
  <si>
    <t>%</t>
  </si>
  <si>
    <t>Target effeciency at maximum load, minimum line</t>
  </si>
  <si>
    <t>Turns</t>
  </si>
  <si>
    <t xml:space="preserve">Turns </t>
  </si>
  <si>
    <t>Multi-Level Burst Mode Threshold Calculations for USB-PD Applications</t>
  </si>
  <si>
    <t>(with Aux-winding structure shown below)</t>
  </si>
  <si>
    <t>Affects standby power</t>
  </si>
  <si>
    <t>Brown-out (Instantanous voltage)</t>
  </si>
  <si>
    <t>Brown-in (Instantanous voltage)</t>
  </si>
  <si>
    <t>Burst is normally set at high line (Instantanous voltage)</t>
  </si>
  <si>
    <r>
      <t>Brown-out Input Voltage, V</t>
    </r>
    <r>
      <rPr>
        <vertAlign val="subscript"/>
        <sz val="11"/>
        <rFont val="Arial"/>
        <family val="2"/>
      </rPr>
      <t>In_Brownout</t>
    </r>
    <r>
      <rPr>
        <sz val="11"/>
        <rFont val="Arial"/>
        <family val="2"/>
      </rPr>
      <t xml:space="preserve"> =</t>
    </r>
  </si>
  <si>
    <r>
      <t>Brown-in Input Voltage, V</t>
    </r>
    <r>
      <rPr>
        <vertAlign val="subscript"/>
        <sz val="11"/>
        <rFont val="Arial"/>
        <family val="2"/>
      </rPr>
      <t>In_Brownin</t>
    </r>
    <r>
      <rPr>
        <sz val="11"/>
        <rFont val="Arial"/>
        <family val="2"/>
      </rPr>
      <t xml:space="preserve"> =</t>
    </r>
  </si>
  <si>
    <r>
      <t>Maximum Line Input Voltage, V</t>
    </r>
    <r>
      <rPr>
        <vertAlign val="subscript"/>
        <sz val="11"/>
        <rFont val="Arial"/>
        <family val="2"/>
      </rPr>
      <t>In_max</t>
    </r>
    <r>
      <rPr>
        <sz val="11"/>
        <rFont val="Arial"/>
        <family val="2"/>
      </rPr>
      <t xml:space="preserve"> =</t>
    </r>
  </si>
  <si>
    <r>
      <t>Input Voltage BUR, V</t>
    </r>
    <r>
      <rPr>
        <vertAlign val="subscript"/>
        <sz val="11"/>
        <rFont val="Arial"/>
        <family val="2"/>
      </rPr>
      <t>In_BUR</t>
    </r>
    <r>
      <rPr>
        <sz val="11"/>
        <rFont val="Arial"/>
        <family val="2"/>
      </rPr>
      <t xml:space="preserve"> =</t>
    </r>
  </si>
  <si>
    <r>
      <t>Minimum Bulk Voltage, V</t>
    </r>
    <r>
      <rPr>
        <vertAlign val="subscript"/>
        <sz val="11"/>
        <rFont val="Arial"/>
        <family val="2"/>
      </rPr>
      <t>Bulk_min</t>
    </r>
    <r>
      <rPr>
        <sz val="11"/>
        <rFont val="Arial"/>
        <family val="2"/>
      </rPr>
      <t xml:space="preserve"> =</t>
    </r>
  </si>
  <si>
    <r>
      <t>Minimum Line Input Voltage, V</t>
    </r>
    <r>
      <rPr>
        <vertAlign val="subscript"/>
        <sz val="11"/>
        <rFont val="Arial"/>
        <family val="2"/>
      </rPr>
      <t>In_min</t>
    </r>
    <r>
      <rPr>
        <sz val="11"/>
        <rFont val="Arial"/>
        <family val="2"/>
      </rPr>
      <t xml:space="preserve"> =</t>
    </r>
  </si>
  <si>
    <r>
      <t>Minimum Line Frequency, f</t>
    </r>
    <r>
      <rPr>
        <vertAlign val="subscript"/>
        <sz val="11"/>
        <rFont val="Arial"/>
        <family val="2"/>
      </rPr>
      <t>LINE_min</t>
    </r>
    <r>
      <rPr>
        <sz val="11"/>
        <rFont val="Arial"/>
        <family val="2"/>
      </rPr>
      <t xml:space="preserve"> =</t>
    </r>
  </si>
  <si>
    <r>
      <t>Minimum Switching Frequency, f</t>
    </r>
    <r>
      <rPr>
        <vertAlign val="subscript"/>
        <sz val="11"/>
        <rFont val="Arial"/>
        <family val="2"/>
      </rPr>
      <t>SW_min</t>
    </r>
    <r>
      <rPr>
        <sz val="11"/>
        <rFont val="Arial"/>
        <family val="2"/>
      </rPr>
      <t>=</t>
    </r>
  </si>
  <si>
    <r>
      <t xml:space="preserve">Miniumum Effeciency, </t>
    </r>
    <r>
      <rPr>
        <sz val="12"/>
        <rFont val="Arial"/>
        <family val="2"/>
      </rPr>
      <t>η</t>
    </r>
    <r>
      <rPr>
        <sz val="7"/>
        <rFont val="Arial"/>
        <family val="2"/>
      </rPr>
      <t>_min</t>
    </r>
    <r>
      <rPr>
        <sz val="11"/>
        <rFont val="Arial"/>
        <family val="2"/>
      </rPr>
      <t>=</t>
    </r>
  </si>
  <si>
    <r>
      <t>Nominal Output Voltage, V</t>
    </r>
    <r>
      <rPr>
        <vertAlign val="subscript"/>
        <sz val="11"/>
        <rFont val="Arial"/>
        <family val="2"/>
      </rPr>
      <t>OUT</t>
    </r>
    <r>
      <rPr>
        <sz val="11"/>
        <rFont val="Arial"/>
        <family val="2"/>
      </rPr>
      <t xml:space="preserve"> =</t>
    </r>
  </si>
  <si>
    <r>
      <t>Full Load Output Power, P</t>
    </r>
    <r>
      <rPr>
        <vertAlign val="subscript"/>
        <sz val="11"/>
        <rFont val="Arial"/>
        <family val="2"/>
      </rPr>
      <t>O_FL</t>
    </r>
    <r>
      <rPr>
        <sz val="11"/>
        <rFont val="Arial"/>
        <family val="2"/>
      </rPr>
      <t xml:space="preserve"> =</t>
    </r>
  </si>
  <si>
    <r>
      <t>Full Load Rated Output Current, I</t>
    </r>
    <r>
      <rPr>
        <vertAlign val="subscript"/>
        <sz val="11"/>
        <rFont val="Arial"/>
        <family val="2"/>
      </rPr>
      <t>OUT</t>
    </r>
    <r>
      <rPr>
        <sz val="11"/>
        <rFont val="Arial"/>
        <family val="2"/>
      </rPr>
      <t xml:space="preserve"> =</t>
    </r>
  </si>
  <si>
    <r>
      <t>Minimum Crossover Frequency, F</t>
    </r>
    <r>
      <rPr>
        <vertAlign val="subscript"/>
        <sz val="11"/>
        <rFont val="Arial"/>
        <family val="2"/>
      </rPr>
      <t>cr_min</t>
    </r>
    <r>
      <rPr>
        <sz val="11"/>
        <rFont val="Arial"/>
        <family val="2"/>
      </rPr>
      <t xml:space="preserve"> =</t>
    </r>
  </si>
  <si>
    <r>
      <t>Estimated High Line Burst Frequency, f</t>
    </r>
    <r>
      <rPr>
        <vertAlign val="subscript"/>
        <sz val="11"/>
        <rFont val="Arial"/>
        <family val="2"/>
      </rPr>
      <t>BUR_standby</t>
    </r>
    <r>
      <rPr>
        <sz val="11"/>
        <rFont val="Arial"/>
        <family val="2"/>
      </rPr>
      <t xml:space="preserve"> =</t>
    </r>
  </si>
  <si>
    <r>
      <t>Derating Coefficient for QL and QH, K</t>
    </r>
    <r>
      <rPr>
        <vertAlign val="subscript"/>
        <sz val="11"/>
        <rFont val="Arial"/>
        <family val="2"/>
      </rPr>
      <t>der</t>
    </r>
    <r>
      <rPr>
        <sz val="11"/>
        <rFont val="Arial"/>
        <family val="2"/>
      </rPr>
      <t xml:space="preserve"> =</t>
    </r>
  </si>
  <si>
    <r>
      <t>Required Drain to Source Voltage Rating , V</t>
    </r>
    <r>
      <rPr>
        <vertAlign val="subscript"/>
        <sz val="11"/>
        <rFont val="Arial"/>
        <family val="2"/>
      </rPr>
      <t>DS_rec</t>
    </r>
    <r>
      <rPr>
        <sz val="11"/>
        <rFont val="Arial"/>
        <family val="2"/>
      </rPr>
      <t xml:space="preserve"> =</t>
    </r>
  </si>
  <si>
    <r>
      <t>MOSFET Rated Drain to Source Voltage, V</t>
    </r>
    <r>
      <rPr>
        <vertAlign val="subscript"/>
        <sz val="11"/>
        <rFont val="Arial"/>
        <family val="2"/>
      </rPr>
      <t>DS_act</t>
    </r>
    <r>
      <rPr>
        <sz val="11"/>
        <rFont val="Arial"/>
        <family val="2"/>
      </rPr>
      <t xml:space="preserve"> =</t>
    </r>
  </si>
  <si>
    <r>
      <rPr>
        <b/>
        <sz val="11"/>
        <rFont val="Arial"/>
        <family val="2"/>
      </rPr>
      <t xml:space="preserve">Actual </t>
    </r>
    <r>
      <rPr>
        <sz val="11"/>
        <rFont val="Arial"/>
        <family val="2"/>
      </rPr>
      <t>Input Capacitance, C</t>
    </r>
    <r>
      <rPr>
        <vertAlign val="subscript"/>
        <sz val="11"/>
        <rFont val="Arial"/>
        <family val="2"/>
      </rPr>
      <t>BULK_act</t>
    </r>
    <r>
      <rPr>
        <sz val="11"/>
        <rFont val="Arial"/>
        <family val="2"/>
      </rPr>
      <t xml:space="preserve"> =</t>
    </r>
  </si>
  <si>
    <r>
      <t>Input Capacitance Used in Calculations, C</t>
    </r>
    <r>
      <rPr>
        <vertAlign val="subscript"/>
        <sz val="11"/>
        <rFont val="Arial"/>
        <family val="2"/>
      </rPr>
      <t>BULK</t>
    </r>
    <r>
      <rPr>
        <sz val="11"/>
        <rFont val="Arial"/>
        <family val="2"/>
      </rPr>
      <t xml:space="preserve"> =</t>
    </r>
  </si>
  <si>
    <r>
      <t>Minimum Voltage Rating, V</t>
    </r>
    <r>
      <rPr>
        <vertAlign val="subscript"/>
        <sz val="11"/>
        <rFont val="Arial"/>
        <family val="2"/>
      </rPr>
      <t xml:space="preserve">cin_rated </t>
    </r>
    <r>
      <rPr>
        <sz val="11"/>
        <rFont val="Arial"/>
        <family val="2"/>
      </rPr>
      <t>=</t>
    </r>
  </si>
  <si>
    <r>
      <t>C</t>
    </r>
    <r>
      <rPr>
        <vertAlign val="subscript"/>
        <sz val="11"/>
        <rFont val="Arial"/>
        <family val="2"/>
      </rPr>
      <t>OUT2</t>
    </r>
    <r>
      <rPr>
        <sz val="11"/>
        <rFont val="Arial"/>
        <family val="2"/>
      </rPr>
      <t xml:space="preserve"> Parasistic Resistor, R</t>
    </r>
    <r>
      <rPr>
        <vertAlign val="subscript"/>
        <sz val="11"/>
        <rFont val="Arial"/>
        <family val="2"/>
      </rPr>
      <t>CO2</t>
    </r>
    <r>
      <rPr>
        <sz val="11"/>
        <rFont val="Arial"/>
        <family val="2"/>
      </rPr>
      <t xml:space="preserve"> =</t>
    </r>
  </si>
  <si>
    <r>
      <t>Voltage Drop During Transient, V</t>
    </r>
    <r>
      <rPr>
        <vertAlign val="subscript"/>
        <sz val="11"/>
        <rFont val="Arial"/>
        <family val="2"/>
      </rPr>
      <t>o_drop</t>
    </r>
    <r>
      <rPr>
        <sz val="11"/>
        <rFont val="Arial"/>
        <family val="2"/>
      </rPr>
      <t xml:space="preserve"> =</t>
    </r>
  </si>
  <si>
    <r>
      <t>Output Capacitance Used in Calculations, C</t>
    </r>
    <r>
      <rPr>
        <vertAlign val="subscript"/>
        <sz val="11"/>
        <rFont val="Arial"/>
        <family val="2"/>
      </rPr>
      <t>OUT</t>
    </r>
    <r>
      <rPr>
        <sz val="11"/>
        <rFont val="Arial"/>
        <family val="2"/>
      </rPr>
      <t xml:space="preserve"> =</t>
    </r>
  </si>
  <si>
    <r>
      <t>m</t>
    </r>
    <r>
      <rPr>
        <sz val="11"/>
        <rFont val="Calibri"/>
        <family val="2"/>
      </rPr>
      <t>Ω</t>
    </r>
  </si>
  <si>
    <r>
      <t>Voltage Derating Coefficient for SR, K</t>
    </r>
    <r>
      <rPr>
        <vertAlign val="subscript"/>
        <sz val="11"/>
        <rFont val="Arial"/>
        <family val="2"/>
      </rPr>
      <t>der_SR</t>
    </r>
    <r>
      <rPr>
        <sz val="11"/>
        <rFont val="Arial"/>
        <family val="2"/>
      </rPr>
      <t xml:space="preserve"> =</t>
    </r>
  </si>
  <si>
    <r>
      <t>Required Drain to Soure Voltage Rating , V</t>
    </r>
    <r>
      <rPr>
        <vertAlign val="subscript"/>
        <sz val="11"/>
        <rFont val="Arial"/>
        <family val="2"/>
      </rPr>
      <t>SR_rec</t>
    </r>
    <r>
      <rPr>
        <sz val="11"/>
        <rFont val="Arial"/>
        <family val="2"/>
      </rPr>
      <t xml:space="preserve"> =</t>
    </r>
  </si>
  <si>
    <r>
      <t>MOSFET Rated Drain to Source Voltage, V</t>
    </r>
    <r>
      <rPr>
        <vertAlign val="subscript"/>
        <sz val="11"/>
        <rFont val="Arial"/>
        <family val="2"/>
      </rPr>
      <t>SR_act</t>
    </r>
    <r>
      <rPr>
        <sz val="11"/>
        <rFont val="Arial"/>
        <family val="2"/>
      </rPr>
      <t xml:space="preserve"> =</t>
    </r>
  </si>
  <si>
    <r>
      <t>Output Capacitance of Selected MOSFET Big-C Below V</t>
    </r>
    <r>
      <rPr>
        <vertAlign val="subscript"/>
        <sz val="11"/>
        <rFont val="Arial"/>
        <family val="2"/>
      </rPr>
      <t>x_SR</t>
    </r>
    <r>
      <rPr>
        <sz val="11"/>
        <rFont val="Arial"/>
        <family val="2"/>
      </rPr>
      <t>, C</t>
    </r>
    <r>
      <rPr>
        <vertAlign val="subscript"/>
        <sz val="11"/>
        <rFont val="Arial"/>
        <family val="2"/>
      </rPr>
      <t xml:space="preserve">oss_SR_bg </t>
    </r>
    <r>
      <rPr>
        <sz val="11"/>
        <rFont val="Arial"/>
        <family val="2"/>
      </rPr>
      <t>=</t>
    </r>
  </si>
  <si>
    <r>
      <t>Output Capacitance of Selected MOSFET Small-C Above V</t>
    </r>
    <r>
      <rPr>
        <vertAlign val="subscript"/>
        <sz val="11"/>
        <rFont val="Arial"/>
        <family val="2"/>
      </rPr>
      <t>x_SR</t>
    </r>
    <r>
      <rPr>
        <sz val="11"/>
        <rFont val="Arial"/>
        <family val="2"/>
      </rPr>
      <t>, C</t>
    </r>
    <r>
      <rPr>
        <vertAlign val="subscript"/>
        <sz val="11"/>
        <rFont val="Arial"/>
        <family val="2"/>
      </rPr>
      <t xml:space="preserve">oss_SR_sm </t>
    </r>
    <r>
      <rPr>
        <sz val="11"/>
        <rFont val="Arial"/>
        <family val="2"/>
      </rPr>
      <t>=</t>
    </r>
  </si>
  <si>
    <r>
      <t>Time related output capacitance, C</t>
    </r>
    <r>
      <rPr>
        <vertAlign val="subscript"/>
        <sz val="11"/>
        <rFont val="Arial"/>
        <family val="2"/>
      </rPr>
      <t>OSS_SR_T</t>
    </r>
  </si>
  <si>
    <r>
      <t>Output Capacitance During High Voltage, C</t>
    </r>
    <r>
      <rPr>
        <vertAlign val="subscript"/>
        <sz val="11"/>
        <rFont val="Arial"/>
        <family val="2"/>
      </rPr>
      <t>OSS_SR_H</t>
    </r>
    <r>
      <rPr>
        <sz val="11"/>
        <rFont val="Arial"/>
        <family val="2"/>
      </rPr>
      <t>=</t>
    </r>
  </si>
  <si>
    <r>
      <t>Forward Voltage of Output Rectifier, V</t>
    </r>
    <r>
      <rPr>
        <vertAlign val="subscript"/>
        <sz val="11"/>
        <rFont val="Arial"/>
        <family val="2"/>
      </rPr>
      <t>f_SR</t>
    </r>
    <r>
      <rPr>
        <sz val="11"/>
        <rFont val="Arial"/>
        <family val="2"/>
      </rPr>
      <t>=</t>
    </r>
  </si>
  <si>
    <r>
      <t>Maximum Rectifier Current, I</t>
    </r>
    <r>
      <rPr>
        <vertAlign val="subscript"/>
        <sz val="11"/>
        <rFont val="Arial"/>
        <family val="2"/>
      </rPr>
      <t>D_SR_max</t>
    </r>
    <r>
      <rPr>
        <sz val="11"/>
        <rFont val="Arial"/>
        <family val="2"/>
      </rPr>
      <t>=</t>
    </r>
  </si>
  <si>
    <t>Pulsed current</t>
  </si>
  <si>
    <r>
      <t>Collector Emitter Saturation Voltage, V</t>
    </r>
    <r>
      <rPr>
        <vertAlign val="subscript"/>
        <sz val="11"/>
        <rFont val="Arial"/>
        <family val="2"/>
      </rPr>
      <t>CE_sat_opto</t>
    </r>
    <r>
      <rPr>
        <sz val="11"/>
        <rFont val="Arial"/>
        <family val="2"/>
      </rPr>
      <t>=</t>
    </r>
  </si>
  <si>
    <r>
      <t>Normal Forward Voltage, V</t>
    </r>
    <r>
      <rPr>
        <vertAlign val="subscript"/>
        <sz val="11"/>
        <rFont val="Arial"/>
        <family val="2"/>
      </rPr>
      <t>D_LED</t>
    </r>
    <r>
      <rPr>
        <sz val="11"/>
        <rFont val="Arial"/>
        <family val="2"/>
      </rPr>
      <t>=</t>
    </r>
  </si>
  <si>
    <r>
      <t>Diode Voltage @ Diode current&lt;1µA, V</t>
    </r>
    <r>
      <rPr>
        <vertAlign val="subscript"/>
        <sz val="11"/>
        <rFont val="Arial"/>
        <family val="2"/>
      </rPr>
      <t>D_LED</t>
    </r>
    <r>
      <rPr>
        <sz val="11"/>
        <rFont val="Arial"/>
        <family val="2"/>
      </rPr>
      <t>=</t>
    </r>
  </si>
  <si>
    <r>
      <t>Cut Off Frequency, f</t>
    </r>
    <r>
      <rPr>
        <vertAlign val="subscript"/>
        <sz val="11"/>
        <rFont val="Arial"/>
        <family val="2"/>
      </rPr>
      <t>p_opto</t>
    </r>
    <r>
      <rPr>
        <sz val="11"/>
        <rFont val="Arial"/>
        <family val="2"/>
      </rPr>
      <t>=</t>
    </r>
  </si>
  <si>
    <r>
      <t>Maximum Current Transfer Ratio, C</t>
    </r>
    <r>
      <rPr>
        <vertAlign val="subscript"/>
        <sz val="11"/>
        <rFont val="Arial"/>
        <family val="2"/>
      </rPr>
      <t>TRmax</t>
    </r>
    <r>
      <rPr>
        <sz val="11"/>
        <rFont val="Arial"/>
        <family val="2"/>
      </rPr>
      <t>=</t>
    </r>
  </si>
  <si>
    <r>
      <t>Minimum Current Transfer Ratio, C</t>
    </r>
    <r>
      <rPr>
        <vertAlign val="subscript"/>
        <sz val="11"/>
        <rFont val="Arial"/>
        <family val="2"/>
      </rPr>
      <t>TRmin</t>
    </r>
    <r>
      <rPr>
        <sz val="11"/>
        <rFont val="Arial"/>
        <family val="2"/>
      </rPr>
      <t>=</t>
    </r>
  </si>
  <si>
    <r>
      <t>CTR During High Temperature, K</t>
    </r>
    <r>
      <rPr>
        <vertAlign val="subscript"/>
        <sz val="11"/>
        <rFont val="Arial"/>
        <family val="2"/>
      </rPr>
      <t>CTR_Temp</t>
    </r>
    <r>
      <rPr>
        <sz val="11"/>
        <rFont val="Arial"/>
        <family val="2"/>
      </rPr>
      <t>=</t>
    </r>
  </si>
  <si>
    <r>
      <t>Recommended Minimum Breakdown Voltage, V</t>
    </r>
    <r>
      <rPr>
        <vertAlign val="subscript"/>
        <sz val="11"/>
        <rFont val="Arial"/>
        <family val="2"/>
      </rPr>
      <t>Dz_rec</t>
    </r>
    <r>
      <rPr>
        <sz val="11"/>
        <rFont val="Arial"/>
        <family val="2"/>
      </rPr>
      <t xml:space="preserve"> =</t>
    </r>
  </si>
  <si>
    <r>
      <t>Typical Capacitance, C</t>
    </r>
    <r>
      <rPr>
        <vertAlign val="subscript"/>
        <sz val="11"/>
        <rFont val="Arial"/>
        <family val="2"/>
      </rPr>
      <t xml:space="preserve">Dz </t>
    </r>
    <r>
      <rPr>
        <sz val="11"/>
        <rFont val="Arial"/>
        <family val="2"/>
      </rPr>
      <t>=</t>
    </r>
  </si>
  <si>
    <t>Typical VDD Turn off Threshold</t>
  </si>
  <si>
    <t xml:space="preserve">kΩ                </t>
  </si>
  <si>
    <r>
      <t>N</t>
    </r>
    <r>
      <rPr>
        <vertAlign val="subscript"/>
        <sz val="11"/>
        <rFont val="Arial"/>
        <family val="2"/>
      </rPr>
      <t xml:space="preserve">PS </t>
    </r>
    <r>
      <rPr>
        <sz val="11"/>
        <rFont val="Arial"/>
        <family val="2"/>
      </rPr>
      <t>=</t>
    </r>
  </si>
  <si>
    <r>
      <t>N</t>
    </r>
    <r>
      <rPr>
        <sz val="7"/>
        <rFont val="Arial"/>
        <family val="2"/>
      </rPr>
      <t>PS_min</t>
    </r>
    <r>
      <rPr>
        <sz val="11"/>
        <rFont val="Arial"/>
        <family val="2"/>
      </rPr>
      <t>&lt;N</t>
    </r>
    <r>
      <rPr>
        <sz val="7"/>
        <rFont val="Arial"/>
        <family val="2"/>
      </rPr>
      <t>PS</t>
    </r>
    <r>
      <rPr>
        <sz val="11"/>
        <rFont val="Arial"/>
        <family val="2"/>
      </rPr>
      <t>&lt;N</t>
    </r>
    <r>
      <rPr>
        <sz val="7"/>
        <rFont val="Arial"/>
        <family val="2"/>
      </rPr>
      <t>PS_max</t>
    </r>
    <r>
      <rPr>
        <sz val="11"/>
        <rFont val="Arial"/>
        <family val="2"/>
      </rPr>
      <t xml:space="preserve"> </t>
    </r>
  </si>
  <si>
    <r>
      <t>N</t>
    </r>
    <r>
      <rPr>
        <vertAlign val="subscript"/>
        <sz val="11"/>
        <rFont val="Arial"/>
        <family val="2"/>
      </rPr>
      <t>P</t>
    </r>
    <r>
      <rPr>
        <sz val="11"/>
        <rFont val="Arial"/>
        <family val="2"/>
      </rPr>
      <t xml:space="preserve"> =</t>
    </r>
  </si>
  <si>
    <r>
      <t>N</t>
    </r>
    <r>
      <rPr>
        <vertAlign val="subscript"/>
        <sz val="11"/>
        <rFont val="Arial"/>
        <family val="2"/>
      </rPr>
      <t>S_rec</t>
    </r>
    <r>
      <rPr>
        <sz val="11"/>
        <rFont val="Arial"/>
        <family val="2"/>
      </rPr>
      <t xml:space="preserve"> =</t>
    </r>
  </si>
  <si>
    <r>
      <t>N</t>
    </r>
    <r>
      <rPr>
        <vertAlign val="subscript"/>
        <sz val="11"/>
        <rFont val="Arial"/>
        <family val="2"/>
      </rPr>
      <t>S</t>
    </r>
    <r>
      <rPr>
        <sz val="11"/>
        <rFont val="Arial"/>
        <family val="2"/>
      </rPr>
      <t xml:space="preserve"> =</t>
    </r>
  </si>
  <si>
    <r>
      <rPr>
        <b/>
        <sz val="11"/>
        <rFont val="Arial"/>
        <family val="2"/>
      </rPr>
      <t>Minimum</t>
    </r>
    <r>
      <rPr>
        <sz val="11"/>
        <rFont val="Arial"/>
        <family val="2"/>
      </rPr>
      <t xml:space="preserve"> Auxiliary Winding Turns</t>
    </r>
  </si>
  <si>
    <r>
      <t>N</t>
    </r>
    <r>
      <rPr>
        <vertAlign val="subscript"/>
        <sz val="11"/>
        <rFont val="Arial"/>
        <family val="2"/>
      </rPr>
      <t>A_min</t>
    </r>
    <r>
      <rPr>
        <sz val="11"/>
        <rFont val="Arial"/>
        <family val="2"/>
      </rPr>
      <t xml:space="preserve"> =</t>
    </r>
  </si>
  <si>
    <r>
      <rPr>
        <b/>
        <sz val="11"/>
        <rFont val="Arial"/>
        <family val="2"/>
      </rPr>
      <t>Maximum</t>
    </r>
    <r>
      <rPr>
        <sz val="11"/>
        <rFont val="Arial"/>
        <family val="2"/>
      </rPr>
      <t xml:space="preserve"> Auxiliary Winding Turns</t>
    </r>
  </si>
  <si>
    <r>
      <t>N</t>
    </r>
    <r>
      <rPr>
        <vertAlign val="subscript"/>
        <sz val="11"/>
        <rFont val="Arial"/>
        <family val="2"/>
      </rPr>
      <t>A_max</t>
    </r>
    <r>
      <rPr>
        <sz val="11"/>
        <rFont val="Arial"/>
        <family val="2"/>
      </rPr>
      <t xml:space="preserve"> =</t>
    </r>
  </si>
  <si>
    <t>Auxiliary Winding Turns Used in Calculations</t>
  </si>
  <si>
    <r>
      <t>N</t>
    </r>
    <r>
      <rPr>
        <vertAlign val="subscript"/>
        <sz val="11"/>
        <rFont val="Arial"/>
        <family val="2"/>
      </rPr>
      <t>A</t>
    </r>
    <r>
      <rPr>
        <sz val="11"/>
        <rFont val="Arial"/>
        <family val="2"/>
      </rPr>
      <t xml:space="preserve"> =</t>
    </r>
  </si>
  <si>
    <r>
      <t>N</t>
    </r>
    <r>
      <rPr>
        <sz val="7"/>
        <rFont val="Arial"/>
        <family val="2"/>
      </rPr>
      <t xml:space="preserve">A_min </t>
    </r>
    <r>
      <rPr>
        <sz val="11"/>
        <rFont val="Arial"/>
        <family val="2"/>
      </rPr>
      <t>&lt;NA&lt;N</t>
    </r>
    <r>
      <rPr>
        <sz val="7"/>
        <rFont val="Arial"/>
        <family val="2"/>
      </rPr>
      <t xml:space="preserve">A_max </t>
    </r>
  </si>
  <si>
    <r>
      <t>V</t>
    </r>
    <r>
      <rPr>
        <vertAlign val="subscript"/>
        <sz val="11"/>
        <rFont val="Arial"/>
        <family val="2"/>
      </rPr>
      <t>Rfl</t>
    </r>
    <r>
      <rPr>
        <sz val="11"/>
        <rFont val="Arial"/>
        <family val="2"/>
      </rPr>
      <t xml:space="preserve"> =</t>
    </r>
  </si>
  <si>
    <r>
      <t>D</t>
    </r>
    <r>
      <rPr>
        <vertAlign val="subscript"/>
        <sz val="11"/>
        <rFont val="Arial"/>
        <family val="2"/>
      </rPr>
      <t>_max</t>
    </r>
    <r>
      <rPr>
        <sz val="11"/>
        <rFont val="Arial"/>
        <family val="2"/>
      </rPr>
      <t xml:space="preserve"> =</t>
    </r>
  </si>
  <si>
    <r>
      <rPr>
        <b/>
        <sz val="11"/>
        <rFont val="Arial"/>
        <family val="2"/>
      </rPr>
      <t>Recommended</t>
    </r>
    <r>
      <rPr>
        <sz val="11"/>
        <rFont val="Arial"/>
        <family val="2"/>
      </rPr>
      <t xml:space="preserve"> Magnetizing Inductance </t>
    </r>
  </si>
  <si>
    <r>
      <t>L</t>
    </r>
    <r>
      <rPr>
        <vertAlign val="subscript"/>
        <sz val="11"/>
        <rFont val="Arial"/>
        <family val="2"/>
      </rPr>
      <t>M_recommended</t>
    </r>
    <r>
      <rPr>
        <sz val="11"/>
        <rFont val="Arial"/>
        <family val="2"/>
      </rPr>
      <t xml:space="preserve"> =</t>
    </r>
  </si>
  <si>
    <r>
      <rPr>
        <b/>
        <sz val="11"/>
        <rFont val="Arial"/>
        <family val="2"/>
      </rPr>
      <t>Actual</t>
    </r>
    <r>
      <rPr>
        <sz val="11"/>
        <rFont val="Arial"/>
        <family val="2"/>
      </rPr>
      <t xml:space="preserve"> Magnetizing Inductance </t>
    </r>
  </si>
  <si>
    <r>
      <t>L</t>
    </r>
    <r>
      <rPr>
        <vertAlign val="subscript"/>
        <sz val="11"/>
        <rFont val="Arial"/>
        <family val="2"/>
      </rPr>
      <t xml:space="preserve">M_actual </t>
    </r>
    <r>
      <rPr>
        <sz val="11"/>
        <rFont val="Arial"/>
        <family val="2"/>
      </rPr>
      <t>=</t>
    </r>
  </si>
  <si>
    <r>
      <t>L</t>
    </r>
    <r>
      <rPr>
        <vertAlign val="subscript"/>
        <sz val="11"/>
        <rFont val="Arial"/>
        <family val="2"/>
      </rPr>
      <t>M</t>
    </r>
    <r>
      <rPr>
        <sz val="11"/>
        <rFont val="Arial"/>
        <family val="2"/>
      </rPr>
      <t xml:space="preserve"> =</t>
    </r>
  </si>
  <si>
    <r>
      <t>L</t>
    </r>
    <r>
      <rPr>
        <vertAlign val="subscript"/>
        <sz val="11"/>
        <rFont val="Arial"/>
        <family val="2"/>
      </rPr>
      <t>K_actual</t>
    </r>
    <r>
      <rPr>
        <sz val="11"/>
        <rFont val="Arial"/>
        <family val="2"/>
      </rPr>
      <t>=</t>
    </r>
  </si>
  <si>
    <r>
      <t>η</t>
    </r>
    <r>
      <rPr>
        <vertAlign val="subscript"/>
        <sz val="11"/>
        <rFont val="Arial"/>
        <family val="2"/>
      </rPr>
      <t>XFMR</t>
    </r>
    <r>
      <rPr>
        <sz val="11"/>
        <rFont val="Arial"/>
        <family val="2"/>
      </rPr>
      <t xml:space="preserve"> =</t>
    </r>
  </si>
  <si>
    <r>
      <t>C</t>
    </r>
    <r>
      <rPr>
        <vertAlign val="subscript"/>
        <sz val="11"/>
        <rFont val="Arial"/>
        <family val="2"/>
      </rPr>
      <t>Tr</t>
    </r>
    <r>
      <rPr>
        <sz val="11"/>
        <rFont val="Arial"/>
        <family val="2"/>
      </rPr>
      <t xml:space="preserve"> =</t>
    </r>
  </si>
  <si>
    <r>
      <t>R</t>
    </r>
    <r>
      <rPr>
        <vertAlign val="subscript"/>
        <sz val="11"/>
        <rFont val="Arial"/>
        <family val="2"/>
      </rPr>
      <t>pri_dc</t>
    </r>
    <r>
      <rPr>
        <sz val="11"/>
        <rFont val="Arial"/>
        <family val="2"/>
      </rPr>
      <t xml:space="preserve"> =</t>
    </r>
  </si>
  <si>
    <r>
      <t>V</t>
    </r>
    <r>
      <rPr>
        <vertAlign val="subscript"/>
        <sz val="11"/>
        <rFont val="Arial"/>
        <family val="2"/>
      </rPr>
      <t>DD_off_typ</t>
    </r>
    <r>
      <rPr>
        <sz val="11"/>
        <rFont val="Arial"/>
        <family val="2"/>
      </rPr>
      <t xml:space="preserve"> =</t>
    </r>
  </si>
  <si>
    <r>
      <t>V</t>
    </r>
    <r>
      <rPr>
        <vertAlign val="subscript"/>
        <sz val="11"/>
        <rFont val="Arial"/>
        <family val="2"/>
      </rPr>
      <t>DD_on</t>
    </r>
    <r>
      <rPr>
        <sz val="11"/>
        <rFont val="Arial"/>
        <family val="2"/>
      </rPr>
      <t xml:space="preserve"> =</t>
    </r>
  </si>
  <si>
    <r>
      <t>V</t>
    </r>
    <r>
      <rPr>
        <vertAlign val="subscript"/>
        <sz val="11"/>
        <rFont val="Arial"/>
        <family val="2"/>
      </rPr>
      <t>DD_max</t>
    </r>
    <r>
      <rPr>
        <sz val="11"/>
        <rFont val="Arial"/>
        <family val="2"/>
      </rPr>
      <t xml:space="preserve"> =</t>
    </r>
  </si>
  <si>
    <r>
      <t>V</t>
    </r>
    <r>
      <rPr>
        <vertAlign val="subscript"/>
        <sz val="11"/>
        <rFont val="Arial"/>
        <family val="2"/>
      </rPr>
      <t>DD_PCT</t>
    </r>
    <r>
      <rPr>
        <sz val="11"/>
        <rFont val="Arial"/>
        <family val="2"/>
      </rPr>
      <t xml:space="preserve"> =</t>
    </r>
  </si>
  <si>
    <r>
      <t>I</t>
    </r>
    <r>
      <rPr>
        <vertAlign val="subscript"/>
        <sz val="11"/>
        <rFont val="Arial"/>
        <family val="2"/>
      </rPr>
      <t>VSL_run</t>
    </r>
    <r>
      <rPr>
        <sz val="11"/>
        <rFont val="Arial"/>
        <family val="2"/>
      </rPr>
      <t xml:space="preserve"> =</t>
    </r>
  </si>
  <si>
    <r>
      <t>V</t>
    </r>
    <r>
      <rPr>
        <vertAlign val="subscript"/>
        <sz val="11"/>
        <rFont val="Arial"/>
        <family val="2"/>
      </rPr>
      <t xml:space="preserve">VS_OVP </t>
    </r>
    <r>
      <rPr>
        <sz val="11"/>
        <rFont val="Arial"/>
        <family val="2"/>
      </rPr>
      <t>=</t>
    </r>
  </si>
  <si>
    <r>
      <t>t</t>
    </r>
    <r>
      <rPr>
        <vertAlign val="subscript"/>
        <sz val="11"/>
        <rFont val="Arial"/>
        <family val="2"/>
      </rPr>
      <t>D_CS</t>
    </r>
    <r>
      <rPr>
        <sz val="11"/>
        <rFont val="Arial"/>
        <family val="2"/>
      </rPr>
      <t xml:space="preserve"> =</t>
    </r>
  </si>
  <si>
    <r>
      <t xml:space="preserve"> V</t>
    </r>
    <r>
      <rPr>
        <vertAlign val="subscript"/>
        <sz val="11"/>
        <rFont val="Arial"/>
        <family val="2"/>
      </rPr>
      <t>CST_max</t>
    </r>
    <r>
      <rPr>
        <sz val="11"/>
        <rFont val="Arial"/>
        <family val="2"/>
      </rPr>
      <t xml:space="preserve"> =</t>
    </r>
  </si>
  <si>
    <r>
      <t xml:space="preserve"> V</t>
    </r>
    <r>
      <rPr>
        <vertAlign val="subscript"/>
        <sz val="11"/>
        <rFont val="Arial"/>
        <family val="2"/>
      </rPr>
      <t>CST_OPP1</t>
    </r>
    <r>
      <rPr>
        <sz val="11"/>
        <rFont val="Arial"/>
        <family val="2"/>
      </rPr>
      <t xml:space="preserve"> =</t>
    </r>
  </si>
  <si>
    <r>
      <t xml:space="preserve"> V</t>
    </r>
    <r>
      <rPr>
        <vertAlign val="subscript"/>
        <sz val="11"/>
        <rFont val="Arial"/>
        <family val="2"/>
      </rPr>
      <t>CST_OPP4</t>
    </r>
    <r>
      <rPr>
        <sz val="11"/>
        <rFont val="Arial"/>
        <family val="2"/>
      </rPr>
      <t xml:space="preserve"> =</t>
    </r>
  </si>
  <si>
    <r>
      <t xml:space="preserve"> V</t>
    </r>
    <r>
      <rPr>
        <vertAlign val="subscript"/>
        <sz val="11"/>
        <rFont val="Arial"/>
        <family val="2"/>
      </rPr>
      <t>hys_CS</t>
    </r>
    <r>
      <rPr>
        <sz val="11"/>
        <rFont val="Arial"/>
        <family val="2"/>
      </rPr>
      <t xml:space="preserve"> =</t>
    </r>
  </si>
  <si>
    <r>
      <t>V</t>
    </r>
    <r>
      <rPr>
        <vertAlign val="subscript"/>
        <sz val="11"/>
        <rFont val="Arial"/>
        <family val="2"/>
      </rPr>
      <t>s_clamp</t>
    </r>
    <r>
      <rPr>
        <sz val="11"/>
        <rFont val="Arial"/>
        <family val="2"/>
      </rPr>
      <t xml:space="preserve"> =</t>
    </r>
  </si>
  <si>
    <r>
      <t>K</t>
    </r>
    <r>
      <rPr>
        <vertAlign val="subscript"/>
        <sz val="11"/>
        <rFont val="Arial"/>
        <family val="2"/>
      </rPr>
      <t>LC</t>
    </r>
    <r>
      <rPr>
        <sz val="11"/>
        <rFont val="Arial"/>
        <family val="2"/>
      </rPr>
      <t xml:space="preserve"> =</t>
    </r>
  </si>
  <si>
    <r>
      <t>K</t>
    </r>
    <r>
      <rPr>
        <vertAlign val="subscript"/>
        <sz val="11"/>
        <rFont val="Arial"/>
        <family val="2"/>
      </rPr>
      <t>DM</t>
    </r>
    <r>
      <rPr>
        <sz val="11"/>
        <rFont val="Arial"/>
        <family val="2"/>
      </rPr>
      <t xml:space="preserve"> =</t>
    </r>
  </si>
  <si>
    <r>
      <t>F</t>
    </r>
    <r>
      <rPr>
        <vertAlign val="superscript"/>
        <sz val="11"/>
        <rFont val="Arial"/>
        <family val="2"/>
      </rPr>
      <t>-1</t>
    </r>
  </si>
  <si>
    <r>
      <t>Ratio from V</t>
    </r>
    <r>
      <rPr>
        <vertAlign val="subscript"/>
        <sz val="11"/>
        <rFont val="Arial"/>
        <family val="2"/>
      </rPr>
      <t>BUR</t>
    </r>
    <r>
      <rPr>
        <sz val="11"/>
        <rFont val="Arial"/>
        <family val="2"/>
      </rPr>
      <t xml:space="preserve"> to V</t>
    </r>
    <r>
      <rPr>
        <vertAlign val="subscript"/>
        <sz val="11"/>
        <rFont val="Arial"/>
        <family val="2"/>
      </rPr>
      <t>CST</t>
    </r>
    <r>
      <rPr>
        <sz val="11"/>
        <color theme="1"/>
        <rFont val="Arial"/>
        <family val="2"/>
      </rPr>
      <t/>
    </r>
  </si>
  <si>
    <r>
      <t>K</t>
    </r>
    <r>
      <rPr>
        <vertAlign val="subscript"/>
        <sz val="11"/>
        <rFont val="Arial"/>
        <family val="2"/>
      </rPr>
      <t>BUR_CST</t>
    </r>
    <r>
      <rPr>
        <sz val="11"/>
        <rFont val="Arial"/>
        <family val="2"/>
      </rPr>
      <t xml:space="preserve"> =</t>
    </r>
  </si>
  <si>
    <r>
      <t>V</t>
    </r>
    <r>
      <rPr>
        <vertAlign val="subscript"/>
        <sz val="11"/>
        <rFont val="Arial"/>
        <family val="2"/>
      </rPr>
      <t>HVG</t>
    </r>
    <r>
      <rPr>
        <sz val="11"/>
        <rFont val="Arial"/>
        <family val="2"/>
      </rPr>
      <t xml:space="preserve"> =</t>
    </r>
  </si>
  <si>
    <r>
      <t>I</t>
    </r>
    <r>
      <rPr>
        <vertAlign val="subscript"/>
        <sz val="11"/>
        <rFont val="Arial"/>
        <family val="2"/>
      </rPr>
      <t>RUN_VDD</t>
    </r>
    <r>
      <rPr>
        <sz val="11"/>
        <rFont val="Arial"/>
        <family val="2"/>
      </rPr>
      <t xml:space="preserve"> =</t>
    </r>
  </si>
  <si>
    <r>
      <t>I</t>
    </r>
    <r>
      <rPr>
        <vertAlign val="subscript"/>
        <sz val="11"/>
        <rFont val="Arial"/>
        <family val="2"/>
      </rPr>
      <t>wait_VDD</t>
    </r>
    <r>
      <rPr>
        <sz val="11"/>
        <rFont val="Arial"/>
        <family val="2"/>
      </rPr>
      <t xml:space="preserve"> =</t>
    </r>
  </si>
  <si>
    <r>
      <t xml:space="preserve"> t</t>
    </r>
    <r>
      <rPr>
        <vertAlign val="subscript"/>
        <sz val="11"/>
        <rFont val="Arial"/>
        <family val="2"/>
      </rPr>
      <t>D_RUN_PWML</t>
    </r>
    <r>
      <rPr>
        <sz val="11"/>
        <rFont val="Arial"/>
        <family val="2"/>
      </rPr>
      <t xml:space="preserve"> =</t>
    </r>
  </si>
  <si>
    <r>
      <t xml:space="preserve"> I</t>
    </r>
    <r>
      <rPr>
        <vertAlign val="subscript"/>
        <sz val="11"/>
        <rFont val="Arial"/>
        <family val="2"/>
      </rPr>
      <t>start_HVG</t>
    </r>
    <r>
      <rPr>
        <sz val="11"/>
        <rFont val="Arial"/>
        <family val="2"/>
      </rPr>
      <t xml:space="preserve"> =</t>
    </r>
  </si>
  <si>
    <t>µA           ds specs</t>
  </si>
  <si>
    <r>
      <t>Sink Current on V</t>
    </r>
    <r>
      <rPr>
        <vertAlign val="subscript"/>
        <sz val="11"/>
        <rFont val="Arial"/>
        <family val="2"/>
      </rPr>
      <t>DD</t>
    </r>
    <r>
      <rPr>
        <sz val="11"/>
        <rFont val="Arial"/>
        <family val="2"/>
      </rPr>
      <t xml:space="preserve"> pin</t>
    </r>
  </si>
  <si>
    <r>
      <t>I</t>
    </r>
    <r>
      <rPr>
        <vertAlign val="subscript"/>
        <sz val="11"/>
        <rFont val="Arial"/>
        <family val="2"/>
      </rPr>
      <t>EN_VDD</t>
    </r>
    <r>
      <rPr>
        <sz val="11"/>
        <rFont val="Arial"/>
        <family val="2"/>
      </rPr>
      <t xml:space="preserve"> =</t>
    </r>
  </si>
  <si>
    <r>
      <t>V</t>
    </r>
    <r>
      <rPr>
        <vertAlign val="subscript"/>
        <sz val="11"/>
        <rFont val="Arial"/>
        <family val="2"/>
      </rPr>
      <t>FB_max</t>
    </r>
    <r>
      <rPr>
        <sz val="11"/>
        <rFont val="Arial"/>
        <family val="2"/>
      </rPr>
      <t xml:space="preserve"> =</t>
    </r>
  </si>
  <si>
    <r>
      <t>R</t>
    </r>
    <r>
      <rPr>
        <vertAlign val="subscript"/>
        <sz val="11"/>
        <rFont val="Arial"/>
        <family val="2"/>
      </rPr>
      <t>FB_int</t>
    </r>
    <r>
      <rPr>
        <sz val="11"/>
        <rFont val="Arial"/>
        <family val="2"/>
      </rPr>
      <t xml:space="preserve"> =</t>
    </r>
  </si>
  <si>
    <t>Ω             ds specs</t>
  </si>
  <si>
    <r>
      <t>I</t>
    </r>
    <r>
      <rPr>
        <vertAlign val="subscript"/>
        <sz val="11"/>
        <rFont val="Arial"/>
        <family val="2"/>
      </rPr>
      <t>FB_max</t>
    </r>
    <r>
      <rPr>
        <sz val="11"/>
        <rFont val="Arial"/>
        <family val="2"/>
      </rPr>
      <t xml:space="preserve"> =</t>
    </r>
  </si>
  <si>
    <r>
      <rPr>
        <sz val="11"/>
        <rFont val="Calibri"/>
        <family val="2"/>
      </rPr>
      <t>∆</t>
    </r>
    <r>
      <rPr>
        <sz val="11"/>
        <rFont val="Arial"/>
        <family val="2"/>
      </rPr>
      <t>V</t>
    </r>
    <r>
      <rPr>
        <vertAlign val="subscript"/>
        <sz val="11"/>
        <rFont val="Arial"/>
        <family val="2"/>
      </rPr>
      <t>O_ABM</t>
    </r>
    <r>
      <rPr>
        <sz val="11"/>
        <rFont val="Arial"/>
        <family val="2"/>
      </rPr>
      <t xml:space="preserve"> =</t>
    </r>
  </si>
  <si>
    <r>
      <t>Lower Threshold of Burst Rate Frequency in Adaptive Burst Mode</t>
    </r>
    <r>
      <rPr>
        <vertAlign val="subscript"/>
        <sz val="11"/>
        <color theme="1"/>
        <rFont val="Arial"/>
        <family val="2"/>
      </rPr>
      <t/>
    </r>
  </si>
  <si>
    <r>
      <t>f</t>
    </r>
    <r>
      <rPr>
        <vertAlign val="subscript"/>
        <sz val="11"/>
        <rFont val="Arial"/>
        <family val="2"/>
      </rPr>
      <t>BUR_LR</t>
    </r>
    <r>
      <rPr>
        <sz val="11"/>
        <rFont val="Arial"/>
        <family val="2"/>
      </rPr>
      <t xml:space="preserve"> =</t>
    </r>
  </si>
  <si>
    <r>
      <t>f</t>
    </r>
    <r>
      <rPr>
        <vertAlign val="subscript"/>
        <sz val="11"/>
        <rFont val="Arial"/>
        <family val="2"/>
      </rPr>
      <t>BUR_UP</t>
    </r>
    <r>
      <rPr>
        <sz val="11"/>
        <rFont val="Arial"/>
        <family val="2"/>
      </rPr>
      <t xml:space="preserve"> =</t>
    </r>
  </si>
  <si>
    <r>
      <t>t</t>
    </r>
    <r>
      <rPr>
        <vertAlign val="subscript"/>
        <sz val="11"/>
        <rFont val="Arial"/>
        <family val="2"/>
      </rPr>
      <t>FDR</t>
    </r>
    <r>
      <rPr>
        <sz val="11"/>
        <rFont val="Arial"/>
        <family val="2"/>
      </rPr>
      <t xml:space="preserve"> =</t>
    </r>
  </si>
  <si>
    <t>η =</t>
  </si>
  <si>
    <r>
      <t>K</t>
    </r>
    <r>
      <rPr>
        <vertAlign val="subscript"/>
        <sz val="11"/>
        <rFont val="Arial"/>
        <family val="2"/>
      </rPr>
      <t>RES</t>
    </r>
    <r>
      <rPr>
        <sz val="11"/>
        <rFont val="Arial"/>
        <family val="2"/>
      </rPr>
      <t xml:space="preserve"> =</t>
    </r>
  </si>
  <si>
    <r>
      <t xml:space="preserve">Minimum </t>
    </r>
    <r>
      <rPr>
        <sz val="11"/>
        <rFont val="Calibri"/>
        <family val="2"/>
      </rPr>
      <t>∆</t>
    </r>
    <r>
      <rPr>
        <sz val="11"/>
        <rFont val="Arial"/>
        <family val="2"/>
      </rPr>
      <t>V for N</t>
    </r>
    <r>
      <rPr>
        <vertAlign val="subscript"/>
        <sz val="11"/>
        <rFont val="Arial"/>
        <family val="2"/>
      </rPr>
      <t>A_min</t>
    </r>
    <r>
      <rPr>
        <sz val="11"/>
        <rFont val="Arial"/>
        <family val="2"/>
      </rPr>
      <t xml:space="preserve"> Design Margin</t>
    </r>
  </si>
  <si>
    <r>
      <t>∆V</t>
    </r>
    <r>
      <rPr>
        <sz val="7"/>
        <rFont val="Arial"/>
        <family val="2"/>
      </rPr>
      <t>_MIN</t>
    </r>
    <r>
      <rPr>
        <sz val="11"/>
        <rFont val="Arial"/>
        <family val="2"/>
      </rPr>
      <t xml:space="preserve"> =</t>
    </r>
  </si>
  <si>
    <r>
      <t>ΔV</t>
    </r>
    <r>
      <rPr>
        <sz val="7"/>
        <rFont val="Arial"/>
        <family val="2"/>
      </rPr>
      <t xml:space="preserve">SPIKE </t>
    </r>
    <r>
      <rPr>
        <sz val="11"/>
        <rFont val="Arial"/>
        <family val="2"/>
      </rPr>
      <t>=</t>
    </r>
  </si>
  <si>
    <r>
      <t>ΔV</t>
    </r>
    <r>
      <rPr>
        <sz val="7"/>
        <rFont val="Arial"/>
        <family val="2"/>
      </rPr>
      <t>CLAMP</t>
    </r>
    <r>
      <rPr>
        <sz val="11"/>
        <rFont val="Arial"/>
        <family val="2"/>
      </rPr>
      <t>=</t>
    </r>
  </si>
  <si>
    <r>
      <rPr>
        <b/>
        <sz val="11"/>
        <rFont val="Arial"/>
        <family val="2"/>
      </rPr>
      <t>Recommended</t>
    </r>
    <r>
      <rPr>
        <sz val="11"/>
        <rFont val="Arial"/>
        <family val="2"/>
      </rPr>
      <t xml:space="preserve"> Maximum R</t>
    </r>
    <r>
      <rPr>
        <vertAlign val="subscript"/>
        <sz val="11"/>
        <rFont val="Arial"/>
        <family val="2"/>
      </rPr>
      <t>Vo2</t>
    </r>
    <r>
      <rPr>
        <sz val="11"/>
        <rFont val="Arial"/>
        <family val="2"/>
      </rPr>
      <t xml:space="preserve"> Resistor</t>
    </r>
  </si>
  <si>
    <r>
      <t>R</t>
    </r>
    <r>
      <rPr>
        <vertAlign val="subscript"/>
        <sz val="11"/>
        <rFont val="Arial"/>
        <family val="2"/>
      </rPr>
      <t>vo2_rec_max</t>
    </r>
    <r>
      <rPr>
        <sz val="11"/>
        <rFont val="Arial"/>
        <family val="2"/>
      </rPr>
      <t xml:space="preserve"> =</t>
    </r>
  </si>
  <si>
    <t>RECOMMENDED Values (Primary Resonance)</t>
  </si>
  <si>
    <r>
      <t>N</t>
    </r>
    <r>
      <rPr>
        <vertAlign val="subscript"/>
        <sz val="12"/>
        <rFont val="Arial"/>
        <family val="2"/>
      </rPr>
      <t>PS</t>
    </r>
    <r>
      <rPr>
        <sz val="12"/>
        <color theme="1"/>
        <rFont val="Arial"/>
        <family val="2"/>
      </rPr>
      <t/>
    </r>
  </si>
  <si>
    <r>
      <t>N</t>
    </r>
    <r>
      <rPr>
        <sz val="8"/>
        <rFont val="Arial"/>
        <family val="2"/>
      </rPr>
      <t>AS</t>
    </r>
  </si>
  <si>
    <r>
      <t>N</t>
    </r>
    <r>
      <rPr>
        <vertAlign val="subscript"/>
        <sz val="12"/>
        <rFont val="Arial"/>
        <family val="2"/>
      </rPr>
      <t>P</t>
    </r>
  </si>
  <si>
    <r>
      <t>N</t>
    </r>
    <r>
      <rPr>
        <vertAlign val="subscript"/>
        <sz val="12"/>
        <rFont val="Arial"/>
        <family val="2"/>
      </rPr>
      <t>S</t>
    </r>
  </si>
  <si>
    <r>
      <t>N</t>
    </r>
    <r>
      <rPr>
        <vertAlign val="subscript"/>
        <sz val="12"/>
        <rFont val="Arial"/>
        <family val="2"/>
      </rPr>
      <t>A</t>
    </r>
  </si>
  <si>
    <t>Secondary Resonance and Active Ripple Compensation (ARC) Circuit</t>
  </si>
  <si>
    <r>
      <t>L</t>
    </r>
    <r>
      <rPr>
        <sz val="7"/>
        <rFont val="Calibri"/>
        <family val="2"/>
        <scheme val="minor"/>
      </rPr>
      <t xml:space="preserve">DAMP </t>
    </r>
    <r>
      <rPr>
        <sz val="11"/>
        <rFont val="Calibri"/>
        <family val="2"/>
        <scheme val="minor"/>
      </rPr>
      <t>&gt; 0.13*Lo</t>
    </r>
  </si>
  <si>
    <r>
      <t>R</t>
    </r>
    <r>
      <rPr>
        <sz val="7"/>
        <rFont val="Calibri"/>
        <family val="2"/>
        <scheme val="minor"/>
      </rPr>
      <t>DAMP</t>
    </r>
    <r>
      <rPr>
        <sz val="11"/>
        <rFont val="Calibri"/>
        <family val="2"/>
        <scheme val="minor"/>
      </rPr>
      <t>&gt;=√(Lo/Co1 )</t>
    </r>
  </si>
  <si>
    <t xml:space="preserve">Recommended Minimum Lo </t>
  </si>
  <si>
    <r>
      <t>Minimum L</t>
    </r>
    <r>
      <rPr>
        <vertAlign val="subscript"/>
        <sz val="11"/>
        <rFont val="Arial"/>
        <family val="2"/>
      </rPr>
      <t>DAMP</t>
    </r>
  </si>
  <si>
    <r>
      <t>L</t>
    </r>
    <r>
      <rPr>
        <vertAlign val="subscript"/>
        <sz val="11"/>
        <rFont val="Arial"/>
        <family val="2"/>
      </rPr>
      <t>DAMP</t>
    </r>
    <r>
      <rPr>
        <sz val="11"/>
        <rFont val="Arial"/>
        <family val="2"/>
      </rPr>
      <t xml:space="preserve"> Used in Calculations</t>
    </r>
  </si>
  <si>
    <r>
      <t>Minimum R</t>
    </r>
    <r>
      <rPr>
        <vertAlign val="subscript"/>
        <sz val="11"/>
        <rFont val="Arial"/>
        <family val="2"/>
      </rPr>
      <t>DAMP</t>
    </r>
  </si>
  <si>
    <r>
      <t>R</t>
    </r>
    <r>
      <rPr>
        <vertAlign val="subscript"/>
        <sz val="11"/>
        <rFont val="Arial"/>
        <family val="2"/>
      </rPr>
      <t>DAMP</t>
    </r>
    <r>
      <rPr>
        <sz val="11"/>
        <rFont val="Arial"/>
        <family val="2"/>
      </rPr>
      <t xml:space="preserve"> Used in Calculations</t>
    </r>
  </si>
  <si>
    <r>
      <t>A.  L</t>
    </r>
    <r>
      <rPr>
        <b/>
        <sz val="7"/>
        <color rgb="FFFF0000"/>
        <rFont val="Arial"/>
        <family val="2"/>
      </rPr>
      <t>DAMP</t>
    </r>
    <r>
      <rPr>
        <b/>
        <sz val="11"/>
        <color rgb="FFFF0000"/>
        <rFont val="Arial"/>
        <family val="2"/>
      </rPr>
      <t xml:space="preserve"> Determination</t>
    </r>
  </si>
  <si>
    <t>B.  Co1  Determination</t>
  </si>
  <si>
    <t>C.   ARC Circuit</t>
  </si>
  <si>
    <r>
      <rPr>
        <b/>
        <sz val="12"/>
        <color rgb="FFFF0000"/>
        <rFont val="Calibri"/>
        <family val="2"/>
        <scheme val="minor"/>
      </rPr>
      <t>C. 1.  R</t>
    </r>
    <r>
      <rPr>
        <b/>
        <sz val="7"/>
        <color rgb="FFFF0000"/>
        <rFont val="Calibri"/>
        <family val="2"/>
        <scheme val="minor"/>
      </rPr>
      <t>COMP</t>
    </r>
    <r>
      <rPr>
        <b/>
        <sz val="12"/>
        <color rgb="FFFF0000"/>
        <rFont val="Calibri"/>
        <family val="2"/>
        <scheme val="minor"/>
      </rPr>
      <t xml:space="preserve"> Determination</t>
    </r>
  </si>
  <si>
    <t>For reference, please see section  7.3.2 of the UCC28780 datasheet for more detail about ARC circuit.</t>
  </si>
  <si>
    <t>Suggested start from 1MΩ, can reduce to improve ABM stability, but no smaller than 510kΩ, or will affect start up and OPP</t>
  </si>
  <si>
    <r>
      <t>Vo</t>
    </r>
    <r>
      <rPr>
        <sz val="11"/>
        <rFont val="Arial"/>
        <family val="2"/>
      </rPr>
      <t xml:space="preserve">ltage on </t>
    </r>
    <r>
      <rPr>
        <b/>
        <sz val="11"/>
        <rFont val="Arial"/>
        <family val="2"/>
      </rPr>
      <t>Leagage</t>
    </r>
    <r>
      <rPr>
        <sz val="11"/>
        <rFont val="Arial"/>
        <family val="2"/>
      </rPr>
      <t xml:space="preserve"> Inducta</t>
    </r>
    <r>
      <rPr>
        <sz val="11"/>
        <color theme="1"/>
        <rFont val="Arial"/>
        <family val="2"/>
      </rPr>
      <t>nce, V</t>
    </r>
    <r>
      <rPr>
        <vertAlign val="subscript"/>
        <sz val="11"/>
        <color theme="1"/>
        <rFont val="Arial"/>
        <family val="2"/>
      </rPr>
      <t xml:space="preserve">LK_pri_max </t>
    </r>
    <r>
      <rPr>
        <sz val="11"/>
        <color theme="1"/>
        <rFont val="Arial"/>
        <family val="2"/>
      </rPr>
      <t>=</t>
    </r>
  </si>
  <si>
    <t>TVS Clamping Diode For SWS</t>
  </si>
  <si>
    <t>Driver (primary-side half-bridge driver specs)</t>
  </si>
  <si>
    <r>
      <t>Typical Reference Input Current, I</t>
    </r>
    <r>
      <rPr>
        <vertAlign val="subscript"/>
        <sz val="11"/>
        <rFont val="Arial"/>
        <family val="2"/>
      </rPr>
      <t>ref_431_typ</t>
    </r>
    <r>
      <rPr>
        <sz val="11"/>
        <rFont val="Arial"/>
        <family val="2"/>
      </rPr>
      <t>=</t>
    </r>
  </si>
  <si>
    <t>Assumed 25% tolerance</t>
  </si>
  <si>
    <t>Assumed 20% tolerance</t>
  </si>
  <si>
    <t xml:space="preserve">Ω            </t>
  </si>
  <si>
    <r>
      <rPr>
        <sz val="11"/>
        <rFont val="Arial"/>
        <family val="2"/>
      </rPr>
      <t xml:space="preserve">Ω  </t>
    </r>
    <r>
      <rPr>
        <b/>
        <sz val="11"/>
        <color rgb="FFFF0000"/>
        <rFont val="Arial"/>
        <family val="2"/>
      </rPr>
      <t xml:space="preserve">                                                     </t>
    </r>
  </si>
  <si>
    <r>
      <t>Enter an asumption value, or measure the waveform on R</t>
    </r>
    <r>
      <rPr>
        <sz val="8"/>
        <color theme="1"/>
        <rFont val="Arial"/>
        <family val="2"/>
      </rPr>
      <t>cs</t>
    </r>
    <r>
      <rPr>
        <sz val="11"/>
        <color theme="1"/>
        <rFont val="Arial"/>
        <family val="2"/>
      </rPr>
      <t xml:space="preserve"> during Vin</t>
    </r>
    <r>
      <rPr>
        <sz val="8"/>
        <color theme="1"/>
        <rFont val="Arial"/>
        <family val="2"/>
      </rPr>
      <t>_max</t>
    </r>
    <r>
      <rPr>
        <sz val="11"/>
        <color theme="1"/>
        <rFont val="Arial"/>
        <family val="2"/>
      </rPr>
      <t xml:space="preserve"> and no load</t>
    </r>
  </si>
  <si>
    <t>RDM Pin Coefficient</t>
  </si>
  <si>
    <t>Suggested start from 1M, can reduce to improve ABM stability, but no smaller than 510 k, or will affect start up and OPP</t>
  </si>
  <si>
    <t>Burst voltage ripple of VO</t>
  </si>
  <si>
    <t>Refer to the figure on the right</t>
  </si>
  <si>
    <r>
      <t>Recommended Output Capacitance, C</t>
    </r>
    <r>
      <rPr>
        <vertAlign val="subscript"/>
        <sz val="11"/>
        <rFont val="Arial"/>
        <family val="2"/>
      </rPr>
      <t xml:space="preserve">OUT_rec </t>
    </r>
    <r>
      <rPr>
        <sz val="11"/>
        <rFont val="Arial"/>
        <family val="2"/>
      </rPr>
      <t>=</t>
    </r>
  </si>
  <si>
    <r>
      <t>Actual</t>
    </r>
    <r>
      <rPr>
        <b/>
        <sz val="11"/>
        <rFont val="Arial"/>
        <family val="2"/>
      </rPr>
      <t xml:space="preserve"> </t>
    </r>
    <r>
      <rPr>
        <sz val="11"/>
        <rFont val="Arial"/>
        <family val="2"/>
      </rPr>
      <t>Output Capacitance, C</t>
    </r>
    <r>
      <rPr>
        <vertAlign val="subscript"/>
        <sz val="11"/>
        <rFont val="Arial"/>
        <family val="2"/>
      </rPr>
      <t>OUT_act</t>
    </r>
    <r>
      <rPr>
        <sz val="11"/>
        <rFont val="Arial"/>
        <family val="2"/>
      </rPr>
      <t xml:space="preserve"> =</t>
    </r>
  </si>
  <si>
    <r>
      <t>Output Capacitance of Selected MOSFET Small-C Above Vxh, C</t>
    </r>
    <r>
      <rPr>
        <vertAlign val="subscript"/>
        <sz val="11"/>
        <color theme="1"/>
        <rFont val="Arial"/>
        <family val="2"/>
      </rPr>
      <t xml:space="preserve">OSS_QL_sm </t>
    </r>
    <r>
      <rPr>
        <sz val="11"/>
        <color theme="1"/>
        <rFont val="Arial"/>
        <family val="2"/>
      </rPr>
      <t>=</t>
    </r>
  </si>
  <si>
    <r>
      <t>Output Capacitance of Selected MOSFET</t>
    </r>
    <r>
      <rPr>
        <b/>
        <sz val="11"/>
        <color theme="1"/>
        <rFont val="Arial"/>
        <family val="2"/>
      </rPr>
      <t xml:space="preserve"> </t>
    </r>
    <r>
      <rPr>
        <sz val="11"/>
        <color theme="1"/>
        <rFont val="Arial"/>
        <family val="2"/>
      </rPr>
      <t>Big-C</t>
    </r>
    <r>
      <rPr>
        <b/>
        <sz val="11"/>
        <color theme="1"/>
        <rFont val="Arial"/>
        <family val="2"/>
      </rPr>
      <t xml:space="preserve"> </t>
    </r>
    <r>
      <rPr>
        <sz val="11"/>
        <color theme="1"/>
        <rFont val="Arial"/>
        <family val="2"/>
      </rPr>
      <t>Below Vxh, C</t>
    </r>
    <r>
      <rPr>
        <vertAlign val="subscript"/>
        <sz val="11"/>
        <color theme="1"/>
        <rFont val="Arial"/>
        <family val="2"/>
      </rPr>
      <t>OSS_QL_bg</t>
    </r>
    <r>
      <rPr>
        <sz val="11"/>
        <color theme="1"/>
        <rFont val="Arial"/>
        <family val="2"/>
      </rPr>
      <t xml:space="preserve"> =</t>
    </r>
  </si>
  <si>
    <r>
      <t>Output Capacitance of Selected MOSFET Small-C Above Vxh, C</t>
    </r>
    <r>
      <rPr>
        <vertAlign val="subscript"/>
        <sz val="11"/>
        <color theme="1"/>
        <rFont val="Arial"/>
        <family val="2"/>
      </rPr>
      <t xml:space="preserve">OSS_QH_sm </t>
    </r>
    <r>
      <rPr>
        <sz val="11"/>
        <color theme="1"/>
        <rFont val="Arial"/>
        <family val="2"/>
      </rPr>
      <t>=</t>
    </r>
  </si>
  <si>
    <r>
      <t>Output Capacitance of Selected MOSFET Big-C Below Vxh, C</t>
    </r>
    <r>
      <rPr>
        <vertAlign val="subscript"/>
        <sz val="11"/>
        <color theme="1"/>
        <rFont val="Arial"/>
        <family val="2"/>
      </rPr>
      <t>OSS_QH_bg</t>
    </r>
    <r>
      <rPr>
        <sz val="11"/>
        <color theme="1"/>
        <rFont val="Arial"/>
        <family val="2"/>
      </rPr>
      <t xml:space="preserve"> =</t>
    </r>
  </si>
  <si>
    <t>MΩ</t>
  </si>
  <si>
    <t>AC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</si>
</sst>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74">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b/>
      <sz val="10"/>
      <name val="Arial"/>
      <family val="2"/>
    </font>
    <font>
      <b/>
      <sz val="9"/>
      <name val="Arial"/>
      <family val="2"/>
    </font>
    <font>
      <sz val="12"/>
      <name val="Arial"/>
      <family val="2"/>
    </font>
    <font>
      <vertAlign val="subscript"/>
      <sz val="12"/>
      <name val="Arial"/>
      <family val="2"/>
    </font>
    <font>
      <sz val="9"/>
      <name val="Calibri"/>
      <family val="2"/>
      <charset val="136"/>
      <scheme val="minor"/>
    </font>
    <font>
      <sz val="11"/>
      <name val="Calibri"/>
      <family val="2"/>
      <charset val="136"/>
      <scheme val="minor"/>
    </font>
    <font>
      <i/>
      <sz val="11"/>
      <name val="Arial"/>
      <family val="2"/>
    </font>
    <font>
      <sz val="11"/>
      <color theme="1"/>
      <name val="Calibri"/>
      <family val="2"/>
    </font>
    <font>
      <b/>
      <sz val="11"/>
      <name val="Arial"/>
      <family val="2"/>
    </font>
    <fon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b/>
      <vertAlign val="subscript"/>
      <sz val="11"/>
      <color theme="1"/>
      <name val="Arial"/>
      <family val="2"/>
    </font>
    <font>
      <b/>
      <vertAlign val="superscript"/>
      <sz val="11"/>
      <color theme="1"/>
      <name val="Arial"/>
      <family val="2"/>
    </font>
    <font>
      <b/>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1"/>
      <color rgb="FFFF00FF"/>
      <name val="Calibri"/>
      <family val="2"/>
      <scheme val="minor"/>
    </font>
    <font>
      <sz val="11"/>
      <color rgb="FFFF00FF"/>
      <name val="Arial"/>
      <family val="2"/>
    </font>
    <font>
      <b/>
      <sz val="11"/>
      <color rgb="FFFF0000"/>
      <name val="Calibri"/>
      <family val="2"/>
      <scheme val="minor"/>
    </font>
    <font>
      <b/>
      <sz val="11"/>
      <color rgb="FFFF00FF"/>
      <name val="Arial"/>
      <family val="2"/>
    </font>
    <font>
      <sz val="11"/>
      <color rgb="FFFF00FF"/>
      <name val="Calibri"/>
      <family val="2"/>
      <charset val="136"/>
      <scheme val="minor"/>
    </font>
    <font>
      <sz val="10"/>
      <color rgb="FFFF00FF"/>
      <name val="Arial"/>
      <family val="2"/>
    </font>
    <font>
      <b/>
      <sz val="14"/>
      <color rgb="FFFF0000"/>
      <name val="Calibri"/>
      <family val="2"/>
      <scheme val="minor"/>
    </font>
    <font>
      <b/>
      <sz val="14"/>
      <color rgb="FF92D050"/>
      <name val="Arial"/>
      <family val="2"/>
    </font>
    <font>
      <sz val="9"/>
      <color indexed="81"/>
      <name val="Tahoma"/>
      <family val="2"/>
    </font>
    <font>
      <b/>
      <sz val="9"/>
      <color indexed="81"/>
      <name val="Tahoma"/>
      <family val="2"/>
    </font>
    <font>
      <b/>
      <i/>
      <sz val="11"/>
      <color rgb="FF0000FF"/>
      <name val="Arial"/>
      <family val="2"/>
    </font>
    <font>
      <b/>
      <sz val="11"/>
      <color rgb="FFFF66FF"/>
      <name val="Calibri"/>
      <family val="2"/>
      <scheme val="minor"/>
    </font>
    <font>
      <b/>
      <sz val="11"/>
      <color rgb="FF0000FF"/>
      <name val="Wingdings 2"/>
      <family val="1"/>
      <charset val="2"/>
    </font>
    <font>
      <sz val="11"/>
      <color rgb="FF0000FF"/>
      <name val="Calibri"/>
      <family val="2"/>
      <scheme val="minor"/>
    </font>
    <font>
      <b/>
      <sz val="22"/>
      <color rgb="FFFF0000"/>
      <name val="Calibri"/>
      <family val="2"/>
      <scheme val="minor"/>
    </font>
    <font>
      <b/>
      <sz val="7"/>
      <color rgb="FFFF0000"/>
      <name val="Arial"/>
      <family val="2"/>
    </font>
    <font>
      <sz val="11"/>
      <color theme="0"/>
      <name val="Calibri"/>
      <family val="2"/>
      <charset val="136"/>
      <scheme val="minor"/>
    </font>
    <font>
      <sz val="7"/>
      <name val="Arial"/>
      <family val="2"/>
    </font>
    <font>
      <sz val="11"/>
      <name val="Calibri"/>
      <family val="2"/>
    </font>
    <font>
      <b/>
      <i/>
      <sz val="11"/>
      <name val="Arial"/>
      <family val="2"/>
    </font>
    <font>
      <vertAlign val="superscript"/>
      <sz val="11"/>
      <name val="Arial"/>
      <family val="2"/>
    </font>
    <font>
      <sz val="8"/>
      <name val="Arial"/>
      <family val="2"/>
    </font>
    <font>
      <b/>
      <sz val="11"/>
      <name val="Calibri"/>
      <family val="2"/>
      <scheme val="minor"/>
    </font>
    <font>
      <sz val="11"/>
      <name val="Calibri"/>
      <family val="2"/>
      <scheme val="minor"/>
    </font>
    <font>
      <sz val="7"/>
      <name val="Calibri"/>
      <family val="2"/>
      <scheme val="minor"/>
    </font>
    <font>
      <sz val="11"/>
      <color rgb="FFFF0000"/>
      <name val="Calibri"/>
      <family val="2"/>
      <charset val="136"/>
      <scheme val="minor"/>
    </font>
    <font>
      <sz val="11"/>
      <color rgb="FFFF0000"/>
      <name val="Wingdings 2"/>
      <family val="1"/>
      <charset val="2"/>
    </font>
    <font>
      <b/>
      <sz val="12"/>
      <color rgb="FFFF0000"/>
      <name val="Calibri"/>
      <family val="2"/>
      <scheme val="minor"/>
    </font>
    <font>
      <b/>
      <sz val="7"/>
      <color rgb="FFFF0000"/>
      <name val="Calibri"/>
      <family val="2"/>
      <scheme val="minor"/>
    </font>
    <font>
      <b/>
      <sz val="22"/>
      <name val="Calibri"/>
      <family val="2"/>
      <scheme val="minor"/>
    </font>
    <font>
      <sz val="10.5"/>
      <name val="Calibri"/>
      <family val="2"/>
      <scheme val="minor"/>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s>
  <borders count="5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alignment vertical="center"/>
    </xf>
    <xf numFmtId="0" fontId="4" fillId="0" borderId="0"/>
    <xf numFmtId="0" fontId="3" fillId="0" borderId="0"/>
    <xf numFmtId="0" fontId="2" fillId="0" borderId="0"/>
    <xf numFmtId="0" fontId="1" fillId="0" borderId="0"/>
  </cellStyleXfs>
  <cellXfs count="480">
    <xf numFmtId="0" fontId="0" fillId="0" borderId="0" xfId="0">
      <alignment vertical="center"/>
    </xf>
    <xf numFmtId="0" fontId="7" fillId="4" borderId="19" xfId="1" applyFont="1" applyFill="1" applyBorder="1" applyAlignment="1" applyProtection="1">
      <alignment horizontal="center" vertical="center"/>
      <protection locked="0"/>
    </xf>
    <xf numFmtId="0" fontId="7" fillId="4" borderId="11" xfId="1" applyFont="1" applyFill="1" applyBorder="1" applyAlignment="1" applyProtection="1">
      <alignment horizontal="center" vertical="center"/>
      <protection locked="0"/>
    </xf>
    <xf numFmtId="0" fontId="7" fillId="2" borderId="11" xfId="1" applyFont="1" applyFill="1" applyBorder="1" applyAlignment="1">
      <alignment horizontal="center" vertical="center"/>
    </xf>
    <xf numFmtId="164" fontId="7" fillId="2" borderId="11" xfId="1" applyNumberFormat="1" applyFont="1" applyFill="1" applyBorder="1" applyAlignment="1">
      <alignment vertical="center"/>
    </xf>
    <xf numFmtId="0" fontId="7" fillId="2" borderId="8" xfId="1" applyFont="1" applyFill="1" applyBorder="1" applyAlignment="1">
      <alignment vertical="center"/>
    </xf>
    <xf numFmtId="0" fontId="7" fillId="2" borderId="10" xfId="1" applyFont="1" applyFill="1" applyBorder="1" applyAlignment="1">
      <alignment vertical="center"/>
    </xf>
    <xf numFmtId="0" fontId="7" fillId="2" borderId="8" xfId="1" applyFont="1" applyFill="1" applyBorder="1" applyAlignment="1">
      <alignment vertical="center" wrapText="1"/>
    </xf>
    <xf numFmtId="164" fontId="7" fillId="2" borderId="5" xfId="1" applyNumberFormat="1" applyFont="1" applyFill="1" applyBorder="1" applyAlignment="1">
      <alignment vertical="center"/>
    </xf>
    <xf numFmtId="0" fontId="7" fillId="2" borderId="5" xfId="1" applyFont="1" applyFill="1" applyBorder="1" applyAlignment="1">
      <alignment horizontal="center" vertical="center"/>
    </xf>
    <xf numFmtId="0" fontId="7" fillId="2" borderId="36" xfId="1" applyFont="1" applyFill="1" applyBorder="1" applyAlignment="1">
      <alignment vertical="center"/>
    </xf>
    <xf numFmtId="0" fontId="7" fillId="2" borderId="28" xfId="1" applyFont="1" applyFill="1" applyBorder="1" applyAlignment="1">
      <alignment horizontal="center" vertical="center"/>
    </xf>
    <xf numFmtId="164" fontId="7" fillId="2" borderId="28" xfId="1" applyNumberFormat="1" applyFont="1" applyFill="1" applyBorder="1" applyAlignment="1">
      <alignment vertical="center"/>
    </xf>
    <xf numFmtId="0" fontId="7" fillId="2" borderId="21" xfId="1" applyFont="1" applyFill="1" applyBorder="1" applyAlignment="1">
      <alignment horizontal="left" vertical="center"/>
    </xf>
    <xf numFmtId="0" fontId="7" fillId="2" borderId="10" xfId="1" applyFont="1" applyFill="1" applyBorder="1" applyAlignment="1">
      <alignment vertical="center" wrapText="1"/>
    </xf>
    <xf numFmtId="0" fontId="7" fillId="2" borderId="36" xfId="1" applyFont="1" applyFill="1" applyBorder="1" applyAlignment="1">
      <alignment vertical="center" wrapText="1"/>
    </xf>
    <xf numFmtId="0" fontId="20" fillId="2" borderId="10" xfId="3" applyFont="1" applyFill="1" applyBorder="1" applyAlignment="1">
      <alignment vertical="center"/>
    </xf>
    <xf numFmtId="0" fontId="30" fillId="2" borderId="47" xfId="3" applyFont="1" applyFill="1" applyBorder="1" applyAlignment="1">
      <alignment vertical="center"/>
    </xf>
    <xf numFmtId="0" fontId="30" fillId="2" borderId="38" xfId="3" applyFont="1" applyFill="1" applyBorder="1" applyAlignment="1">
      <alignment vertical="center"/>
    </xf>
    <xf numFmtId="0" fontId="30" fillId="2" borderId="39" xfId="3" applyFont="1" applyFill="1" applyBorder="1" applyAlignment="1">
      <alignment vertical="center"/>
    </xf>
    <xf numFmtId="164" fontId="30" fillId="2" borderId="38" xfId="3" applyNumberFormat="1" applyFont="1" applyFill="1" applyBorder="1" applyAlignment="1">
      <alignment vertical="center"/>
    </xf>
    <xf numFmtId="0" fontId="30" fillId="2" borderId="7" xfId="3" applyNumberFormat="1" applyFont="1" applyFill="1" applyBorder="1" applyAlignment="1">
      <alignment vertical="center"/>
    </xf>
    <xf numFmtId="0" fontId="30" fillId="2" borderId="7" xfId="3" applyFont="1" applyFill="1" applyBorder="1" applyAlignment="1">
      <alignment horizontal="left" vertical="center"/>
    </xf>
    <xf numFmtId="0" fontId="31" fillId="2" borderId="48" xfId="3" applyFont="1" applyFill="1" applyBorder="1" applyAlignment="1">
      <alignment horizontal="center" vertical="center"/>
    </xf>
    <xf numFmtId="0" fontId="30" fillId="2" borderId="47" xfId="3" applyFont="1" applyFill="1" applyBorder="1" applyAlignment="1">
      <alignment horizontal="left" vertical="center"/>
    </xf>
    <xf numFmtId="0" fontId="30" fillId="2" borderId="19" xfId="3" applyFont="1" applyFill="1" applyBorder="1" applyAlignment="1">
      <alignment vertical="center"/>
    </xf>
    <xf numFmtId="0" fontId="30" fillId="2" borderId="20" xfId="3" applyFont="1" applyFill="1" applyBorder="1" applyAlignment="1">
      <alignment vertical="center"/>
    </xf>
    <xf numFmtId="164" fontId="30" fillId="2" borderId="20" xfId="3" applyNumberFormat="1" applyFont="1" applyFill="1" applyBorder="1" applyAlignment="1">
      <alignment vertical="center"/>
    </xf>
    <xf numFmtId="0" fontId="30" fillId="2" borderId="23" xfId="3" applyFont="1" applyFill="1" applyBorder="1" applyAlignment="1">
      <alignment vertical="center"/>
    </xf>
    <xf numFmtId="0" fontId="7" fillId="0" borderId="0" xfId="0" applyFont="1" applyAlignment="1">
      <alignment vertical="center" wrapText="1"/>
    </xf>
    <xf numFmtId="0" fontId="0" fillId="0" borderId="0" xfId="0" applyFill="1">
      <alignment vertical="center"/>
    </xf>
    <xf numFmtId="0" fontId="0" fillId="0" borderId="0" xfId="0" applyBorder="1">
      <alignment vertical="center"/>
    </xf>
    <xf numFmtId="0" fontId="0" fillId="0" borderId="0" xfId="0" applyBorder="1" applyAlignment="1">
      <alignment horizontal="center" vertical="center"/>
    </xf>
    <xf numFmtId="0" fontId="16" fillId="2" borderId="5" xfId="1" applyFont="1" applyFill="1" applyBorder="1" applyAlignment="1">
      <alignment horizontal="left" vertical="center"/>
    </xf>
    <xf numFmtId="0" fontId="7" fillId="0" borderId="5" xfId="0" applyFont="1" applyBorder="1">
      <alignment vertical="center"/>
    </xf>
    <xf numFmtId="0" fontId="13" fillId="0" borderId="49" xfId="0" applyFont="1" applyBorder="1" applyAlignment="1">
      <alignment vertical="center"/>
    </xf>
    <xf numFmtId="0" fontId="7" fillId="0" borderId="0" xfId="0" applyFont="1" applyBorder="1" applyAlignment="1">
      <alignment horizontal="left" vertical="center"/>
    </xf>
    <xf numFmtId="0" fontId="7" fillId="0" borderId="0" xfId="0" applyFont="1">
      <alignment vertical="center"/>
    </xf>
    <xf numFmtId="0" fontId="37" fillId="0" borderId="0" xfId="0" applyFont="1">
      <alignment vertical="center"/>
    </xf>
    <xf numFmtId="0" fontId="7" fillId="0" borderId="0" xfId="0" applyFont="1" applyAlignment="1">
      <alignment vertical="center"/>
    </xf>
    <xf numFmtId="0" fontId="39" fillId="0" borderId="0" xfId="0" applyFont="1">
      <alignment vertical="center"/>
    </xf>
    <xf numFmtId="0" fontId="7" fillId="2" borderId="19" xfId="1" applyFont="1" applyFill="1" applyBorder="1" applyAlignment="1">
      <alignment horizontal="left" vertical="center"/>
    </xf>
    <xf numFmtId="0" fontId="7" fillId="2" borderId="22" xfId="1" applyFont="1" applyFill="1" applyBorder="1" applyAlignment="1">
      <alignment horizontal="left" vertical="center"/>
    </xf>
    <xf numFmtId="0" fontId="7" fillId="2" borderId="26" xfId="1" applyFont="1" applyFill="1" applyBorder="1" applyAlignment="1">
      <alignment horizontal="left" vertical="center"/>
    </xf>
    <xf numFmtId="0" fontId="7" fillId="2" borderId="22" xfId="2" applyFont="1" applyFill="1" applyBorder="1" applyAlignment="1">
      <alignment horizontal="left" vertical="center"/>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2" fillId="3" borderId="39" xfId="1" applyFont="1" applyFill="1" applyBorder="1" applyAlignment="1">
      <alignment horizontal="left" vertical="center"/>
    </xf>
    <xf numFmtId="0" fontId="31" fillId="2" borderId="32" xfId="3" applyFont="1" applyFill="1" applyBorder="1" applyAlignment="1">
      <alignment horizontal="center" vertical="center"/>
    </xf>
    <xf numFmtId="0" fontId="7" fillId="0" borderId="5" xfId="0" applyFont="1" applyBorder="1" applyAlignment="1">
      <alignment horizontal="left" vertical="center"/>
    </xf>
    <xf numFmtId="0" fontId="7" fillId="4" borderId="5" xfId="1" applyFont="1" applyFill="1" applyBorder="1" applyAlignment="1" applyProtection="1">
      <alignment horizontal="center" vertical="center"/>
      <protection locked="0"/>
    </xf>
    <xf numFmtId="0" fontId="7" fillId="2" borderId="8" xfId="1" applyFont="1" applyFill="1" applyBorder="1" applyAlignment="1" applyProtection="1">
      <alignment vertical="center"/>
    </xf>
    <xf numFmtId="0" fontId="7" fillId="2" borderId="10" xfId="1" applyFont="1" applyFill="1" applyBorder="1" applyAlignment="1" applyProtection="1">
      <alignment vertical="center"/>
    </xf>
    <xf numFmtId="164" fontId="7" fillId="4" borderId="5" xfId="1" applyNumberFormat="1" applyFont="1" applyFill="1" applyBorder="1" applyAlignment="1" applyProtection="1">
      <alignment horizontal="center" vertical="center"/>
      <protection locked="0"/>
    </xf>
    <xf numFmtId="0" fontId="21" fillId="2" borderId="0" xfId="1" applyFont="1" applyFill="1" applyAlignment="1" applyProtection="1">
      <alignment horizontal="right" vertical="center" wrapText="1"/>
    </xf>
    <xf numFmtId="0" fontId="22" fillId="2" borderId="0" xfId="1" applyFont="1" applyFill="1" applyAlignment="1" applyProtection="1">
      <alignment horizontal="right" vertical="center" wrapText="1"/>
    </xf>
    <xf numFmtId="0" fontId="22" fillId="2" borderId="0" xfId="1" applyFont="1" applyFill="1" applyAlignment="1" applyProtection="1">
      <alignment horizontal="left" vertical="center" wrapText="1"/>
    </xf>
    <xf numFmtId="0" fontId="5" fillId="2" borderId="0" xfId="1" applyFont="1" applyFill="1" applyAlignment="1" applyProtection="1">
      <alignment horizontal="center" vertical="center" wrapText="1"/>
    </xf>
    <xf numFmtId="0" fontId="7" fillId="2" borderId="19" xfId="1" applyFont="1" applyFill="1" applyBorder="1" applyAlignment="1" applyProtection="1">
      <alignment vertical="center"/>
    </xf>
    <xf numFmtId="0" fontId="7" fillId="2" borderId="22" xfId="1" applyFont="1" applyFill="1" applyBorder="1" applyAlignment="1" applyProtection="1">
      <alignment vertical="center"/>
    </xf>
    <xf numFmtId="0" fontId="7" fillId="2" borderId="8" xfId="1" applyFont="1" applyFill="1" applyBorder="1" applyAlignment="1" applyProtection="1">
      <alignment vertical="center" wrapText="1"/>
    </xf>
    <xf numFmtId="0" fontId="7" fillId="2" borderId="5" xfId="1" applyFont="1" applyFill="1" applyBorder="1" applyAlignment="1" applyProtection="1">
      <alignment horizontal="center" vertical="center"/>
    </xf>
    <xf numFmtId="0" fontId="7" fillId="2" borderId="20" xfId="1" applyFont="1" applyFill="1" applyBorder="1" applyAlignment="1" applyProtection="1">
      <alignment vertical="center"/>
    </xf>
    <xf numFmtId="0" fontId="7" fillId="2" borderId="23" xfId="1" applyFont="1" applyFill="1" applyBorder="1" applyAlignment="1" applyProtection="1">
      <alignment vertical="center"/>
    </xf>
    <xf numFmtId="0" fontId="7" fillId="2" borderId="19" xfId="1" applyFont="1" applyFill="1" applyBorder="1" applyAlignment="1" applyProtection="1">
      <alignment horizontal="left" vertical="center"/>
    </xf>
    <xf numFmtId="0" fontId="16" fillId="2" borderId="8" xfId="1" applyFont="1" applyFill="1" applyBorder="1" applyAlignment="1" applyProtection="1">
      <alignment horizontal="left" vertical="center"/>
    </xf>
    <xf numFmtId="0" fontId="13" fillId="2" borderId="8" xfId="1" applyFont="1" applyFill="1" applyBorder="1" applyAlignment="1" applyProtection="1">
      <alignment vertical="center"/>
    </xf>
    <xf numFmtId="0" fontId="13" fillId="2" borderId="8" xfId="1" applyFont="1" applyFill="1" applyBorder="1" applyAlignment="1" applyProtection="1">
      <alignment vertical="center" wrapText="1"/>
    </xf>
    <xf numFmtId="0" fontId="7" fillId="2" borderId="10" xfId="1" applyFont="1" applyFill="1" applyBorder="1" applyAlignment="1" applyProtection="1">
      <alignment vertical="center" wrapText="1"/>
    </xf>
    <xf numFmtId="0" fontId="7" fillId="2" borderId="6" xfId="1" applyFont="1" applyFill="1" applyBorder="1" applyAlignment="1" applyProtection="1">
      <alignment vertical="center"/>
    </xf>
    <xf numFmtId="0" fontId="7" fillId="2" borderId="24" xfId="1" applyFont="1" applyFill="1" applyBorder="1" applyAlignment="1" applyProtection="1">
      <alignment vertical="center"/>
    </xf>
    <xf numFmtId="0" fontId="7" fillId="2" borderId="19" xfId="1" applyFont="1" applyFill="1" applyBorder="1" applyAlignment="1" applyProtection="1">
      <alignment horizontal="center" vertical="center"/>
    </xf>
    <xf numFmtId="0" fontId="7" fillId="2" borderId="21" xfId="1" applyFont="1" applyFill="1" applyBorder="1" applyAlignment="1" applyProtection="1">
      <alignment vertical="center"/>
    </xf>
    <xf numFmtId="0" fontId="7" fillId="0" borderId="19" xfId="1" applyFont="1" applyFill="1" applyBorder="1" applyAlignment="1" applyProtection="1">
      <alignment horizontal="center" vertical="center"/>
    </xf>
    <xf numFmtId="0" fontId="9" fillId="2" borderId="20" xfId="1" applyFont="1" applyFill="1" applyBorder="1" applyAlignment="1" applyProtection="1">
      <alignment horizontal="left" vertical="center" wrapText="1"/>
    </xf>
    <xf numFmtId="0" fontId="9" fillId="2" borderId="23" xfId="1" applyFont="1" applyFill="1" applyBorder="1" applyAlignment="1" applyProtection="1">
      <alignment horizontal="left" vertical="center" wrapText="1"/>
    </xf>
    <xf numFmtId="164" fontId="7" fillId="2" borderId="5" xfId="1" applyNumberFormat="1" applyFont="1" applyFill="1" applyBorder="1" applyAlignment="1" applyProtection="1">
      <alignment horizontal="center" vertical="center"/>
    </xf>
    <xf numFmtId="0" fontId="16" fillId="2" borderId="19" xfId="1" applyFont="1" applyFill="1" applyBorder="1" applyAlignment="1" applyProtection="1">
      <alignment horizontal="left" vertical="center"/>
    </xf>
    <xf numFmtId="0" fontId="7" fillId="2" borderId="25" xfId="1" applyFont="1" applyFill="1" applyBorder="1" applyAlignment="1" applyProtection="1">
      <alignment vertical="center"/>
    </xf>
    <xf numFmtId="0" fontId="7" fillId="2" borderId="26" xfId="1" applyFont="1" applyFill="1" applyBorder="1" applyAlignment="1" applyProtection="1">
      <alignment vertical="center"/>
    </xf>
    <xf numFmtId="0" fontId="7" fillId="0" borderId="22" xfId="1" applyFont="1" applyFill="1" applyBorder="1" applyAlignment="1" applyProtection="1">
      <alignment horizontal="center" vertical="center"/>
    </xf>
    <xf numFmtId="0" fontId="16" fillId="2" borderId="8" xfId="1" applyFont="1" applyFill="1" applyBorder="1" applyAlignment="1" applyProtection="1">
      <alignment horizontal="left" vertical="center" wrapText="1"/>
    </xf>
    <xf numFmtId="0" fontId="7" fillId="2" borderId="36" xfId="1" applyFont="1" applyFill="1" applyBorder="1" applyAlignment="1" applyProtection="1">
      <alignment vertical="center"/>
    </xf>
    <xf numFmtId="0" fontId="7" fillId="2" borderId="19" xfId="1" applyFont="1" applyFill="1" applyBorder="1" applyAlignment="1" applyProtection="1">
      <alignment vertical="center" wrapText="1"/>
    </xf>
    <xf numFmtId="0" fontId="40" fillId="0" borderId="0" xfId="0" applyFont="1">
      <alignment vertical="center"/>
    </xf>
    <xf numFmtId="0" fontId="0" fillId="0" borderId="0" xfId="0" applyProtection="1">
      <alignment vertical="center"/>
    </xf>
    <xf numFmtId="0" fontId="0" fillId="2" borderId="0" xfId="0" applyFill="1" applyProtection="1">
      <alignment vertical="center"/>
    </xf>
    <xf numFmtId="0" fontId="7" fillId="2" borderId="0" xfId="1" applyFont="1" applyFill="1" applyBorder="1" applyAlignment="1" applyProtection="1">
      <alignment vertical="center"/>
    </xf>
    <xf numFmtId="0" fontId="7" fillId="2" borderId="0" xfId="1" applyFont="1" applyFill="1" applyBorder="1" applyAlignment="1" applyProtection="1">
      <alignment horizontal="center" vertical="center"/>
    </xf>
    <xf numFmtId="0" fontId="27" fillId="2" borderId="0" xfId="1" applyFont="1" applyFill="1" applyBorder="1" applyAlignment="1" applyProtection="1">
      <alignment horizontal="left" vertical="center" wrapText="1"/>
    </xf>
    <xf numFmtId="0" fontId="9" fillId="2" borderId="0" xfId="1" applyFont="1" applyFill="1" applyBorder="1" applyAlignment="1" applyProtection="1">
      <alignment horizontal="left" vertical="center" wrapText="1"/>
    </xf>
    <xf numFmtId="0" fontId="7" fillId="2" borderId="0" xfId="1" applyFont="1" applyFill="1" applyBorder="1" applyAlignment="1" applyProtection="1">
      <alignment vertical="center" wrapText="1"/>
    </xf>
    <xf numFmtId="0" fontId="7" fillId="2" borderId="0" xfId="1" applyFont="1" applyFill="1" applyBorder="1" applyAlignment="1" applyProtection="1">
      <alignment horizontal="left" vertical="center"/>
    </xf>
    <xf numFmtId="0" fontId="0" fillId="0" borderId="0" xfId="0" applyFill="1" applyProtection="1">
      <alignment vertical="center"/>
    </xf>
    <xf numFmtId="0" fontId="17" fillId="3" borderId="37" xfId="1" applyFont="1" applyFill="1" applyBorder="1" applyAlignment="1" applyProtection="1">
      <alignment vertical="center"/>
    </xf>
    <xf numFmtId="0" fontId="17" fillId="3" borderId="38" xfId="1" applyFont="1" applyFill="1" applyBorder="1" applyAlignment="1" applyProtection="1">
      <alignment vertical="center"/>
    </xf>
    <xf numFmtId="0" fontId="17" fillId="3" borderId="39" xfId="1" applyFont="1" applyFill="1" applyBorder="1" applyAlignment="1" applyProtection="1">
      <alignment vertical="center"/>
    </xf>
    <xf numFmtId="0" fontId="7" fillId="2" borderId="0" xfId="1" applyFont="1" applyFill="1" applyBorder="1" applyAlignment="1" applyProtection="1">
      <alignment horizontal="right" vertical="center"/>
    </xf>
    <xf numFmtId="0" fontId="26" fillId="2" borderId="0" xfId="0" applyFont="1" applyFill="1" applyProtection="1">
      <alignment vertical="center"/>
    </xf>
    <xf numFmtId="0" fontId="7" fillId="2" borderId="5" xfId="1" applyFont="1" applyFill="1" applyBorder="1" applyAlignment="1" applyProtection="1">
      <alignment horizontal="right" vertical="center"/>
    </xf>
    <xf numFmtId="0" fontId="7" fillId="2" borderId="23" xfId="1" applyFont="1" applyFill="1" applyBorder="1" applyAlignment="1" applyProtection="1">
      <alignment horizontal="left" vertical="center"/>
    </xf>
    <xf numFmtId="0" fontId="7" fillId="2" borderId="28" xfId="1" applyFont="1" applyFill="1" applyBorder="1" applyAlignment="1" applyProtection="1">
      <alignment horizontal="right" vertical="center"/>
    </xf>
    <xf numFmtId="0" fontId="7" fillId="2" borderId="11" xfId="1" applyFont="1" applyFill="1" applyBorder="1" applyAlignment="1" applyProtection="1">
      <alignment horizontal="right" vertical="center"/>
    </xf>
    <xf numFmtId="0" fontId="7" fillId="2" borderId="22" xfId="1" applyFont="1" applyFill="1" applyBorder="1" applyAlignment="1" applyProtection="1">
      <alignment horizontal="left" vertical="center"/>
    </xf>
    <xf numFmtId="0" fontId="7" fillId="2" borderId="26" xfId="1" applyFont="1" applyFill="1" applyBorder="1" applyAlignment="1" applyProtection="1">
      <alignment horizontal="left" vertical="center"/>
    </xf>
    <xf numFmtId="0" fontId="23" fillId="2" borderId="30" xfId="1" applyFont="1" applyFill="1" applyBorder="1" applyAlignment="1" applyProtection="1">
      <alignment horizontal="right" vertical="center"/>
    </xf>
    <xf numFmtId="0" fontId="7" fillId="4" borderId="8" xfId="1" applyFont="1" applyFill="1" applyBorder="1" applyAlignment="1" applyProtection="1">
      <alignment vertical="center"/>
    </xf>
    <xf numFmtId="0" fontId="7" fillId="4" borderId="5" xfId="1" applyFont="1" applyFill="1" applyBorder="1" applyAlignment="1" applyProtection="1">
      <alignment horizontal="right" vertical="center"/>
    </xf>
    <xf numFmtId="0" fontId="7" fillId="4" borderId="36" xfId="1" applyFont="1" applyFill="1" applyBorder="1" applyAlignment="1" applyProtection="1">
      <alignment vertical="center"/>
    </xf>
    <xf numFmtId="164" fontId="7" fillId="4" borderId="5" xfId="1" applyNumberFormat="1" applyFont="1" applyFill="1" applyBorder="1" applyAlignment="1" applyProtection="1">
      <alignment horizontal="right" vertical="center"/>
    </xf>
    <xf numFmtId="0" fontId="7" fillId="4" borderId="10" xfId="1" applyFont="1" applyFill="1" applyBorder="1" applyAlignment="1" applyProtection="1">
      <alignment vertical="center"/>
    </xf>
    <xf numFmtId="0" fontId="7" fillId="4" borderId="11" xfId="1" applyFont="1" applyFill="1" applyBorder="1" applyAlignment="1" applyProtection="1">
      <alignment horizontal="right" vertical="center"/>
    </xf>
    <xf numFmtId="164" fontId="7" fillId="2" borderId="11" xfId="1" applyNumberFormat="1" applyFont="1" applyFill="1" applyBorder="1" applyAlignment="1" applyProtection="1">
      <alignment horizontal="center" vertical="center"/>
    </xf>
    <xf numFmtId="164" fontId="7" fillId="2" borderId="28" xfId="1" applyNumberFormat="1" applyFont="1" applyFill="1" applyBorder="1" applyAlignment="1" applyProtection="1">
      <alignment horizontal="center" vertical="center"/>
    </xf>
    <xf numFmtId="0" fontId="7" fillId="4" borderId="19" xfId="1" applyFont="1" applyFill="1" applyBorder="1" applyAlignment="1" applyProtection="1">
      <alignment horizontal="left" vertical="center"/>
    </xf>
    <xf numFmtId="0" fontId="7" fillId="4" borderId="23" xfId="1" applyFont="1" applyFill="1" applyBorder="1" applyAlignment="1" applyProtection="1">
      <alignment horizontal="left" vertical="center"/>
    </xf>
    <xf numFmtId="0" fontId="12" fillId="3" borderId="37" xfId="1" applyFont="1" applyFill="1" applyBorder="1" applyAlignment="1" applyProtection="1">
      <alignment horizontal="left" vertical="center"/>
    </xf>
    <xf numFmtId="0" fontId="12" fillId="3" borderId="38" xfId="1" applyFont="1" applyFill="1" applyBorder="1" applyAlignment="1" applyProtection="1">
      <alignment horizontal="right" vertical="center"/>
    </xf>
    <xf numFmtId="0" fontId="12" fillId="3" borderId="38" xfId="1" applyFont="1" applyFill="1" applyBorder="1" applyAlignment="1" applyProtection="1">
      <alignment horizontal="center" vertical="center"/>
    </xf>
    <xf numFmtId="0" fontId="12" fillId="3" borderId="38" xfId="1" applyFont="1" applyFill="1" applyBorder="1" applyAlignment="1" applyProtection="1">
      <alignment horizontal="left" vertical="center"/>
    </xf>
    <xf numFmtId="0" fontId="12" fillId="3" borderId="39" xfId="1" applyFont="1" applyFill="1" applyBorder="1" applyAlignment="1" applyProtection="1">
      <alignment horizontal="left" vertical="center"/>
    </xf>
    <xf numFmtId="0" fontId="7" fillId="4" borderId="28" xfId="1" applyFont="1" applyFill="1" applyBorder="1" applyAlignment="1" applyProtection="1">
      <alignment horizontal="right" vertical="center"/>
    </xf>
    <xf numFmtId="0" fontId="7" fillId="2" borderId="41" xfId="2" applyFont="1" applyFill="1" applyBorder="1" applyAlignment="1" applyProtection="1">
      <alignment horizontal="left" vertical="center"/>
    </xf>
    <xf numFmtId="0" fontId="7" fillId="2" borderId="42" xfId="2" applyFont="1" applyFill="1" applyBorder="1" applyAlignment="1" applyProtection="1">
      <alignment horizontal="left" vertical="center"/>
    </xf>
    <xf numFmtId="0" fontId="7" fillId="2" borderId="22" xfId="2" applyFont="1" applyFill="1" applyBorder="1" applyAlignment="1" applyProtection="1">
      <alignment horizontal="left" vertical="center"/>
    </xf>
    <xf numFmtId="0" fontId="7" fillId="2" borderId="26" xfId="2" applyFont="1" applyFill="1" applyBorder="1" applyAlignment="1" applyProtection="1">
      <alignment horizontal="left" vertical="center"/>
    </xf>
    <xf numFmtId="164" fontId="7" fillId="2" borderId="0" xfId="1" applyNumberFormat="1" applyFont="1" applyFill="1" applyBorder="1" applyAlignment="1" applyProtection="1">
      <alignment horizontal="center" vertical="center"/>
    </xf>
    <xf numFmtId="0" fontId="7" fillId="2" borderId="0" xfId="2" applyFont="1" applyFill="1" applyBorder="1" applyAlignment="1" applyProtection="1">
      <alignment horizontal="left" vertical="center"/>
    </xf>
    <xf numFmtId="0" fontId="7" fillId="2" borderId="19" xfId="2" applyFont="1" applyFill="1" applyBorder="1" applyAlignment="1" applyProtection="1">
      <alignment vertical="center"/>
    </xf>
    <xf numFmtId="0" fontId="7" fillId="2" borderId="23" xfId="2" applyFont="1" applyFill="1" applyBorder="1" applyAlignment="1" applyProtection="1">
      <alignment vertical="center"/>
    </xf>
    <xf numFmtId="0" fontId="7" fillId="2" borderId="22" xfId="2" applyFont="1" applyFill="1" applyBorder="1" applyAlignment="1" applyProtection="1">
      <alignment vertical="center"/>
    </xf>
    <xf numFmtId="0" fontId="37" fillId="2" borderId="26" xfId="2" applyFont="1" applyFill="1" applyBorder="1" applyAlignment="1" applyProtection="1">
      <alignment vertical="center"/>
    </xf>
    <xf numFmtId="164" fontId="7" fillId="2" borderId="30" xfId="1" applyNumberFormat="1" applyFont="1" applyFill="1" applyBorder="1" applyAlignment="1" applyProtection="1">
      <alignment horizontal="center" vertical="center"/>
    </xf>
    <xf numFmtId="0" fontId="7" fillId="2" borderId="19" xfId="2" applyFont="1" applyFill="1" applyBorder="1" applyAlignment="1" applyProtection="1">
      <alignment horizontal="left" vertical="center"/>
    </xf>
    <xf numFmtId="0" fontId="7" fillId="2" borderId="23" xfId="2" applyFont="1" applyFill="1" applyBorder="1" applyAlignment="1" applyProtection="1">
      <alignment horizontal="left" vertical="center"/>
    </xf>
    <xf numFmtId="0" fontId="7" fillId="2" borderId="43" xfId="2" applyFont="1" applyFill="1" applyBorder="1" applyAlignment="1" applyProtection="1">
      <alignment horizontal="left" vertical="center"/>
    </xf>
    <xf numFmtId="0" fontId="7" fillId="2" borderId="14" xfId="2" applyFont="1" applyFill="1" applyBorder="1" applyAlignment="1" applyProtection="1">
      <alignment horizontal="left" vertical="center"/>
    </xf>
    <xf numFmtId="0" fontId="7" fillId="2" borderId="21" xfId="2" applyFont="1" applyFill="1" applyBorder="1" applyAlignment="1" applyProtection="1">
      <alignment horizontal="left" vertical="center"/>
    </xf>
    <xf numFmtId="0" fontId="7" fillId="2" borderId="24" xfId="2" applyFont="1" applyFill="1" applyBorder="1" applyAlignment="1" applyProtection="1">
      <alignment horizontal="left" vertical="center"/>
    </xf>
    <xf numFmtId="0" fontId="7" fillId="4" borderId="21" xfId="2" applyFont="1" applyFill="1" applyBorder="1" applyAlignment="1" applyProtection="1">
      <alignment horizontal="left" vertical="center"/>
    </xf>
    <xf numFmtId="0" fontId="7" fillId="4" borderId="41" xfId="2" applyFont="1" applyFill="1" applyBorder="1" applyAlignment="1" applyProtection="1">
      <alignment horizontal="left" vertical="center"/>
    </xf>
    <xf numFmtId="0" fontId="7" fillId="4" borderId="42" xfId="2" applyFont="1" applyFill="1" applyBorder="1" applyAlignment="1" applyProtection="1">
      <alignment horizontal="left" vertical="center"/>
    </xf>
    <xf numFmtId="0" fontId="7" fillId="4" borderId="42" xfId="2" applyFont="1" applyFill="1" applyBorder="1" applyAlignment="1" applyProtection="1">
      <alignment horizontal="left" vertical="center" wrapText="1"/>
    </xf>
    <xf numFmtId="0" fontId="7" fillId="4" borderId="22" xfId="1" applyFont="1" applyFill="1" applyBorder="1" applyAlignment="1" applyProtection="1">
      <alignment horizontal="left" vertical="center"/>
    </xf>
    <xf numFmtId="0" fontId="7" fillId="4" borderId="26" xfId="1" applyFont="1" applyFill="1" applyBorder="1" applyAlignment="1" applyProtection="1">
      <alignment horizontal="left" vertical="center"/>
    </xf>
    <xf numFmtId="0" fontId="16" fillId="4" borderId="8" xfId="1" applyFont="1" applyFill="1" applyBorder="1" applyAlignment="1" applyProtection="1">
      <alignment vertical="center"/>
    </xf>
    <xf numFmtId="0" fontId="16" fillId="4" borderId="5" xfId="1" applyFont="1" applyFill="1" applyBorder="1" applyAlignment="1" applyProtection="1">
      <alignment horizontal="right" vertical="center"/>
    </xf>
    <xf numFmtId="0" fontId="7" fillId="4" borderId="19" xfId="2" applyFont="1" applyFill="1" applyBorder="1" applyAlignment="1" applyProtection="1">
      <alignment horizontal="left" vertical="center"/>
    </xf>
    <xf numFmtId="0" fontId="7" fillId="4" borderId="24" xfId="2" applyFont="1" applyFill="1" applyBorder="1" applyAlignment="1" applyProtection="1">
      <alignment horizontal="left" vertical="center"/>
    </xf>
    <xf numFmtId="0" fontId="7" fillId="2" borderId="5" xfId="2" applyFont="1" applyFill="1" applyBorder="1" applyAlignment="1" applyProtection="1">
      <alignment horizontal="left" vertical="center" wrapText="1"/>
    </xf>
    <xf numFmtId="0" fontId="7" fillId="2" borderId="42" xfId="1" applyFont="1" applyFill="1" applyBorder="1" applyAlignment="1" applyProtection="1">
      <alignment horizontal="left" vertical="center"/>
    </xf>
    <xf numFmtId="0" fontId="7" fillId="4" borderId="10" xfId="1" applyFont="1" applyFill="1" applyBorder="1" applyAlignment="1" applyProtection="1">
      <alignment vertical="center" wrapText="1"/>
    </xf>
    <xf numFmtId="0" fontId="7" fillId="4" borderId="22" xfId="2" applyFont="1" applyFill="1" applyBorder="1" applyAlignment="1" applyProtection="1">
      <alignment horizontal="left" vertical="center"/>
    </xf>
    <xf numFmtId="0" fontId="7" fillId="4" borderId="8" xfId="1" applyFont="1" applyFill="1" applyBorder="1" applyAlignment="1" applyProtection="1">
      <alignment vertical="center" wrapText="1"/>
    </xf>
    <xf numFmtId="0" fontId="0" fillId="0" borderId="0" xfId="0" applyAlignment="1" applyProtection="1">
      <alignment horizontal="right" vertical="center"/>
    </xf>
    <xf numFmtId="0" fontId="0" fillId="0" borderId="0" xfId="0" applyAlignment="1" applyProtection="1">
      <alignment horizontal="center" vertical="center"/>
    </xf>
    <xf numFmtId="164" fontId="7" fillId="4" borderId="11" xfId="1" applyNumberFormat="1" applyFont="1" applyFill="1" applyBorder="1" applyAlignment="1" applyProtection="1">
      <alignment horizontal="center" vertical="center"/>
      <protection locked="0"/>
    </xf>
    <xf numFmtId="164" fontId="7" fillId="4" borderId="28" xfId="1" applyNumberFormat="1" applyFont="1" applyFill="1" applyBorder="1" applyAlignment="1" applyProtection="1">
      <alignment horizontal="center" vertical="center"/>
      <protection locked="0"/>
    </xf>
    <xf numFmtId="164" fontId="16" fillId="4" borderId="5" xfId="1" applyNumberFormat="1" applyFont="1" applyFill="1" applyBorder="1" applyAlignment="1" applyProtection="1">
      <alignment horizontal="center" vertical="center"/>
      <protection locked="0"/>
    </xf>
    <xf numFmtId="164" fontId="7" fillId="4" borderId="30" xfId="1" applyNumberFormat="1" applyFont="1" applyFill="1" applyBorder="1" applyAlignment="1" applyProtection="1">
      <alignment horizontal="center" vertical="center"/>
      <protection locked="0"/>
    </xf>
    <xf numFmtId="0" fontId="42" fillId="0" borderId="0" xfId="0" applyFont="1" applyProtection="1">
      <alignment vertical="center"/>
    </xf>
    <xf numFmtId="0" fontId="7" fillId="2" borderId="11" xfId="1" applyFont="1" applyFill="1" applyBorder="1" applyAlignment="1">
      <alignment horizontal="left" vertical="center"/>
    </xf>
    <xf numFmtId="0" fontId="7" fillId="2" borderId="5" xfId="1" applyFont="1" applyFill="1" applyBorder="1" applyAlignment="1">
      <alignment horizontal="left" vertical="center"/>
    </xf>
    <xf numFmtId="0" fontId="7" fillId="2" borderId="19" xfId="2" applyFont="1" applyFill="1" applyBorder="1" applyAlignment="1">
      <alignment horizontal="left" vertical="center"/>
    </xf>
    <xf numFmtId="0" fontId="7" fillId="2" borderId="22" xfId="2" applyFont="1" applyFill="1" applyBorder="1" applyAlignment="1">
      <alignment horizontal="left" vertical="center"/>
    </xf>
    <xf numFmtId="0" fontId="7" fillId="2" borderId="19" xfId="1" applyFont="1" applyFill="1" applyBorder="1" applyAlignment="1">
      <alignment horizontal="left" vertical="center"/>
    </xf>
    <xf numFmtId="0" fontId="42" fillId="0" borderId="0" xfId="0" applyFont="1">
      <alignment vertical="center"/>
    </xf>
    <xf numFmtId="0" fontId="42" fillId="0" borderId="0" xfId="0" applyFont="1" applyBorder="1" applyAlignment="1">
      <alignment horizontal="left" vertical="center"/>
    </xf>
    <xf numFmtId="0" fontId="45" fillId="0" borderId="0" xfId="0" applyFont="1">
      <alignment vertical="center"/>
    </xf>
    <xf numFmtId="0" fontId="44" fillId="0" borderId="0" xfId="0" applyFont="1">
      <alignment vertical="center"/>
    </xf>
    <xf numFmtId="0" fontId="46" fillId="0" borderId="0" xfId="0" applyFont="1">
      <alignment vertical="center"/>
    </xf>
    <xf numFmtId="0" fontId="43" fillId="2" borderId="24" xfId="1" applyFont="1" applyFill="1" applyBorder="1" applyAlignment="1">
      <alignment horizontal="left" vertical="center"/>
    </xf>
    <xf numFmtId="0" fontId="43" fillId="2" borderId="26" xfId="1" applyFont="1" applyFill="1" applyBorder="1" applyAlignment="1">
      <alignment horizontal="left" vertical="center"/>
    </xf>
    <xf numFmtId="0" fontId="47" fillId="2" borderId="23" xfId="1" applyFont="1" applyFill="1" applyBorder="1" applyAlignment="1">
      <alignment horizontal="left" vertical="center"/>
    </xf>
    <xf numFmtId="0" fontId="47" fillId="2" borderId="23" xfId="2" applyFont="1" applyFill="1" applyBorder="1" applyAlignment="1">
      <alignment horizontal="left" vertical="center"/>
    </xf>
    <xf numFmtId="0" fontId="37" fillId="2" borderId="23" xfId="2" applyFont="1" applyFill="1" applyBorder="1" applyAlignment="1">
      <alignment horizontal="left" vertical="center"/>
    </xf>
    <xf numFmtId="0" fontId="37" fillId="2" borderId="26" xfId="2" applyFont="1" applyFill="1" applyBorder="1" applyAlignment="1">
      <alignment horizontal="left" vertical="center"/>
    </xf>
    <xf numFmtId="0" fontId="42" fillId="0" borderId="0" xfId="0" quotePrefix="1" applyFont="1">
      <alignment vertical="center"/>
    </xf>
    <xf numFmtId="0" fontId="8" fillId="3" borderId="0" xfId="1" applyFont="1" applyFill="1" applyBorder="1" applyAlignment="1" applyProtection="1">
      <alignment horizontal="left" vertical="center"/>
    </xf>
    <xf numFmtId="0" fontId="8" fillId="3" borderId="14" xfId="1" applyFont="1" applyFill="1" applyBorder="1" applyAlignment="1" applyProtection="1">
      <alignment horizontal="left" vertical="center"/>
    </xf>
    <xf numFmtId="0" fontId="48" fillId="0" borderId="0" xfId="0" applyFont="1">
      <alignment vertical="center"/>
    </xf>
    <xf numFmtId="0" fontId="7" fillId="4" borderId="5" xfId="1" applyFont="1" applyFill="1" applyBorder="1" applyAlignment="1" applyProtection="1">
      <alignment horizontal="center" vertical="center"/>
    </xf>
    <xf numFmtId="0" fontId="7" fillId="2" borderId="19" xfId="2" applyFont="1" applyFill="1" applyBorder="1" applyAlignment="1" applyProtection="1">
      <alignment horizontal="left" vertical="center"/>
    </xf>
    <xf numFmtId="0" fontId="54" fillId="0" borderId="0" xfId="0" applyFont="1" applyProtection="1">
      <alignment vertical="center"/>
    </xf>
    <xf numFmtId="0" fontId="8" fillId="3" borderId="0" xfId="1" applyFont="1" applyFill="1" applyBorder="1" applyAlignment="1" applyProtection="1">
      <alignment horizontal="center" vertical="center"/>
    </xf>
    <xf numFmtId="0" fontId="12" fillId="3" borderId="8" xfId="1" applyFont="1" applyFill="1" applyBorder="1" applyAlignment="1" applyProtection="1">
      <alignment vertical="center" wrapText="1"/>
    </xf>
    <xf numFmtId="0" fontId="55" fillId="0" borderId="0" xfId="0" applyFont="1">
      <alignment vertical="center"/>
    </xf>
    <xf numFmtId="0" fontId="54" fillId="0" borderId="0" xfId="0" applyFont="1">
      <alignment vertical="center"/>
    </xf>
    <xf numFmtId="0" fontId="56" fillId="0" borderId="0" xfId="0" applyFont="1">
      <alignment vertical="center"/>
    </xf>
    <xf numFmtId="0" fontId="53" fillId="0" borderId="0" xfId="0" applyFont="1">
      <alignment vertical="center"/>
    </xf>
    <xf numFmtId="0" fontId="0" fillId="0" borderId="0" xfId="0" applyAlignment="1">
      <alignment horizontal="right" vertical="center"/>
    </xf>
    <xf numFmtId="165" fontId="7" fillId="2" borderId="21" xfId="1" applyNumberFormat="1" applyFont="1" applyFill="1" applyBorder="1" applyAlignment="1" applyProtection="1">
      <alignment horizontal="center" vertical="center"/>
    </xf>
    <xf numFmtId="0" fontId="16" fillId="2" borderId="20" xfId="1" applyFont="1" applyFill="1" applyBorder="1" applyAlignment="1" applyProtection="1">
      <alignment horizontal="left" vertical="center"/>
    </xf>
    <xf numFmtId="0" fontId="16" fillId="2" borderId="23" xfId="1" applyFont="1" applyFill="1" applyBorder="1" applyAlignment="1" applyProtection="1">
      <alignment horizontal="left" vertical="center"/>
    </xf>
    <xf numFmtId="0" fontId="21" fillId="2" borderId="0" xfId="1" applyFont="1" applyFill="1" applyAlignment="1" applyProtection="1">
      <alignment horizontal="center" vertical="center" wrapText="1"/>
    </xf>
    <xf numFmtId="0" fontId="58" fillId="0" borderId="0" xfId="0" applyFont="1" applyProtection="1">
      <alignment vertical="center"/>
    </xf>
    <xf numFmtId="0" fontId="16" fillId="2" borderId="19" xfId="4" applyFont="1" applyFill="1" applyBorder="1" applyAlignment="1" applyProtection="1">
      <alignment horizontal="center" vertical="center"/>
    </xf>
    <xf numFmtId="0" fontId="16" fillId="2" borderId="19" xfId="1" applyFont="1" applyFill="1" applyBorder="1" applyAlignment="1" applyProtection="1">
      <alignment vertical="center"/>
    </xf>
    <xf numFmtId="0" fontId="26" fillId="0" borderId="23" xfId="0" applyFont="1" applyBorder="1" applyAlignment="1">
      <alignment horizontal="left" vertical="center"/>
    </xf>
    <xf numFmtId="0" fontId="16" fillId="2" borderId="21" xfId="1" applyFont="1" applyFill="1" applyBorder="1" applyAlignment="1" applyProtection="1">
      <alignment vertical="center"/>
    </xf>
    <xf numFmtId="0" fontId="16" fillId="2" borderId="32" xfId="4" applyFont="1" applyFill="1" applyBorder="1" applyAlignment="1" applyProtection="1">
      <alignment vertical="center"/>
    </xf>
    <xf numFmtId="0" fontId="16" fillId="2" borderId="8" xfId="1" applyFont="1" applyFill="1" applyBorder="1" applyAlignment="1" applyProtection="1">
      <alignment vertical="center"/>
    </xf>
    <xf numFmtId="0" fontId="16" fillId="2" borderId="36" xfId="1" applyFont="1" applyFill="1" applyBorder="1" applyAlignment="1" applyProtection="1">
      <alignment vertical="center"/>
    </xf>
    <xf numFmtId="0" fontId="16" fillId="2" borderId="5" xfId="1" applyFont="1" applyFill="1" applyBorder="1" applyAlignment="1" applyProtection="1">
      <alignment vertical="center"/>
    </xf>
    <xf numFmtId="0" fontId="8" fillId="3" borderId="1" xfId="1" applyFont="1" applyFill="1" applyBorder="1" applyAlignment="1" applyProtection="1">
      <alignment horizontal="left" vertical="center"/>
    </xf>
    <xf numFmtId="0" fontId="16" fillId="4" borderId="5" xfId="1" applyFont="1" applyFill="1" applyBorder="1" applyAlignment="1" applyProtection="1">
      <alignment horizontal="center" vertical="center"/>
      <protection locked="0"/>
    </xf>
    <xf numFmtId="0" fontId="16" fillId="4" borderId="19" xfId="1" applyFont="1" applyFill="1" applyBorder="1" applyAlignment="1" applyProtection="1">
      <alignment horizontal="center" vertical="center"/>
      <protection locked="0"/>
    </xf>
    <xf numFmtId="0" fontId="16" fillId="4" borderId="43" xfId="1" applyFont="1" applyFill="1" applyBorder="1" applyAlignment="1" applyProtection="1">
      <alignment horizontal="center" vertical="center"/>
      <protection locked="0"/>
    </xf>
    <xf numFmtId="0" fontId="16" fillId="4" borderId="28" xfId="1" applyFont="1" applyFill="1" applyBorder="1" applyAlignment="1" applyProtection="1">
      <alignment horizontal="center" vertical="center"/>
      <protection locked="0"/>
    </xf>
    <xf numFmtId="0" fontId="16" fillId="0" borderId="8" xfId="1" applyFont="1" applyBorder="1" applyAlignment="1" applyProtection="1">
      <alignment vertical="center" wrapText="1"/>
    </xf>
    <xf numFmtId="0" fontId="16" fillId="2" borderId="8" xfId="1" applyFont="1" applyFill="1" applyBorder="1" applyAlignment="1" applyProtection="1">
      <alignment vertical="center" wrapText="1"/>
    </xf>
    <xf numFmtId="0" fontId="16" fillId="2" borderId="10" xfId="1" applyFont="1" applyFill="1" applyBorder="1" applyAlignment="1" applyProtection="1">
      <alignment vertical="center"/>
    </xf>
    <xf numFmtId="165" fontId="16" fillId="2" borderId="19" xfId="1" applyNumberFormat="1" applyFont="1" applyFill="1" applyBorder="1" applyAlignment="1" applyProtection="1">
      <alignment horizontal="center" vertical="center"/>
    </xf>
    <xf numFmtId="165" fontId="16" fillId="2" borderId="11" xfId="1" applyNumberFormat="1" applyFont="1" applyFill="1" applyBorder="1" applyAlignment="1" applyProtection="1">
      <alignment horizontal="center" vertical="center"/>
    </xf>
    <xf numFmtId="0" fontId="16" fillId="2" borderId="10" xfId="1" applyFont="1" applyFill="1" applyBorder="1" applyAlignment="1" applyProtection="1">
      <alignment vertical="center" wrapText="1"/>
    </xf>
    <xf numFmtId="0" fontId="16" fillId="2" borderId="50" xfId="1" applyFont="1" applyFill="1" applyBorder="1" applyAlignment="1" applyProtection="1">
      <alignment horizontal="left" vertical="center"/>
    </xf>
    <xf numFmtId="0" fontId="29" fillId="2" borderId="49" xfId="1" applyFont="1" applyFill="1" applyBorder="1" applyAlignment="1" applyProtection="1">
      <alignment horizontal="left" vertical="center"/>
    </xf>
    <xf numFmtId="0" fontId="29" fillId="2" borderId="42" xfId="1" applyFont="1" applyFill="1" applyBorder="1" applyAlignment="1" applyProtection="1">
      <alignment horizontal="left" vertical="center"/>
    </xf>
    <xf numFmtId="164" fontId="16" fillId="2" borderId="5" xfId="1" applyNumberFormat="1" applyFont="1" applyFill="1" applyBorder="1" applyAlignment="1" applyProtection="1">
      <alignment horizontal="center" vertical="center"/>
    </xf>
    <xf numFmtId="164" fontId="16" fillId="4" borderId="5" xfId="1" applyNumberFormat="1" applyFont="1" applyFill="1" applyBorder="1" applyAlignment="1" applyProtection="1">
      <alignment horizontal="center" vertical="center"/>
    </xf>
    <xf numFmtId="0" fontId="16" fillId="4" borderId="11" xfId="1" applyFont="1" applyFill="1" applyBorder="1" applyAlignment="1" applyProtection="1">
      <alignment horizontal="center" vertical="center"/>
      <protection locked="0"/>
    </xf>
    <xf numFmtId="0" fontId="16" fillId="2" borderId="22" xfId="1" applyFont="1" applyFill="1" applyBorder="1" applyAlignment="1" applyProtection="1">
      <alignment vertical="center"/>
    </xf>
    <xf numFmtId="0" fontId="37" fillId="2" borderId="23" xfId="1" applyFont="1" applyFill="1" applyBorder="1" applyAlignment="1" applyProtection="1">
      <alignment horizontal="right" vertical="center"/>
    </xf>
    <xf numFmtId="0" fontId="40" fillId="2" borderId="42" xfId="2" applyFont="1" applyFill="1" applyBorder="1" applyAlignment="1" applyProtection="1">
      <alignment horizontal="left" vertical="center"/>
    </xf>
    <xf numFmtId="1" fontId="7" fillId="2" borderId="28" xfId="1" applyNumberFormat="1" applyFont="1" applyFill="1" applyBorder="1" applyAlignment="1" applyProtection="1">
      <alignment horizontal="center" vertical="center"/>
    </xf>
    <xf numFmtId="0" fontId="7" fillId="2" borderId="23" xfId="1" applyFont="1" applyFill="1" applyBorder="1" applyAlignment="1" applyProtection="1">
      <alignment horizontal="left" vertical="center" wrapText="1"/>
    </xf>
    <xf numFmtId="0" fontId="16" fillId="2" borderId="5" xfId="1" applyFont="1" applyFill="1" applyBorder="1" applyAlignment="1" applyProtection="1">
      <alignment horizontal="right" vertical="center"/>
    </xf>
    <xf numFmtId="0" fontId="16" fillId="4" borderId="19" xfId="1" applyFont="1" applyFill="1" applyBorder="1" applyAlignment="1" applyProtection="1">
      <alignment horizontal="center" vertical="center"/>
    </xf>
    <xf numFmtId="0" fontId="16" fillId="4" borderId="23" xfId="1" applyFont="1" applyFill="1" applyBorder="1" applyAlignment="1" applyProtection="1">
      <alignment horizontal="center" vertical="center"/>
    </xf>
    <xf numFmtId="0" fontId="16" fillId="2" borderId="19" xfId="1" applyFont="1" applyFill="1" applyBorder="1" applyAlignment="1" applyProtection="1">
      <alignment horizontal="center" vertical="center"/>
    </xf>
    <xf numFmtId="0" fontId="16" fillId="2" borderId="23" xfId="1" applyFont="1" applyFill="1" applyBorder="1" applyAlignment="1" applyProtection="1">
      <alignment horizontal="center" vertical="center"/>
    </xf>
    <xf numFmtId="0" fontId="16" fillId="0" borderId="5" xfId="1" applyFont="1" applyFill="1" applyBorder="1" applyAlignment="1" applyProtection="1">
      <alignment horizontal="right" vertical="center"/>
    </xf>
    <xf numFmtId="164" fontId="16" fillId="0" borderId="5" xfId="1" applyNumberFormat="1" applyFont="1" applyFill="1" applyBorder="1" applyAlignment="1" applyProtection="1">
      <alignment horizontal="center" vertical="center"/>
    </xf>
    <xf numFmtId="0" fontId="16" fillId="2" borderId="19" xfId="1" applyFont="1" applyFill="1" applyBorder="1" applyAlignment="1" applyProtection="1">
      <alignment vertical="center" wrapText="1"/>
    </xf>
    <xf numFmtId="0" fontId="16" fillId="2" borderId="23" xfId="1" applyFont="1" applyFill="1" applyBorder="1" applyAlignment="1" applyProtection="1">
      <alignment vertical="center"/>
    </xf>
    <xf numFmtId="0" fontId="16" fillId="4" borderId="36" xfId="1" applyFont="1" applyFill="1" applyBorder="1" applyAlignment="1" applyProtection="1">
      <alignment vertical="center"/>
    </xf>
    <xf numFmtId="164" fontId="16" fillId="4" borderId="5" xfId="1" applyNumberFormat="1" applyFont="1" applyFill="1" applyBorder="1" applyAlignment="1" applyProtection="1">
      <alignment horizontal="right" vertical="center"/>
    </xf>
    <xf numFmtId="0" fontId="16" fillId="4" borderId="19" xfId="1" applyFont="1" applyFill="1" applyBorder="1" applyAlignment="1" applyProtection="1">
      <alignment vertical="center" wrapText="1"/>
    </xf>
    <xf numFmtId="0" fontId="16" fillId="4" borderId="23" xfId="1" applyFont="1" applyFill="1" applyBorder="1" applyAlignment="1" applyProtection="1">
      <alignment vertical="center"/>
    </xf>
    <xf numFmtId="0" fontId="16" fillId="4" borderId="10" xfId="1" applyFont="1" applyFill="1" applyBorder="1" applyAlignment="1" applyProtection="1">
      <alignment vertical="center"/>
    </xf>
    <xf numFmtId="0" fontId="16" fillId="4" borderId="11" xfId="1" applyFont="1" applyFill="1" applyBorder="1" applyAlignment="1" applyProtection="1">
      <alignment horizontal="right" vertical="center"/>
    </xf>
    <xf numFmtId="164" fontId="16" fillId="4" borderId="11" xfId="1" applyNumberFormat="1" applyFont="1" applyFill="1" applyBorder="1" applyAlignment="1" applyProtection="1">
      <alignment horizontal="center" vertical="center"/>
      <protection locked="0"/>
    </xf>
    <xf numFmtId="165" fontId="16" fillId="2" borderId="5" xfId="1" applyNumberFormat="1" applyFont="1" applyFill="1" applyBorder="1" applyAlignment="1" applyProtection="1">
      <alignment horizontal="center" vertical="center"/>
    </xf>
    <xf numFmtId="0" fontId="16" fillId="2" borderId="5" xfId="1" applyFont="1" applyFill="1" applyBorder="1" applyAlignment="1" applyProtection="1">
      <alignment horizontal="center" vertical="center"/>
    </xf>
    <xf numFmtId="0" fontId="16" fillId="2" borderId="28" xfId="1" applyFont="1" applyFill="1" applyBorder="1" applyAlignment="1" applyProtection="1">
      <alignment horizontal="right" vertical="center"/>
    </xf>
    <xf numFmtId="0" fontId="16" fillId="2" borderId="21" xfId="1" applyFont="1" applyFill="1" applyBorder="1" applyAlignment="1" applyProtection="1">
      <alignment horizontal="center" vertical="center"/>
    </xf>
    <xf numFmtId="0" fontId="16" fillId="2" borderId="21" xfId="1" applyFont="1" applyFill="1" applyBorder="1" applyAlignment="1" applyProtection="1">
      <alignment horizontal="left" vertical="center"/>
    </xf>
    <xf numFmtId="0" fontId="16" fillId="2" borderId="24" xfId="1" applyFont="1" applyFill="1" applyBorder="1" applyAlignment="1" applyProtection="1">
      <alignment horizontal="left" vertical="center"/>
    </xf>
    <xf numFmtId="11" fontId="16" fillId="2" borderId="21" xfId="1" applyNumberFormat="1" applyFont="1" applyFill="1" applyBorder="1" applyAlignment="1" applyProtection="1">
      <alignment horizontal="center" vertical="center"/>
    </xf>
    <xf numFmtId="0" fontId="29" fillId="2" borderId="24" xfId="1" applyFont="1" applyFill="1" applyBorder="1" applyAlignment="1" applyProtection="1">
      <alignment horizontal="left" vertical="center"/>
    </xf>
    <xf numFmtId="0" fontId="16" fillId="2" borderId="21" xfId="1" applyFont="1" applyFill="1" applyBorder="1" applyAlignment="1" applyProtection="1">
      <alignment vertical="center" wrapText="1"/>
    </xf>
    <xf numFmtId="0" fontId="16" fillId="2" borderId="36" xfId="1" applyFont="1" applyFill="1" applyBorder="1" applyAlignment="1" applyProtection="1">
      <alignment vertical="center" wrapText="1"/>
    </xf>
    <xf numFmtId="0" fontId="16" fillId="2" borderId="22" xfId="1" applyFont="1" applyFill="1" applyBorder="1" applyAlignment="1" applyProtection="1">
      <alignment horizontal="center" vertical="center"/>
    </xf>
    <xf numFmtId="0" fontId="16" fillId="2" borderId="22" xfId="1" applyFont="1" applyFill="1" applyBorder="1" applyAlignment="1" applyProtection="1">
      <alignment vertical="center" wrapText="1"/>
    </xf>
    <xf numFmtId="0" fontId="16" fillId="2" borderId="26" xfId="1" applyFont="1" applyFill="1" applyBorder="1" applyAlignment="1" applyProtection="1">
      <alignment horizontal="left" vertical="center"/>
    </xf>
    <xf numFmtId="0" fontId="16" fillId="2" borderId="19" xfId="2" applyFont="1" applyFill="1" applyBorder="1" applyAlignment="1" applyProtection="1">
      <alignment horizontal="left" vertical="center"/>
    </xf>
    <xf numFmtId="0" fontId="23" fillId="2" borderId="19" xfId="3" applyFont="1" applyFill="1" applyBorder="1" applyAlignment="1">
      <alignment vertical="center"/>
    </xf>
    <xf numFmtId="165" fontId="23" fillId="2" borderId="20" xfId="3" applyNumberFormat="1" applyFont="1" applyFill="1" applyBorder="1" applyAlignment="1">
      <alignment vertical="center"/>
    </xf>
    <xf numFmtId="0" fontId="23" fillId="2" borderId="20" xfId="3" applyFont="1" applyFill="1" applyBorder="1" applyAlignment="1">
      <alignment vertical="center"/>
    </xf>
    <xf numFmtId="0" fontId="23" fillId="2" borderId="23" xfId="3" applyFont="1" applyFill="1" applyBorder="1" applyAlignment="1">
      <alignment vertical="center"/>
    </xf>
    <xf numFmtId="2" fontId="23" fillId="2" borderId="20" xfId="3" applyNumberFormat="1" applyFont="1" applyFill="1" applyBorder="1" applyAlignment="1">
      <alignment vertical="center"/>
    </xf>
    <xf numFmtId="164" fontId="23" fillId="2" borderId="20" xfId="3" applyNumberFormat="1" applyFont="1" applyFill="1" applyBorder="1" applyAlignment="1">
      <alignment vertical="center"/>
    </xf>
    <xf numFmtId="1" fontId="23" fillId="2" borderId="20" xfId="3" applyNumberFormat="1" applyFont="1" applyFill="1" applyBorder="1" applyAlignment="1">
      <alignment vertical="center"/>
    </xf>
    <xf numFmtId="164" fontId="23" fillId="2" borderId="19" xfId="3" applyNumberFormat="1" applyFont="1" applyFill="1" applyBorder="1" applyAlignment="1">
      <alignment vertical="center"/>
    </xf>
    <xf numFmtId="0" fontId="16" fillId="0" borderId="5" xfId="0" applyFont="1" applyBorder="1" applyAlignment="1">
      <alignment vertical="center"/>
    </xf>
    <xf numFmtId="0" fontId="26" fillId="0" borderId="5" xfId="0" applyFont="1" applyBorder="1">
      <alignment vertical="center"/>
    </xf>
    <xf numFmtId="0" fontId="64"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lignment vertical="center"/>
    </xf>
    <xf numFmtId="0" fontId="26" fillId="0" borderId="0" xfId="0" applyFont="1" applyBorder="1" applyAlignment="1">
      <alignment horizontal="left" vertical="center"/>
    </xf>
    <xf numFmtId="0" fontId="67" fillId="0" borderId="0" xfId="0" applyFont="1">
      <alignment vertical="center"/>
    </xf>
    <xf numFmtId="0" fontId="68" fillId="0" borderId="0" xfId="0" applyFont="1">
      <alignment vertical="center"/>
    </xf>
    <xf numFmtId="0" fontId="64" fillId="0" borderId="0" xfId="0" applyFont="1">
      <alignment vertical="center"/>
    </xf>
    <xf numFmtId="0" fontId="71" fillId="0" borderId="0" xfId="0" applyFont="1">
      <alignment vertical="center"/>
    </xf>
    <xf numFmtId="0" fontId="16" fillId="0" borderId="5" xfId="0" applyFont="1" applyBorder="1">
      <alignment vertical="center"/>
    </xf>
    <xf numFmtId="0" fontId="16" fillId="4" borderId="5" xfId="0" applyFont="1" applyFill="1" applyBorder="1" applyAlignment="1" applyProtection="1">
      <alignment horizontal="center" vertical="center"/>
      <protection locked="0"/>
    </xf>
    <xf numFmtId="0" fontId="16" fillId="0" borderId="21" xfId="0" applyFont="1" applyBorder="1">
      <alignment vertical="center"/>
    </xf>
    <xf numFmtId="0" fontId="26" fillId="0" borderId="51" xfId="0" applyFont="1" applyBorder="1">
      <alignment vertical="center"/>
    </xf>
    <xf numFmtId="0" fontId="16" fillId="0" borderId="43" xfId="0" applyFont="1" applyBorder="1">
      <alignment vertical="center"/>
    </xf>
    <xf numFmtId="0" fontId="16" fillId="0" borderId="52" xfId="0" applyFont="1" applyBorder="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41" xfId="0" applyFont="1" applyBorder="1">
      <alignment vertical="center"/>
    </xf>
    <xf numFmtId="0" fontId="16" fillId="0" borderId="29" xfId="0" applyFont="1" applyBorder="1">
      <alignment vertical="center"/>
    </xf>
    <xf numFmtId="0" fontId="16" fillId="0" borderId="5" xfId="0" applyFont="1" applyBorder="1" applyAlignment="1">
      <alignment horizontal="center" vertical="center"/>
    </xf>
    <xf numFmtId="0" fontId="16" fillId="0" borderId="30" xfId="0" applyFont="1" applyBorder="1">
      <alignment vertical="center"/>
    </xf>
    <xf numFmtId="0" fontId="16" fillId="4" borderId="5" xfId="0" applyFont="1" applyFill="1" applyBorder="1" applyProtection="1">
      <alignment vertical="center"/>
      <protection locked="0"/>
    </xf>
    <xf numFmtId="0" fontId="42" fillId="0" borderId="0" xfId="0" applyFont="1" applyBorder="1">
      <alignment vertical="center"/>
    </xf>
    <xf numFmtId="0" fontId="16" fillId="2" borderId="19" xfId="1" applyFont="1" applyFill="1" applyBorder="1" applyAlignment="1" applyProtection="1">
      <alignment horizontal="center" vertical="center"/>
    </xf>
    <xf numFmtId="0" fontId="12" fillId="3" borderId="37" xfId="1" applyFont="1" applyFill="1" applyBorder="1" applyAlignment="1" applyProtection="1">
      <alignment horizontal="left" vertical="center"/>
    </xf>
    <xf numFmtId="0" fontId="12" fillId="3" borderId="38" xfId="1" applyFont="1" applyFill="1" applyBorder="1" applyAlignment="1" applyProtection="1">
      <alignment horizontal="left" vertical="center"/>
    </xf>
    <xf numFmtId="0" fontId="12" fillId="3" borderId="39" xfId="1" applyFont="1" applyFill="1" applyBorder="1" applyAlignment="1" applyProtection="1">
      <alignment horizontal="left" vertical="center"/>
    </xf>
    <xf numFmtId="0" fontId="12" fillId="3" borderId="50" xfId="1" applyFont="1" applyFill="1" applyBorder="1" applyAlignment="1" applyProtection="1">
      <alignment horizontal="left" vertical="center"/>
    </xf>
    <xf numFmtId="0" fontId="12" fillId="2" borderId="49" xfId="1" applyFont="1" applyFill="1" applyBorder="1" applyAlignment="1" applyProtection="1">
      <alignment horizontal="right" vertical="center"/>
    </xf>
    <xf numFmtId="0" fontId="12" fillId="2" borderId="49" xfId="1" applyFont="1" applyFill="1" applyBorder="1" applyAlignment="1" applyProtection="1">
      <alignment horizontal="center" vertical="center"/>
    </xf>
    <xf numFmtId="0" fontId="12" fillId="2" borderId="49" xfId="1" applyFont="1" applyFill="1" applyBorder="1" applyAlignment="1" applyProtection="1">
      <alignment horizontal="left" vertical="center"/>
    </xf>
    <xf numFmtId="0" fontId="12" fillId="2" borderId="42" xfId="1" applyFont="1" applyFill="1" applyBorder="1" applyAlignment="1" applyProtection="1">
      <alignment horizontal="left" vertical="center"/>
    </xf>
    <xf numFmtId="164" fontId="7" fillId="4" borderId="21" xfId="1" applyNumberFormat="1" applyFont="1" applyFill="1" applyBorder="1" applyAlignment="1" applyProtection="1">
      <alignment horizontal="center" vertical="center"/>
      <protection locked="0"/>
    </xf>
    <xf numFmtId="0" fontId="7" fillId="4" borderId="23" xfId="2" applyFont="1" applyFill="1" applyBorder="1" applyAlignment="1" applyProtection="1">
      <alignment horizontal="left" vertical="center" wrapText="1"/>
    </xf>
    <xf numFmtId="0" fontId="7" fillId="4" borderId="5" xfId="1" applyFont="1" applyFill="1" applyBorder="1" applyAlignment="1" applyProtection="1">
      <alignment horizontal="center" vertical="center"/>
      <protection locked="0"/>
    </xf>
    <xf numFmtId="0" fontId="16" fillId="4" borderId="28" xfId="1" applyFont="1" applyFill="1" applyBorder="1" applyAlignment="1" applyProtection="1">
      <alignment horizontal="right" vertical="center"/>
    </xf>
    <xf numFmtId="0" fontId="16" fillId="4" borderId="21" xfId="1" applyFont="1" applyFill="1" applyBorder="1" applyAlignment="1" applyProtection="1">
      <alignment vertical="center" wrapText="1"/>
    </xf>
    <xf numFmtId="0" fontId="16" fillId="4" borderId="24" xfId="1" applyFont="1" applyFill="1" applyBorder="1" applyAlignment="1" applyProtection="1">
      <alignment horizontal="left" vertical="center"/>
    </xf>
    <xf numFmtId="0" fontId="16" fillId="4" borderId="36" xfId="1" applyFont="1" applyFill="1" applyBorder="1" applyAlignment="1" applyProtection="1">
      <alignment vertical="center" wrapText="1"/>
    </xf>
    <xf numFmtId="0" fontId="29" fillId="4" borderId="24" xfId="1" applyFont="1" applyFill="1" applyBorder="1" applyAlignment="1" applyProtection="1">
      <alignment horizontal="left" vertical="center"/>
    </xf>
    <xf numFmtId="0" fontId="16" fillId="4" borderId="21" xfId="1" applyFont="1" applyFill="1" applyBorder="1" applyAlignment="1" applyProtection="1">
      <alignment horizontal="left" vertical="center"/>
    </xf>
    <xf numFmtId="0" fontId="16" fillId="4" borderId="5" xfId="1" applyFont="1" applyFill="1" applyBorder="1" applyAlignment="1" applyProtection="1">
      <alignment vertical="center"/>
    </xf>
    <xf numFmtId="0" fontId="16" fillId="4" borderId="6" xfId="1" applyFont="1" applyFill="1" applyBorder="1" applyAlignment="1" applyProtection="1">
      <alignment horizontal="left" vertical="center"/>
    </xf>
    <xf numFmtId="0" fontId="16" fillId="4" borderId="27" xfId="1" applyFont="1" applyFill="1" applyBorder="1" applyAlignment="1" applyProtection="1">
      <alignment horizontal="left" vertical="center"/>
    </xf>
    <xf numFmtId="0" fontId="16" fillId="4" borderId="20" xfId="1" applyFont="1" applyFill="1" applyBorder="1" applyAlignment="1" applyProtection="1">
      <alignment horizontal="left" vertical="center"/>
    </xf>
    <xf numFmtId="0" fontId="16" fillId="4" borderId="21" xfId="1" applyFont="1" applyFill="1" applyBorder="1" applyAlignment="1" applyProtection="1">
      <alignment horizontal="center" vertical="center"/>
      <protection locked="0"/>
    </xf>
    <xf numFmtId="0" fontId="16" fillId="4" borderId="49" xfId="1" applyFont="1" applyFill="1" applyBorder="1" applyAlignment="1" applyProtection="1">
      <alignment horizontal="left" vertical="center"/>
      <protection locked="0"/>
    </xf>
    <xf numFmtId="165" fontId="16" fillId="0" borderId="0" xfId="0" applyNumberFormat="1" applyFont="1" applyAlignment="1">
      <alignment horizontal="center" vertical="center"/>
    </xf>
    <xf numFmtId="0" fontId="17" fillId="3" borderId="37" xfId="1" applyFont="1" applyFill="1" applyBorder="1" applyAlignment="1" applyProtection="1">
      <alignment horizontal="left" vertical="center"/>
    </xf>
    <xf numFmtId="0" fontId="17" fillId="3" borderId="38" xfId="1" applyFont="1" applyFill="1" applyBorder="1" applyAlignment="1" applyProtection="1">
      <alignment horizontal="left" vertical="center"/>
    </xf>
    <xf numFmtId="0" fontId="17" fillId="3" borderId="39" xfId="1" applyFont="1" applyFill="1" applyBorder="1" applyAlignment="1" applyProtection="1">
      <alignment horizontal="left" vertical="center"/>
    </xf>
    <xf numFmtId="0" fontId="27" fillId="2" borderId="27" xfId="1" applyFont="1" applyFill="1" applyBorder="1" applyAlignment="1" applyProtection="1">
      <alignment horizontal="left" vertical="center" wrapText="1"/>
    </xf>
    <xf numFmtId="0" fontId="61" fillId="2" borderId="9" xfId="1" applyFont="1" applyFill="1" applyBorder="1" applyAlignment="1" applyProtection="1">
      <alignment horizontal="left" vertical="center" wrapText="1"/>
    </xf>
    <xf numFmtId="0" fontId="9" fillId="2" borderId="9" xfId="1" applyFont="1" applyFill="1" applyBorder="1" applyAlignment="1" applyProtection="1">
      <alignment horizontal="left" vertical="center" wrapText="1"/>
    </xf>
    <xf numFmtId="0" fontId="7" fillId="2" borderId="22" xfId="1" applyFont="1" applyFill="1" applyBorder="1" applyAlignment="1" applyProtection="1">
      <alignment horizontal="left" vertical="center"/>
    </xf>
    <xf numFmtId="0" fontId="7" fillId="2" borderId="25" xfId="1" applyFont="1" applyFill="1" applyBorder="1" applyAlignment="1" applyProtection="1">
      <alignment horizontal="left" vertical="center"/>
    </xf>
    <xf numFmtId="0" fontId="7" fillId="2" borderId="26" xfId="1" applyFont="1" applyFill="1" applyBorder="1" applyAlignment="1" applyProtection="1">
      <alignment horizontal="left" vertical="center"/>
    </xf>
    <xf numFmtId="0" fontId="7" fillId="4" borderId="5" xfId="1" applyFont="1" applyFill="1" applyBorder="1" applyAlignment="1" applyProtection="1">
      <alignment horizontal="center" vertical="center"/>
      <protection locked="0"/>
    </xf>
    <xf numFmtId="0" fontId="16" fillId="2" borderId="27" xfId="1" applyFont="1" applyFill="1" applyBorder="1" applyAlignment="1" applyProtection="1">
      <alignment horizontal="left" vertical="center" wrapText="1"/>
    </xf>
    <xf numFmtId="0" fontId="29" fillId="2" borderId="9" xfId="1" applyFont="1" applyFill="1" applyBorder="1" applyAlignment="1" applyProtection="1">
      <alignment horizontal="left" vertical="center" wrapText="1"/>
    </xf>
    <xf numFmtId="0" fontId="7" fillId="2" borderId="5"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0" fontId="27" fillId="2" borderId="40" xfId="1" applyFont="1" applyFill="1" applyBorder="1" applyAlignment="1" applyProtection="1">
      <alignment horizontal="left" vertical="center" wrapText="1"/>
    </xf>
    <xf numFmtId="0" fontId="9" fillId="2" borderId="12" xfId="1" applyFont="1" applyFill="1" applyBorder="1" applyAlignment="1" applyProtection="1">
      <alignment horizontal="left" vertical="center" wrapText="1"/>
    </xf>
    <xf numFmtId="0" fontId="16" fillId="2" borderId="20" xfId="1" applyFont="1" applyFill="1" applyBorder="1" applyAlignment="1" applyProtection="1">
      <alignment horizontal="left" vertical="center"/>
    </xf>
    <xf numFmtId="0" fontId="16" fillId="2" borderId="23" xfId="1" applyFont="1" applyFill="1" applyBorder="1" applyAlignment="1" applyProtection="1">
      <alignment horizontal="left" vertical="center"/>
    </xf>
    <xf numFmtId="0" fontId="9" fillId="2" borderId="27" xfId="1" applyFont="1" applyFill="1" applyBorder="1" applyAlignment="1" applyProtection="1">
      <alignment horizontal="left" vertical="center" wrapText="1"/>
    </xf>
    <xf numFmtId="0" fontId="16" fillId="2" borderId="20" xfId="1" applyFont="1" applyFill="1" applyBorder="1" applyAlignment="1" applyProtection="1">
      <alignment horizontal="left" vertical="center" wrapText="1"/>
    </xf>
    <xf numFmtId="0" fontId="16" fillId="2" borderId="23" xfId="1" applyFont="1" applyFill="1" applyBorder="1" applyAlignment="1" applyProtection="1">
      <alignment horizontal="left" vertical="center" wrapText="1"/>
    </xf>
    <xf numFmtId="0" fontId="37" fillId="2" borderId="9" xfId="1" applyFont="1" applyFill="1" applyBorder="1" applyAlignment="1" applyProtection="1">
      <alignment horizontal="left" vertical="center" wrapText="1"/>
    </xf>
    <xf numFmtId="0" fontId="16" fillId="2" borderId="25" xfId="1" applyFont="1" applyFill="1" applyBorder="1" applyAlignment="1" applyProtection="1">
      <alignment horizontal="left" vertical="center" wrapText="1"/>
    </xf>
    <xf numFmtId="0" fontId="16" fillId="2" borderId="26" xfId="1" applyFont="1" applyFill="1" applyBorder="1" applyAlignment="1" applyProtection="1">
      <alignment horizontal="left" vertical="center" wrapText="1"/>
    </xf>
    <xf numFmtId="0" fontId="17" fillId="3" borderId="32" xfId="1" applyFont="1" applyFill="1" applyBorder="1" applyAlignment="1" applyProtection="1">
      <alignment horizontal="left" vertical="center"/>
    </xf>
    <xf numFmtId="0" fontId="17" fillId="3" borderId="33" xfId="1" applyFont="1" applyFill="1" applyBorder="1" applyAlignment="1" applyProtection="1">
      <alignment horizontal="left" vertical="center"/>
    </xf>
    <xf numFmtId="0" fontId="17" fillId="3" borderId="34" xfId="1" applyFont="1" applyFill="1" applyBorder="1" applyAlignment="1" applyProtection="1">
      <alignment horizontal="left" vertical="center"/>
    </xf>
    <xf numFmtId="0" fontId="5" fillId="3" borderId="0" xfId="1" applyFont="1" applyFill="1" applyAlignment="1" applyProtection="1">
      <alignment horizontal="center" vertical="center" wrapText="1"/>
    </xf>
    <xf numFmtId="0" fontId="6" fillId="2" borderId="1" xfId="1" applyFont="1" applyFill="1" applyBorder="1" applyAlignment="1" applyProtection="1">
      <alignment horizontal="left" vertical="center"/>
    </xf>
    <xf numFmtId="0" fontId="6" fillId="2" borderId="7" xfId="1" applyFont="1" applyFill="1" applyBorder="1" applyAlignment="1" applyProtection="1">
      <alignment horizontal="left" vertical="center"/>
    </xf>
    <xf numFmtId="0" fontId="6" fillId="2" borderId="2" xfId="1" applyFont="1" applyFill="1" applyBorder="1" applyAlignment="1" applyProtection="1">
      <alignment horizontal="left" vertical="center"/>
    </xf>
    <xf numFmtId="0" fontId="7" fillId="2" borderId="13"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15"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4" fillId="2" borderId="7" xfId="1" applyFont="1" applyFill="1" applyBorder="1" applyAlignment="1" applyProtection="1">
      <alignment horizontal="center" vertical="center" wrapText="1"/>
    </xf>
    <xf numFmtId="0" fontId="14" fillId="2" borderId="2" xfId="1" applyFont="1" applyFill="1" applyBorder="1" applyAlignment="1" applyProtection="1">
      <alignment horizontal="center" vertical="center" wrapText="1"/>
    </xf>
    <xf numFmtId="0" fontId="11" fillId="2" borderId="13" xfId="1" applyFont="1" applyFill="1" applyBorder="1" applyAlignment="1" applyProtection="1">
      <alignment horizontal="center" vertical="center"/>
    </xf>
    <xf numFmtId="0" fontId="11" fillId="2" borderId="0" xfId="1" applyFont="1" applyFill="1" applyBorder="1" applyAlignment="1" applyProtection="1">
      <alignment horizontal="center" vertical="center"/>
    </xf>
    <xf numFmtId="0" fontId="11" fillId="2" borderId="14" xfId="1" applyFont="1" applyFill="1" applyBorder="1" applyAlignment="1" applyProtection="1">
      <alignment horizontal="center" vertical="center"/>
    </xf>
    <xf numFmtId="0" fontId="20" fillId="2" borderId="3" xfId="1" applyFont="1" applyFill="1" applyBorder="1" applyAlignment="1" applyProtection="1">
      <alignment horizontal="center" vertical="center"/>
    </xf>
    <xf numFmtId="0" fontId="20" fillId="2" borderId="15" xfId="1" applyFont="1" applyFill="1" applyBorder="1" applyAlignment="1" applyProtection="1">
      <alignment horizontal="center" vertical="center"/>
    </xf>
    <xf numFmtId="0" fontId="20" fillId="2" borderId="4" xfId="1" applyFont="1" applyFill="1" applyBorder="1" applyAlignment="1" applyProtection="1">
      <alignment horizontal="center" vertical="center"/>
    </xf>
    <xf numFmtId="0" fontId="16" fillId="2" borderId="16" xfId="1" applyFont="1" applyFill="1" applyBorder="1" applyAlignment="1" applyProtection="1">
      <alignment horizontal="center" vertical="center" wrapText="1"/>
    </xf>
    <xf numFmtId="0" fontId="16" fillId="2" borderId="17" xfId="1" applyFont="1" applyFill="1" applyBorder="1" applyAlignment="1" applyProtection="1">
      <alignment horizontal="center" vertical="center" wrapText="1"/>
    </xf>
    <xf numFmtId="0" fontId="16" fillId="2" borderId="18" xfId="1" applyFont="1" applyFill="1" applyBorder="1" applyAlignment="1" applyProtection="1">
      <alignment horizontal="center" vertical="center" wrapText="1"/>
    </xf>
    <xf numFmtId="0" fontId="15" fillId="3" borderId="1" xfId="1" applyFont="1" applyFill="1" applyBorder="1" applyAlignment="1" applyProtection="1">
      <alignment horizontal="center" vertical="center"/>
    </xf>
    <xf numFmtId="0" fontId="15" fillId="3" borderId="7" xfId="1" applyFont="1" applyFill="1" applyBorder="1" applyAlignment="1" applyProtection="1">
      <alignment horizontal="center" vertical="center"/>
    </xf>
    <xf numFmtId="0" fontId="15" fillId="3" borderId="2" xfId="1" applyFont="1" applyFill="1" applyBorder="1" applyAlignment="1" applyProtection="1">
      <alignment horizontal="center" vertical="center"/>
    </xf>
    <xf numFmtId="0" fontId="15" fillId="3" borderId="3" xfId="1" applyFont="1" applyFill="1" applyBorder="1" applyAlignment="1" applyProtection="1">
      <alignment horizontal="center" vertical="center"/>
    </xf>
    <xf numFmtId="0" fontId="15" fillId="3" borderId="15" xfId="1" applyFont="1" applyFill="1" applyBorder="1" applyAlignment="1" applyProtection="1">
      <alignment horizontal="center" vertical="center"/>
    </xf>
    <xf numFmtId="0" fontId="15" fillId="3" borderId="4" xfId="1" applyFont="1" applyFill="1" applyBorder="1" applyAlignment="1" applyProtection="1">
      <alignment horizontal="center" vertical="center"/>
    </xf>
    <xf numFmtId="0" fontId="8" fillId="3" borderId="32" xfId="1" applyFont="1" applyFill="1" applyBorder="1" applyAlignment="1" applyProtection="1">
      <alignment horizontal="left" vertical="center"/>
    </xf>
    <xf numFmtId="0" fontId="8" fillId="3" borderId="33" xfId="1" applyFont="1" applyFill="1" applyBorder="1" applyAlignment="1" applyProtection="1">
      <alignment horizontal="left" vertical="center"/>
    </xf>
    <xf numFmtId="0" fontId="8" fillId="3" borderId="34" xfId="1" applyFont="1" applyFill="1" applyBorder="1" applyAlignment="1" applyProtection="1">
      <alignment horizontal="left" vertical="center"/>
    </xf>
    <xf numFmtId="0" fontId="16" fillId="2" borderId="29" xfId="1" applyFont="1" applyFill="1" applyBorder="1" applyAlignment="1" applyProtection="1">
      <alignment horizontal="left" vertical="center" wrapText="1"/>
    </xf>
    <xf numFmtId="0" fontId="16" fillId="2" borderId="31" xfId="1" applyFont="1" applyFill="1" applyBorder="1" applyAlignment="1" applyProtection="1">
      <alignment horizontal="left" vertical="center" wrapText="1"/>
    </xf>
    <xf numFmtId="0" fontId="7" fillId="2" borderId="19" xfId="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xf>
    <xf numFmtId="0" fontId="7" fillId="2" borderId="23" xfId="1" applyFont="1" applyFill="1" applyBorder="1" applyAlignment="1" applyProtection="1">
      <alignment horizontal="center" vertical="center"/>
    </xf>
    <xf numFmtId="0" fontId="9" fillId="2" borderId="26" xfId="1" applyFont="1" applyFill="1" applyBorder="1" applyAlignment="1" applyProtection="1">
      <alignment horizontal="left" vertical="center" wrapText="1"/>
    </xf>
    <xf numFmtId="0" fontId="16" fillId="2" borderId="20" xfId="4" applyFont="1" applyFill="1" applyBorder="1" applyAlignment="1" applyProtection="1">
      <alignment horizontal="left" vertical="center"/>
    </xf>
    <xf numFmtId="0" fontId="26" fillId="0" borderId="23" xfId="0" applyFont="1" applyBorder="1" applyAlignment="1">
      <alignment horizontal="left" vertical="center"/>
    </xf>
    <xf numFmtId="0" fontId="7" fillId="2" borderId="28" xfId="1" applyFont="1" applyFill="1" applyBorder="1" applyAlignment="1" applyProtection="1">
      <alignment horizontal="left" vertical="center"/>
    </xf>
    <xf numFmtId="0" fontId="7" fillId="2" borderId="35" xfId="1" applyFont="1" applyFill="1" applyBorder="1" applyAlignment="1" applyProtection="1">
      <alignment horizontal="left" vertical="center"/>
    </xf>
    <xf numFmtId="0" fontId="16" fillId="2" borderId="6" xfId="1" applyFont="1" applyFill="1" applyBorder="1" applyAlignment="1" applyProtection="1">
      <alignment horizontal="left" vertical="center"/>
    </xf>
    <xf numFmtId="0" fontId="16" fillId="2" borderId="24" xfId="1" applyFont="1" applyFill="1" applyBorder="1" applyAlignment="1" applyProtection="1">
      <alignment horizontal="left" vertical="center"/>
    </xf>
    <xf numFmtId="0" fontId="26" fillId="0" borderId="27" xfId="0" applyFont="1" applyBorder="1" applyAlignment="1">
      <alignment horizontal="left" vertical="center"/>
    </xf>
    <xf numFmtId="0" fontId="16" fillId="2" borderId="9" xfId="1" applyFont="1" applyFill="1" applyBorder="1" applyAlignment="1" applyProtection="1">
      <alignment horizontal="left" vertical="center" wrapText="1"/>
    </xf>
    <xf numFmtId="0" fontId="29" fillId="3" borderId="38" xfId="1" applyFont="1" applyFill="1" applyBorder="1" applyAlignment="1" applyProtection="1">
      <alignment horizontal="left" vertical="center"/>
    </xf>
    <xf numFmtId="0" fontId="29" fillId="3" borderId="39" xfId="1" applyFont="1" applyFill="1" applyBorder="1" applyAlignment="1" applyProtection="1">
      <alignment horizontal="left" vertical="center"/>
    </xf>
    <xf numFmtId="0" fontId="16" fillId="2" borderId="40" xfId="1" applyFont="1" applyFill="1" applyBorder="1" applyAlignment="1" applyProtection="1">
      <alignment horizontal="left" vertical="center" wrapText="1"/>
    </xf>
    <xf numFmtId="0" fontId="29" fillId="2" borderId="12" xfId="1" applyFont="1" applyFill="1" applyBorder="1" applyAlignment="1" applyProtection="1">
      <alignment horizontal="left" vertical="center" wrapText="1"/>
    </xf>
    <xf numFmtId="0" fontId="52" fillId="2" borderId="27" xfId="1" applyFont="1" applyFill="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12" xfId="1" applyFont="1" applyFill="1" applyBorder="1" applyAlignment="1" applyProtection="1">
      <alignment horizontal="left" vertical="center"/>
    </xf>
    <xf numFmtId="0" fontId="61" fillId="2" borderId="27"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xf>
    <xf numFmtId="0" fontId="16" fillId="2" borderId="9" xfId="1" applyFont="1" applyFill="1" applyBorder="1" applyAlignment="1" applyProtection="1">
      <alignment horizontal="left" vertical="center"/>
    </xf>
    <xf numFmtId="0" fontId="23" fillId="2" borderId="19" xfId="1" applyFont="1" applyFill="1" applyBorder="1" applyAlignment="1" applyProtection="1">
      <alignment horizontal="left" vertical="center"/>
    </xf>
    <xf numFmtId="0" fontId="23" fillId="2" borderId="23" xfId="1" applyFont="1" applyFill="1" applyBorder="1" applyAlignment="1" applyProtection="1">
      <alignment horizontal="left" vertical="center"/>
    </xf>
    <xf numFmtId="0" fontId="16" fillId="4" borderId="22" xfId="2" applyFont="1" applyFill="1" applyBorder="1" applyAlignment="1" applyProtection="1">
      <alignment horizontal="left" vertical="center"/>
    </xf>
    <xf numFmtId="0" fontId="16" fillId="4" borderId="26" xfId="2" applyFont="1" applyFill="1" applyBorder="1" applyAlignment="1" applyProtection="1">
      <alignment horizontal="left" vertical="center"/>
    </xf>
    <xf numFmtId="0" fontId="16" fillId="4" borderId="19" xfId="1" applyFont="1" applyFill="1" applyBorder="1" applyAlignment="1" applyProtection="1">
      <alignment horizontal="center" vertical="center"/>
    </xf>
    <xf numFmtId="0" fontId="16" fillId="4" borderId="23" xfId="1" applyFont="1" applyFill="1" applyBorder="1" applyAlignment="1" applyProtection="1">
      <alignment horizontal="center" vertical="center"/>
    </xf>
    <xf numFmtId="0" fontId="16" fillId="4" borderId="19" xfId="1" applyFont="1" applyFill="1" applyBorder="1" applyAlignment="1" applyProtection="1">
      <alignment horizontal="left" vertical="center"/>
    </xf>
    <xf numFmtId="0" fontId="16" fillId="4" borderId="23"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7" fillId="2" borderId="23" xfId="1" applyFont="1" applyFill="1" applyBorder="1" applyAlignment="1" applyProtection="1">
      <alignment horizontal="left" vertical="center"/>
    </xf>
    <xf numFmtId="0" fontId="7" fillId="4" borderId="19" xfId="2" applyFont="1" applyFill="1" applyBorder="1" applyAlignment="1" applyProtection="1">
      <alignment horizontal="left" vertical="center"/>
    </xf>
    <xf numFmtId="0" fontId="7" fillId="4" borderId="23" xfId="2" applyFont="1" applyFill="1" applyBorder="1" applyAlignment="1" applyProtection="1">
      <alignment horizontal="left" vertical="center"/>
    </xf>
    <xf numFmtId="0" fontId="7" fillId="2" borderId="21" xfId="2" applyFont="1" applyFill="1" applyBorder="1" applyAlignment="1" applyProtection="1">
      <alignment horizontal="left" vertical="center"/>
    </xf>
    <xf numFmtId="0" fontId="7" fillId="2" borderId="23" xfId="2" applyFont="1" applyFill="1" applyBorder="1" applyAlignment="1" applyProtection="1">
      <alignment horizontal="left" vertical="center"/>
    </xf>
    <xf numFmtId="0" fontId="12" fillId="3" borderId="32" xfId="1" applyFont="1" applyFill="1" applyBorder="1" applyAlignment="1" applyProtection="1">
      <alignment horizontal="left" vertical="center"/>
    </xf>
    <xf numFmtId="0" fontId="12" fillId="3" borderId="33" xfId="1" applyFont="1" applyFill="1" applyBorder="1" applyAlignment="1" applyProtection="1">
      <alignment horizontal="left" vertical="center"/>
    </xf>
    <xf numFmtId="0" fontId="12" fillId="3" borderId="34" xfId="1" applyFont="1" applyFill="1" applyBorder="1" applyAlignment="1" applyProtection="1">
      <alignment horizontal="left" vertical="center"/>
    </xf>
    <xf numFmtId="0" fontId="16" fillId="2" borderId="19" xfId="1" applyFont="1" applyFill="1" applyBorder="1" applyAlignment="1" applyProtection="1">
      <alignment horizontal="left" vertical="center"/>
    </xf>
    <xf numFmtId="0" fontId="16" fillId="2" borderId="19" xfId="2" applyFont="1" applyFill="1" applyBorder="1" applyAlignment="1" applyProtection="1">
      <alignment horizontal="left" vertical="center"/>
    </xf>
    <xf numFmtId="0" fontId="16" fillId="2" borderId="23" xfId="2" applyFont="1" applyFill="1" applyBorder="1" applyAlignment="1" applyProtection="1">
      <alignment horizontal="left" vertical="center"/>
    </xf>
    <xf numFmtId="0" fontId="12" fillId="3" borderId="37" xfId="1" applyFont="1" applyFill="1" applyBorder="1" applyAlignment="1" applyProtection="1">
      <alignment horizontal="left" vertical="center"/>
    </xf>
    <xf numFmtId="0" fontId="12" fillId="3" borderId="38" xfId="1" applyFont="1" applyFill="1" applyBorder="1" applyAlignment="1" applyProtection="1">
      <alignment horizontal="left" vertical="center"/>
    </xf>
    <xf numFmtId="0" fontId="12" fillId="3" borderId="39" xfId="1" applyFont="1" applyFill="1" applyBorder="1" applyAlignment="1" applyProtection="1">
      <alignment horizontal="left" vertical="center"/>
    </xf>
    <xf numFmtId="0" fontId="7" fillId="2" borderId="19" xfId="2" applyFont="1" applyFill="1" applyBorder="1" applyAlignment="1" applyProtection="1">
      <alignment horizontal="left" vertical="center"/>
    </xf>
    <xf numFmtId="0" fontId="7" fillId="4" borderId="41" xfId="2" applyFont="1" applyFill="1" applyBorder="1" applyAlignment="1" applyProtection="1">
      <alignment horizontal="left" vertical="center"/>
    </xf>
    <xf numFmtId="0" fontId="7" fillId="4" borderId="42" xfId="2" applyFont="1" applyFill="1" applyBorder="1" applyAlignment="1" applyProtection="1">
      <alignment horizontal="left" vertical="center"/>
    </xf>
    <xf numFmtId="0" fontId="7" fillId="2" borderId="22" xfId="2" applyFont="1" applyFill="1" applyBorder="1" applyAlignment="1" applyProtection="1">
      <alignment horizontal="left" vertical="center"/>
    </xf>
    <xf numFmtId="0" fontId="7" fillId="2" borderId="26" xfId="2" applyFont="1" applyFill="1" applyBorder="1" applyAlignment="1" applyProtection="1">
      <alignment horizontal="left" vertical="center"/>
    </xf>
    <xf numFmtId="0" fontId="7" fillId="2" borderId="41" xfId="2" applyFont="1" applyFill="1" applyBorder="1" applyAlignment="1" applyProtection="1">
      <alignment horizontal="left" vertical="center"/>
    </xf>
    <xf numFmtId="0" fontId="7" fillId="2" borderId="42" xfId="2" applyFont="1" applyFill="1" applyBorder="1" applyAlignment="1" applyProtection="1">
      <alignment horizontal="left" vertical="center"/>
    </xf>
    <xf numFmtId="0" fontId="37" fillId="2" borderId="19" xfId="2" applyFont="1" applyFill="1" applyBorder="1" applyAlignment="1" applyProtection="1">
      <alignment horizontal="left" vertical="center"/>
    </xf>
    <xf numFmtId="0" fontId="37" fillId="2" borderId="23" xfId="2" applyFont="1" applyFill="1" applyBorder="1" applyAlignment="1" applyProtection="1">
      <alignment horizontal="left" vertical="center"/>
    </xf>
    <xf numFmtId="0" fontId="16" fillId="2" borderId="19" xfId="1" applyFont="1" applyFill="1" applyBorder="1" applyAlignment="1" applyProtection="1">
      <alignment horizontal="center" vertical="center"/>
    </xf>
    <xf numFmtId="0" fontId="16" fillId="2" borderId="27" xfId="1" applyFont="1" applyFill="1" applyBorder="1" applyAlignment="1" applyProtection="1">
      <alignment horizontal="center" vertical="center"/>
    </xf>
    <xf numFmtId="0" fontId="7" fillId="2" borderId="35" xfId="2" applyFont="1" applyFill="1" applyBorder="1" applyAlignment="1" applyProtection="1">
      <alignment horizontal="center" vertical="center" wrapText="1"/>
    </xf>
    <xf numFmtId="0" fontId="7" fillId="2" borderId="44" xfId="2" applyFont="1" applyFill="1" applyBorder="1" applyAlignment="1" applyProtection="1">
      <alignment horizontal="center" vertical="center"/>
    </xf>
    <xf numFmtId="0" fontId="7" fillId="2" borderId="31" xfId="2" applyFont="1" applyFill="1" applyBorder="1" applyAlignment="1" applyProtection="1">
      <alignment horizontal="center" vertical="center"/>
    </xf>
    <xf numFmtId="0" fontId="30" fillId="6" borderId="16" xfId="3" applyFont="1" applyFill="1" applyBorder="1" applyAlignment="1">
      <alignment horizontal="center" vertical="center"/>
    </xf>
    <xf numFmtId="0" fontId="30" fillId="6" borderId="17" xfId="3" applyFont="1" applyFill="1" applyBorder="1" applyAlignment="1">
      <alignment horizontal="center" vertical="center"/>
    </xf>
    <xf numFmtId="0" fontId="30" fillId="6" borderId="18" xfId="3" applyFont="1" applyFill="1" applyBorder="1" applyAlignment="1">
      <alignment horizontal="center" vertical="center"/>
    </xf>
    <xf numFmtId="0" fontId="38" fillId="5" borderId="32" xfId="3" applyFont="1" applyFill="1" applyBorder="1" applyAlignment="1">
      <alignment horizontal="center" vertical="center"/>
    </xf>
    <xf numFmtId="0" fontId="14" fillId="5" borderId="33" xfId="3" applyFont="1" applyFill="1" applyBorder="1" applyAlignment="1">
      <alignment horizontal="center" vertical="center"/>
    </xf>
    <xf numFmtId="0" fontId="14" fillId="5" borderId="34" xfId="3" applyFont="1" applyFill="1" applyBorder="1" applyAlignment="1">
      <alignment horizontal="center" vertical="center"/>
    </xf>
    <xf numFmtId="0" fontId="20" fillId="2" borderId="11" xfId="3" applyFont="1" applyFill="1" applyBorder="1" applyAlignment="1">
      <alignment horizontal="left" vertical="center"/>
    </xf>
    <xf numFmtId="0" fontId="20" fillId="2" borderId="12" xfId="3" applyFont="1" applyFill="1" applyBorder="1" applyAlignment="1">
      <alignment horizontal="left" vertical="center"/>
    </xf>
    <xf numFmtId="0" fontId="30" fillId="2" borderId="27" xfId="3" applyFont="1" applyFill="1" applyBorder="1" applyAlignment="1">
      <alignment horizontal="left" vertical="center"/>
    </xf>
    <xf numFmtId="0" fontId="30" fillId="2" borderId="9" xfId="3" applyFont="1" applyFill="1" applyBorder="1" applyAlignment="1">
      <alignment horizontal="left" vertical="center"/>
    </xf>
    <xf numFmtId="0" fontId="31" fillId="2" borderId="32" xfId="3" applyFont="1" applyFill="1" applyBorder="1" applyAlignment="1">
      <alignment horizontal="center" vertical="center"/>
    </xf>
    <xf numFmtId="0" fontId="31" fillId="2" borderId="8" xfId="3" applyFont="1" applyFill="1" applyBorder="1" applyAlignment="1">
      <alignment horizontal="center" vertical="center"/>
    </xf>
    <xf numFmtId="0" fontId="30" fillId="2" borderId="46" xfId="3" applyFont="1" applyFill="1" applyBorder="1" applyAlignment="1">
      <alignment horizontal="left" vertical="center"/>
    </xf>
    <xf numFmtId="0" fontId="30" fillId="2" borderId="33" xfId="3" applyFont="1" applyFill="1" applyBorder="1" applyAlignment="1">
      <alignment horizontal="left" vertical="center"/>
    </xf>
    <xf numFmtId="0" fontId="30" fillId="2" borderId="34" xfId="3" applyFont="1" applyFill="1" applyBorder="1" applyAlignment="1">
      <alignment horizontal="left" vertical="center"/>
    </xf>
    <xf numFmtId="0" fontId="31" fillId="2" borderId="45" xfId="3"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16" fillId="0" borderId="0" xfId="0" applyFont="1" applyAlignment="1">
      <alignment horizontal="center" vertical="center" wrapText="1"/>
    </xf>
    <xf numFmtId="0" fontId="29" fillId="0" borderId="0" xfId="0" applyFont="1" applyAlignment="1">
      <alignment horizontal="center" vertical="center" wrapText="1"/>
    </xf>
    <xf numFmtId="0" fontId="65" fillId="0" borderId="19" xfId="0" applyFont="1" applyBorder="1" applyAlignment="1">
      <alignment horizontal="center" vertical="center"/>
    </xf>
    <xf numFmtId="0" fontId="65" fillId="0" borderId="20" xfId="0" applyFont="1" applyBorder="1" applyAlignment="1">
      <alignment horizontal="center" vertical="center"/>
    </xf>
    <xf numFmtId="0" fontId="65" fillId="0" borderId="27"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7" xfId="0" applyFont="1" applyBorder="1" applyAlignment="1">
      <alignment horizontal="center" vertical="center"/>
    </xf>
    <xf numFmtId="0" fontId="37" fillId="0" borderId="0" xfId="0" applyFont="1" applyAlignment="1">
      <alignment horizontal="left" vertical="center"/>
    </xf>
    <xf numFmtId="0" fontId="16" fillId="0" borderId="5" xfId="0" applyFont="1" applyBorder="1" applyAlignment="1">
      <alignment horizontal="left" vertical="center"/>
    </xf>
    <xf numFmtId="2" fontId="7" fillId="0" borderId="5" xfId="0" applyNumberFormat="1" applyFont="1" applyBorder="1" applyAlignment="1">
      <alignment horizontal="center" vertical="center"/>
    </xf>
    <xf numFmtId="0" fontId="7" fillId="4" borderId="5" xfId="0" applyFont="1" applyFill="1" applyBorder="1" applyAlignment="1" applyProtection="1">
      <alignment horizontal="center" vertical="center"/>
      <protection locked="0"/>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7"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16" fillId="0" borderId="5" xfId="0" applyFont="1" applyFill="1" applyBorder="1" applyAlignment="1">
      <alignment horizontal="left" vertical="center"/>
    </xf>
    <xf numFmtId="0" fontId="7" fillId="0" borderId="5" xfId="0" applyFont="1" applyBorder="1" applyAlignment="1">
      <alignment horizontal="center" vertical="center"/>
    </xf>
    <xf numFmtId="0" fontId="65" fillId="0" borderId="5" xfId="0" applyFont="1" applyBorder="1" applyAlignment="1">
      <alignment horizontal="center" vertical="center"/>
    </xf>
    <xf numFmtId="0" fontId="26" fillId="0" borderId="5" xfId="0" applyFont="1" applyBorder="1" applyAlignment="1">
      <alignment horizontal="center" vertical="center"/>
    </xf>
    <xf numFmtId="0" fontId="72" fillId="0" borderId="5" xfId="0" applyFont="1" applyBorder="1" applyAlignment="1">
      <alignment vertical="center"/>
    </xf>
    <xf numFmtId="0" fontId="26" fillId="0" borderId="5" xfId="0" applyFont="1" applyBorder="1" applyAlignment="1">
      <alignment vertical="center"/>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2" fillId="3" borderId="39" xfId="1" applyFont="1" applyFill="1" applyBorder="1" applyAlignment="1">
      <alignment horizontal="left" vertical="center"/>
    </xf>
  </cellXfs>
  <cellStyles count="5">
    <cellStyle name="Normal" xfId="0" builtinId="0"/>
    <cellStyle name="Normal 2" xfId="1"/>
    <cellStyle name="Normal 3" xfId="2"/>
    <cellStyle name="Normal 4" xfId="3"/>
    <cellStyle name="Normal 5" xfId="4"/>
  </cellStyles>
  <dxfs count="0"/>
  <tableStyles count="0" defaultTableStyle="TableStyleMedium2" defaultPivotStyle="PivotStyleLight16"/>
  <colors>
    <mruColors>
      <color rgb="FF65DA24"/>
      <color rgb="FFCC00CC"/>
      <color rgb="FF00CCFF"/>
      <color rgb="FF336699"/>
      <color rgb="FF66CCFF"/>
      <color rgb="FF3399FF"/>
      <color rgb="FF15C926"/>
      <color rgb="FF0000FF"/>
      <color rgb="FFFF66FF"/>
      <color rgb="FF18E6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image" Target="../media/image11.PNG"/><Relationship Id="rId7" Type="http://schemas.openxmlformats.org/officeDocument/2006/relationships/image" Target="../media/image14.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3.png"/><Relationship Id="rId5" Type="http://schemas.openxmlformats.org/officeDocument/2006/relationships/image" Target="../media/image8.png"/><Relationship Id="rId4" Type="http://schemas.openxmlformats.org/officeDocument/2006/relationships/image" Target="../media/image12.PNG"/><Relationship Id="rId9" Type="http://schemas.openxmlformats.org/officeDocument/2006/relationships/image" Target="../media/image16.png"/></Relationships>
</file>

<file path=xl/drawings/_rels/drawing5.x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58615</xdr:colOff>
      <xdr:row>14</xdr:row>
      <xdr:rowOff>7328</xdr:rowOff>
    </xdr:from>
    <xdr:to>
      <xdr:col>12</xdr:col>
      <xdr:colOff>335253</xdr:colOff>
      <xdr:row>25</xdr:row>
      <xdr:rowOff>54551</xdr:rowOff>
    </xdr:to>
    <xdr:pic>
      <xdr:nvPicPr>
        <xdr:cNvPr id="9" name="Picture 8">
          <a:extLst>
            <a:ext uri="{FF2B5EF4-FFF2-40B4-BE49-F238E27FC236}">
              <a16:creationId xmlns=""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91" r="7354" b="4802"/>
        <a:stretch/>
      </xdr:blipFill>
      <xdr:spPr bwMode="auto">
        <a:xfrm>
          <a:off x="10580077" y="3678116"/>
          <a:ext cx="3919904" cy="2469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56028</xdr:colOff>
      <xdr:row>40</xdr:row>
      <xdr:rowOff>22411</xdr:rowOff>
    </xdr:from>
    <xdr:to>
      <xdr:col>11</xdr:col>
      <xdr:colOff>560853</xdr:colOff>
      <xdr:row>51</xdr:row>
      <xdr:rowOff>156881</xdr:rowOff>
    </xdr:to>
    <xdr:pic>
      <xdr:nvPicPr>
        <xdr:cNvPr id="6" name="Picture 5">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78352" y="9356911"/>
          <a:ext cx="3530413" cy="3216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45720</xdr:colOff>
          <xdr:row>65</xdr:row>
          <xdr:rowOff>7620</xdr:rowOff>
        </xdr:from>
        <xdr:to>
          <xdr:col>10</xdr:col>
          <xdr:colOff>723900</xdr:colOff>
          <xdr:row>73</xdr:row>
          <xdr:rowOff>7620</xdr:rowOff>
        </xdr:to>
        <xdr:sp macro="" textlink="">
          <xdr:nvSpPr>
            <xdr:cNvPr id="4173" name="Object 77" hidden="1">
              <a:extLst>
                <a:ext uri="{63B3BB69-23CF-44E3-9099-C40C66FF867C}">
                  <a14:compatExt spid="_x0000_s4173"/>
                </a:ext>
                <a:ext uri="{FF2B5EF4-FFF2-40B4-BE49-F238E27FC236}">
                  <a16:creationId xmlns="" xmlns:a16="http://schemas.microsoft.com/office/drawing/2014/main" id="{00000000-0008-0000-0100-00004D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6</xdr:col>
      <xdr:colOff>85725</xdr:colOff>
      <xdr:row>157</xdr:row>
      <xdr:rowOff>38100</xdr:rowOff>
    </xdr:from>
    <xdr:to>
      <xdr:col>9</xdr:col>
      <xdr:colOff>340995</xdr:colOff>
      <xdr:row>162</xdr:row>
      <xdr:rowOff>174157</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115800" y="37757100"/>
          <a:ext cx="2055495" cy="1336207"/>
        </a:xfrm>
        <a:prstGeom prst="rect">
          <a:avLst/>
        </a:prstGeom>
      </xdr:spPr>
    </xdr:pic>
    <xdr:clientData/>
  </xdr:twoCellAnchor>
  <xdr:twoCellAnchor editAs="oneCell">
    <xdr:from>
      <xdr:col>6</xdr:col>
      <xdr:colOff>44822</xdr:colOff>
      <xdr:row>82</xdr:row>
      <xdr:rowOff>63959</xdr:rowOff>
    </xdr:from>
    <xdr:to>
      <xdr:col>10</xdr:col>
      <xdr:colOff>575369</xdr:colOff>
      <xdr:row>89</xdr:row>
      <xdr:rowOff>43369</xdr:rowOff>
    </xdr:to>
    <xdr:pic>
      <xdr:nvPicPr>
        <xdr:cNvPr id="9" name="Picture 8">
          <a:extLst>
            <a:ext uri="{FF2B5EF4-FFF2-40B4-BE49-F238E27FC236}">
              <a16:creationId xmlns="" xmlns:a16="http://schemas.microsoft.com/office/drawing/2014/main" id="{00000000-0008-0000-01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96" b="11040"/>
        <a:stretch/>
      </xdr:blipFill>
      <xdr:spPr>
        <a:xfrm>
          <a:off x="12079940" y="19192400"/>
          <a:ext cx="2951017" cy="1716322"/>
        </a:xfrm>
        <a:prstGeom prst="rect">
          <a:avLst/>
        </a:prstGeom>
      </xdr:spPr>
    </xdr:pic>
    <xdr:clientData/>
  </xdr:twoCellAnchor>
  <xdr:twoCellAnchor>
    <xdr:from>
      <xdr:col>6</xdr:col>
      <xdr:colOff>11204</xdr:colOff>
      <xdr:row>24</xdr:row>
      <xdr:rowOff>201705</xdr:rowOff>
    </xdr:from>
    <xdr:to>
      <xdr:col>10</xdr:col>
      <xdr:colOff>246529</xdr:colOff>
      <xdr:row>28</xdr:row>
      <xdr:rowOff>280147</xdr:rowOff>
    </xdr:to>
    <xdr:grpSp>
      <xdr:nvGrpSpPr>
        <xdr:cNvPr id="11" name="Group 10">
          <a:extLst>
            <a:ext uri="{FF2B5EF4-FFF2-40B4-BE49-F238E27FC236}">
              <a16:creationId xmlns="" xmlns:a16="http://schemas.microsoft.com/office/drawing/2014/main" id="{00000000-0008-0000-0100-00000B000000}"/>
            </a:ext>
          </a:extLst>
        </xdr:cNvPr>
        <xdr:cNvGrpSpPr/>
      </xdr:nvGrpSpPr>
      <xdr:grpSpPr>
        <a:xfrm>
          <a:off x="12397937" y="5061572"/>
          <a:ext cx="2707592" cy="1035175"/>
          <a:chOff x="-1719175" y="0"/>
          <a:chExt cx="3525060" cy="1509746"/>
        </a:xfrm>
      </xdr:grpSpPr>
      <xdr:pic>
        <xdr:nvPicPr>
          <xdr:cNvPr id="12" name="Picture 11">
            <a:extLst>
              <a:ext uri="{FF2B5EF4-FFF2-40B4-BE49-F238E27FC236}">
                <a16:creationId xmlns="" xmlns:a16="http://schemas.microsoft.com/office/drawing/2014/main" id="{00000000-0008-0000-0100-00000C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5268" r="48290" b="56663"/>
          <a:stretch/>
        </xdr:blipFill>
        <xdr:spPr>
          <a:xfrm>
            <a:off x="-1719175" y="0"/>
            <a:ext cx="1930925" cy="1207743"/>
          </a:xfrm>
          <a:prstGeom prst="rect">
            <a:avLst/>
          </a:prstGeom>
        </xdr:spPr>
      </xdr:pic>
      <xdr:sp macro="" textlink="">
        <xdr:nvSpPr>
          <xdr:cNvPr id="13" name="TextBox 56">
            <a:extLst>
              <a:ext uri="{FF2B5EF4-FFF2-40B4-BE49-F238E27FC236}">
                <a16:creationId xmlns="" xmlns:a16="http://schemas.microsoft.com/office/drawing/2014/main" id="{00000000-0008-0000-0100-00000D000000}"/>
              </a:ext>
            </a:extLst>
          </xdr:cNvPr>
          <xdr:cNvSpPr txBox="1"/>
        </xdr:nvSpPr>
        <xdr:spPr>
          <a:xfrm>
            <a:off x="158194" y="167818"/>
            <a:ext cx="1647691" cy="540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400" b="1">
                <a:solidFill>
                  <a:srgbClr val="00B050"/>
                </a:solidFill>
              </a:rPr>
              <a:t>Δ</a:t>
            </a:r>
            <a:r>
              <a:rPr lang="en-US" sz="1400" b="1">
                <a:solidFill>
                  <a:srgbClr val="00B050"/>
                </a:solidFill>
              </a:rPr>
              <a:t>V</a:t>
            </a:r>
            <a:r>
              <a:rPr lang="en-US" sz="1400" b="1" baseline="-25000">
                <a:solidFill>
                  <a:srgbClr val="00B050"/>
                </a:solidFill>
              </a:rPr>
              <a:t>o(ABM)</a:t>
            </a:r>
          </a:p>
        </xdr:txBody>
      </xdr:sp>
      <xdr:sp macro="" textlink="">
        <xdr:nvSpPr>
          <xdr:cNvPr id="14" name="TextBox 57">
            <a:extLst>
              <a:ext uri="{FF2B5EF4-FFF2-40B4-BE49-F238E27FC236}">
                <a16:creationId xmlns="" xmlns:a16="http://schemas.microsoft.com/office/drawing/2014/main" id="{00000000-0008-0000-0100-00000E000000}"/>
              </a:ext>
            </a:extLst>
          </xdr:cNvPr>
          <xdr:cNvSpPr txBox="1"/>
        </xdr:nvSpPr>
        <xdr:spPr>
          <a:xfrm>
            <a:off x="-1554259" y="968899"/>
            <a:ext cx="1742239" cy="540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400" b="1">
                <a:solidFill>
                  <a:srgbClr val="7030A0"/>
                </a:solidFill>
              </a:rPr>
              <a:t>Δ</a:t>
            </a:r>
            <a:r>
              <a:rPr lang="en-US" sz="1400" b="1">
                <a:solidFill>
                  <a:srgbClr val="7030A0"/>
                </a:solidFill>
              </a:rPr>
              <a:t>i</a:t>
            </a:r>
            <a:r>
              <a:rPr lang="en-US" sz="1400" b="1" baseline="-25000">
                <a:solidFill>
                  <a:srgbClr val="7030A0"/>
                </a:solidFill>
              </a:rPr>
              <a:t>FB(ABM)</a:t>
            </a:r>
          </a:p>
        </xdr:txBody>
      </xdr:sp>
    </xdr:grpSp>
    <xdr:clientData/>
  </xdr:twoCellAnchor>
  <xdr:twoCellAnchor editAs="oneCell">
    <xdr:from>
      <xdr:col>6</xdr:col>
      <xdr:colOff>67235</xdr:colOff>
      <xdr:row>142</xdr:row>
      <xdr:rowOff>33618</xdr:rowOff>
    </xdr:from>
    <xdr:to>
      <xdr:col>10</xdr:col>
      <xdr:colOff>784753</xdr:colOff>
      <xdr:row>150</xdr:row>
      <xdr:rowOff>134471</xdr:rowOff>
    </xdr:to>
    <xdr:pic>
      <xdr:nvPicPr>
        <xdr:cNvPr id="16" name="Picture 15">
          <a:extLst>
            <a:ext uri="{FF2B5EF4-FFF2-40B4-BE49-F238E27FC236}">
              <a16:creationId xmlns=""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02353" y="34065883"/>
          <a:ext cx="3137988" cy="2039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448235</xdr:colOff>
      <xdr:row>84</xdr:row>
      <xdr:rowOff>75165</xdr:rowOff>
    </xdr:from>
    <xdr:to>
      <xdr:col>10</xdr:col>
      <xdr:colOff>367317</xdr:colOff>
      <xdr:row>85</xdr:row>
      <xdr:rowOff>249307</xdr:rowOff>
    </xdr:to>
    <xdr:sp macro="" textlink="">
      <xdr:nvSpPr>
        <xdr:cNvPr id="17" name="TextBox 56">
          <a:extLst>
            <a:ext uri="{FF2B5EF4-FFF2-40B4-BE49-F238E27FC236}">
              <a16:creationId xmlns="" xmlns:a16="http://schemas.microsoft.com/office/drawing/2014/main" id="{00000000-0008-0000-0100-000011000000}"/>
            </a:ext>
          </a:extLst>
        </xdr:cNvPr>
        <xdr:cNvSpPr txBox="1"/>
      </xdr:nvSpPr>
      <xdr:spPr>
        <a:xfrm>
          <a:off x="13088470" y="19629430"/>
          <a:ext cx="1734435" cy="409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FFFF00"/>
              </a:solidFill>
            </a:rPr>
            <a:t>Voltage across R</a:t>
          </a:r>
          <a:r>
            <a:rPr lang="en-US" sz="1200" b="1">
              <a:solidFill>
                <a:srgbClr val="FFFF00"/>
              </a:solidFill>
            </a:rPr>
            <a:t>cs</a:t>
          </a:r>
          <a:endParaRPr lang="en-US" sz="1200" b="1" baseline="-25000">
            <a:solidFill>
              <a:srgbClr val="FFFF00"/>
            </a:solidFill>
          </a:endParaRPr>
        </a:p>
      </xdr:txBody>
    </xdr:sp>
    <xdr:clientData/>
  </xdr:twoCellAnchor>
  <xdr:twoCellAnchor>
    <xdr:from>
      <xdr:col>7</xdr:col>
      <xdr:colOff>67237</xdr:colOff>
      <xdr:row>87</xdr:row>
      <xdr:rowOff>56030</xdr:rowOff>
    </xdr:from>
    <xdr:to>
      <xdr:col>10</xdr:col>
      <xdr:colOff>291354</xdr:colOff>
      <xdr:row>88</xdr:row>
      <xdr:rowOff>230171</xdr:rowOff>
    </xdr:to>
    <xdr:sp macro="" textlink="">
      <xdr:nvSpPr>
        <xdr:cNvPr id="18" name="TextBox 56">
          <a:extLst>
            <a:ext uri="{FF2B5EF4-FFF2-40B4-BE49-F238E27FC236}">
              <a16:creationId xmlns="" xmlns:a16="http://schemas.microsoft.com/office/drawing/2014/main" id="{00000000-0008-0000-0100-000012000000}"/>
            </a:ext>
          </a:extLst>
        </xdr:cNvPr>
        <xdr:cNvSpPr txBox="1"/>
      </xdr:nvSpPr>
      <xdr:spPr>
        <a:xfrm>
          <a:off x="12707472" y="20439530"/>
          <a:ext cx="2039470" cy="409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00CCFF"/>
              </a:solidFill>
            </a:rPr>
            <a:t>V</a:t>
          </a:r>
          <a:r>
            <a:rPr lang="en-US" sz="1000" b="1">
              <a:solidFill>
                <a:srgbClr val="00CCFF"/>
              </a:solidFill>
            </a:rPr>
            <a:t>GS</a:t>
          </a:r>
          <a:r>
            <a:rPr lang="en-US" sz="1400" b="1" baseline="0">
              <a:solidFill>
                <a:srgbClr val="00CCFF"/>
              </a:solidFill>
            </a:rPr>
            <a:t> </a:t>
          </a:r>
          <a:r>
            <a:rPr lang="en-US" sz="1400" b="1">
              <a:solidFill>
                <a:srgbClr val="00CCFF"/>
              </a:solidFill>
            </a:rPr>
            <a:t>of low-side MOSFET</a:t>
          </a:r>
          <a:endParaRPr lang="en-US" sz="1400" b="1" baseline="-25000">
            <a:solidFill>
              <a:srgbClr val="00CCFF"/>
            </a:solidFill>
          </a:endParaRPr>
        </a:p>
      </xdr:txBody>
    </xdr:sp>
    <xdr:clientData/>
  </xdr:twoCellAnchor>
  <xdr:twoCellAnchor>
    <xdr:from>
      <xdr:col>7</xdr:col>
      <xdr:colOff>257736</xdr:colOff>
      <xdr:row>67</xdr:row>
      <xdr:rowOff>145677</xdr:rowOff>
    </xdr:from>
    <xdr:to>
      <xdr:col>11</xdr:col>
      <xdr:colOff>67235</xdr:colOff>
      <xdr:row>69</xdr:row>
      <xdr:rowOff>84495</xdr:rowOff>
    </xdr:to>
    <xdr:sp macro="" textlink="">
      <xdr:nvSpPr>
        <xdr:cNvPr id="19" name="TextBox 56">
          <a:extLst>
            <a:ext uri="{FF2B5EF4-FFF2-40B4-BE49-F238E27FC236}">
              <a16:creationId xmlns="" xmlns:a16="http://schemas.microsoft.com/office/drawing/2014/main" id="{00000000-0008-0000-0100-000013000000}"/>
            </a:ext>
          </a:extLst>
        </xdr:cNvPr>
        <xdr:cNvSpPr txBox="1"/>
      </xdr:nvSpPr>
      <xdr:spPr>
        <a:xfrm>
          <a:off x="12897971" y="15833912"/>
          <a:ext cx="2420470" cy="409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CC00CC"/>
              </a:solidFill>
            </a:rPr>
            <a:t>Current of primary winding</a:t>
          </a:r>
          <a:endParaRPr lang="en-US" sz="1200" b="1" baseline="-25000">
            <a:solidFill>
              <a:srgbClr val="CC00CC"/>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358141</xdr:colOff>
      <xdr:row>0</xdr:row>
      <xdr:rowOff>60960</xdr:rowOff>
    </xdr:from>
    <xdr:to>
      <xdr:col>5</xdr:col>
      <xdr:colOff>411480</xdr:colOff>
      <xdr:row>15</xdr:row>
      <xdr:rowOff>2212</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54474" y="60960"/>
          <a:ext cx="6682739" cy="3116252"/>
        </a:xfrm>
        <a:prstGeom prst="rect">
          <a:avLst/>
        </a:prstGeom>
      </xdr:spPr>
    </xdr:pic>
    <xdr:clientData/>
  </xdr:twoCellAnchor>
  <xdr:twoCellAnchor>
    <xdr:from>
      <xdr:col>3</xdr:col>
      <xdr:colOff>175260</xdr:colOff>
      <xdr:row>0</xdr:row>
      <xdr:rowOff>53340</xdr:rowOff>
    </xdr:from>
    <xdr:to>
      <xdr:col>5</xdr:col>
      <xdr:colOff>342900</xdr:colOff>
      <xdr:row>2</xdr:row>
      <xdr:rowOff>510540</xdr:rowOff>
    </xdr:to>
    <xdr:sp macro="" textlink="">
      <xdr:nvSpPr>
        <xdr:cNvPr id="3" name="Rectangle 2">
          <a:extLst>
            <a:ext uri="{FF2B5EF4-FFF2-40B4-BE49-F238E27FC236}">
              <a16:creationId xmlns="" xmlns:a16="http://schemas.microsoft.com/office/drawing/2014/main" id="{00000000-0008-0000-0200-000003000000}"/>
            </a:ext>
          </a:extLst>
        </xdr:cNvPr>
        <xdr:cNvSpPr/>
      </xdr:nvSpPr>
      <xdr:spPr>
        <a:xfrm>
          <a:off x="5562600" y="53340"/>
          <a:ext cx="1219200" cy="8382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5</xdr:col>
      <xdr:colOff>464820</xdr:colOff>
      <xdr:row>1</xdr:row>
      <xdr:rowOff>152400</xdr:rowOff>
    </xdr:from>
    <xdr:to>
      <xdr:col>5</xdr:col>
      <xdr:colOff>982980</xdr:colOff>
      <xdr:row>2</xdr:row>
      <xdr:rowOff>350520</xdr:rowOff>
    </xdr:to>
    <xdr:sp macro="" textlink="">
      <xdr:nvSpPr>
        <xdr:cNvPr id="4" name="Right Arrow 3">
          <a:extLst>
            <a:ext uri="{FF2B5EF4-FFF2-40B4-BE49-F238E27FC236}">
              <a16:creationId xmlns="" xmlns:a16="http://schemas.microsoft.com/office/drawing/2014/main" id="{00000000-0008-0000-0200-000004000000}"/>
            </a:ext>
          </a:extLst>
        </xdr:cNvPr>
        <xdr:cNvSpPr/>
      </xdr:nvSpPr>
      <xdr:spPr>
        <a:xfrm>
          <a:off x="6903720" y="342900"/>
          <a:ext cx="518160"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38</xdr:row>
      <xdr:rowOff>45720</xdr:rowOff>
    </xdr:from>
    <xdr:to>
      <xdr:col>8</xdr:col>
      <xdr:colOff>84203</xdr:colOff>
      <xdr:row>47</xdr:row>
      <xdr:rowOff>61110</xdr:rowOff>
    </xdr:to>
    <xdr:pic>
      <xdr:nvPicPr>
        <xdr:cNvPr id="2" name="Picture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58140" y="3284220"/>
          <a:ext cx="4419983" cy="1729890"/>
        </a:xfrm>
        <a:prstGeom prst="rect">
          <a:avLst/>
        </a:prstGeom>
        <a:ln>
          <a:solidFill>
            <a:srgbClr val="000000"/>
          </a:solidFill>
        </a:ln>
      </xdr:spPr>
    </xdr:pic>
    <xdr:clientData/>
  </xdr:twoCellAnchor>
  <xdr:twoCellAnchor editAs="oneCell">
    <xdr:from>
      <xdr:col>8</xdr:col>
      <xdr:colOff>402962</xdr:colOff>
      <xdr:row>38</xdr:row>
      <xdr:rowOff>38548</xdr:rowOff>
    </xdr:from>
    <xdr:to>
      <xdr:col>16</xdr:col>
      <xdr:colOff>319530</xdr:colOff>
      <xdr:row>47</xdr:row>
      <xdr:rowOff>31076</xdr:rowOff>
    </xdr:to>
    <xdr:pic>
      <xdr:nvPicPr>
        <xdr:cNvPr id="4" name="Picture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4792082" y="4862008"/>
          <a:ext cx="4458088" cy="1707028"/>
        </a:xfrm>
        <a:prstGeom prst="rect">
          <a:avLst/>
        </a:prstGeom>
        <a:ln>
          <a:solidFill>
            <a:srgbClr val="000000"/>
          </a:solidFill>
        </a:ln>
      </xdr:spPr>
    </xdr:pic>
    <xdr:clientData/>
  </xdr:twoCellAnchor>
  <xdr:twoCellAnchor>
    <xdr:from>
      <xdr:col>4</xdr:col>
      <xdr:colOff>266700</xdr:colOff>
      <xdr:row>36</xdr:row>
      <xdr:rowOff>83820</xdr:rowOff>
    </xdr:from>
    <xdr:to>
      <xdr:col>13</xdr:col>
      <xdr:colOff>182880</xdr:colOff>
      <xdr:row>37</xdr:row>
      <xdr:rowOff>175260</xdr:rowOff>
    </xdr:to>
    <xdr:sp macro="" textlink="">
      <xdr:nvSpPr>
        <xdr:cNvPr id="5" name="U-Turn Arrow 4">
          <a:extLst>
            <a:ext uri="{FF2B5EF4-FFF2-40B4-BE49-F238E27FC236}">
              <a16:creationId xmlns="" xmlns:a16="http://schemas.microsoft.com/office/drawing/2014/main" id="{00000000-0008-0000-0300-000005000000}"/>
            </a:ext>
          </a:extLst>
        </xdr:cNvPr>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47</xdr:row>
      <xdr:rowOff>99060</xdr:rowOff>
    </xdr:from>
    <xdr:to>
      <xdr:col>13</xdr:col>
      <xdr:colOff>190500</xdr:colOff>
      <xdr:row>48</xdr:row>
      <xdr:rowOff>182880</xdr:rowOff>
    </xdr:to>
    <xdr:sp macro="" textlink="">
      <xdr:nvSpPr>
        <xdr:cNvPr id="6" name="U-Turn Arrow 5">
          <a:extLst>
            <a:ext uri="{FF2B5EF4-FFF2-40B4-BE49-F238E27FC236}">
              <a16:creationId xmlns="" xmlns:a16="http://schemas.microsoft.com/office/drawing/2014/main" id="{00000000-0008-0000-0300-000006000000}"/>
            </a:ext>
          </a:extLst>
        </xdr:cNvPr>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0</xdr:col>
      <xdr:colOff>480060</xdr:colOff>
      <xdr:row>59</xdr:row>
      <xdr:rowOff>15240</xdr:rowOff>
    </xdr:from>
    <xdr:to>
      <xdr:col>7</xdr:col>
      <xdr:colOff>53340</xdr:colOff>
      <xdr:row>68</xdr:row>
      <xdr:rowOff>83820</xdr:rowOff>
    </xdr:to>
    <xdr:pic>
      <xdr:nvPicPr>
        <xdr:cNvPr id="7" name="Picture 6">
          <a:extLst>
            <a:ext uri="{FF2B5EF4-FFF2-40B4-BE49-F238E27FC236}">
              <a16:creationId xmlns=""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0060" y="8869680"/>
          <a:ext cx="3657600" cy="1783080"/>
        </a:xfrm>
        <a:prstGeom prst="rect">
          <a:avLst/>
        </a:prstGeom>
      </xdr:spPr>
    </xdr:pic>
    <xdr:clientData/>
  </xdr:twoCellAnchor>
  <xdr:twoCellAnchor editAs="oneCell">
    <xdr:from>
      <xdr:col>8</xdr:col>
      <xdr:colOff>5220</xdr:colOff>
      <xdr:row>59</xdr:row>
      <xdr:rowOff>12840</xdr:rowOff>
    </xdr:from>
    <xdr:to>
      <xdr:col>14</xdr:col>
      <xdr:colOff>294780</xdr:colOff>
      <xdr:row>68</xdr:row>
      <xdr:rowOff>81420</xdr:rowOff>
    </xdr:to>
    <xdr:pic>
      <xdr:nvPicPr>
        <xdr:cNvPr id="8" name="Picture 7">
          <a:extLst>
            <a:ext uri="{FF2B5EF4-FFF2-40B4-BE49-F238E27FC236}">
              <a16:creationId xmlns="" xmlns:a16="http://schemas.microsoft.com/office/drawing/2014/main" id="{00000000-0008-0000-03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94340" y="8867280"/>
          <a:ext cx="3657600" cy="1783080"/>
        </a:xfrm>
        <a:prstGeom prst="rect">
          <a:avLst/>
        </a:prstGeom>
      </xdr:spPr>
    </xdr:pic>
    <xdr:clientData/>
  </xdr:twoCellAnchor>
  <xdr:twoCellAnchor>
    <xdr:from>
      <xdr:col>4</xdr:col>
      <xdr:colOff>83820</xdr:colOff>
      <xdr:row>57</xdr:row>
      <xdr:rowOff>76200</xdr:rowOff>
    </xdr:from>
    <xdr:to>
      <xdr:col>11</xdr:col>
      <xdr:colOff>312420</xdr:colOff>
      <xdr:row>58</xdr:row>
      <xdr:rowOff>167640</xdr:rowOff>
    </xdr:to>
    <xdr:sp macro="" textlink="">
      <xdr:nvSpPr>
        <xdr:cNvPr id="10" name="U-Turn Arrow 9">
          <a:extLst>
            <a:ext uri="{FF2B5EF4-FFF2-40B4-BE49-F238E27FC236}">
              <a16:creationId xmlns="" xmlns:a16="http://schemas.microsoft.com/office/drawing/2014/main" id="{00000000-0008-0000-0300-00000A000000}"/>
            </a:ext>
          </a:extLst>
        </xdr:cNvPr>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3</xdr:col>
      <xdr:colOff>76200</xdr:colOff>
      <xdr:row>64</xdr:row>
      <xdr:rowOff>30480</xdr:rowOff>
    </xdr:from>
    <xdr:to>
      <xdr:col>4</xdr:col>
      <xdr:colOff>3810</xdr:colOff>
      <xdr:row>65</xdr:row>
      <xdr:rowOff>163830</xdr:rowOff>
    </xdr:to>
    <xdr:sp macro="" textlink="">
      <xdr:nvSpPr>
        <xdr:cNvPr id="11" name="Oval 10">
          <a:extLst>
            <a:ext uri="{FF2B5EF4-FFF2-40B4-BE49-F238E27FC236}">
              <a16:creationId xmlns="" xmlns:a16="http://schemas.microsoft.com/office/drawing/2014/main" id="{00000000-0008-0000-0300-00000B000000}"/>
            </a:ext>
          </a:extLst>
        </xdr:cNvPr>
        <xdr:cNvSpPr/>
      </xdr:nvSpPr>
      <xdr:spPr>
        <a:xfrm>
          <a:off x="1722120" y="982218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xdr:colOff>
      <xdr:row>64</xdr:row>
      <xdr:rowOff>60960</xdr:rowOff>
    </xdr:from>
    <xdr:to>
      <xdr:col>10</xdr:col>
      <xdr:colOff>514350</xdr:colOff>
      <xdr:row>66</xdr:row>
      <xdr:rowOff>3810</xdr:rowOff>
    </xdr:to>
    <xdr:sp macro="" textlink="">
      <xdr:nvSpPr>
        <xdr:cNvPr id="12" name="Oval 11">
          <a:extLst>
            <a:ext uri="{FF2B5EF4-FFF2-40B4-BE49-F238E27FC236}">
              <a16:creationId xmlns="" xmlns:a16="http://schemas.microsoft.com/office/drawing/2014/main" id="{00000000-0008-0000-0300-00000C000000}"/>
            </a:ext>
          </a:extLst>
        </xdr:cNvPr>
        <xdr:cNvSpPr/>
      </xdr:nvSpPr>
      <xdr:spPr>
        <a:xfrm>
          <a:off x="5524500" y="985266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160021</xdr:colOff>
      <xdr:row>2</xdr:row>
      <xdr:rowOff>175261</xdr:rowOff>
    </xdr:from>
    <xdr:to>
      <xdr:col>13</xdr:col>
      <xdr:colOff>114301</xdr:colOff>
      <xdr:row>17</xdr:row>
      <xdr:rowOff>121921</xdr:rowOff>
    </xdr:to>
    <xdr:grpSp>
      <xdr:nvGrpSpPr>
        <xdr:cNvPr id="16" name="Group 15">
          <a:extLst>
            <a:ext uri="{FF2B5EF4-FFF2-40B4-BE49-F238E27FC236}">
              <a16:creationId xmlns="" xmlns:a16="http://schemas.microsoft.com/office/drawing/2014/main" id="{00000000-0008-0000-0300-000010000000}"/>
            </a:ext>
          </a:extLst>
        </xdr:cNvPr>
        <xdr:cNvGrpSpPr/>
      </xdr:nvGrpSpPr>
      <xdr:grpSpPr>
        <a:xfrm>
          <a:off x="2054135" y="719547"/>
          <a:ext cx="6246223" cy="2722517"/>
          <a:chOff x="1097280" y="0"/>
          <a:chExt cx="5943931" cy="3204857"/>
        </a:xfrm>
      </xdr:grpSpPr>
      <xdr:pic>
        <xdr:nvPicPr>
          <xdr:cNvPr id="14" name="Picture 13">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5"/>
          <a:stretch>
            <a:fillRect/>
          </a:stretch>
        </xdr:blipFill>
        <xdr:spPr>
          <a:xfrm>
            <a:off x="1097280" y="7620"/>
            <a:ext cx="5943931" cy="3197237"/>
          </a:xfrm>
          <a:prstGeom prst="rect">
            <a:avLst/>
          </a:prstGeom>
        </xdr:spPr>
      </xdr:pic>
      <xdr:sp macro="" textlink="">
        <xdr:nvSpPr>
          <xdr:cNvPr id="15" name="Rectangle 14">
            <a:extLst>
              <a:ext uri="{FF2B5EF4-FFF2-40B4-BE49-F238E27FC236}">
                <a16:creationId xmlns="" xmlns:a16="http://schemas.microsoft.com/office/drawing/2014/main" id="{00000000-0008-0000-0300-00000F000000}"/>
              </a:ext>
            </a:extLst>
          </xdr:cNvPr>
          <xdr:cNvSpPr/>
        </xdr:nvSpPr>
        <xdr:spPr>
          <a:xfrm>
            <a:off x="5758069" y="0"/>
            <a:ext cx="1214562" cy="84151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twoCellAnchor editAs="oneCell">
    <xdr:from>
      <xdr:col>0</xdr:col>
      <xdr:colOff>220980</xdr:colOff>
      <xdr:row>79</xdr:row>
      <xdr:rowOff>160020</xdr:rowOff>
    </xdr:from>
    <xdr:to>
      <xdr:col>6</xdr:col>
      <xdr:colOff>381302</xdr:colOff>
      <xdr:row>90</xdr:row>
      <xdr:rowOff>91616</xdr:rowOff>
    </xdr:to>
    <xdr:pic>
      <xdr:nvPicPr>
        <xdr:cNvPr id="3" name="Picture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6"/>
        <a:stretch>
          <a:fillRect/>
        </a:stretch>
      </xdr:blipFill>
      <xdr:spPr>
        <a:xfrm>
          <a:off x="220980" y="16078200"/>
          <a:ext cx="3482642" cy="2027096"/>
        </a:xfrm>
        <a:prstGeom prst="rect">
          <a:avLst/>
        </a:prstGeom>
      </xdr:spPr>
    </xdr:pic>
    <xdr:clientData/>
  </xdr:twoCellAnchor>
  <xdr:twoCellAnchor editAs="oneCell">
    <xdr:from>
      <xdr:col>7</xdr:col>
      <xdr:colOff>381000</xdr:colOff>
      <xdr:row>79</xdr:row>
      <xdr:rowOff>137160</xdr:rowOff>
    </xdr:from>
    <xdr:to>
      <xdr:col>13</xdr:col>
      <xdr:colOff>327947</xdr:colOff>
      <xdr:row>90</xdr:row>
      <xdr:rowOff>137342</xdr:rowOff>
    </xdr:to>
    <xdr:pic>
      <xdr:nvPicPr>
        <xdr:cNvPr id="9" name="Picture 8">
          <a:extLst>
            <a:ext uri="{FF2B5EF4-FFF2-40B4-BE49-F238E27FC236}">
              <a16:creationId xmlns="" xmlns:a16="http://schemas.microsoft.com/office/drawing/2014/main" id="{00000000-0008-0000-0300-000009000000}"/>
            </a:ext>
          </a:extLst>
        </xdr:cNvPr>
        <xdr:cNvPicPr>
          <a:picLocks noChangeAspect="1"/>
        </xdr:cNvPicPr>
      </xdr:nvPicPr>
      <xdr:blipFill>
        <a:blip xmlns:r="http://schemas.openxmlformats.org/officeDocument/2006/relationships" r:embed="rId7"/>
        <a:stretch>
          <a:fillRect/>
        </a:stretch>
      </xdr:blipFill>
      <xdr:spPr>
        <a:xfrm>
          <a:off x="4251960" y="16055340"/>
          <a:ext cx="3314987" cy="2095682"/>
        </a:xfrm>
        <a:prstGeom prst="rect">
          <a:avLst/>
        </a:prstGeom>
      </xdr:spPr>
    </xdr:pic>
    <xdr:clientData/>
  </xdr:twoCellAnchor>
  <xdr:twoCellAnchor editAs="oneCell">
    <xdr:from>
      <xdr:col>4</xdr:col>
      <xdr:colOff>167641</xdr:colOff>
      <xdr:row>71</xdr:row>
      <xdr:rowOff>22861</xdr:rowOff>
    </xdr:from>
    <xdr:to>
      <xdr:col>9</xdr:col>
      <xdr:colOff>392123</xdr:colOff>
      <xdr:row>76</xdr:row>
      <xdr:rowOff>38100</xdr:rowOff>
    </xdr:to>
    <xdr:pic>
      <xdr:nvPicPr>
        <xdr:cNvPr id="13" name="Picture 12">
          <a:extLst>
            <a:ext uri="{FF2B5EF4-FFF2-40B4-BE49-F238E27FC236}">
              <a16:creationId xmlns="" xmlns:a16="http://schemas.microsoft.com/office/drawing/2014/main" id="{00000000-0008-0000-0300-00000D000000}"/>
            </a:ext>
          </a:extLst>
        </xdr:cNvPr>
        <xdr:cNvPicPr>
          <a:picLocks noChangeAspect="1"/>
        </xdr:cNvPicPr>
      </xdr:nvPicPr>
      <xdr:blipFill>
        <a:blip xmlns:r="http://schemas.openxmlformats.org/officeDocument/2006/relationships" r:embed="rId8"/>
        <a:stretch>
          <a:fillRect/>
        </a:stretch>
      </xdr:blipFill>
      <xdr:spPr>
        <a:xfrm>
          <a:off x="2392681" y="13655041"/>
          <a:ext cx="3043882" cy="2042159"/>
        </a:xfrm>
        <a:prstGeom prst="rect">
          <a:avLst/>
        </a:prstGeom>
      </xdr:spPr>
    </xdr:pic>
    <xdr:clientData/>
  </xdr:twoCellAnchor>
  <xdr:twoCellAnchor>
    <xdr:from>
      <xdr:col>2</xdr:col>
      <xdr:colOff>655320</xdr:colOff>
      <xdr:row>78</xdr:row>
      <xdr:rowOff>30480</xdr:rowOff>
    </xdr:from>
    <xdr:to>
      <xdr:col>11</xdr:col>
      <xdr:colOff>259080</xdr:colOff>
      <xdr:row>79</xdr:row>
      <xdr:rowOff>121920</xdr:rowOff>
    </xdr:to>
    <xdr:sp macro="" textlink="">
      <xdr:nvSpPr>
        <xdr:cNvPr id="18" name="U-Turn Arrow 17">
          <a:extLst>
            <a:ext uri="{FF2B5EF4-FFF2-40B4-BE49-F238E27FC236}">
              <a16:creationId xmlns="" xmlns:a16="http://schemas.microsoft.com/office/drawing/2014/main" id="{00000000-0008-0000-0300-000012000000}"/>
            </a:ext>
          </a:extLst>
        </xdr:cNvPr>
        <xdr:cNvSpPr/>
      </xdr:nvSpPr>
      <xdr:spPr>
        <a:xfrm>
          <a:off x="1470660" y="16443960"/>
          <a:ext cx="49301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13</xdr:col>
      <xdr:colOff>123305</xdr:colOff>
      <xdr:row>18</xdr:row>
      <xdr:rowOff>100447</xdr:rowOff>
    </xdr:from>
    <xdr:to>
      <xdr:col>17</xdr:col>
      <xdr:colOff>138403</xdr:colOff>
      <xdr:row>25</xdr:row>
      <xdr:rowOff>24247</xdr:rowOff>
    </xdr:to>
    <xdr:pic>
      <xdr:nvPicPr>
        <xdr:cNvPr id="17" name="Picture 16">
          <a:extLst>
            <a:ext uri="{FF2B5EF4-FFF2-40B4-BE49-F238E27FC236}">
              <a16:creationId xmlns="" xmlns:a16="http://schemas.microsoft.com/office/drawing/2014/main" id="{00000000-0008-0000-0300-000011000000}"/>
            </a:ext>
          </a:extLst>
        </xdr:cNvPr>
        <xdr:cNvPicPr>
          <a:picLocks noChangeAspect="1"/>
        </xdr:cNvPicPr>
      </xdr:nvPicPr>
      <xdr:blipFill>
        <a:blip xmlns:r="http://schemas.openxmlformats.org/officeDocument/2006/relationships" r:embed="rId9"/>
        <a:stretch>
          <a:fillRect/>
        </a:stretch>
      </xdr:blipFill>
      <xdr:spPr>
        <a:xfrm>
          <a:off x="8089669" y="3693970"/>
          <a:ext cx="2517575" cy="12832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91439</xdr:colOff>
      <xdr:row>10</xdr:row>
      <xdr:rowOff>111673</xdr:rowOff>
    </xdr:from>
    <xdr:to>
      <xdr:col>12</xdr:col>
      <xdr:colOff>274002</xdr:colOff>
      <xdr:row>19</xdr:row>
      <xdr:rowOff>154546</xdr:rowOff>
    </xdr:to>
    <xdr:pic>
      <xdr:nvPicPr>
        <xdr:cNvPr id="2" name="Picture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737215" y="2187466"/>
          <a:ext cx="3665483" cy="1803356"/>
        </a:xfrm>
        <a:prstGeom prst="rect">
          <a:avLst/>
        </a:prstGeom>
      </xdr:spPr>
    </xdr:pic>
    <xdr:clientData/>
  </xdr:twoCellAnchor>
</xdr:wsDr>
</file>

<file path=xl/tables/table1.xml><?xml version="1.0" encoding="utf-8"?>
<table xmlns="http://schemas.openxmlformats.org/spreadsheetml/2006/main" id="1" name="Table1" displayName="Table1" ref="C72:C75" totalsRowShown="0">
  <autoFilter ref="C72:C75"/>
  <tableColumns count="1">
    <tableColumn id="1" name="Column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Dessin_Microsoft_Visio111111.vsd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127"/>
  <sheetViews>
    <sheetView tabSelected="1" topLeftCell="A22" zoomScaleNormal="100" workbookViewId="0">
      <selection activeCell="C36" sqref="C36"/>
    </sheetView>
  </sheetViews>
  <sheetFormatPr baseColWidth="10" defaultColWidth="9" defaultRowHeight="14.4"/>
  <cols>
    <col min="1" max="1" width="5" style="85" customWidth="1"/>
    <col min="2" max="2" width="72.109375" style="85" customWidth="1"/>
    <col min="3" max="3" width="16.5546875" style="85" customWidth="1"/>
    <col min="4" max="4" width="12.5546875" style="85" customWidth="1"/>
    <col min="5" max="5" width="13.6640625" style="85" customWidth="1"/>
    <col min="6" max="6" width="37.6640625" style="85" customWidth="1"/>
    <col min="7" max="16384" width="9" style="85"/>
  </cols>
  <sheetData>
    <row r="1" spans="1:7" ht="30">
      <c r="B1" s="340" t="s">
        <v>3</v>
      </c>
      <c r="C1" s="340"/>
      <c r="D1" s="340"/>
      <c r="E1" s="340"/>
      <c r="F1" s="340"/>
    </row>
    <row r="2" spans="1:7" ht="24" customHeight="1" thickBot="1">
      <c r="B2" s="54" t="s">
        <v>356</v>
      </c>
      <c r="C2" s="194" t="s">
        <v>624</v>
      </c>
      <c r="D2" s="55"/>
      <c r="E2" s="56"/>
      <c r="F2" s="57"/>
    </row>
    <row r="3" spans="1:7" ht="15.6">
      <c r="B3" s="341" t="s">
        <v>367</v>
      </c>
      <c r="C3" s="342"/>
      <c r="D3" s="342"/>
      <c r="E3" s="342"/>
      <c r="F3" s="343"/>
    </row>
    <row r="4" spans="1:7">
      <c r="B4" s="344" t="s">
        <v>0</v>
      </c>
      <c r="C4" s="345"/>
      <c r="D4" s="345"/>
      <c r="E4" s="345"/>
      <c r="F4" s="346"/>
    </row>
    <row r="5" spans="1:7">
      <c r="A5" s="86"/>
      <c r="B5" s="344"/>
      <c r="C5" s="345"/>
      <c r="D5" s="345"/>
      <c r="E5" s="345"/>
      <c r="F5" s="346"/>
    </row>
    <row r="6" spans="1:7">
      <c r="A6" s="86"/>
      <c r="B6" s="344"/>
      <c r="C6" s="345"/>
      <c r="D6" s="345"/>
      <c r="E6" s="345"/>
      <c r="F6" s="346"/>
      <c r="G6" s="195"/>
    </row>
    <row r="7" spans="1:7" ht="15" thickBot="1">
      <c r="A7" s="86"/>
      <c r="B7" s="347"/>
      <c r="C7" s="348"/>
      <c r="D7" s="348"/>
      <c r="E7" s="348"/>
      <c r="F7" s="349"/>
      <c r="G7" s="195"/>
    </row>
    <row r="8" spans="1:7" ht="21">
      <c r="A8" s="86"/>
      <c r="B8" s="350" t="s">
        <v>619</v>
      </c>
      <c r="C8" s="351"/>
      <c r="D8" s="351"/>
      <c r="E8" s="351"/>
      <c r="F8" s="352"/>
      <c r="G8" s="195"/>
    </row>
    <row r="9" spans="1:7" ht="17.399999999999999">
      <c r="A9" s="86"/>
      <c r="B9" s="353" t="s">
        <v>1</v>
      </c>
      <c r="C9" s="354"/>
      <c r="D9" s="354"/>
      <c r="E9" s="354"/>
      <c r="F9" s="355"/>
      <c r="G9" s="195"/>
    </row>
    <row r="10" spans="1:7" ht="18" thickBot="1">
      <c r="A10" s="86"/>
      <c r="B10" s="356" t="s">
        <v>620</v>
      </c>
      <c r="C10" s="357"/>
      <c r="D10" s="357"/>
      <c r="E10" s="357"/>
      <c r="F10" s="358"/>
      <c r="G10" s="195"/>
    </row>
    <row r="11" spans="1:7" ht="55.95" customHeight="1" thickBot="1">
      <c r="A11" s="86"/>
      <c r="B11" s="359" t="s">
        <v>625</v>
      </c>
      <c r="C11" s="360"/>
      <c r="D11" s="360"/>
      <c r="E11" s="360"/>
      <c r="F11" s="361"/>
    </row>
    <row r="12" spans="1:7">
      <c r="A12" s="86"/>
      <c r="B12" s="362" t="s">
        <v>2</v>
      </c>
      <c r="C12" s="363"/>
      <c r="D12" s="363"/>
      <c r="E12" s="363"/>
      <c r="F12" s="364"/>
    </row>
    <row r="13" spans="1:7" ht="15" thickBot="1">
      <c r="A13" s="86"/>
      <c r="B13" s="365"/>
      <c r="C13" s="366"/>
      <c r="D13" s="366"/>
      <c r="E13" s="366"/>
      <c r="F13" s="367"/>
    </row>
    <row r="14" spans="1:7" ht="15" thickBot="1">
      <c r="A14" s="86"/>
      <c r="E14" s="160"/>
    </row>
    <row r="15" spans="1:7" ht="16.2" thickBot="1">
      <c r="A15" s="86"/>
      <c r="B15" s="204" t="s">
        <v>631</v>
      </c>
      <c r="C15" s="178"/>
      <c r="D15" s="184"/>
      <c r="E15" s="178"/>
      <c r="F15" s="179"/>
    </row>
    <row r="16" spans="1:7" ht="15" customHeight="1">
      <c r="A16" s="86"/>
      <c r="B16" s="200" t="s">
        <v>629</v>
      </c>
      <c r="C16" s="205" t="s">
        <v>830</v>
      </c>
      <c r="D16" s="196"/>
      <c r="E16" s="377" t="s">
        <v>630</v>
      </c>
      <c r="F16" s="378"/>
    </row>
    <row r="17" spans="1:6" ht="16.2">
      <c r="A17" s="86"/>
      <c r="B17" s="201" t="s">
        <v>680</v>
      </c>
      <c r="C17" s="205">
        <f>0.83*VINPUT_Brownin</f>
        <v>76.36</v>
      </c>
      <c r="D17" s="197" t="str">
        <f t="shared" ref="D17:D22" si="0">IF(Vin_type="AC","Vrms","V")</f>
        <v>Vrms</v>
      </c>
      <c r="E17" s="332" t="s">
        <v>677</v>
      </c>
      <c r="F17" s="333"/>
    </row>
    <row r="18" spans="1:6" ht="16.2">
      <c r="A18" s="86"/>
      <c r="B18" s="201" t="s">
        <v>681</v>
      </c>
      <c r="C18" s="205">
        <v>92</v>
      </c>
      <c r="D18" s="197" t="str">
        <f t="shared" si="0"/>
        <v>Vrms</v>
      </c>
      <c r="E18" s="332" t="s">
        <v>678</v>
      </c>
      <c r="F18" s="333"/>
    </row>
    <row r="19" spans="1:6" ht="16.2">
      <c r="A19" s="86"/>
      <c r="B19" s="201" t="s">
        <v>682</v>
      </c>
      <c r="C19" s="205">
        <v>165</v>
      </c>
      <c r="D19" s="197" t="str">
        <f t="shared" si="0"/>
        <v>Vrms</v>
      </c>
      <c r="E19" s="192" t="s">
        <v>638</v>
      </c>
      <c r="F19" s="198"/>
    </row>
    <row r="20" spans="1:6" ht="16.2">
      <c r="A20" s="86"/>
      <c r="B20" s="201" t="s">
        <v>683</v>
      </c>
      <c r="C20" s="206">
        <v>165</v>
      </c>
      <c r="D20" s="197" t="str">
        <f t="shared" si="0"/>
        <v>Vrms</v>
      </c>
      <c r="E20" s="332" t="s">
        <v>679</v>
      </c>
      <c r="F20" s="333"/>
    </row>
    <row r="21" spans="1:6" ht="16.2">
      <c r="A21" s="86"/>
      <c r="B21" s="201" t="s">
        <v>684</v>
      </c>
      <c r="C21" s="206">
        <v>92</v>
      </c>
      <c r="D21" s="197" t="str">
        <f t="shared" si="0"/>
        <v>Vrms</v>
      </c>
      <c r="E21" s="329" t="s">
        <v>638</v>
      </c>
      <c r="F21" s="378"/>
    </row>
    <row r="22" spans="1:6" ht="17.399999999999999" customHeight="1">
      <c r="A22" s="86"/>
      <c r="B22" s="201" t="s">
        <v>685</v>
      </c>
      <c r="C22" s="207">
        <v>97</v>
      </c>
      <c r="D22" s="197" t="str">
        <f t="shared" si="0"/>
        <v>Vrms</v>
      </c>
      <c r="E22" s="192" t="s">
        <v>638</v>
      </c>
      <c r="F22" s="193"/>
    </row>
    <row r="23" spans="1:6" ht="16.2">
      <c r="A23" s="86"/>
      <c r="B23" s="201" t="s">
        <v>686</v>
      </c>
      <c r="C23" s="205">
        <v>400</v>
      </c>
      <c r="D23" s="197" t="s">
        <v>5</v>
      </c>
      <c r="E23" s="329" t="s">
        <v>6</v>
      </c>
      <c r="F23" s="330"/>
    </row>
    <row r="24" spans="1:6" ht="16.2" customHeight="1">
      <c r="A24" s="86"/>
      <c r="B24" s="202" t="s">
        <v>687</v>
      </c>
      <c r="C24" s="208">
        <v>220</v>
      </c>
      <c r="D24" s="199" t="s">
        <v>15</v>
      </c>
      <c r="E24" s="381" t="s">
        <v>626</v>
      </c>
      <c r="F24" s="382"/>
    </row>
    <row r="25" spans="1:6" ht="16.2" customHeight="1">
      <c r="A25" s="86"/>
      <c r="B25" s="203" t="s">
        <v>688</v>
      </c>
      <c r="C25" s="206">
        <v>93</v>
      </c>
      <c r="D25" s="197" t="s">
        <v>670</v>
      </c>
      <c r="E25" s="329" t="s">
        <v>671</v>
      </c>
      <c r="F25" s="383"/>
    </row>
    <row r="26" spans="1:6">
      <c r="A26" s="86"/>
    </row>
    <row r="27" spans="1:6" ht="15" thickBot="1">
      <c r="A27" s="86"/>
      <c r="B27" s="87"/>
      <c r="C27" s="88"/>
      <c r="D27" s="87"/>
      <c r="E27" s="89"/>
      <c r="F27" s="90"/>
    </row>
    <row r="28" spans="1:6" ht="15.6">
      <c r="A28" s="86"/>
      <c r="B28" s="368" t="s">
        <v>8</v>
      </c>
      <c r="C28" s="369"/>
      <c r="D28" s="369"/>
      <c r="E28" s="369"/>
      <c r="F28" s="370"/>
    </row>
    <row r="29" spans="1:6" ht="16.2">
      <c r="A29" s="86"/>
      <c r="B29" s="209" t="s">
        <v>689</v>
      </c>
      <c r="C29" s="50">
        <v>32</v>
      </c>
      <c r="D29" s="325" t="s">
        <v>408</v>
      </c>
      <c r="E29" s="325"/>
      <c r="F29" s="326"/>
    </row>
    <row r="30" spans="1:6" ht="16.2">
      <c r="A30" s="86"/>
      <c r="B30" s="209" t="s">
        <v>690</v>
      </c>
      <c r="C30" s="50">
        <v>35</v>
      </c>
      <c r="D30" s="58" t="s">
        <v>11</v>
      </c>
      <c r="E30" s="62" t="s">
        <v>409</v>
      </c>
      <c r="F30" s="63"/>
    </row>
    <row r="31" spans="1:6" ht="16.2">
      <c r="A31" s="86"/>
      <c r="B31" s="209" t="s">
        <v>691</v>
      </c>
      <c r="C31" s="61">
        <f>PO_FL/VOUT</f>
        <v>1.09375</v>
      </c>
      <c r="D31" s="325" t="s">
        <v>9</v>
      </c>
      <c r="E31" s="379"/>
      <c r="F31" s="380"/>
    </row>
    <row r="32" spans="1:6">
      <c r="A32" s="86"/>
      <c r="B32" s="209" t="s">
        <v>12</v>
      </c>
      <c r="C32" s="50">
        <v>50</v>
      </c>
      <c r="D32" s="64" t="s">
        <v>7</v>
      </c>
      <c r="E32" s="332" t="s">
        <v>16</v>
      </c>
      <c r="F32" s="333"/>
    </row>
    <row r="33" spans="1:6">
      <c r="A33" s="86"/>
      <c r="B33" s="210" t="s">
        <v>13</v>
      </c>
      <c r="C33" s="50">
        <v>180</v>
      </c>
      <c r="D33" s="58" t="s">
        <v>7</v>
      </c>
      <c r="E33" s="371" t="s">
        <v>17</v>
      </c>
      <c r="F33" s="372"/>
    </row>
    <row r="34" spans="1:6">
      <c r="A34" s="86"/>
      <c r="B34" s="210" t="s">
        <v>14</v>
      </c>
      <c r="C34" s="50">
        <v>115</v>
      </c>
      <c r="D34" s="325" t="s">
        <v>7</v>
      </c>
      <c r="E34" s="325"/>
      <c r="F34" s="326"/>
    </row>
    <row r="35" spans="1:6" ht="16.2">
      <c r="A35" s="86"/>
      <c r="B35" s="209" t="s">
        <v>692</v>
      </c>
      <c r="C35" s="50">
        <v>40</v>
      </c>
      <c r="D35" s="58" t="s">
        <v>15</v>
      </c>
      <c r="E35" s="62" t="s">
        <v>18</v>
      </c>
      <c r="F35" s="63"/>
    </row>
    <row r="36" spans="1:6" ht="16.8" thickBot="1">
      <c r="A36" s="86"/>
      <c r="B36" s="211" t="s">
        <v>693</v>
      </c>
      <c r="C36" s="2">
        <v>200</v>
      </c>
      <c r="D36" s="59" t="s">
        <v>373</v>
      </c>
      <c r="E36" s="335" t="s">
        <v>397</v>
      </c>
      <c r="F36" s="376"/>
    </row>
    <row r="37" spans="1:6" ht="15" thickBot="1">
      <c r="A37" s="86"/>
      <c r="B37" s="87"/>
      <c r="C37" s="88"/>
      <c r="D37" s="87"/>
      <c r="E37" s="89"/>
      <c r="F37" s="90"/>
    </row>
    <row r="38" spans="1:6">
      <c r="A38" s="86"/>
      <c r="B38" s="337" t="s">
        <v>22</v>
      </c>
      <c r="C38" s="338"/>
      <c r="D38" s="338"/>
      <c r="E38" s="338"/>
      <c r="F38" s="339"/>
    </row>
    <row r="39" spans="1:6" ht="16.2">
      <c r="A39" s="86"/>
      <c r="B39" s="65" t="s">
        <v>694</v>
      </c>
      <c r="C39" s="53">
        <v>80</v>
      </c>
      <c r="D39" s="77" t="s">
        <v>7</v>
      </c>
      <c r="E39" s="329"/>
      <c r="F39" s="330"/>
    </row>
    <row r="40" spans="1:6" ht="16.2">
      <c r="A40" s="86"/>
      <c r="B40" s="65" t="s">
        <v>695</v>
      </c>
      <c r="C40" s="76">
        <f>IF(Vin_type="AC",((VINPUT_max*SQRT(2)+NPS*VOUT)/(Kder/100)),((VINPUT_max+NPS*VOUT)/(Kder/100)))</f>
        <v>491.68154723945082</v>
      </c>
      <c r="D40" s="77" t="s">
        <v>10</v>
      </c>
      <c r="E40" s="329"/>
      <c r="F40" s="330"/>
    </row>
    <row r="41" spans="1:6" ht="16.2">
      <c r="A41" s="86"/>
      <c r="B41" s="201" t="s">
        <v>696</v>
      </c>
      <c r="C41" s="50">
        <v>600</v>
      </c>
      <c r="D41" s="72" t="s">
        <v>10</v>
      </c>
      <c r="E41" s="331" t="s">
        <v>4</v>
      </c>
      <c r="F41" s="318"/>
    </row>
    <row r="42" spans="1:6" ht="28.2" customHeight="1">
      <c r="A42" s="86"/>
      <c r="B42" s="51" t="s">
        <v>35</v>
      </c>
      <c r="C42" s="1">
        <v>1</v>
      </c>
      <c r="D42" s="373" t="s">
        <v>396</v>
      </c>
      <c r="E42" s="374"/>
      <c r="F42" s="375"/>
    </row>
    <row r="43" spans="1:6" ht="16.2">
      <c r="A43" s="86"/>
      <c r="B43" s="51" t="s">
        <v>69</v>
      </c>
      <c r="C43" s="71">
        <f>IF(SET=0,11.2*10^11,5.6*10^11)</f>
        <v>560000000000</v>
      </c>
      <c r="D43" s="72"/>
      <c r="E43" s="332" t="s">
        <v>587</v>
      </c>
      <c r="F43" s="333"/>
    </row>
    <row r="44" spans="1:6">
      <c r="A44" s="86"/>
      <c r="B44" s="66" t="s">
        <v>32</v>
      </c>
      <c r="C44" s="73"/>
      <c r="D44" s="72"/>
      <c r="E44" s="74"/>
      <c r="F44" s="75"/>
    </row>
    <row r="45" spans="1:6">
      <c r="A45" s="86"/>
      <c r="B45" s="51" t="s">
        <v>576</v>
      </c>
      <c r="C45" s="322" t="s">
        <v>599</v>
      </c>
      <c r="D45" s="322"/>
      <c r="E45" s="74"/>
      <c r="F45" s="75"/>
    </row>
    <row r="46" spans="1:6" ht="30">
      <c r="A46" s="86"/>
      <c r="B46" s="60" t="s">
        <v>24</v>
      </c>
      <c r="C46" s="1">
        <v>0.18</v>
      </c>
      <c r="D46" s="58" t="s">
        <v>19</v>
      </c>
      <c r="E46" s="62"/>
      <c r="F46" s="63"/>
    </row>
    <row r="47" spans="1:6" ht="30" customHeight="1">
      <c r="A47" s="86"/>
      <c r="B47" s="60" t="s">
        <v>828</v>
      </c>
      <c r="C47" s="50">
        <v>5000</v>
      </c>
      <c r="D47" s="58" t="s">
        <v>26</v>
      </c>
      <c r="E47" s="62"/>
      <c r="F47" s="63"/>
    </row>
    <row r="48" spans="1:6" ht="30" customHeight="1">
      <c r="A48" s="86"/>
      <c r="B48" s="60" t="s">
        <v>827</v>
      </c>
      <c r="C48" s="50">
        <v>22</v>
      </c>
      <c r="D48" s="58" t="s">
        <v>26</v>
      </c>
      <c r="E48" s="62"/>
      <c r="F48" s="63"/>
    </row>
    <row r="49" spans="1:6" ht="16.2">
      <c r="A49" s="86"/>
      <c r="B49" s="51" t="s">
        <v>25</v>
      </c>
      <c r="C49" s="50">
        <v>22</v>
      </c>
      <c r="D49" s="58" t="s">
        <v>23</v>
      </c>
      <c r="E49" s="62"/>
      <c r="F49" s="63"/>
    </row>
    <row r="50" spans="1:6" ht="16.2">
      <c r="A50" s="86"/>
      <c r="B50" s="60" t="s">
        <v>29</v>
      </c>
      <c r="C50" s="50">
        <v>11</v>
      </c>
      <c r="D50" s="58" t="s">
        <v>30</v>
      </c>
      <c r="E50" s="69"/>
      <c r="F50" s="70"/>
    </row>
    <row r="51" spans="1:6" ht="16.2">
      <c r="A51" s="86"/>
      <c r="B51" s="60" t="s">
        <v>617</v>
      </c>
      <c r="C51" s="212">
        <f>IF(Vin_type="AC",((COSS_QH_bg*Vxh*(10^-12)+COSS_QH_sm*(10^-12)*(VIN_LOW*1.414+NPS*VOUT-Vxh))/(VIN_LOW*1.414+VOUT*NPS))*10^12,((COSS_QH_bg*Vxh*(10^-12)+COSS_QH_sm*(10^-12)*(VIN_LOW+NPS*VOUT-Vxh))/(VIN_LOW+VOUT*NPS))*10^12)</f>
        <v>390.54467993458019</v>
      </c>
      <c r="D51" s="58" t="s">
        <v>26</v>
      </c>
      <c r="E51" s="69"/>
      <c r="F51" s="70"/>
    </row>
    <row r="52" spans="1:6">
      <c r="A52" s="86"/>
      <c r="B52" s="67" t="s">
        <v>33</v>
      </c>
      <c r="C52" s="73"/>
      <c r="D52" s="58"/>
      <c r="E52" s="69"/>
      <c r="F52" s="70"/>
    </row>
    <row r="53" spans="1:6">
      <c r="A53" s="86"/>
      <c r="B53" s="51" t="s">
        <v>577</v>
      </c>
      <c r="C53" s="322" t="s">
        <v>599</v>
      </c>
      <c r="D53" s="322"/>
      <c r="E53" s="69"/>
      <c r="F53" s="70"/>
    </row>
    <row r="54" spans="1:6" ht="30">
      <c r="A54" s="86"/>
      <c r="B54" s="60" t="s">
        <v>31</v>
      </c>
      <c r="C54" s="1">
        <v>0.18</v>
      </c>
      <c r="D54" s="58" t="s">
        <v>19</v>
      </c>
      <c r="E54" s="69"/>
      <c r="F54" s="70"/>
    </row>
    <row r="55" spans="1:6" ht="16.2">
      <c r="A55" s="86"/>
      <c r="B55" s="60" t="s">
        <v>826</v>
      </c>
      <c r="C55" s="50">
        <v>5000</v>
      </c>
      <c r="D55" s="58" t="s">
        <v>26</v>
      </c>
      <c r="E55" s="69"/>
      <c r="F55" s="70"/>
    </row>
    <row r="56" spans="1:6" ht="16.2">
      <c r="A56" s="86"/>
      <c r="B56" s="60" t="s">
        <v>825</v>
      </c>
      <c r="C56" s="50">
        <v>22</v>
      </c>
      <c r="D56" s="58" t="s">
        <v>26</v>
      </c>
      <c r="E56" s="69"/>
      <c r="F56" s="70"/>
    </row>
    <row r="57" spans="1:6" ht="16.2">
      <c r="A57" s="86"/>
      <c r="B57" s="51" t="s">
        <v>354</v>
      </c>
      <c r="C57" s="50">
        <v>22</v>
      </c>
      <c r="D57" s="58" t="s">
        <v>23</v>
      </c>
      <c r="E57" s="69"/>
      <c r="F57" s="70"/>
    </row>
    <row r="58" spans="1:6" ht="16.2">
      <c r="A58" s="86"/>
      <c r="B58" s="60" t="s">
        <v>575</v>
      </c>
      <c r="C58" s="50">
        <v>11</v>
      </c>
      <c r="D58" s="58" t="s">
        <v>9</v>
      </c>
      <c r="E58" s="69"/>
      <c r="F58" s="70"/>
    </row>
    <row r="59" spans="1:6" ht="16.8" thickBot="1">
      <c r="A59" s="86"/>
      <c r="B59" s="68" t="s">
        <v>34</v>
      </c>
      <c r="C59" s="213">
        <f>IF(Vin_type="AC",((COSS_QL_bg*Vxl*(10^-12)+COSS_QL_sm*(10^-12)*(VIN_LOW*1.414+NPS*VOUT-Vxl))/(VIN_LOW*1.414+VOUT*NPS))*10^12,((COSS_QL_bg*Vxl*(10^-12)+COSS_QL_sm*(10^-12)*(VIN_LOW+NPS*VOUT-Vxl))/(VIN_LOW+VOUT*NPS))*10^12)</f>
        <v>390.54467993458019</v>
      </c>
      <c r="D59" s="319"/>
      <c r="E59" s="320"/>
      <c r="F59" s="321"/>
    </row>
    <row r="60" spans="1:6" ht="15" thickBot="1">
      <c r="A60" s="86"/>
      <c r="B60" s="91"/>
      <c r="C60" s="88"/>
      <c r="D60" s="92"/>
      <c r="E60" s="92"/>
      <c r="F60" s="92"/>
    </row>
    <row r="61" spans="1:6">
      <c r="A61" s="86"/>
      <c r="B61" s="313" t="s">
        <v>812</v>
      </c>
      <c r="C61" s="314"/>
      <c r="D61" s="314"/>
      <c r="E61" s="314"/>
      <c r="F61" s="315"/>
    </row>
    <row r="62" spans="1:6" ht="16.2">
      <c r="A62" s="86"/>
      <c r="B62" s="51" t="s">
        <v>208</v>
      </c>
      <c r="C62" s="1">
        <v>100</v>
      </c>
      <c r="D62" s="72" t="s">
        <v>84</v>
      </c>
      <c r="E62" s="74"/>
      <c r="F62" s="75"/>
    </row>
    <row r="63" spans="1:6" ht="16.2">
      <c r="A63" s="86"/>
      <c r="B63" s="51" t="s">
        <v>209</v>
      </c>
      <c r="C63" s="1">
        <v>100</v>
      </c>
      <c r="D63" s="72" t="s">
        <v>134</v>
      </c>
      <c r="E63" s="74"/>
      <c r="F63" s="75"/>
    </row>
    <row r="64" spans="1:6" ht="16.2">
      <c r="A64" s="86"/>
      <c r="B64" s="51" t="s">
        <v>245</v>
      </c>
      <c r="C64" s="1">
        <v>1</v>
      </c>
      <c r="D64" s="72" t="s">
        <v>246</v>
      </c>
      <c r="E64" s="74"/>
      <c r="F64" s="75"/>
    </row>
    <row r="65" spans="1:6" ht="16.2">
      <c r="A65" s="86"/>
      <c r="B65" s="51" t="s">
        <v>210</v>
      </c>
      <c r="C65" s="1">
        <v>10</v>
      </c>
      <c r="D65" s="72" t="s">
        <v>26</v>
      </c>
      <c r="E65" s="74"/>
      <c r="F65" s="75"/>
    </row>
    <row r="66" spans="1:6" ht="16.8" thickBot="1">
      <c r="A66" s="86"/>
      <c r="B66" s="52" t="s">
        <v>190</v>
      </c>
      <c r="C66" s="2">
        <v>0.4</v>
      </c>
      <c r="D66" s="59" t="s">
        <v>189</v>
      </c>
      <c r="E66" s="335" t="s">
        <v>372</v>
      </c>
      <c r="F66" s="336"/>
    </row>
    <row r="67" spans="1:6" ht="15" thickBot="1">
      <c r="A67" s="86"/>
      <c r="B67" s="91"/>
      <c r="C67" s="88"/>
      <c r="D67" s="92"/>
      <c r="E67" s="92"/>
      <c r="F67" s="92"/>
    </row>
    <row r="68" spans="1:6">
      <c r="A68" s="86"/>
      <c r="B68" s="313" t="s">
        <v>183</v>
      </c>
      <c r="C68" s="314"/>
      <c r="D68" s="314"/>
      <c r="E68" s="314"/>
      <c r="F68" s="315"/>
    </row>
    <row r="69" spans="1:6" ht="16.2">
      <c r="B69" s="65" t="s">
        <v>627</v>
      </c>
      <c r="C69" s="76">
        <f>IF(Vin_type="AC",((2*PO_FL/(η_min/100))*(0.25+ASIN(VINPUT_nom*1.44/(VIN_LOW*1.44))/6.28)/(((VIN_LOW*1.44-2)^2-(VINPUT_nom*1.44)^2)*fLINE_min)*1.25)*10^6,((2*PO_FL/(η_min/100))*(0.25+ASIN(VINPUT_nom/(VIN_LOW))/6.28)/(((VIN_LOW-2)^2-(VINPUT_nom)^2)*fLINE_min)*1.25)*10^6)</f>
        <v>75.140038714240575</v>
      </c>
      <c r="D69" s="77" t="s">
        <v>173</v>
      </c>
      <c r="E69" s="329" t="s">
        <v>814</v>
      </c>
      <c r="F69" s="330"/>
    </row>
    <row r="70" spans="1:6" ht="16.2">
      <c r="A70" s="86"/>
      <c r="B70" s="65" t="s">
        <v>697</v>
      </c>
      <c r="C70" s="53">
        <v>94</v>
      </c>
      <c r="D70" s="77" t="s">
        <v>173</v>
      </c>
      <c r="E70" s="192"/>
      <c r="F70" s="193"/>
    </row>
    <row r="71" spans="1:6" ht="16.2">
      <c r="A71" s="86"/>
      <c r="B71" s="65" t="s">
        <v>698</v>
      </c>
      <c r="C71" s="76">
        <f>IF(CBULK_act="",CBULK_rec,CBULK_act)</f>
        <v>94</v>
      </c>
      <c r="D71" s="77" t="s">
        <v>173</v>
      </c>
      <c r="E71" s="192"/>
      <c r="F71" s="193"/>
    </row>
    <row r="72" spans="1:6" ht="16.2">
      <c r="A72" s="86"/>
      <c r="B72" s="65" t="s">
        <v>699</v>
      </c>
      <c r="C72" s="76">
        <f>IF(Vin_type="AC",MROUND(VINPUT_max*1.414,100),MROUND(VINPUT_max,100))</f>
        <v>200</v>
      </c>
      <c r="D72" s="77" t="s">
        <v>23</v>
      </c>
      <c r="E72" s="192"/>
      <c r="F72" s="193"/>
    </row>
    <row r="73" spans="1:6" ht="16.2">
      <c r="A73" s="86"/>
      <c r="B73" s="65" t="s">
        <v>700</v>
      </c>
      <c r="C73" s="53">
        <v>250</v>
      </c>
      <c r="D73" s="77" t="s">
        <v>703</v>
      </c>
      <c r="E73" s="192"/>
      <c r="F73" s="193"/>
    </row>
    <row r="74" spans="1:6" ht="16.2">
      <c r="A74" s="86"/>
      <c r="B74" s="65" t="s">
        <v>701</v>
      </c>
      <c r="C74" s="53">
        <v>0.5</v>
      </c>
      <c r="D74" s="77" t="s">
        <v>23</v>
      </c>
      <c r="E74" s="192"/>
      <c r="F74" s="193"/>
    </row>
    <row r="75" spans="1:6" ht="16.2">
      <c r="A75" s="86"/>
      <c r="B75" s="201" t="s">
        <v>823</v>
      </c>
      <c r="C75" s="61">
        <f>(IOUT*(0.35/(Fcr_min*10^3)+50*10^-6)/(Vo_drop-IOUT*RCO*0.001))*10^6*1.2</f>
        <v>340.34482758620686</v>
      </c>
      <c r="D75" s="77" t="s">
        <v>173</v>
      </c>
      <c r="E75" s="329" t="s">
        <v>815</v>
      </c>
      <c r="F75" s="330"/>
    </row>
    <row r="76" spans="1:6" ht="16.2" customHeight="1">
      <c r="A76" s="86"/>
      <c r="B76" s="65" t="s">
        <v>824</v>
      </c>
      <c r="C76" s="50">
        <v>650</v>
      </c>
      <c r="D76" s="77" t="s">
        <v>173</v>
      </c>
      <c r="E76" s="316"/>
      <c r="F76" s="318"/>
    </row>
    <row r="77" spans="1:6" ht="16.8" thickBot="1">
      <c r="A77" s="86"/>
      <c r="B77" s="214" t="s">
        <v>702</v>
      </c>
      <c r="C77" s="80">
        <f>IF(COUT_act="",COUT_rec,COUT_act)</f>
        <v>650</v>
      </c>
      <c r="D77" s="59" t="s">
        <v>173</v>
      </c>
      <c r="E77" s="78"/>
      <c r="F77" s="79"/>
    </row>
    <row r="78" spans="1:6" ht="15" thickBot="1">
      <c r="A78" s="86"/>
      <c r="B78" s="87"/>
      <c r="C78" s="88"/>
      <c r="D78" s="87"/>
      <c r="E78" s="89"/>
      <c r="F78" s="90"/>
    </row>
    <row r="79" spans="1:6">
      <c r="A79" s="86"/>
      <c r="B79" s="313" t="s">
        <v>410</v>
      </c>
      <c r="C79" s="314"/>
      <c r="D79" s="314"/>
      <c r="E79" s="314"/>
      <c r="F79" s="315"/>
    </row>
    <row r="80" spans="1:6">
      <c r="A80" s="86"/>
      <c r="B80" s="215" t="s">
        <v>632</v>
      </c>
      <c r="C80" s="311" t="s">
        <v>633</v>
      </c>
      <c r="D80" s="216"/>
      <c r="E80" s="216"/>
      <c r="F80" s="217"/>
    </row>
    <row r="81" spans="1:7" ht="16.2">
      <c r="A81" s="86"/>
      <c r="B81" s="65" t="s">
        <v>704</v>
      </c>
      <c r="C81" s="158">
        <v>75</v>
      </c>
      <c r="D81" s="77" t="s">
        <v>7</v>
      </c>
      <c r="E81" s="329"/>
      <c r="F81" s="330"/>
    </row>
    <row r="82" spans="1:7" ht="16.2">
      <c r="A82" s="86"/>
      <c r="B82" s="65" t="s">
        <v>705</v>
      </c>
      <c r="C82" s="218">
        <f>IF(Vin_type="AC",((VINPUT_max*SQRT(2)/NPS)+VOUT*OVP*0.01)/(Kder_SR/100),((VINPUT_max/NPS)+VOUT*OVP*0.01)/(Kder_SR/100))</f>
        <v>111.29206341108285</v>
      </c>
      <c r="D82" s="77" t="s">
        <v>10</v>
      </c>
      <c r="E82" s="329"/>
      <c r="F82" s="330"/>
    </row>
    <row r="83" spans="1:7" ht="19.95" customHeight="1">
      <c r="A83" s="86"/>
      <c r="B83" s="201" t="s">
        <v>706</v>
      </c>
      <c r="C83" s="205">
        <v>150</v>
      </c>
      <c r="D83" s="197" t="s">
        <v>10</v>
      </c>
      <c r="E83" s="192"/>
      <c r="F83" s="193"/>
    </row>
    <row r="84" spans="1:7" ht="22.2" customHeight="1">
      <c r="A84" s="86"/>
      <c r="B84" s="81" t="s">
        <v>707</v>
      </c>
      <c r="C84" s="158">
        <v>1800</v>
      </c>
      <c r="D84" s="77" t="s">
        <v>26</v>
      </c>
      <c r="E84" s="192"/>
      <c r="F84" s="193"/>
    </row>
    <row r="85" spans="1:7" ht="16.2">
      <c r="A85" s="86"/>
      <c r="B85" s="81" t="s">
        <v>708</v>
      </c>
      <c r="C85" s="158">
        <v>1000</v>
      </c>
      <c r="D85" s="77" t="s">
        <v>26</v>
      </c>
      <c r="E85" s="192"/>
      <c r="F85" s="193"/>
    </row>
    <row r="86" spans="1:7">
      <c r="A86" s="86"/>
      <c r="B86" s="65" t="s">
        <v>355</v>
      </c>
      <c r="C86" s="158">
        <v>10</v>
      </c>
      <c r="D86" s="77" t="s">
        <v>23</v>
      </c>
      <c r="E86" s="192"/>
      <c r="F86" s="193"/>
    </row>
    <row r="87" spans="1:7" ht="16.2">
      <c r="A87" s="86"/>
      <c r="B87" s="65" t="s">
        <v>709</v>
      </c>
      <c r="C87" s="219">
        <f>IF(Vin_type="AC",(Coss_SR_bg*Vx_SR+Coss_SR_sm*(VOUT+VINPUT_max*1.414/NPS-Vx_SR))/(VOUT+VINPUT_max*1.414/NPS),(Coss_SR_bg*Vx_SR+Coss_SR_sm*(VOUT+VINPUT_max/NPS-Vx_SR))/(VOUT+VINPUT_max/NPS))</f>
        <v>1101.7009483613433</v>
      </c>
      <c r="D87" s="77" t="s">
        <v>26</v>
      </c>
      <c r="E87" s="192"/>
      <c r="F87" s="193"/>
    </row>
    <row r="88" spans="1:7" ht="16.2">
      <c r="A88" s="86"/>
      <c r="B88" s="201" t="s">
        <v>710</v>
      </c>
      <c r="C88" s="205">
        <v>204</v>
      </c>
      <c r="D88" s="197" t="s">
        <v>26</v>
      </c>
      <c r="E88" s="332" t="s">
        <v>36</v>
      </c>
      <c r="F88" s="333"/>
      <c r="G88" s="183"/>
    </row>
    <row r="89" spans="1:7" ht="16.2">
      <c r="A89" s="86"/>
      <c r="B89" s="201" t="s">
        <v>711</v>
      </c>
      <c r="C89" s="205">
        <v>0</v>
      </c>
      <c r="D89" s="197" t="s">
        <v>37</v>
      </c>
      <c r="E89" s="323" t="s">
        <v>38</v>
      </c>
      <c r="F89" s="324"/>
    </row>
    <row r="90" spans="1:7" ht="16.8" thickBot="1">
      <c r="A90" s="86"/>
      <c r="B90" s="211" t="s">
        <v>712</v>
      </c>
      <c r="C90" s="220">
        <v>224</v>
      </c>
      <c r="D90" s="197" t="s">
        <v>374</v>
      </c>
      <c r="E90" s="323" t="s">
        <v>713</v>
      </c>
      <c r="F90" s="324"/>
    </row>
    <row r="91" spans="1:7" ht="15" thickBot="1">
      <c r="A91" s="86"/>
      <c r="B91" s="87"/>
      <c r="C91" s="88"/>
      <c r="D91" s="87"/>
      <c r="E91" s="89"/>
      <c r="F91" s="90"/>
    </row>
    <row r="92" spans="1:7">
      <c r="A92" s="86"/>
      <c r="B92" s="313" t="s">
        <v>40</v>
      </c>
      <c r="C92" s="314"/>
      <c r="D92" s="314"/>
      <c r="E92" s="314"/>
      <c r="F92" s="315"/>
    </row>
    <row r="93" spans="1:7">
      <c r="A93" s="93"/>
      <c r="B93" s="65" t="s">
        <v>632</v>
      </c>
      <c r="C93" s="205" t="s">
        <v>623</v>
      </c>
      <c r="D93" s="77"/>
      <c r="E93" s="329"/>
      <c r="F93" s="330"/>
    </row>
    <row r="94" spans="1:7" ht="16.2">
      <c r="A94" s="93"/>
      <c r="B94" s="201" t="s">
        <v>714</v>
      </c>
      <c r="C94" s="205">
        <v>0.2</v>
      </c>
      <c r="D94" s="197" t="s">
        <v>37</v>
      </c>
      <c r="E94" s="392"/>
      <c r="F94" s="317"/>
    </row>
    <row r="95" spans="1:7" ht="16.2">
      <c r="A95" s="93"/>
      <c r="B95" s="210" t="s">
        <v>715</v>
      </c>
      <c r="C95" s="205">
        <v>1.35</v>
      </c>
      <c r="D95" s="393" t="s">
        <v>42</v>
      </c>
      <c r="E95" s="393"/>
      <c r="F95" s="394"/>
    </row>
    <row r="96" spans="1:7" ht="16.2">
      <c r="A96" s="93"/>
      <c r="B96" s="201" t="s">
        <v>716</v>
      </c>
      <c r="C96" s="205">
        <v>0.5</v>
      </c>
      <c r="D96" s="197" t="s">
        <v>10</v>
      </c>
      <c r="E96" s="323" t="s">
        <v>637</v>
      </c>
      <c r="F96" s="324"/>
    </row>
    <row r="97" spans="1:7" ht="16.2">
      <c r="A97" s="93"/>
      <c r="B97" s="201" t="s">
        <v>717</v>
      </c>
      <c r="C97" s="205">
        <v>3</v>
      </c>
      <c r="D97" s="197" t="s">
        <v>15</v>
      </c>
      <c r="E97" s="316"/>
      <c r="F97" s="317"/>
    </row>
    <row r="98" spans="1:7" ht="16.2">
      <c r="A98" s="93"/>
      <c r="B98" s="202" t="s">
        <v>718</v>
      </c>
      <c r="C98" s="208">
        <v>1.6</v>
      </c>
      <c r="D98" s="197"/>
      <c r="E98" s="316"/>
      <c r="F98" s="317"/>
    </row>
    <row r="99" spans="1:7" ht="16.2">
      <c r="A99" s="93"/>
      <c r="B99" s="202" t="s">
        <v>719</v>
      </c>
      <c r="C99" s="208">
        <v>0.4</v>
      </c>
      <c r="D99" s="197"/>
      <c r="E99" s="316"/>
      <c r="F99" s="317"/>
    </row>
    <row r="100" spans="1:7" ht="16.8" thickBot="1">
      <c r="A100" s="93"/>
      <c r="B100" s="211" t="s">
        <v>720</v>
      </c>
      <c r="C100" s="220">
        <v>0.5</v>
      </c>
      <c r="D100" s="221"/>
      <c r="E100" s="387" t="s">
        <v>622</v>
      </c>
      <c r="F100" s="388"/>
    </row>
    <row r="101" spans="1:7" ht="15" thickBot="1">
      <c r="A101" s="86"/>
      <c r="B101" s="87"/>
      <c r="C101" s="88"/>
      <c r="D101" s="87"/>
      <c r="E101" s="89"/>
      <c r="F101" s="90"/>
    </row>
    <row r="102" spans="1:7">
      <c r="A102" s="86"/>
      <c r="B102" s="94" t="s">
        <v>43</v>
      </c>
      <c r="C102" s="95"/>
      <c r="D102" s="95"/>
      <c r="E102" s="95"/>
      <c r="F102" s="96"/>
    </row>
    <row r="103" spans="1:7">
      <c r="A103" s="86"/>
      <c r="B103" s="65" t="s">
        <v>41</v>
      </c>
      <c r="C103" s="299" t="s">
        <v>621</v>
      </c>
      <c r="D103" s="77"/>
      <c r="E103" s="329"/>
      <c r="F103" s="330"/>
    </row>
    <row r="104" spans="1:7" ht="16.2">
      <c r="A104" s="86"/>
      <c r="B104" s="51" t="s">
        <v>56</v>
      </c>
      <c r="C104" s="50">
        <v>35</v>
      </c>
      <c r="D104" s="83" t="s">
        <v>639</v>
      </c>
      <c r="E104" s="389"/>
      <c r="F104" s="318"/>
    </row>
    <row r="105" spans="1:7" ht="16.2">
      <c r="A105" s="86"/>
      <c r="B105" s="60" t="s">
        <v>57</v>
      </c>
      <c r="C105" s="50">
        <v>2.5</v>
      </c>
      <c r="D105" s="325" t="s">
        <v>37</v>
      </c>
      <c r="E105" s="325"/>
      <c r="F105" s="326"/>
    </row>
    <row r="106" spans="1:7" ht="16.2">
      <c r="A106" s="86"/>
      <c r="B106" s="210" t="s">
        <v>813</v>
      </c>
      <c r="C106" s="50">
        <v>30</v>
      </c>
      <c r="D106" s="325" t="s">
        <v>628</v>
      </c>
      <c r="E106" s="325"/>
      <c r="F106" s="326"/>
    </row>
    <row r="107" spans="1:7" ht="16.8" thickBot="1">
      <c r="A107" s="86"/>
      <c r="B107" s="52" t="s">
        <v>265</v>
      </c>
      <c r="C107" s="2">
        <v>150</v>
      </c>
      <c r="D107" s="390" t="s">
        <v>264</v>
      </c>
      <c r="E107" s="390"/>
      <c r="F107" s="391"/>
    </row>
    <row r="108" spans="1:7" ht="15" thickBot="1">
      <c r="A108" s="86"/>
      <c r="B108" s="87"/>
      <c r="C108" s="88"/>
      <c r="D108" s="87"/>
      <c r="E108" s="89"/>
      <c r="F108" s="90"/>
    </row>
    <row r="109" spans="1:7">
      <c r="A109" s="86"/>
      <c r="B109" s="313" t="s">
        <v>44</v>
      </c>
      <c r="C109" s="314"/>
      <c r="D109" s="314"/>
      <c r="E109" s="314"/>
      <c r="F109" s="315"/>
    </row>
    <row r="110" spans="1:7">
      <c r="A110" s="86"/>
      <c r="B110" s="65" t="s">
        <v>41</v>
      </c>
      <c r="C110" s="50" t="s">
        <v>635</v>
      </c>
      <c r="D110" s="77"/>
      <c r="E110" s="329"/>
      <c r="F110" s="330"/>
    </row>
    <row r="111" spans="1:7" ht="16.2">
      <c r="A111" s="86"/>
      <c r="B111" s="51" t="s">
        <v>58</v>
      </c>
      <c r="C111" s="50">
        <v>1.7</v>
      </c>
      <c r="D111" s="58" t="s">
        <v>26</v>
      </c>
      <c r="E111" s="331"/>
      <c r="F111" s="318"/>
      <c r="G111" s="183"/>
    </row>
    <row r="112" spans="1:7" ht="16.2">
      <c r="A112" s="86"/>
      <c r="B112" s="60" t="s">
        <v>59</v>
      </c>
      <c r="C112" s="50">
        <v>20</v>
      </c>
      <c r="D112" s="325" t="s">
        <v>37</v>
      </c>
      <c r="E112" s="325"/>
      <c r="F112" s="326"/>
    </row>
    <row r="113" spans="1:6" ht="16.2">
      <c r="A113" s="86"/>
      <c r="B113" s="51" t="s">
        <v>211</v>
      </c>
      <c r="C113" s="181">
        <v>4</v>
      </c>
      <c r="D113" s="58" t="s">
        <v>45</v>
      </c>
      <c r="E113" s="323"/>
      <c r="F113" s="318"/>
    </row>
    <row r="114" spans="1:6" ht="16.2">
      <c r="A114" s="86"/>
      <c r="B114" s="51" t="s">
        <v>60</v>
      </c>
      <c r="C114" s="50">
        <v>28</v>
      </c>
      <c r="D114" s="58" t="s">
        <v>26</v>
      </c>
      <c r="E114" s="316"/>
      <c r="F114" s="318"/>
    </row>
    <row r="115" spans="1:6" ht="16.8" thickBot="1">
      <c r="A115" s="86"/>
      <c r="B115" s="52" t="s">
        <v>61</v>
      </c>
      <c r="C115" s="2">
        <v>2</v>
      </c>
      <c r="D115" s="59" t="s">
        <v>37</v>
      </c>
      <c r="E115" s="327"/>
      <c r="F115" s="328"/>
    </row>
    <row r="116" spans="1:6" ht="15" thickBot="1">
      <c r="A116" s="86"/>
      <c r="B116" s="87"/>
      <c r="C116" s="88"/>
      <c r="D116" s="87"/>
      <c r="E116" s="89"/>
      <c r="F116" s="90"/>
    </row>
    <row r="117" spans="1:6">
      <c r="A117" s="86"/>
      <c r="B117" s="313" t="s">
        <v>811</v>
      </c>
      <c r="C117" s="385"/>
      <c r="D117" s="385"/>
      <c r="E117" s="385"/>
      <c r="F117" s="386"/>
    </row>
    <row r="118" spans="1:6" ht="24.6" customHeight="1">
      <c r="A118" s="86"/>
      <c r="B118" s="65" t="s">
        <v>41</v>
      </c>
      <c r="C118" s="205" t="s">
        <v>634</v>
      </c>
      <c r="D118" s="77"/>
      <c r="E118" s="329"/>
      <c r="F118" s="330"/>
    </row>
    <row r="119" spans="1:6" ht="16.2">
      <c r="A119" s="86"/>
      <c r="B119" s="201" t="s">
        <v>721</v>
      </c>
      <c r="C119" s="205">
        <v>20</v>
      </c>
      <c r="D119" s="197" t="s">
        <v>95</v>
      </c>
      <c r="E119" s="323"/>
      <c r="F119" s="384"/>
    </row>
    <row r="120" spans="1:6" ht="16.8" thickBot="1">
      <c r="A120" s="86"/>
      <c r="B120" s="214" t="s">
        <v>722</v>
      </c>
      <c r="C120" s="220">
        <v>5</v>
      </c>
      <c r="D120" s="221" t="s">
        <v>411</v>
      </c>
      <c r="E120" s="387" t="s">
        <v>412</v>
      </c>
      <c r="F120" s="388"/>
    </row>
    <row r="121" spans="1:6" ht="15" thickBot="1">
      <c r="A121" s="86"/>
      <c r="B121" s="87"/>
      <c r="C121" s="88"/>
      <c r="D121" s="87"/>
      <c r="E121" s="89"/>
      <c r="F121" s="90"/>
    </row>
    <row r="122" spans="1:6">
      <c r="A122" s="86"/>
      <c r="B122" s="313" t="s">
        <v>46</v>
      </c>
      <c r="C122" s="314"/>
      <c r="D122" s="314"/>
      <c r="E122" s="314"/>
      <c r="F122" s="315"/>
    </row>
    <row r="123" spans="1:6">
      <c r="A123" s="86"/>
      <c r="B123" s="65" t="s">
        <v>41</v>
      </c>
      <c r="C123" s="299" t="s">
        <v>636</v>
      </c>
      <c r="D123" s="77"/>
      <c r="E123" s="329"/>
      <c r="F123" s="330"/>
    </row>
    <row r="124" spans="1:6" ht="16.2">
      <c r="A124" s="86"/>
      <c r="B124" s="51" t="s">
        <v>62</v>
      </c>
      <c r="C124" s="50">
        <v>4.68</v>
      </c>
      <c r="D124" s="58" t="s">
        <v>26</v>
      </c>
      <c r="E124" s="331"/>
      <c r="F124" s="318"/>
    </row>
    <row r="125" spans="1:6" ht="16.2">
      <c r="A125" s="86"/>
      <c r="B125" s="60" t="s">
        <v>63</v>
      </c>
      <c r="C125" s="50">
        <v>2</v>
      </c>
      <c r="D125" s="58" t="s">
        <v>26</v>
      </c>
      <c r="E125" s="323" t="s">
        <v>47</v>
      </c>
      <c r="F125" s="334"/>
    </row>
    <row r="126" spans="1:6" ht="16.2">
      <c r="A126" s="86"/>
      <c r="B126" s="51" t="s">
        <v>64</v>
      </c>
      <c r="C126" s="50">
        <v>1.25</v>
      </c>
      <c r="D126" s="58" t="s">
        <v>37</v>
      </c>
      <c r="E126" s="316"/>
      <c r="F126" s="318"/>
    </row>
    <row r="127" spans="1:6" ht="16.8" thickBot="1">
      <c r="B127" s="52" t="s">
        <v>65</v>
      </c>
      <c r="C127" s="2">
        <v>1.25</v>
      </c>
      <c r="D127" s="59" t="s">
        <v>39</v>
      </c>
      <c r="E127" s="327"/>
      <c r="F127" s="328"/>
    </row>
  </sheetData>
  <sheetProtection password="E9DD" sheet="1" objects="1" scenarios="1" selectLockedCells="1"/>
  <mergeCells count="75">
    <mergeCell ref="E90:F90"/>
    <mergeCell ref="E99:F99"/>
    <mergeCell ref="E100:F100"/>
    <mergeCell ref="E93:F93"/>
    <mergeCell ref="E94:F94"/>
    <mergeCell ref="D95:F95"/>
    <mergeCell ref="E96:F96"/>
    <mergeCell ref="E98:F98"/>
    <mergeCell ref="B92:F92"/>
    <mergeCell ref="E119:F119"/>
    <mergeCell ref="B117:F117"/>
    <mergeCell ref="E120:F120"/>
    <mergeCell ref="E103:F103"/>
    <mergeCell ref="D106:F106"/>
    <mergeCell ref="E104:F104"/>
    <mergeCell ref="D105:F105"/>
    <mergeCell ref="D107:F107"/>
    <mergeCell ref="E118:F118"/>
    <mergeCell ref="E17:F17"/>
    <mergeCell ref="E16:F16"/>
    <mergeCell ref="E21:F21"/>
    <mergeCell ref="D29:F29"/>
    <mergeCell ref="D31:F31"/>
    <mergeCell ref="E24:F24"/>
    <mergeCell ref="E25:F25"/>
    <mergeCell ref="D34:F34"/>
    <mergeCell ref="E32:F32"/>
    <mergeCell ref="E33:F33"/>
    <mergeCell ref="E39:F39"/>
    <mergeCell ref="D42:F42"/>
    <mergeCell ref="E36:F36"/>
    <mergeCell ref="E41:F41"/>
    <mergeCell ref="E81:F81"/>
    <mergeCell ref="B38:F38"/>
    <mergeCell ref="B1:F1"/>
    <mergeCell ref="B3:F3"/>
    <mergeCell ref="B4:F7"/>
    <mergeCell ref="B8:F8"/>
    <mergeCell ref="B9:F9"/>
    <mergeCell ref="B10:F10"/>
    <mergeCell ref="B11:F11"/>
    <mergeCell ref="B12:F13"/>
    <mergeCell ref="E18:F18"/>
    <mergeCell ref="B28:F28"/>
    <mergeCell ref="E23:F23"/>
    <mergeCell ref="E20:F20"/>
    <mergeCell ref="E40:F40"/>
    <mergeCell ref="E43:F43"/>
    <mergeCell ref="B79:F79"/>
    <mergeCell ref="E66:F66"/>
    <mergeCell ref="B68:F68"/>
    <mergeCell ref="E69:F69"/>
    <mergeCell ref="E75:F75"/>
    <mergeCell ref="E76:F76"/>
    <mergeCell ref="E127:F127"/>
    <mergeCell ref="E125:F125"/>
    <mergeCell ref="B122:F122"/>
    <mergeCell ref="E123:F123"/>
    <mergeCell ref="E124:F124"/>
    <mergeCell ref="B61:F61"/>
    <mergeCell ref="E97:F97"/>
    <mergeCell ref="E126:F126"/>
    <mergeCell ref="D59:F59"/>
    <mergeCell ref="C45:D45"/>
    <mergeCell ref="C53:D53"/>
    <mergeCell ref="E89:F89"/>
    <mergeCell ref="D112:F112"/>
    <mergeCell ref="E113:F113"/>
    <mergeCell ref="E114:F114"/>
    <mergeCell ref="E115:F115"/>
    <mergeCell ref="E110:F110"/>
    <mergeCell ref="E111:F111"/>
    <mergeCell ref="B109:F109"/>
    <mergeCell ref="E88:F88"/>
    <mergeCell ref="E82:F82"/>
  </mergeCells>
  <phoneticPr fontId="25"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'Hide Calculate'!$C$73:$C$74</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F303"/>
  <sheetViews>
    <sheetView topLeftCell="A76" zoomScale="90" zoomScaleNormal="90" workbookViewId="0">
      <selection activeCell="D41" sqref="D41"/>
    </sheetView>
  </sheetViews>
  <sheetFormatPr baseColWidth="10" defaultColWidth="9" defaultRowHeight="14.4"/>
  <cols>
    <col min="1" max="1" width="4.44140625" style="85" customWidth="1"/>
    <col min="2" max="2" width="60.33203125" style="85" customWidth="1"/>
    <col min="3" max="3" width="18.33203125" style="154" customWidth="1"/>
    <col min="4" max="4" width="14.44140625" style="155" customWidth="1"/>
    <col min="5" max="5" width="9" style="85" customWidth="1"/>
    <col min="6" max="6" width="74" style="85" customWidth="1"/>
    <col min="7" max="10" width="9" style="85"/>
    <col min="11" max="11" width="12" style="85" bestFit="1" customWidth="1"/>
    <col min="12" max="13" width="9" style="85"/>
    <col min="14" max="14" width="12" style="85" bestFit="1" customWidth="1"/>
    <col min="15" max="16384" width="9" style="85"/>
  </cols>
  <sheetData>
    <row r="1" spans="1:6" ht="15" thickBot="1">
      <c r="B1" s="87"/>
      <c r="C1" s="97"/>
      <c r="D1" s="88"/>
      <c r="E1" s="89"/>
      <c r="F1" s="90"/>
    </row>
    <row r="2" spans="1:6" ht="15.6">
      <c r="A2" s="86"/>
      <c r="B2" s="409" t="s">
        <v>75</v>
      </c>
      <c r="C2" s="410"/>
      <c r="D2" s="410"/>
      <c r="E2" s="410"/>
      <c r="F2" s="411"/>
    </row>
    <row r="3" spans="1:6" ht="16.2">
      <c r="A3" s="98"/>
      <c r="B3" s="201" t="s">
        <v>723</v>
      </c>
      <c r="C3" s="226" t="s">
        <v>748</v>
      </c>
      <c r="D3" s="242">
        <v>9.8000000000000007</v>
      </c>
      <c r="E3" s="393" t="s">
        <v>640</v>
      </c>
      <c r="F3" s="394"/>
    </row>
    <row r="4" spans="1:6" ht="16.2">
      <c r="A4" s="98"/>
      <c r="B4" s="201" t="s">
        <v>413</v>
      </c>
      <c r="C4" s="226" t="s">
        <v>749</v>
      </c>
      <c r="D4" s="242">
        <v>17.5</v>
      </c>
      <c r="E4" s="393" t="s">
        <v>640</v>
      </c>
      <c r="F4" s="394"/>
    </row>
    <row r="5" spans="1:6" ht="16.2">
      <c r="A5" s="98"/>
      <c r="B5" s="201" t="s">
        <v>414</v>
      </c>
      <c r="C5" s="226" t="s">
        <v>750</v>
      </c>
      <c r="D5" s="242">
        <v>34</v>
      </c>
      <c r="E5" s="393" t="s">
        <v>641</v>
      </c>
      <c r="F5" s="394"/>
    </row>
    <row r="6" spans="1:6" ht="16.2">
      <c r="A6" s="98"/>
      <c r="B6" s="210" t="s">
        <v>415</v>
      </c>
      <c r="C6" s="226" t="s">
        <v>751</v>
      </c>
      <c r="D6" s="242">
        <v>1</v>
      </c>
      <c r="E6" s="393" t="s">
        <v>640</v>
      </c>
      <c r="F6" s="394"/>
    </row>
    <row r="7" spans="1:6" ht="16.2">
      <c r="A7" s="98"/>
      <c r="B7" s="201" t="s">
        <v>416</v>
      </c>
      <c r="C7" s="226" t="s">
        <v>752</v>
      </c>
      <c r="D7" s="242">
        <v>365</v>
      </c>
      <c r="E7" s="412" t="s">
        <v>642</v>
      </c>
      <c r="F7" s="330"/>
    </row>
    <row r="8" spans="1:6" ht="16.2">
      <c r="A8" s="86"/>
      <c r="B8" s="201" t="s">
        <v>417</v>
      </c>
      <c r="C8" s="226" t="s">
        <v>753</v>
      </c>
      <c r="D8" s="288">
        <v>4.5</v>
      </c>
      <c r="E8" s="412" t="s">
        <v>640</v>
      </c>
      <c r="F8" s="330"/>
    </row>
    <row r="9" spans="1:6" ht="16.2">
      <c r="A9" s="86"/>
      <c r="B9" s="210" t="s">
        <v>418</v>
      </c>
      <c r="C9" s="226" t="s">
        <v>754</v>
      </c>
      <c r="D9" s="243">
        <v>15</v>
      </c>
      <c r="E9" s="197" t="s">
        <v>602</v>
      </c>
      <c r="F9" s="193" t="s">
        <v>603</v>
      </c>
    </row>
    <row r="10" spans="1:6" ht="16.2">
      <c r="A10" s="86"/>
      <c r="B10" s="202" t="s">
        <v>419</v>
      </c>
      <c r="C10" s="244" t="s">
        <v>755</v>
      </c>
      <c r="D10" s="245">
        <v>0.8</v>
      </c>
      <c r="E10" s="412" t="s">
        <v>640</v>
      </c>
      <c r="F10" s="330"/>
    </row>
    <row r="11" spans="1:6" ht="16.2">
      <c r="A11" s="86"/>
      <c r="B11" s="202" t="s">
        <v>420</v>
      </c>
      <c r="C11" s="244" t="s">
        <v>756</v>
      </c>
      <c r="D11" s="245">
        <v>0.6</v>
      </c>
      <c r="E11" s="412" t="s">
        <v>640</v>
      </c>
      <c r="F11" s="330"/>
    </row>
    <row r="12" spans="1:6" ht="16.2">
      <c r="A12" s="86"/>
      <c r="B12" s="202" t="s">
        <v>420</v>
      </c>
      <c r="C12" s="244" t="s">
        <v>757</v>
      </c>
      <c r="D12" s="245">
        <v>0.42499999999999999</v>
      </c>
      <c r="E12" s="246" t="s">
        <v>640</v>
      </c>
      <c r="F12" s="247"/>
    </row>
    <row r="13" spans="1:6" ht="16.2">
      <c r="A13" s="86"/>
      <c r="B13" s="202" t="s">
        <v>421</v>
      </c>
      <c r="C13" s="244" t="s">
        <v>758</v>
      </c>
      <c r="D13" s="245">
        <v>5</v>
      </c>
      <c r="E13" s="246" t="s">
        <v>604</v>
      </c>
      <c r="F13" s="247"/>
    </row>
    <row r="14" spans="1:6" ht="16.2">
      <c r="A14" s="86"/>
      <c r="B14" s="202" t="s">
        <v>422</v>
      </c>
      <c r="C14" s="244" t="s">
        <v>759</v>
      </c>
      <c r="D14" s="245">
        <v>0.25</v>
      </c>
      <c r="E14" s="246" t="s">
        <v>605</v>
      </c>
      <c r="F14" s="247" t="s">
        <v>603</v>
      </c>
    </row>
    <row r="15" spans="1:6" ht="16.2">
      <c r="A15" s="86"/>
      <c r="B15" s="202" t="s">
        <v>423</v>
      </c>
      <c r="C15" s="244" t="s">
        <v>760</v>
      </c>
      <c r="D15" s="245">
        <v>25</v>
      </c>
      <c r="E15" s="246" t="s">
        <v>606</v>
      </c>
      <c r="F15" s="247" t="s">
        <v>603</v>
      </c>
    </row>
    <row r="16" spans="1:6" ht="16.2">
      <c r="A16" s="86"/>
      <c r="B16" s="202" t="s">
        <v>819</v>
      </c>
      <c r="C16" s="244" t="s">
        <v>761</v>
      </c>
      <c r="D16" s="248">
        <f>5*10^9</f>
        <v>5000000000</v>
      </c>
      <c r="E16" s="246" t="s">
        <v>762</v>
      </c>
      <c r="F16" s="247" t="s">
        <v>603</v>
      </c>
    </row>
    <row r="17" spans="1:6" ht="16.2">
      <c r="A17" s="86"/>
      <c r="B17" s="202" t="s">
        <v>763</v>
      </c>
      <c r="C17" s="244" t="s">
        <v>764</v>
      </c>
      <c r="D17" s="245">
        <v>4</v>
      </c>
      <c r="E17" s="246" t="s">
        <v>607</v>
      </c>
      <c r="F17" s="247" t="s">
        <v>603</v>
      </c>
    </row>
    <row r="18" spans="1:6" ht="16.2">
      <c r="A18" s="86"/>
      <c r="B18" s="201" t="s">
        <v>424</v>
      </c>
      <c r="C18" s="244" t="s">
        <v>765</v>
      </c>
      <c r="D18" s="245">
        <v>10.5</v>
      </c>
      <c r="E18" s="246" t="s">
        <v>608</v>
      </c>
      <c r="F18" s="247" t="s">
        <v>603</v>
      </c>
    </row>
    <row r="19" spans="1:6" ht="16.2">
      <c r="A19" s="86"/>
      <c r="B19" s="201" t="s">
        <v>425</v>
      </c>
      <c r="C19" s="244" t="s">
        <v>766</v>
      </c>
      <c r="D19" s="245">
        <v>2.5</v>
      </c>
      <c r="E19" s="246" t="s">
        <v>609</v>
      </c>
      <c r="F19" s="247" t="s">
        <v>603</v>
      </c>
    </row>
    <row r="20" spans="1:6" ht="16.2">
      <c r="A20" s="86"/>
      <c r="B20" s="202" t="s">
        <v>426</v>
      </c>
      <c r="C20" s="244" t="s">
        <v>767</v>
      </c>
      <c r="D20" s="245">
        <v>0.4</v>
      </c>
      <c r="E20" s="246" t="s">
        <v>609</v>
      </c>
      <c r="F20" s="247" t="s">
        <v>603</v>
      </c>
    </row>
    <row r="21" spans="1:6" ht="16.2">
      <c r="A21" s="86"/>
      <c r="B21" s="202" t="s">
        <v>427</v>
      </c>
      <c r="C21" s="244" t="s">
        <v>768</v>
      </c>
      <c r="D21" s="245">
        <v>2.2000000000000002</v>
      </c>
      <c r="E21" s="233" t="s">
        <v>610</v>
      </c>
      <c r="F21" s="249"/>
    </row>
    <row r="22" spans="1:6" ht="16.2">
      <c r="A22" s="86"/>
      <c r="B22" s="202" t="s">
        <v>428</v>
      </c>
      <c r="C22" s="244" t="s">
        <v>769</v>
      </c>
      <c r="D22" s="245">
        <v>90</v>
      </c>
      <c r="E22" s="412" t="s">
        <v>770</v>
      </c>
      <c r="F22" s="330"/>
    </row>
    <row r="23" spans="1:6" ht="16.2">
      <c r="A23" s="86"/>
      <c r="B23" s="202" t="s">
        <v>771</v>
      </c>
      <c r="C23" s="244" t="s">
        <v>772</v>
      </c>
      <c r="D23" s="245">
        <v>1</v>
      </c>
      <c r="E23" s="246" t="s">
        <v>611</v>
      </c>
      <c r="F23" s="247"/>
    </row>
    <row r="24" spans="1:6" ht="16.2">
      <c r="A24" s="86"/>
      <c r="B24" s="202" t="s">
        <v>429</v>
      </c>
      <c r="C24" s="244" t="s">
        <v>773</v>
      </c>
      <c r="D24" s="245">
        <v>4.3</v>
      </c>
      <c r="E24" s="246" t="s">
        <v>10</v>
      </c>
      <c r="F24" s="247" t="s">
        <v>603</v>
      </c>
    </row>
    <row r="25" spans="1:6" ht="16.2">
      <c r="A25" s="86"/>
      <c r="B25" s="202" t="s">
        <v>430</v>
      </c>
      <c r="C25" s="244" t="s">
        <v>774</v>
      </c>
      <c r="D25" s="248">
        <v>8000</v>
      </c>
      <c r="E25" s="413" t="s">
        <v>775</v>
      </c>
      <c r="F25" s="414"/>
    </row>
    <row r="26" spans="1:6" ht="16.2">
      <c r="A26" s="86"/>
      <c r="B26" s="202" t="s">
        <v>431</v>
      </c>
      <c r="C26" s="244" t="s">
        <v>776</v>
      </c>
      <c r="D26" s="245">
        <v>75</v>
      </c>
      <c r="E26" s="233" t="s">
        <v>612</v>
      </c>
      <c r="F26" s="247" t="s">
        <v>603</v>
      </c>
    </row>
    <row r="27" spans="1:6" ht="16.2">
      <c r="A27" s="86"/>
      <c r="B27" s="235" t="s">
        <v>821</v>
      </c>
      <c r="C27" s="300" t="s">
        <v>777</v>
      </c>
      <c r="D27" s="310">
        <v>100</v>
      </c>
      <c r="E27" s="301" t="s">
        <v>613</v>
      </c>
      <c r="F27" s="302" t="s">
        <v>822</v>
      </c>
    </row>
    <row r="28" spans="1:6" ht="27.6">
      <c r="A28" s="86"/>
      <c r="B28" s="251" t="s">
        <v>778</v>
      </c>
      <c r="C28" s="244" t="s">
        <v>779</v>
      </c>
      <c r="D28" s="245">
        <v>25</v>
      </c>
      <c r="E28" s="250" t="s">
        <v>614</v>
      </c>
      <c r="F28" s="247" t="s">
        <v>603</v>
      </c>
    </row>
    <row r="29" spans="1:6" ht="27.6">
      <c r="A29" s="86"/>
      <c r="B29" s="251" t="s">
        <v>544</v>
      </c>
      <c r="C29" s="244" t="s">
        <v>780</v>
      </c>
      <c r="D29" s="245">
        <v>34</v>
      </c>
      <c r="E29" s="250" t="s">
        <v>615</v>
      </c>
      <c r="F29" s="247" t="s">
        <v>603</v>
      </c>
    </row>
    <row r="30" spans="1:6" ht="16.8" thickBot="1">
      <c r="A30" s="86"/>
      <c r="B30" s="251" t="s">
        <v>547</v>
      </c>
      <c r="C30" s="244" t="s">
        <v>781</v>
      </c>
      <c r="D30" s="252">
        <v>1.5</v>
      </c>
      <c r="E30" s="253" t="s">
        <v>616</v>
      </c>
      <c r="F30" s="254" t="s">
        <v>603</v>
      </c>
    </row>
    <row r="31" spans="1:6">
      <c r="A31" s="86"/>
      <c r="B31" s="303" t="s">
        <v>546</v>
      </c>
      <c r="C31" s="300" t="s">
        <v>782</v>
      </c>
      <c r="D31" s="207">
        <v>93</v>
      </c>
      <c r="E31" s="301" t="s">
        <v>545</v>
      </c>
      <c r="F31" s="304"/>
    </row>
    <row r="32" spans="1:6" ht="16.2">
      <c r="A32" s="86"/>
      <c r="B32" s="303" t="s">
        <v>664</v>
      </c>
      <c r="C32" s="300" t="s">
        <v>783</v>
      </c>
      <c r="D32" s="310">
        <v>6</v>
      </c>
      <c r="E32" s="301" t="s">
        <v>545</v>
      </c>
      <c r="F32" s="304"/>
    </row>
    <row r="33" spans="1:6" ht="16.2">
      <c r="A33" s="86"/>
      <c r="B33" s="235" t="s">
        <v>784</v>
      </c>
      <c r="C33" s="300" t="s">
        <v>785</v>
      </c>
      <c r="D33" s="208">
        <v>3</v>
      </c>
      <c r="E33" s="305" t="s">
        <v>560</v>
      </c>
      <c r="F33" s="302"/>
    </row>
    <row r="34" spans="1:6">
      <c r="A34" s="86"/>
      <c r="B34" s="306" t="s">
        <v>661</v>
      </c>
      <c r="C34" s="146" t="s">
        <v>786</v>
      </c>
      <c r="D34" s="206">
        <v>30</v>
      </c>
      <c r="E34" s="307" t="s">
        <v>10</v>
      </c>
      <c r="F34" s="308" t="s">
        <v>663</v>
      </c>
    </row>
    <row r="35" spans="1:6">
      <c r="A35" s="86"/>
      <c r="B35" s="306" t="s">
        <v>662</v>
      </c>
      <c r="C35" s="146" t="s">
        <v>787</v>
      </c>
      <c r="D35" s="206">
        <v>20</v>
      </c>
      <c r="E35" s="309" t="s">
        <v>10</v>
      </c>
      <c r="F35" s="308"/>
    </row>
    <row r="36" spans="1:6" ht="15" thickBot="1">
      <c r="A36" s="86"/>
      <c r="B36" s="87"/>
      <c r="C36" s="97"/>
      <c r="D36" s="88"/>
      <c r="E36" s="89"/>
      <c r="F36" s="90"/>
    </row>
    <row r="37" spans="1:6" ht="18" customHeight="1">
      <c r="A37" s="86"/>
      <c r="B37" s="415" t="s">
        <v>20</v>
      </c>
      <c r="C37" s="416"/>
      <c r="D37" s="416"/>
      <c r="E37" s="416"/>
      <c r="F37" s="417"/>
    </row>
    <row r="38" spans="1:6" ht="18.600000000000001">
      <c r="A38" s="86"/>
      <c r="B38" s="201" t="s">
        <v>432</v>
      </c>
      <c r="C38" s="105" t="s">
        <v>665</v>
      </c>
      <c r="D38" s="218">
        <f>IF(Vin_type="AC",((VINPUT_max*SQRT(2))/(VSR_actual*0.9-(VOUT+Vf_SR)*OVP/100-ΔVSPIKE)),((VINPUT_max)/(VSR_actual*0.9-(VOUT+Vf_SR)*OVP/100-ΔVSPIKE)))</f>
        <v>3.4214844250961978</v>
      </c>
      <c r="E38" s="395"/>
      <c r="F38" s="396"/>
    </row>
    <row r="39" spans="1:6" ht="18.600000000000001">
      <c r="A39" s="86"/>
      <c r="B39" s="201" t="s">
        <v>433</v>
      </c>
      <c r="C39" s="226" t="s">
        <v>666</v>
      </c>
      <c r="D39" s="218">
        <f>IF(Vin_type="AC",((VDS_actual*0.9-VINPUT_max*SQRT(2)-ΔVCLAMP)/((VOUT+Vf_SR)*OVP/100)+Vf_SR),((VDS_actual*0.9-VINPUT_max-ΔVCLAMP)/((VOUT+Vf_SR)*OVP/100)+Vf_SR))</f>
        <v>7.7895315817510689</v>
      </c>
      <c r="E39" s="395"/>
      <c r="F39" s="396"/>
    </row>
    <row r="40" spans="1:6" ht="16.2">
      <c r="A40" s="86"/>
      <c r="B40" s="145" t="s">
        <v>293</v>
      </c>
      <c r="C40" s="146" t="s">
        <v>725</v>
      </c>
      <c r="D40" s="158">
        <v>5</v>
      </c>
      <c r="E40" s="399" t="s">
        <v>726</v>
      </c>
      <c r="F40" s="400"/>
    </row>
    <row r="41" spans="1:6" ht="16.2">
      <c r="A41" s="86"/>
      <c r="B41" s="145" t="s">
        <v>434</v>
      </c>
      <c r="C41" s="146" t="s">
        <v>727</v>
      </c>
      <c r="D41" s="158">
        <v>21</v>
      </c>
      <c r="E41" s="227"/>
      <c r="F41" s="228" t="s">
        <v>667</v>
      </c>
    </row>
    <row r="42" spans="1:6" ht="16.2">
      <c r="A42" s="86"/>
      <c r="B42" s="201" t="s">
        <v>588</v>
      </c>
      <c r="C42" s="226" t="s">
        <v>728</v>
      </c>
      <c r="D42" s="218">
        <f>NP/NPS</f>
        <v>4.2</v>
      </c>
      <c r="E42" s="229"/>
      <c r="F42" s="230"/>
    </row>
    <row r="43" spans="1:6" ht="16.2">
      <c r="A43" s="86"/>
      <c r="B43" s="145" t="s">
        <v>561</v>
      </c>
      <c r="C43" s="146" t="s">
        <v>729</v>
      </c>
      <c r="D43" s="158">
        <f>ROUND(NS,0)</f>
        <v>4</v>
      </c>
      <c r="E43" s="227"/>
      <c r="F43" s="228"/>
    </row>
    <row r="44" spans="1:6" ht="16.2">
      <c r="A44" s="86"/>
      <c r="B44" s="201" t="s">
        <v>730</v>
      </c>
      <c r="C44" s="226" t="s">
        <v>731</v>
      </c>
      <c r="D44" s="218">
        <f>ROUND((VDD_off+VDD_PCT+_∆V_MIN)*NSS/(VOUT+Vf_SR),0)</f>
        <v>2</v>
      </c>
      <c r="E44" s="229"/>
      <c r="F44" s="230"/>
    </row>
    <row r="45" spans="1:6" ht="16.2">
      <c r="A45" s="86"/>
      <c r="B45" s="201" t="s">
        <v>732</v>
      </c>
      <c r="C45" s="226" t="s">
        <v>733</v>
      </c>
      <c r="D45" s="218">
        <f>ROUND((VDD_max*NSS)/(VOUT*OVP*0.01+Vf_SR),0)</f>
        <v>4</v>
      </c>
      <c r="E45" s="229"/>
      <c r="F45" s="230"/>
    </row>
    <row r="46" spans="1:6" ht="16.2">
      <c r="A46" s="86"/>
      <c r="B46" s="145" t="s">
        <v>734</v>
      </c>
      <c r="C46" s="146" t="s">
        <v>735</v>
      </c>
      <c r="D46" s="158">
        <f>3</f>
        <v>3</v>
      </c>
      <c r="E46" s="227"/>
      <c r="F46" s="228" t="s">
        <v>736</v>
      </c>
    </row>
    <row r="47" spans="1:6" ht="16.2">
      <c r="A47" s="86"/>
      <c r="B47" s="201" t="s">
        <v>435</v>
      </c>
      <c r="C47" s="226" t="s">
        <v>737</v>
      </c>
      <c r="D47" s="218">
        <f>(Vf_SR+VOUT)*NPS</f>
        <v>160</v>
      </c>
      <c r="E47" s="229"/>
      <c r="F47" s="230"/>
    </row>
    <row r="48" spans="1:6" ht="16.2">
      <c r="A48" s="86"/>
      <c r="B48" s="201" t="s">
        <v>436</v>
      </c>
      <c r="C48" s="231" t="s">
        <v>738</v>
      </c>
      <c r="D48" s="232">
        <f>IF(Vin_type="AC",((NPS*(VOUT+Vf_SR))/((VINPUT_Brownout*SQRT(2)+NPS*VOUT))),((NPS*(VOUT+Vf_SR))/((VINPUT_Brownout+NPS*VOUT))))</f>
        <v>0.59703865627225339</v>
      </c>
      <c r="E48" s="233"/>
      <c r="F48" s="234"/>
    </row>
    <row r="49" spans="1:6" ht="16.2">
      <c r="A49" s="86"/>
      <c r="B49" s="201" t="s">
        <v>739</v>
      </c>
      <c r="C49" s="226" t="s">
        <v>740</v>
      </c>
      <c r="D49" s="218">
        <f>IF(Vin_type="AC",((((D_max^2)*((VINPUT_Brownout*SQRT(2))^2)*(η/100)*((100-KRES)/100))/(2*PO_FL*fSWmin*1000))*10^6),((((D_max^2)*((VINPUT_Brownout)^2)*(η/100)*((100-KRES)/100))/(2*PO_FL*fSWmin*1000))*10^6))</f>
        <v>235.97001424769866</v>
      </c>
      <c r="E49" s="233" t="s">
        <v>21</v>
      </c>
      <c r="F49" s="234"/>
    </row>
    <row r="50" spans="1:6" ht="16.2">
      <c r="A50" s="86"/>
      <c r="B50" s="235" t="s">
        <v>741</v>
      </c>
      <c r="C50" s="236" t="s">
        <v>742</v>
      </c>
      <c r="D50" s="158">
        <v>300</v>
      </c>
      <c r="E50" s="237" t="s">
        <v>21</v>
      </c>
      <c r="F50" s="238"/>
    </row>
    <row r="51" spans="1:6" ht="16.2">
      <c r="A51" s="86"/>
      <c r="B51" s="201" t="s">
        <v>437</v>
      </c>
      <c r="C51" s="226" t="s">
        <v>743</v>
      </c>
      <c r="D51" s="218">
        <f>IF(LM_actual="",LM_recommended,LM_actual)</f>
        <v>300</v>
      </c>
      <c r="E51" s="233"/>
      <c r="F51" s="234"/>
    </row>
    <row r="52" spans="1:6" ht="16.2">
      <c r="A52" s="86"/>
      <c r="B52" s="235" t="s">
        <v>438</v>
      </c>
      <c r="C52" s="236" t="s">
        <v>744</v>
      </c>
      <c r="D52" s="158">
        <v>2.5</v>
      </c>
      <c r="E52" s="401" t="s">
        <v>48</v>
      </c>
      <c r="F52" s="402"/>
    </row>
    <row r="53" spans="1:6" ht="16.2">
      <c r="A53" s="86"/>
      <c r="B53" s="145" t="s">
        <v>439</v>
      </c>
      <c r="C53" s="146" t="s">
        <v>745</v>
      </c>
      <c r="D53" s="158">
        <v>0.96</v>
      </c>
      <c r="E53" s="401"/>
      <c r="F53" s="402"/>
    </row>
    <row r="54" spans="1:6" ht="16.2">
      <c r="A54" s="86"/>
      <c r="B54" s="145" t="s">
        <v>440</v>
      </c>
      <c r="C54" s="146" t="s">
        <v>746</v>
      </c>
      <c r="D54" s="158">
        <v>3</v>
      </c>
      <c r="E54" s="237" t="s">
        <v>375</v>
      </c>
      <c r="F54" s="238"/>
    </row>
    <row r="55" spans="1:6" ht="16.8" thickBot="1">
      <c r="A55" s="86"/>
      <c r="B55" s="239" t="s">
        <v>441</v>
      </c>
      <c r="C55" s="240" t="s">
        <v>747</v>
      </c>
      <c r="D55" s="241">
        <v>0.1</v>
      </c>
      <c r="E55" s="397" t="s">
        <v>19</v>
      </c>
      <c r="F55" s="398"/>
    </row>
    <row r="56" spans="1:6" ht="15" thickBot="1">
      <c r="A56" s="86"/>
      <c r="B56" s="87"/>
      <c r="C56" s="97"/>
      <c r="D56" s="88"/>
      <c r="E56" s="89"/>
      <c r="F56" s="90"/>
    </row>
    <row r="57" spans="1:6" ht="18">
      <c r="A57" s="86"/>
      <c r="B57" s="409" t="s">
        <v>294</v>
      </c>
      <c r="C57" s="410"/>
      <c r="D57" s="410"/>
      <c r="E57" s="410"/>
      <c r="F57" s="411"/>
    </row>
    <row r="58" spans="1:6" ht="16.2">
      <c r="A58" s="98"/>
      <c r="B58" s="51" t="s">
        <v>442</v>
      </c>
      <c r="C58" s="99" t="s">
        <v>27</v>
      </c>
      <c r="D58" s="76">
        <f>IF(Vin_type="AC",((COSS_QH_bg*Vxh*(10^-12)+COSS_QH_sm*(10^-12)*(VINPUT_max*1.414+NPS*VOUT-Vxh))/(VINPUT_max*1.414+VOUT*NPS))*10^12,((COSS_QH_bg*Vxh*(10^-12)+COSS_QH_sm*(10^-12)*(VINPUT_max+NPS*VOUT-Vxh))/(VINPUT_max+VOUT*NPS))*10^12)</f>
        <v>300.44702651852231</v>
      </c>
      <c r="E58" s="325" t="s">
        <v>49</v>
      </c>
      <c r="F58" s="326"/>
    </row>
    <row r="59" spans="1:6" ht="16.2">
      <c r="A59" s="98"/>
      <c r="B59" s="51" t="s">
        <v>443</v>
      </c>
      <c r="C59" s="99" t="s">
        <v>28</v>
      </c>
      <c r="D59" s="76">
        <f>IF(Vin_type="AC",((COSS_QL_bg*Vxl*(10^-12)+COSS_QL_sm*(10^-12)*(VINPUT_max*1.414+NPS*VOUT-Vxl))/(VINPUT_max*1.414+VOUT*NPS))*10^12,((COSS_QL_bg*Vxl*(10^-12)+COSS_QL_sm*(10^-12)*(VINPUT_max+NPS*VOUT-Vxl))/(VINPUT_max+VOUT*NPS))*10^12)</f>
        <v>300.44702651852231</v>
      </c>
      <c r="E59" s="325" t="s">
        <v>49</v>
      </c>
      <c r="F59" s="326"/>
    </row>
    <row r="60" spans="1:6" ht="16.2">
      <c r="A60" s="98"/>
      <c r="B60" s="51" t="s">
        <v>440</v>
      </c>
      <c r="C60" s="99" t="s">
        <v>68</v>
      </c>
      <c r="D60" s="76">
        <f>CTr</f>
        <v>3</v>
      </c>
      <c r="E60" s="403" t="s">
        <v>49</v>
      </c>
      <c r="F60" s="404"/>
    </row>
    <row r="61" spans="1:6" ht="16.2">
      <c r="A61" s="86"/>
      <c r="B61" s="51" t="s">
        <v>444</v>
      </c>
      <c r="C61" s="99" t="s">
        <v>70</v>
      </c>
      <c r="D61" s="71">
        <f>CBootD_T</f>
        <v>10</v>
      </c>
      <c r="E61" s="403" t="s">
        <v>71</v>
      </c>
      <c r="F61" s="404"/>
    </row>
    <row r="62" spans="1:6" ht="16.2">
      <c r="A62" s="86"/>
      <c r="B62" s="51" t="s">
        <v>445</v>
      </c>
      <c r="C62" s="99" t="s">
        <v>72</v>
      </c>
      <c r="D62" s="61">
        <f>COSS_Qs</f>
        <v>1.7</v>
      </c>
      <c r="E62" s="58" t="s">
        <v>26</v>
      </c>
      <c r="F62" s="100"/>
    </row>
    <row r="63" spans="1:6" ht="16.2">
      <c r="A63" s="86"/>
      <c r="B63" s="82" t="s">
        <v>446</v>
      </c>
      <c r="C63" s="101" t="s">
        <v>73</v>
      </c>
      <c r="D63" s="191">
        <f>(CDaux_T+Coss_SR_T)/NPS^2</f>
        <v>44.255237934453731</v>
      </c>
      <c r="E63" s="403" t="s">
        <v>49</v>
      </c>
      <c r="F63" s="404"/>
    </row>
    <row r="64" spans="1:6" ht="16.8" thickBot="1">
      <c r="A64" s="86"/>
      <c r="B64" s="52" t="s">
        <v>447</v>
      </c>
      <c r="C64" s="102" t="s">
        <v>118</v>
      </c>
      <c r="D64" s="112">
        <f>D58+D59+D60+D61+D62+D63</f>
        <v>659.84929097149836</v>
      </c>
      <c r="E64" s="390" t="s">
        <v>49</v>
      </c>
      <c r="F64" s="391"/>
    </row>
    <row r="65" spans="1:6" ht="15" thickBot="1">
      <c r="A65" s="86"/>
      <c r="B65" s="87"/>
      <c r="C65" s="97"/>
      <c r="D65" s="88"/>
      <c r="E65" s="89"/>
      <c r="F65" s="90"/>
    </row>
    <row r="66" spans="1:6" ht="15.6">
      <c r="A66" s="86"/>
      <c r="B66" s="415" t="s">
        <v>133</v>
      </c>
      <c r="C66" s="416"/>
      <c r="D66" s="416"/>
      <c r="E66" s="416"/>
      <c r="F66" s="417"/>
    </row>
    <row r="67" spans="1:6" ht="16.2">
      <c r="A67" s="86"/>
      <c r="B67" s="82" t="s">
        <v>578</v>
      </c>
      <c r="C67" s="101" t="s">
        <v>579</v>
      </c>
      <c r="D67" s="224">
        <v>40</v>
      </c>
      <c r="E67" s="64" t="s">
        <v>7</v>
      </c>
      <c r="F67" s="225"/>
    </row>
    <row r="68" spans="1:6" ht="16.2">
      <c r="A68" s="86"/>
      <c r="B68" s="82" t="s">
        <v>448</v>
      </c>
      <c r="C68" s="101" t="s">
        <v>54</v>
      </c>
      <c r="D68" s="113">
        <f>IF(Vin_type="AC",(((((0.001/fSWmin)*VINPUT_Brownout*1.414)/(VINPUT_Brownout*1.414+VRfl))^2)/((3.141^2)*LK_actual*10^-6))*10^6*1.2*((100+Drea_clamp)/100),(((((0.001/fSWmin)*VINPUT_Brownout)/(VINPUT_Brownout+VRfl))^2)/((3.141^2)*LK_actual*10^-6))*10^6*1.2*((100+Drea_clamp)/100))</f>
        <v>0.22847384513121535</v>
      </c>
      <c r="E68" s="64" t="s">
        <v>52</v>
      </c>
      <c r="F68" s="225"/>
    </row>
    <row r="69" spans="1:6" ht="16.2">
      <c r="A69" s="86"/>
      <c r="B69" s="108" t="s">
        <v>449</v>
      </c>
      <c r="C69" s="109" t="s">
        <v>67</v>
      </c>
      <c r="D69" s="53">
        <v>0.27</v>
      </c>
      <c r="E69" s="114" t="s">
        <v>66</v>
      </c>
      <c r="F69" s="115"/>
    </row>
    <row r="70" spans="1:6" ht="16.2">
      <c r="A70" s="93"/>
      <c r="B70" s="82" t="s">
        <v>450</v>
      </c>
      <c r="C70" s="101" t="s">
        <v>55</v>
      </c>
      <c r="D70" s="113">
        <f>IF(Cclamp_act="",Cclamp_rec,Cclamp_act)</f>
        <v>0.27</v>
      </c>
      <c r="E70" s="64" t="s">
        <v>66</v>
      </c>
      <c r="F70" s="100"/>
    </row>
    <row r="71" spans="1:6" ht="16.2">
      <c r="A71" s="86"/>
      <c r="B71" s="82" t="s">
        <v>451</v>
      </c>
      <c r="C71" s="101" t="s">
        <v>669</v>
      </c>
      <c r="D71" s="113">
        <f>TFDR/(Cclamp*((100-Drea_clamp)/100)*10^-6*LN((NPS*VOUT+ΔVSPIKE)/Vclamp_max))/1000000</f>
        <v>5.8371472048322257</v>
      </c>
      <c r="E71" s="64" t="s">
        <v>200</v>
      </c>
      <c r="F71" s="100"/>
    </row>
    <row r="72" spans="1:6" ht="16.2">
      <c r="A72" s="86"/>
      <c r="B72" s="108" t="s">
        <v>452</v>
      </c>
      <c r="C72" s="109" t="s">
        <v>201</v>
      </c>
      <c r="D72" s="53">
        <v>6.6</v>
      </c>
      <c r="E72" s="114" t="s">
        <v>200</v>
      </c>
      <c r="F72" s="115"/>
    </row>
    <row r="73" spans="1:6" ht="16.8" thickBot="1">
      <c r="A73" s="86"/>
      <c r="B73" s="52" t="s">
        <v>453</v>
      </c>
      <c r="C73" s="102" t="s">
        <v>202</v>
      </c>
      <c r="D73" s="112">
        <f>IF(RBLEED_act="",RBLEED_recc,RBLEED_act)</f>
        <v>6.6</v>
      </c>
      <c r="E73" s="103" t="s">
        <v>200</v>
      </c>
      <c r="F73" s="104"/>
    </row>
    <row r="74" spans="1:6" ht="15" thickBot="1">
      <c r="A74" s="86"/>
      <c r="B74" s="87"/>
      <c r="C74" s="97"/>
      <c r="D74" s="88"/>
      <c r="E74" s="89"/>
      <c r="F74" s="90"/>
    </row>
    <row r="75" spans="1:6" ht="15.6">
      <c r="A75" s="86"/>
      <c r="B75" s="116" t="s">
        <v>74</v>
      </c>
      <c r="C75" s="117"/>
      <c r="D75" s="118"/>
      <c r="E75" s="119"/>
      <c r="F75" s="120"/>
    </row>
    <row r="76" spans="1:6" ht="16.2">
      <c r="A76" s="86"/>
      <c r="B76" s="82" t="s">
        <v>454</v>
      </c>
      <c r="C76" s="101" t="s">
        <v>76</v>
      </c>
      <c r="D76" s="113">
        <f>IF(Vin_type="AC",(NA*VINPUT_Brownin*1.414)/(NP*IVSL_run*10^-6)/1000,(NA*VINPUT_Brownin)/(NP*IVSL_run*10^-6)/1000)</f>
        <v>50.915068493150677</v>
      </c>
      <c r="E76" s="418" t="s">
        <v>724</v>
      </c>
      <c r="F76" s="408"/>
    </row>
    <row r="77" spans="1:6" ht="16.2">
      <c r="A77" s="86"/>
      <c r="B77" s="108" t="s">
        <v>455</v>
      </c>
      <c r="C77" s="121" t="s">
        <v>77</v>
      </c>
      <c r="D77" s="157">
        <v>51</v>
      </c>
      <c r="E77" s="405" t="s">
        <v>266</v>
      </c>
      <c r="F77" s="406"/>
    </row>
    <row r="78" spans="1:6" ht="16.2">
      <c r="A78" s="86"/>
      <c r="B78" s="82" t="s">
        <v>456</v>
      </c>
      <c r="C78" s="101" t="s">
        <v>78</v>
      </c>
      <c r="D78" s="113">
        <f>IF(RVS1_act="",RVS1_rec,RVS1_act)</f>
        <v>51</v>
      </c>
      <c r="E78" s="418" t="s">
        <v>266</v>
      </c>
      <c r="F78" s="408"/>
    </row>
    <row r="79" spans="1:6" ht="16.2">
      <c r="A79" s="86"/>
      <c r="B79" s="82" t="s">
        <v>457</v>
      </c>
      <c r="C79" s="101" t="s">
        <v>79</v>
      </c>
      <c r="D79" s="113">
        <f>(VVS_OVP*RVS_1)/(NA*(VOUT*OVP*0.01+Vf_SR)/NSS-VVS_OVP)</f>
        <v>9.9350649350649345</v>
      </c>
      <c r="E79" s="418" t="s">
        <v>266</v>
      </c>
      <c r="F79" s="408"/>
    </row>
    <row r="80" spans="1:6" ht="16.2">
      <c r="A80" s="86"/>
      <c r="B80" s="108" t="s">
        <v>458</v>
      </c>
      <c r="C80" s="121" t="s">
        <v>81</v>
      </c>
      <c r="D80" s="157">
        <v>11</v>
      </c>
      <c r="E80" s="405" t="s">
        <v>266</v>
      </c>
      <c r="F80" s="406"/>
    </row>
    <row r="81" spans="1:6" ht="16.8" thickBot="1">
      <c r="A81" s="86"/>
      <c r="B81" s="52" t="s">
        <v>459</v>
      </c>
      <c r="C81" s="102" t="s">
        <v>82</v>
      </c>
      <c r="D81" s="112">
        <f>IF(RVS2_act="",RVS2_rec,RVS2_act)</f>
        <v>11</v>
      </c>
      <c r="E81" s="421" t="s">
        <v>266</v>
      </c>
      <c r="F81" s="422"/>
    </row>
    <row r="82" spans="1:6" ht="15" thickBot="1">
      <c r="A82" s="86"/>
      <c r="B82" s="87"/>
      <c r="C82" s="97"/>
      <c r="D82" s="88"/>
      <c r="E82" s="89"/>
      <c r="F82" s="90"/>
    </row>
    <row r="83" spans="1:6" ht="18">
      <c r="A83" s="86"/>
      <c r="B83" s="116" t="s">
        <v>83</v>
      </c>
      <c r="C83" s="117"/>
      <c r="D83" s="118"/>
      <c r="E83" s="119"/>
      <c r="F83" s="120"/>
    </row>
    <row r="84" spans="1:6" ht="16.2" customHeight="1">
      <c r="A84" s="86"/>
      <c r="B84" s="106" t="s">
        <v>548</v>
      </c>
      <c r="C84" s="107" t="s">
        <v>549</v>
      </c>
      <c r="D84" s="53">
        <v>150</v>
      </c>
      <c r="E84" s="114" t="s">
        <v>85</v>
      </c>
      <c r="F84" s="115" t="s">
        <v>292</v>
      </c>
    </row>
    <row r="85" spans="1:6" ht="16.2">
      <c r="A85" s="86"/>
      <c r="B85" s="82" t="s">
        <v>460</v>
      </c>
      <c r="C85" s="101" t="s">
        <v>98</v>
      </c>
      <c r="D85" s="113">
        <f>IF(Vin_type="AC",VCST_OPP1/(PO_FL*OPP*0.01*2/(VINPUT_Brownout*1.414*ηXFMR*DOPP_min)-VINPUT_Brownout*1.414*tD_CST*10^-9/LM*10^-6),VCST_OPP1/(PO_FL*OPP*0.01*2/(VINPUT_Brownout*ηXFMR*DOPP_min)-VINPUT_Brownout*tD_CST*10^-9/LM*10^-6))</f>
        <v>0.29471086494374099</v>
      </c>
      <c r="E85" s="407" t="s">
        <v>80</v>
      </c>
      <c r="F85" s="408"/>
    </row>
    <row r="86" spans="1:6" ht="27.6">
      <c r="A86" s="86"/>
      <c r="B86" s="108" t="s">
        <v>461</v>
      </c>
      <c r="C86" s="121" t="s">
        <v>100</v>
      </c>
      <c r="D86" s="297">
        <v>0.75</v>
      </c>
      <c r="E86" s="114" t="s">
        <v>816</v>
      </c>
      <c r="F86" s="298" t="s">
        <v>818</v>
      </c>
    </row>
    <row r="87" spans="1:6" ht="16.2">
      <c r="A87" s="86"/>
      <c r="B87" s="51" t="s">
        <v>462</v>
      </c>
      <c r="C87" s="99" t="s">
        <v>99</v>
      </c>
      <c r="D87" s="76">
        <f>IF(RCS_act="",RCS_rec,RCS_act)</f>
        <v>0.75</v>
      </c>
      <c r="E87" s="423" t="s">
        <v>80</v>
      </c>
      <c r="F87" s="408"/>
    </row>
    <row r="88" spans="1:6" ht="16.2">
      <c r="A88" s="86"/>
      <c r="B88" s="82" t="s">
        <v>463</v>
      </c>
      <c r="C88" s="101" t="s">
        <v>311</v>
      </c>
      <c r="D88" s="76">
        <f>SQRT((fsw_OPP_min*1000/3)*((ipk_OPP_min^2)*(DOPP_min/(fsw_OPP_min*1000)-TZ_min*10^-9)+(TZ_min*10^-9)*IM_nega_max^2))</f>
        <v>0.94003995463756751</v>
      </c>
      <c r="E88" s="122" t="s">
        <v>30</v>
      </c>
      <c r="F88" s="123"/>
    </row>
    <row r="89" spans="1:6" ht="16.8" thickBot="1">
      <c r="A89" s="86"/>
      <c r="B89" s="52" t="s">
        <v>464</v>
      </c>
      <c r="C89" s="102" t="s">
        <v>310</v>
      </c>
      <c r="D89" s="112">
        <f>RCS*iQL_RMS^2</f>
        <v>0.66275633723624994</v>
      </c>
      <c r="E89" s="124" t="s">
        <v>11</v>
      </c>
      <c r="F89" s="125"/>
    </row>
    <row r="90" spans="1:6" ht="15" thickBot="1">
      <c r="A90" s="86"/>
      <c r="B90" s="87"/>
      <c r="C90" s="97"/>
      <c r="D90" s="88"/>
      <c r="E90" s="89"/>
      <c r="F90" s="90"/>
    </row>
    <row r="91" spans="1:6" ht="15.6">
      <c r="A91" s="86"/>
      <c r="B91" s="116" t="s">
        <v>110</v>
      </c>
      <c r="C91" s="117"/>
      <c r="D91" s="118"/>
      <c r="E91" s="119"/>
      <c r="F91" s="120"/>
    </row>
    <row r="92" spans="1:6" ht="16.2">
      <c r="A92" s="86"/>
      <c r="B92" s="82" t="s">
        <v>465</v>
      </c>
      <c r="C92" s="101" t="s">
        <v>122</v>
      </c>
      <c r="D92" s="113">
        <f>IF(Vin_type="AC",(Voffset_CS_OPP+(TD_CS_filter*10^-9)*VINPUT_max*1.414*RCS/(LM*10^-6))/((iVSL_max*10^-3)/KLC),(Voffset_CS_OPP+(TD_CS_filter*10^-9)*VINPUT_max*RCS/(LM*10^-6))/((iVSL_max*10^-3)/KLC))</f>
        <v>-24115.061243365533</v>
      </c>
      <c r="E92" s="425" t="s">
        <v>817</v>
      </c>
      <c r="F92" s="426"/>
    </row>
    <row r="93" spans="1:6" ht="16.2">
      <c r="A93" s="86"/>
      <c r="B93" s="108" t="s">
        <v>466</v>
      </c>
      <c r="C93" s="121" t="s">
        <v>124</v>
      </c>
      <c r="D93" s="157">
        <v>1370</v>
      </c>
      <c r="E93" s="405" t="s">
        <v>80</v>
      </c>
      <c r="F93" s="406"/>
    </row>
    <row r="94" spans="1:6" ht="16.2">
      <c r="A94" s="86"/>
      <c r="B94" s="82" t="s">
        <v>467</v>
      </c>
      <c r="C94" s="101" t="s">
        <v>390</v>
      </c>
      <c r="D94" s="113">
        <f>IF(R_OPP_act="",R_OPP_rec,R_OPP_act)</f>
        <v>1370</v>
      </c>
      <c r="E94" s="418" t="s">
        <v>391</v>
      </c>
      <c r="F94" s="408"/>
    </row>
    <row r="95" spans="1:6" ht="16.2">
      <c r="A95" s="86"/>
      <c r="B95" s="82" t="s">
        <v>468</v>
      </c>
      <c r="C95" s="101" t="s">
        <v>384</v>
      </c>
      <c r="D95" s="76">
        <f>(TD_CS_filter/R_OPP)*10^3</f>
        <v>109.48905109489051</v>
      </c>
      <c r="E95" s="423" t="s">
        <v>71</v>
      </c>
      <c r="F95" s="424"/>
    </row>
    <row r="96" spans="1:6" ht="16.2">
      <c r="A96" s="86"/>
      <c r="B96" s="108" t="s">
        <v>469</v>
      </c>
      <c r="C96" s="121" t="s">
        <v>127</v>
      </c>
      <c r="D96" s="157">
        <v>100</v>
      </c>
      <c r="E96" s="405" t="s">
        <v>71</v>
      </c>
      <c r="F96" s="406"/>
    </row>
    <row r="97" spans="1:6" ht="16.2">
      <c r="A97" s="86"/>
      <c r="B97" s="82" t="s">
        <v>550</v>
      </c>
      <c r="C97" s="101" t="s">
        <v>551</v>
      </c>
      <c r="D97" s="76">
        <f>IF(CCS_act="",CCS_rec,CCS_act)</f>
        <v>100</v>
      </c>
      <c r="E97" s="122" t="s">
        <v>552</v>
      </c>
      <c r="F97" s="123"/>
    </row>
    <row r="98" spans="1:6" ht="16.8" thickBot="1">
      <c r="A98" s="86"/>
      <c r="B98" s="52" t="s">
        <v>553</v>
      </c>
      <c r="C98" s="102" t="s">
        <v>554</v>
      </c>
      <c r="D98" s="112">
        <f>R_OPP*CCS*0.001</f>
        <v>137</v>
      </c>
      <c r="E98" s="124" t="s">
        <v>555</v>
      </c>
      <c r="F98" s="125"/>
    </row>
    <row r="99" spans="1:6" ht="15" thickBot="1">
      <c r="A99" s="86"/>
      <c r="B99" s="87"/>
      <c r="C99" s="97"/>
      <c r="D99" s="126"/>
      <c r="E99" s="127"/>
      <c r="F99" s="127"/>
    </row>
    <row r="100" spans="1:6" ht="15.6">
      <c r="A100" s="86"/>
      <c r="B100" s="116" t="s">
        <v>128</v>
      </c>
      <c r="C100" s="117"/>
      <c r="D100" s="118"/>
      <c r="E100" s="119"/>
      <c r="F100" s="120"/>
    </row>
    <row r="101" spans="1:6" ht="16.2">
      <c r="A101" s="86"/>
      <c r="B101" s="51" t="s">
        <v>470</v>
      </c>
      <c r="C101" s="99" t="s">
        <v>129</v>
      </c>
      <c r="D101" s="76">
        <f>(KDM*LM*10^-6*RVS_2*1000*NA/NP)/(RCS*(RVS_1*1000+RVS_2*1000))/1000</f>
        <v>50.691244239631331</v>
      </c>
      <c r="E101" s="128" t="s">
        <v>266</v>
      </c>
      <c r="F101" s="129" t="s">
        <v>618</v>
      </c>
    </row>
    <row r="102" spans="1:6" ht="16.2">
      <c r="A102" s="86"/>
      <c r="B102" s="106" t="s">
        <v>471</v>
      </c>
      <c r="C102" s="107" t="s">
        <v>131</v>
      </c>
      <c r="D102" s="53">
        <v>61.9</v>
      </c>
      <c r="E102" s="419" t="s">
        <v>266</v>
      </c>
      <c r="F102" s="420"/>
    </row>
    <row r="103" spans="1:6" ht="16.8" thickBot="1">
      <c r="A103" s="86"/>
      <c r="B103" s="52" t="s">
        <v>472</v>
      </c>
      <c r="C103" s="102" t="s">
        <v>130</v>
      </c>
      <c r="D103" s="112">
        <f>IF(RDM_act="",RDM_rec,RDM_act)</f>
        <v>61.9</v>
      </c>
      <c r="E103" s="130" t="s">
        <v>266</v>
      </c>
      <c r="F103" s="131"/>
    </row>
    <row r="104" spans="1:6" ht="15" thickBot="1">
      <c r="A104" s="86"/>
      <c r="B104" s="87"/>
      <c r="C104" s="97"/>
      <c r="D104" s="88"/>
      <c r="E104" s="89"/>
      <c r="F104" s="90"/>
    </row>
    <row r="105" spans="1:6" ht="15.6">
      <c r="A105" s="86"/>
      <c r="B105" s="116" t="s">
        <v>132</v>
      </c>
      <c r="C105" s="117"/>
      <c r="D105" s="118"/>
      <c r="E105" s="119"/>
      <c r="F105" s="120"/>
    </row>
    <row r="106" spans="1:6" ht="16.2">
      <c r="A106" s="86"/>
      <c r="B106" s="51" t="s">
        <v>473</v>
      </c>
      <c r="C106" s="99" t="s">
        <v>136</v>
      </c>
      <c r="D106" s="76">
        <f>0.56*3.141*SQRT(LM*10^-6*CSW_T_nor*10^-12)*10^9</f>
        <v>782.59842214035632</v>
      </c>
      <c r="E106" s="418" t="s">
        <v>85</v>
      </c>
      <c r="F106" s="408"/>
    </row>
    <row r="107" spans="1:6" ht="16.2">
      <c r="A107" s="86"/>
      <c r="B107" s="51" t="s">
        <v>474</v>
      </c>
      <c r="C107" s="99" t="s">
        <v>135</v>
      </c>
      <c r="D107" s="76">
        <f>KTZ*(TZ_min+TD_HDr)*10^-9/1000</f>
        <v>494.25511639859957</v>
      </c>
      <c r="E107" s="128" t="s">
        <v>266</v>
      </c>
      <c r="F107" s="129"/>
    </row>
    <row r="108" spans="1:6" ht="16.2">
      <c r="A108" s="86"/>
      <c r="B108" s="106" t="s">
        <v>475</v>
      </c>
      <c r="C108" s="107" t="s">
        <v>137</v>
      </c>
      <c r="D108" s="53">
        <v>499</v>
      </c>
      <c r="E108" s="419" t="s">
        <v>266</v>
      </c>
      <c r="F108" s="420"/>
    </row>
    <row r="109" spans="1:6" ht="16.8" thickBot="1">
      <c r="A109" s="86"/>
      <c r="B109" s="52" t="s">
        <v>476</v>
      </c>
      <c r="C109" s="102" t="s">
        <v>138</v>
      </c>
      <c r="D109" s="112">
        <f>IF(RTZ_act="",RTZ_rec,RTZ_act)</f>
        <v>499</v>
      </c>
      <c r="E109" s="130" t="s">
        <v>266</v>
      </c>
      <c r="F109" s="131"/>
    </row>
    <row r="110" spans="1:6" ht="15" thickBot="1">
      <c r="A110" s="86"/>
      <c r="B110" s="87"/>
      <c r="C110" s="97"/>
      <c r="D110" s="88"/>
      <c r="E110" s="89"/>
      <c r="F110" s="90"/>
    </row>
    <row r="111" spans="1:6" ht="15.6">
      <c r="A111" s="86"/>
      <c r="B111" s="116" t="s">
        <v>139</v>
      </c>
      <c r="C111" s="117"/>
      <c r="D111" s="118"/>
      <c r="E111" s="119"/>
      <c r="F111" s="120"/>
    </row>
    <row r="112" spans="1:6" ht="69" customHeight="1">
      <c r="A112" s="86"/>
      <c r="B112" s="51" t="s">
        <v>477</v>
      </c>
      <c r="C112" s="99" t="s">
        <v>145</v>
      </c>
      <c r="D112" s="76">
        <f>IF(Vin_type="AC",ipk_BUR*RCS-VINPUT_BUR*1.414*RCS*tD_CST*10^-9/(LM*10^-6)+iVSL_BUR*10^-3*R_OPP/KLC,ipk_BUR*RCS-VINPUT_BUR*RCS*tD_CST*10^-9/(LM*10^-6)+iVSL_BUR*10^-3*R_OPP/KLC)</f>
        <v>0.42266120063672419</v>
      </c>
      <c r="E112" s="122" t="s">
        <v>149</v>
      </c>
      <c r="F112" s="223"/>
    </row>
    <row r="113" spans="1:6" ht="16.2">
      <c r="A113" s="86"/>
      <c r="B113" s="82" t="s">
        <v>478</v>
      </c>
      <c r="C113" s="99" t="s">
        <v>155</v>
      </c>
      <c r="D113" s="76">
        <f>(0.11/(2.5*10^-6))/(1-KBUR_CST*VCST_BUR/5)/1000</f>
        <v>66.478207044475965</v>
      </c>
      <c r="E113" s="418" t="s">
        <v>284</v>
      </c>
      <c r="F113" s="408"/>
    </row>
    <row r="114" spans="1:6" ht="16.2">
      <c r="A114" s="86"/>
      <c r="B114" s="108" t="s">
        <v>479</v>
      </c>
      <c r="C114" s="107" t="s">
        <v>156</v>
      </c>
      <c r="D114" s="53">
        <v>51</v>
      </c>
      <c r="E114" s="419" t="s">
        <v>266</v>
      </c>
      <c r="F114" s="420"/>
    </row>
    <row r="115" spans="1:6" ht="16.2">
      <c r="A115" s="86"/>
      <c r="B115" s="82" t="s">
        <v>480</v>
      </c>
      <c r="C115" s="99" t="s">
        <v>157</v>
      </c>
      <c r="D115" s="76">
        <f>IF(RBUR2_act="",RBUR2_rec,RBUR2_act)</f>
        <v>51</v>
      </c>
      <c r="E115" s="418" t="s">
        <v>266</v>
      </c>
      <c r="F115" s="408"/>
    </row>
    <row r="116" spans="1:6" ht="16.2">
      <c r="A116" s="86"/>
      <c r="B116" s="82" t="s">
        <v>481</v>
      </c>
      <c r="C116" s="99" t="s">
        <v>357</v>
      </c>
      <c r="D116" s="76">
        <f>(5*1000*RBUR2/(KBUR_CST*VCST_BUR)-RBUR2*1000)/1000</f>
        <v>99.830026281009168</v>
      </c>
      <c r="E116" s="418" t="s">
        <v>358</v>
      </c>
      <c r="F116" s="408"/>
    </row>
    <row r="117" spans="1:6" ht="16.2">
      <c r="A117" s="86"/>
      <c r="B117" s="108" t="s">
        <v>482</v>
      </c>
      <c r="C117" s="107" t="s">
        <v>359</v>
      </c>
      <c r="D117" s="53">
        <v>316</v>
      </c>
      <c r="E117" s="419" t="s">
        <v>358</v>
      </c>
      <c r="F117" s="420"/>
    </row>
    <row r="118" spans="1:6" ht="16.2">
      <c r="A118" s="86"/>
      <c r="B118" s="82" t="s">
        <v>483</v>
      </c>
      <c r="C118" s="99" t="s">
        <v>360</v>
      </c>
      <c r="D118" s="76">
        <f>IF(RBUR1_act="",RBUR1_rec,RBUR1_act)</f>
        <v>316</v>
      </c>
      <c r="E118" s="418" t="s">
        <v>358</v>
      </c>
      <c r="F118" s="408"/>
    </row>
    <row r="119" spans="1:6" ht="16.2">
      <c r="A119" s="86"/>
      <c r="B119" s="82" t="s">
        <v>583</v>
      </c>
      <c r="C119" s="99" t="s">
        <v>584</v>
      </c>
      <c r="D119" s="132">
        <f>5*RBUR2_act/(RBUR2_act+RBUR1_act)</f>
        <v>0.69482288828337879</v>
      </c>
      <c r="E119" s="133" t="s">
        <v>585</v>
      </c>
      <c r="F119" s="134"/>
    </row>
    <row r="120" spans="1:6" ht="16.2">
      <c r="A120" s="86"/>
      <c r="B120" s="82" t="s">
        <v>484</v>
      </c>
      <c r="C120" s="99" t="s">
        <v>383</v>
      </c>
      <c r="D120" s="132">
        <f>(40*10^-6)/(3*(RBUR2*RBUR1*1000/(RBUR2+RBUR1)))*10^12</f>
        <v>303.63200132373618</v>
      </c>
      <c r="E120" s="418" t="s">
        <v>363</v>
      </c>
      <c r="F120" s="408"/>
    </row>
    <row r="121" spans="1:6" ht="16.2">
      <c r="A121" s="86"/>
      <c r="B121" s="108" t="s">
        <v>485</v>
      </c>
      <c r="C121" s="107" t="s">
        <v>362</v>
      </c>
      <c r="D121" s="53">
        <v>270</v>
      </c>
      <c r="E121" s="419" t="s">
        <v>363</v>
      </c>
      <c r="F121" s="420"/>
    </row>
    <row r="122" spans="1:6" ht="16.8" thickBot="1">
      <c r="A122" s="86"/>
      <c r="B122" s="52" t="s">
        <v>486</v>
      </c>
      <c r="C122" s="102" t="s">
        <v>361</v>
      </c>
      <c r="D122" s="112">
        <f>IF(CBUR_act="",CBUR_rec,CBUR_act)</f>
        <v>270</v>
      </c>
      <c r="E122" s="421" t="s">
        <v>364</v>
      </c>
      <c r="F122" s="422"/>
    </row>
    <row r="123" spans="1:6" ht="15" thickBot="1">
      <c r="A123" s="86"/>
      <c r="B123" s="87"/>
      <c r="C123" s="97"/>
      <c r="D123" s="88"/>
      <c r="E123" s="89"/>
      <c r="F123" s="90"/>
    </row>
    <row r="124" spans="1:6" ht="15.6">
      <c r="A124" s="86"/>
      <c r="B124" s="116" t="s">
        <v>158</v>
      </c>
      <c r="C124" s="117"/>
      <c r="D124" s="118"/>
      <c r="E124" s="119"/>
      <c r="F124" s="120"/>
    </row>
    <row r="125" spans="1:6" ht="16.2">
      <c r="A125" s="86"/>
      <c r="B125" s="51" t="s">
        <v>487</v>
      </c>
      <c r="C125" s="99" t="s">
        <v>381</v>
      </c>
      <c r="D125" s="76">
        <f>IF(Vin_type="AC",(COSS_Qs*10^-12*(VINPUT_max*1.414+NPS*VOUT)/(VHVG+0.9*Vgs_Qs)-CDz*10^-12)*10^12,(COSS_Qs*10^-12*(VINPUT_max+NPS*VOUT)/(VHVG+0.9*Vgs_Qs)-CDz*10^-12)*10^12)</f>
        <v>18.460596491228067</v>
      </c>
      <c r="E125" s="64" t="s">
        <v>159</v>
      </c>
      <c r="F125" s="222"/>
    </row>
    <row r="126" spans="1:6" ht="16.2">
      <c r="A126" s="86"/>
      <c r="B126" s="106" t="s">
        <v>488</v>
      </c>
      <c r="C126" s="107" t="s">
        <v>160</v>
      </c>
      <c r="D126" s="53">
        <v>22</v>
      </c>
      <c r="E126" s="114" t="s">
        <v>159</v>
      </c>
      <c r="F126" s="115"/>
    </row>
    <row r="127" spans="1:6" ht="16.2">
      <c r="A127" s="86"/>
      <c r="B127" s="51" t="s">
        <v>489</v>
      </c>
      <c r="C127" s="99" t="s">
        <v>161</v>
      </c>
      <c r="D127" s="76">
        <f>IF(CSWS_act="",CSWS_rec,CSWS_act)</f>
        <v>22</v>
      </c>
      <c r="E127" s="64" t="s">
        <v>159</v>
      </c>
      <c r="F127" s="100"/>
    </row>
    <row r="128" spans="1:6" ht="16.2">
      <c r="A128" s="86"/>
      <c r="B128" s="51" t="s">
        <v>490</v>
      </c>
      <c r="C128" s="99" t="s">
        <v>382</v>
      </c>
      <c r="D128" s="76">
        <f>10*SQRT((LQs*10^-9)/((CSWS+CDz)*10^-12))</f>
        <v>121.71612389003691</v>
      </c>
      <c r="E128" s="418" t="s">
        <v>80</v>
      </c>
      <c r="F128" s="408"/>
    </row>
    <row r="129" spans="1:6" ht="16.2">
      <c r="A129" s="86"/>
      <c r="B129" s="106" t="s">
        <v>491</v>
      </c>
      <c r="C129" s="107" t="s">
        <v>162</v>
      </c>
      <c r="D129" s="53">
        <v>124</v>
      </c>
      <c r="E129" s="419" t="s">
        <v>80</v>
      </c>
      <c r="F129" s="420"/>
    </row>
    <row r="130" spans="1:6" ht="16.8" thickBot="1">
      <c r="A130" s="86"/>
      <c r="B130" s="52" t="s">
        <v>492</v>
      </c>
      <c r="C130" s="102" t="s">
        <v>163</v>
      </c>
      <c r="D130" s="112">
        <f>IF(RSWS_act="",RSWS_rec,RSWS_act)</f>
        <v>124</v>
      </c>
      <c r="E130" s="421" t="s">
        <v>80</v>
      </c>
      <c r="F130" s="422"/>
    </row>
    <row r="131" spans="1:6" ht="15" thickBot="1">
      <c r="A131" s="86"/>
      <c r="B131" s="87"/>
      <c r="C131" s="97"/>
      <c r="D131" s="88"/>
      <c r="E131" s="89"/>
      <c r="F131" s="90"/>
    </row>
    <row r="132" spans="1:6" ht="15.6">
      <c r="A132" s="86"/>
      <c r="B132" s="116" t="s">
        <v>164</v>
      </c>
      <c r="C132" s="117"/>
      <c r="D132" s="118"/>
      <c r="E132" s="119"/>
      <c r="F132" s="120"/>
    </row>
    <row r="133" spans="1:6" ht="16.2">
      <c r="A133" s="86"/>
      <c r="B133" s="51" t="s">
        <v>493</v>
      </c>
      <c r="C133" s="99" t="s">
        <v>376</v>
      </c>
      <c r="D133" s="76">
        <f>Vth_Qs/(15*10^-6)/1000</f>
        <v>133.33333333333334</v>
      </c>
      <c r="E133" s="135" t="s">
        <v>377</v>
      </c>
      <c r="F133" s="136" t="s">
        <v>676</v>
      </c>
    </row>
    <row r="134" spans="1:6" ht="16.2">
      <c r="A134" s="86"/>
      <c r="B134" s="106" t="s">
        <v>494</v>
      </c>
      <c r="C134" s="107" t="s">
        <v>165</v>
      </c>
      <c r="D134" s="53">
        <v>1</v>
      </c>
      <c r="E134" s="114" t="s">
        <v>285</v>
      </c>
      <c r="F134" s="115" t="s">
        <v>167</v>
      </c>
    </row>
    <row r="135" spans="1:6" ht="16.2">
      <c r="A135" s="86"/>
      <c r="B135" s="51" t="s">
        <v>495</v>
      </c>
      <c r="C135" s="99" t="s">
        <v>166</v>
      </c>
      <c r="D135" s="76">
        <f>IF(RHVG_act="",RHVG_rec,RHVG_act)</f>
        <v>1</v>
      </c>
      <c r="E135" s="418" t="s">
        <v>285</v>
      </c>
      <c r="F135" s="408"/>
    </row>
    <row r="136" spans="1:6" ht="57" customHeight="1">
      <c r="A136" s="86"/>
      <c r="B136" s="51" t="s">
        <v>496</v>
      </c>
      <c r="C136" s="99" t="s">
        <v>385</v>
      </c>
      <c r="D136" s="76">
        <f>((Ciss_Qs*10^-12)+(Trise_max*10^-9)/(RHVG*10^6))*(VDz-VHVG)/0.22*10^9*1.2</f>
        <v>1.4639025627440634</v>
      </c>
      <c r="E136" s="137" t="s">
        <v>170</v>
      </c>
      <c r="F136" s="138" t="s">
        <v>388</v>
      </c>
    </row>
    <row r="137" spans="1:6" ht="16.2">
      <c r="A137" s="86"/>
      <c r="B137" s="106" t="s">
        <v>497</v>
      </c>
      <c r="C137" s="107" t="s">
        <v>168</v>
      </c>
      <c r="D137" s="53">
        <v>2.2000000000000002</v>
      </c>
      <c r="E137" s="139" t="s">
        <v>170</v>
      </c>
      <c r="F137" s="115" t="s">
        <v>172</v>
      </c>
    </row>
    <row r="138" spans="1:6" ht="16.2">
      <c r="A138" s="86"/>
      <c r="B138" s="51" t="s">
        <v>498</v>
      </c>
      <c r="C138" s="99" t="s">
        <v>169</v>
      </c>
      <c r="D138" s="76">
        <f>IF(CHVG_act="",CHVG_rec,CHVG_act)</f>
        <v>2.2000000000000002</v>
      </c>
      <c r="E138" s="64" t="s">
        <v>171</v>
      </c>
      <c r="F138" s="100"/>
    </row>
    <row r="139" spans="1:6" ht="16.2">
      <c r="A139" s="86"/>
      <c r="B139" s="51" t="s">
        <v>499</v>
      </c>
      <c r="C139" s="99" t="s">
        <v>386</v>
      </c>
      <c r="D139" s="76">
        <f>((IRUN_VDD*10^-3-Iwait_VDD*10^-3)*tD_RUN_PWML*10^-6)/(2*0.05)*10^6*1.2</f>
        <v>5.5439999999999996E-2</v>
      </c>
      <c r="E139" s="64" t="s">
        <v>387</v>
      </c>
      <c r="F139" s="100" t="s">
        <v>392</v>
      </c>
    </row>
    <row r="140" spans="1:6" ht="16.2">
      <c r="A140" s="86"/>
      <c r="B140" s="106" t="s">
        <v>500</v>
      </c>
      <c r="C140" s="107" t="s">
        <v>174</v>
      </c>
      <c r="D140" s="53">
        <v>0.1</v>
      </c>
      <c r="E140" s="140" t="s">
        <v>173</v>
      </c>
      <c r="F140" s="141" t="s">
        <v>176</v>
      </c>
    </row>
    <row r="141" spans="1:6" ht="16.8" thickBot="1">
      <c r="A141" s="86"/>
      <c r="B141" s="52" t="s">
        <v>501</v>
      </c>
      <c r="C141" s="102" t="s">
        <v>175</v>
      </c>
      <c r="D141" s="112">
        <f>IF(CREF_act="",CREF_rec,CREF_act)</f>
        <v>0.1</v>
      </c>
      <c r="E141" s="124" t="s">
        <v>173</v>
      </c>
      <c r="F141" s="125"/>
    </row>
    <row r="142" spans="1:6" ht="15" thickBot="1">
      <c r="A142" s="86"/>
      <c r="B142" s="87"/>
      <c r="C142" s="97"/>
      <c r="D142" s="88"/>
      <c r="E142" s="89"/>
      <c r="F142" s="90"/>
    </row>
    <row r="143" spans="1:6" ht="15.6">
      <c r="A143" s="86"/>
      <c r="B143" s="116" t="s">
        <v>668</v>
      </c>
      <c r="C143" s="117"/>
      <c r="D143" s="118"/>
      <c r="E143" s="119"/>
      <c r="F143" s="120"/>
    </row>
    <row r="144" spans="1:6" ht="16.2">
      <c r="A144" s="86"/>
      <c r="B144" s="51" t="s">
        <v>502</v>
      </c>
      <c r="C144" s="99" t="s">
        <v>252</v>
      </c>
      <c r="D144" s="76">
        <f>((Qg_Qh*10^-9+(IVCC_qcc*10^-3)/(fBUR_LR*10^3))/((VDD-Vf_BootD-11)-ipk_BUR_min*(RCS+RDSon_QL)))*10^9</f>
        <v>2.3229308134579369</v>
      </c>
      <c r="E144" s="418" t="s">
        <v>170</v>
      </c>
      <c r="F144" s="408"/>
    </row>
    <row r="145" spans="1:6" ht="16.2">
      <c r="A145" s="86"/>
      <c r="B145" s="51" t="s">
        <v>503</v>
      </c>
      <c r="C145" s="99" t="s">
        <v>258</v>
      </c>
      <c r="D145" s="76">
        <f>((0.1*(IVCC_qcc*10^-3)/fBUR_standyby)/(VDD-Vf_BootD-8.5))*10^9</f>
        <v>15.09433962264151</v>
      </c>
      <c r="E145" s="418" t="s">
        <v>170</v>
      </c>
      <c r="F145" s="408"/>
    </row>
    <row r="146" spans="1:6" ht="16.2">
      <c r="A146" s="86"/>
      <c r="B146" s="106" t="s">
        <v>504</v>
      </c>
      <c r="C146" s="107" t="s">
        <v>259</v>
      </c>
      <c r="D146" s="53">
        <v>10</v>
      </c>
      <c r="E146" s="140" t="s">
        <v>170</v>
      </c>
      <c r="F146" s="141" t="s">
        <v>366</v>
      </c>
    </row>
    <row r="147" spans="1:6" ht="16.2" customHeight="1">
      <c r="A147" s="86"/>
      <c r="B147" s="51" t="s">
        <v>505</v>
      </c>
      <c r="C147" s="99" t="s">
        <v>379</v>
      </c>
      <c r="D147" s="76">
        <f>(10*Cboot)*10^-3</f>
        <v>0.1</v>
      </c>
      <c r="E147" s="64" t="s">
        <v>562</v>
      </c>
      <c r="F147" s="100" t="s">
        <v>563</v>
      </c>
    </row>
    <row r="148" spans="1:6" ht="27.6">
      <c r="A148" s="86"/>
      <c r="B148" s="106" t="s">
        <v>506</v>
      </c>
      <c r="C148" s="107" t="s">
        <v>261</v>
      </c>
      <c r="D148" s="53">
        <v>0.1</v>
      </c>
      <c r="E148" s="140" t="s">
        <v>173</v>
      </c>
      <c r="F148" s="142" t="s">
        <v>595</v>
      </c>
    </row>
    <row r="149" spans="1:6" ht="16.2">
      <c r="A149" s="86"/>
      <c r="B149" s="51" t="s">
        <v>507</v>
      </c>
      <c r="C149" s="99" t="s">
        <v>380</v>
      </c>
      <c r="D149" s="76">
        <f>10*RCS</f>
        <v>7.5</v>
      </c>
      <c r="E149" s="64" t="s">
        <v>564</v>
      </c>
      <c r="F149" s="100" t="s">
        <v>565</v>
      </c>
    </row>
    <row r="150" spans="1:6" ht="16.8" thickBot="1">
      <c r="A150" s="86"/>
      <c r="B150" s="110" t="s">
        <v>508</v>
      </c>
      <c r="C150" s="111" t="s">
        <v>262</v>
      </c>
      <c r="D150" s="156">
        <v>5.6</v>
      </c>
      <c r="E150" s="143" t="s">
        <v>564</v>
      </c>
      <c r="F150" s="144"/>
    </row>
    <row r="151" spans="1:6" ht="15" thickBot="1">
      <c r="A151" s="86"/>
      <c r="B151" s="87"/>
      <c r="C151" s="97"/>
      <c r="D151" s="88"/>
      <c r="E151" s="89"/>
      <c r="F151" s="90"/>
    </row>
    <row r="152" spans="1:6" ht="15.6">
      <c r="A152" s="86"/>
      <c r="B152" s="116" t="s">
        <v>178</v>
      </c>
      <c r="C152" s="117"/>
      <c r="D152" s="118"/>
      <c r="E152" s="119"/>
      <c r="F152" s="120"/>
    </row>
    <row r="153" spans="1:6" ht="16.2">
      <c r="A153" s="86"/>
      <c r="B153" s="51" t="s">
        <v>509</v>
      </c>
      <c r="C153" s="99" t="s">
        <v>260</v>
      </c>
      <c r="D153" s="76">
        <f>(NA/NSS)*VOUT-Vf_Daux</f>
        <v>22.75</v>
      </c>
      <c r="E153" s="418" t="s">
        <v>149</v>
      </c>
      <c r="F153" s="408"/>
    </row>
    <row r="154" spans="1:6" ht="16.2">
      <c r="A154" s="86"/>
      <c r="B154" s="51" t="s">
        <v>510</v>
      </c>
      <c r="C154" s="99" t="s">
        <v>378</v>
      </c>
      <c r="D154" s="76">
        <f>(VDD-VDD_off)/IDaux_max</f>
        <v>10.36</v>
      </c>
      <c r="E154" s="418" t="s">
        <v>80</v>
      </c>
      <c r="F154" s="408"/>
    </row>
    <row r="155" spans="1:6" ht="16.2">
      <c r="A155" s="86"/>
      <c r="B155" s="145" t="s">
        <v>511</v>
      </c>
      <c r="C155" s="146" t="s">
        <v>180</v>
      </c>
      <c r="D155" s="158">
        <v>10.5</v>
      </c>
      <c r="E155" s="419" t="s">
        <v>80</v>
      </c>
      <c r="F155" s="420"/>
    </row>
    <row r="156" spans="1:6" ht="16.2">
      <c r="A156" s="86"/>
      <c r="B156" s="51" t="s">
        <v>512</v>
      </c>
      <c r="C156" s="99" t="s">
        <v>179</v>
      </c>
      <c r="D156" s="76">
        <f>IF(RDD1_act="",RDD1_rec,RDD1_act)</f>
        <v>10.5</v>
      </c>
      <c r="E156" s="418" t="s">
        <v>80</v>
      </c>
      <c r="F156" s="408"/>
    </row>
    <row r="157" spans="1:6" ht="16.2">
      <c r="A157" s="86"/>
      <c r="B157" s="51" t="s">
        <v>513</v>
      </c>
      <c r="C157" s="99" t="s">
        <v>182</v>
      </c>
      <c r="D157" s="132">
        <f>CHVG*10^-9*(VDD_on-VDD_off-Vth_Qs)/((Istart_HVG-15)*10^-6)*10^3</f>
        <v>0.16720000000000002</v>
      </c>
      <c r="E157" s="135" t="s">
        <v>181</v>
      </c>
      <c r="F157" s="136"/>
    </row>
    <row r="158" spans="1:6" ht="16.2">
      <c r="A158" s="86"/>
      <c r="B158" s="51" t="s">
        <v>514</v>
      </c>
      <c r="C158" s="99" t="s">
        <v>184</v>
      </c>
      <c r="D158" s="76">
        <f>IF(Vin_type="AC",((COUT*10^-6)*VOUT/(NPS*VCST_max*VINPUT_Brownout*1.414/(2*RCS*(VINPUT_Brownout*1.414+NPS*VOUT))-IOUT)+0.001)*10^3,((COUT*10^-6)*VOUT/(NPS*VCST_max*VINPUT_Brownout/(2*RCS*(VINPUT_Brownout+NPS*VOUT))-IOUT)+0.001)*10^3)</f>
        <v>-1077.6532762812838</v>
      </c>
      <c r="E158" s="133" t="s">
        <v>181</v>
      </c>
      <c r="F158" s="138"/>
    </row>
    <row r="159" spans="1:6" ht="16.2">
      <c r="A159" s="86"/>
      <c r="B159" s="106" t="s">
        <v>580</v>
      </c>
      <c r="C159" s="107" t="s">
        <v>581</v>
      </c>
      <c r="D159" s="53">
        <v>70</v>
      </c>
      <c r="E159" s="147" t="s">
        <v>582</v>
      </c>
      <c r="F159" s="148"/>
    </row>
    <row r="160" spans="1:6" ht="16.2">
      <c r="A160" s="86"/>
      <c r="B160" s="51" t="s">
        <v>515</v>
      </c>
      <c r="C160" s="99" t="s">
        <v>193</v>
      </c>
      <c r="D160" s="76">
        <f>(((IEN_VDD+IVCC_qcc)*THVG*10^-6+(IRUN_VDD+IVCC_sw)*(TSS_max+tD_RUN_PWML)*10^-6+CREF*5*10^-6)/(VDD_on-VDD_off))*10^6/((100-Drea_CDD1)/100)</f>
        <v>-1672.7294242824153</v>
      </c>
      <c r="E160" s="403" t="s">
        <v>52</v>
      </c>
      <c r="F160" s="404"/>
    </row>
    <row r="161" spans="1:6" ht="16.2">
      <c r="A161" s="86"/>
      <c r="B161" s="106" t="s">
        <v>516</v>
      </c>
      <c r="C161" s="107" t="s">
        <v>198</v>
      </c>
      <c r="D161" s="53">
        <v>88</v>
      </c>
      <c r="E161" s="140" t="s">
        <v>173</v>
      </c>
      <c r="F161" s="141"/>
    </row>
    <row r="162" spans="1:6" ht="16.8" thickBot="1">
      <c r="A162" s="86"/>
      <c r="B162" s="52" t="s">
        <v>517</v>
      </c>
      <c r="C162" s="102" t="s">
        <v>199</v>
      </c>
      <c r="D162" s="112">
        <f>IF(CDD1_act="",CDD1_rec,CDD1_act)</f>
        <v>88</v>
      </c>
      <c r="E162" s="124" t="s">
        <v>173</v>
      </c>
      <c r="F162" s="125"/>
    </row>
    <row r="163" spans="1:6" ht="15" thickBot="1">
      <c r="A163" s="86"/>
      <c r="B163" s="87"/>
      <c r="C163" s="97"/>
      <c r="D163" s="88"/>
      <c r="E163" s="89"/>
      <c r="F163" s="90"/>
    </row>
    <row r="164" spans="1:6" ht="15.6">
      <c r="A164" s="86"/>
      <c r="B164" s="116" t="s">
        <v>203</v>
      </c>
      <c r="C164" s="117"/>
      <c r="D164" s="118"/>
      <c r="E164" s="119"/>
      <c r="F164" s="120"/>
    </row>
    <row r="165" spans="1:6" ht="16.2">
      <c r="A165" s="86"/>
      <c r="B165" s="51" t="s">
        <v>518</v>
      </c>
      <c r="C165" s="99" t="s">
        <v>204</v>
      </c>
      <c r="D165" s="76">
        <f>((VFB_max-VCE_sat_opto)/(IFB_max*10^-6)-RFB_int)/1000</f>
        <v>46.666666666666664</v>
      </c>
      <c r="E165" s="418" t="s">
        <v>266</v>
      </c>
      <c r="F165" s="408"/>
    </row>
    <row r="166" spans="1:6" ht="27.6">
      <c r="A166" s="86"/>
      <c r="B166" s="106" t="s">
        <v>519</v>
      </c>
      <c r="C166" s="107" t="s">
        <v>205</v>
      </c>
      <c r="D166" s="53">
        <v>22.1</v>
      </c>
      <c r="E166" s="140" t="s">
        <v>266</v>
      </c>
      <c r="F166" s="142" t="s">
        <v>207</v>
      </c>
    </row>
    <row r="167" spans="1:6" ht="16.2">
      <c r="A167" s="86"/>
      <c r="B167" s="51" t="s">
        <v>520</v>
      </c>
      <c r="C167" s="99" t="s">
        <v>206</v>
      </c>
      <c r="D167" s="76">
        <f>IF(RFB_act="",RFB_max,RFB_act)</f>
        <v>22.1</v>
      </c>
      <c r="E167" s="133" t="s">
        <v>266</v>
      </c>
      <c r="F167" s="134"/>
    </row>
    <row r="168" spans="1:6" ht="16.2">
      <c r="A168" s="86"/>
      <c r="B168" s="51" t="s">
        <v>521</v>
      </c>
      <c r="C168" s="99" t="s">
        <v>370</v>
      </c>
      <c r="D168" s="132">
        <v>100</v>
      </c>
      <c r="E168" s="133" t="s">
        <v>371</v>
      </c>
      <c r="F168" s="138"/>
    </row>
    <row r="169" spans="1:6" ht="27.6">
      <c r="A169" s="86"/>
      <c r="B169" s="51" t="s">
        <v>569</v>
      </c>
      <c r="C169" s="99" t="s">
        <v>570</v>
      </c>
      <c r="D169" s="132">
        <v>1</v>
      </c>
      <c r="E169" s="133" t="s">
        <v>572</v>
      </c>
      <c r="F169" s="149" t="s">
        <v>820</v>
      </c>
    </row>
    <row r="170" spans="1:6" ht="16.2">
      <c r="A170" s="86"/>
      <c r="B170" s="51" t="s">
        <v>522</v>
      </c>
      <c r="C170" s="99" t="s">
        <v>212</v>
      </c>
      <c r="D170" s="132">
        <f>VD_LED_off/(IKA_min*10^-6)/1000</f>
        <v>14.285714285714286</v>
      </c>
      <c r="E170" s="133" t="s">
        <v>266</v>
      </c>
      <c r="F170" s="429" t="s">
        <v>216</v>
      </c>
    </row>
    <row r="171" spans="1:6" ht="16.2">
      <c r="A171" s="86"/>
      <c r="B171" s="106" t="s">
        <v>524</v>
      </c>
      <c r="C171" s="107" t="s">
        <v>213</v>
      </c>
      <c r="D171" s="159">
        <v>14.3</v>
      </c>
      <c r="E171" s="147" t="s">
        <v>266</v>
      </c>
      <c r="F171" s="430"/>
    </row>
    <row r="172" spans="1:6" ht="16.2">
      <c r="A172" s="86"/>
      <c r="B172" s="51" t="s">
        <v>523</v>
      </c>
      <c r="C172" s="99" t="s">
        <v>214</v>
      </c>
      <c r="D172" s="76">
        <f>IF(Rbias2_act="",Rbias2_rec,Rbias2_act)</f>
        <v>14.3</v>
      </c>
      <c r="E172" s="133" t="s">
        <v>266</v>
      </c>
      <c r="F172" s="431"/>
    </row>
    <row r="173" spans="1:6" ht="16.2">
      <c r="A173" s="86"/>
      <c r="B173" s="60" t="s">
        <v>566</v>
      </c>
      <c r="C173" s="99" t="s">
        <v>217</v>
      </c>
      <c r="D173" s="76">
        <f>(VOUT-Vref_431-VD_LED)/(VD_LED/(Rbias2*1000)+(IFB_max*10^-6)/(CTRmin*KCTR_Temp))/1000</f>
        <v>59.969459962756055</v>
      </c>
      <c r="E173" s="133" t="s">
        <v>266</v>
      </c>
      <c r="F173" s="150"/>
    </row>
    <row r="174" spans="1:6" ht="16.2">
      <c r="A174" s="86"/>
      <c r="B174" s="60" t="s">
        <v>567</v>
      </c>
      <c r="C174" s="99" t="s">
        <v>218</v>
      </c>
      <c r="D174" s="76">
        <f>(CTRmax*_∆VO_ABM*10^-3/(10*10^-6))/1000</f>
        <v>16.000000000000004</v>
      </c>
      <c r="E174" s="133" t="s">
        <v>266</v>
      </c>
      <c r="F174" s="100"/>
    </row>
    <row r="175" spans="1:6" ht="16.2">
      <c r="A175" s="86"/>
      <c r="B175" s="60" t="s">
        <v>525</v>
      </c>
      <c r="C175" s="99" t="s">
        <v>228</v>
      </c>
      <c r="D175" s="76">
        <f>(KVC*68000*CTRmin/(KBUR_CST*2*3.141*Fcr_min*1000))/1000</f>
        <v>6.8927663491501104E-2</v>
      </c>
      <c r="E175" s="133" t="s">
        <v>284</v>
      </c>
      <c r="F175" s="100"/>
    </row>
    <row r="176" spans="1:6" ht="16.2">
      <c r="A176" s="86"/>
      <c r="B176" s="60" t="s">
        <v>526</v>
      </c>
      <c r="C176" s="99" t="s">
        <v>229</v>
      </c>
      <c r="D176" s="76">
        <f>MIN(Rbias1_max_SBP,Rbias1_max_ABM)</f>
        <v>16.000000000000004</v>
      </c>
      <c r="E176" s="133" t="s">
        <v>266</v>
      </c>
      <c r="F176" s="100"/>
    </row>
    <row r="177" spans="1:6" ht="16.8" thickBot="1">
      <c r="A177" s="86"/>
      <c r="B177" s="151" t="s">
        <v>527</v>
      </c>
      <c r="C177" s="111" t="s">
        <v>230</v>
      </c>
      <c r="D177" s="156">
        <v>11</v>
      </c>
      <c r="E177" s="152" t="s">
        <v>266</v>
      </c>
      <c r="F177" s="144"/>
    </row>
    <row r="178" spans="1:6" ht="15" thickBot="1">
      <c r="A178" s="86"/>
      <c r="B178" s="87"/>
      <c r="C178" s="97"/>
      <c r="D178" s="88"/>
      <c r="E178" s="89"/>
      <c r="F178" s="90"/>
    </row>
    <row r="179" spans="1:6" ht="15.6">
      <c r="A179" s="86"/>
      <c r="B179" s="116" t="s">
        <v>263</v>
      </c>
      <c r="C179" s="117"/>
      <c r="D179" s="118"/>
      <c r="E179" s="119"/>
      <c r="F179" s="120"/>
    </row>
    <row r="180" spans="1:6">
      <c r="A180" s="86"/>
      <c r="B180" s="210" t="s">
        <v>568</v>
      </c>
      <c r="C180" s="427" t="str">
        <f>'Input Here'!C103</f>
        <v>ATL431</v>
      </c>
      <c r="D180" s="428"/>
      <c r="E180" s="255"/>
      <c r="F180" s="150"/>
    </row>
    <row r="181" spans="1:6" ht="16.2">
      <c r="A181" s="86"/>
      <c r="B181" s="210" t="s">
        <v>788</v>
      </c>
      <c r="C181" s="226" t="s">
        <v>789</v>
      </c>
      <c r="D181" s="218">
        <f>Vref_431/(500*Iref_431_max*10^-9)/1000</f>
        <v>33.333333333333329</v>
      </c>
      <c r="E181" s="255" t="s">
        <v>266</v>
      </c>
      <c r="F181" s="150"/>
    </row>
    <row r="182" spans="1:6" ht="16.2">
      <c r="A182" s="86"/>
      <c r="B182" s="153" t="s">
        <v>528</v>
      </c>
      <c r="C182" s="107" t="s">
        <v>267</v>
      </c>
      <c r="D182" s="53">
        <v>32.4</v>
      </c>
      <c r="E182" s="147" t="s">
        <v>266</v>
      </c>
      <c r="F182" s="115"/>
    </row>
    <row r="183" spans="1:6" ht="16.2">
      <c r="A183" s="86"/>
      <c r="B183" s="60" t="s">
        <v>529</v>
      </c>
      <c r="C183" s="99" t="s">
        <v>268</v>
      </c>
      <c r="D183" s="76">
        <f>IF(Rvo2_act="",Rvo2_rec,Rvo2_act)</f>
        <v>32.4</v>
      </c>
      <c r="E183" s="133" t="s">
        <v>266</v>
      </c>
      <c r="F183" s="100"/>
    </row>
    <row r="184" spans="1:6" ht="16.2">
      <c r="A184" s="86"/>
      <c r="B184" s="60" t="s">
        <v>530</v>
      </c>
      <c r="C184" s="99" t="s">
        <v>269</v>
      </c>
      <c r="D184" s="76">
        <f>(VOUT-Vref_431)/(Vref_431/(1000*Rvo2_)+Iref_431*10^-9)/1000</f>
        <v>382.1714117551096</v>
      </c>
      <c r="E184" s="133" t="s">
        <v>266</v>
      </c>
      <c r="F184" s="150"/>
    </row>
    <row r="185" spans="1:6" ht="16.2">
      <c r="A185" s="86"/>
      <c r="B185" s="153" t="s">
        <v>531</v>
      </c>
      <c r="C185" s="107" t="s">
        <v>270</v>
      </c>
      <c r="D185" s="53">
        <v>383</v>
      </c>
      <c r="E185" s="147" t="s">
        <v>266</v>
      </c>
      <c r="F185" s="115"/>
    </row>
    <row r="186" spans="1:6" ht="16.2">
      <c r="A186" s="86"/>
      <c r="B186" s="60" t="s">
        <v>532</v>
      </c>
      <c r="C186" s="99" t="s">
        <v>271</v>
      </c>
      <c r="D186" s="76">
        <f>IF(Rvo1_act="",Rvo1_rec,Rvo1_act)</f>
        <v>383</v>
      </c>
      <c r="E186" s="133" t="s">
        <v>266</v>
      </c>
      <c r="F186" s="100"/>
    </row>
    <row r="187" spans="1:6" ht="16.8" thickBot="1">
      <c r="A187" s="86"/>
      <c r="B187" s="52" t="s">
        <v>533</v>
      </c>
      <c r="C187" s="102" t="s">
        <v>272</v>
      </c>
      <c r="D187" s="112">
        <f>Vref_431*(Rvo1_+Rvo2_)/Rvo2_+Iref_431*10^-9*Rvo1_*1000</f>
        <v>32.06395913580247</v>
      </c>
      <c r="E187" s="421" t="s">
        <v>23</v>
      </c>
      <c r="F187" s="422"/>
    </row>
    <row r="188" spans="1:6" ht="15" thickBot="1">
      <c r="A188" s="86"/>
      <c r="B188" s="87"/>
      <c r="C188" s="97"/>
      <c r="D188" s="88"/>
      <c r="E188" s="89"/>
      <c r="F188" s="90"/>
    </row>
    <row r="189" spans="1:6" ht="15.6">
      <c r="A189" s="86"/>
      <c r="B189" s="289" t="s">
        <v>643</v>
      </c>
      <c r="C189" s="117"/>
      <c r="D189" s="118"/>
      <c r="E189" s="290"/>
      <c r="F189" s="291"/>
    </row>
    <row r="190" spans="1:6" ht="15.6">
      <c r="A190" s="86"/>
      <c r="B190" s="292" t="s">
        <v>644</v>
      </c>
      <c r="C190" s="293"/>
      <c r="D190" s="294"/>
      <c r="E190" s="295"/>
      <c r="F190" s="296"/>
    </row>
    <row r="191" spans="1:6" ht="16.2">
      <c r="A191" s="86"/>
      <c r="B191" s="60" t="s">
        <v>534</v>
      </c>
      <c r="C191" s="99" t="s">
        <v>274</v>
      </c>
      <c r="D191" s="76">
        <f>((fBUR_UP*1000*2-fp_opto*1000)/(2*3.141*Rbias1*1000*2*fBUR_UP*1000*fp_opto*1000))*10^9</f>
        <v>4.610972923799487</v>
      </c>
      <c r="E191" s="133" t="s">
        <v>273</v>
      </c>
      <c r="F191" s="150"/>
    </row>
    <row r="192" spans="1:6" ht="16.2">
      <c r="A192" s="86"/>
      <c r="B192" s="153" t="s">
        <v>535</v>
      </c>
      <c r="C192" s="107" t="s">
        <v>275</v>
      </c>
      <c r="D192" s="53">
        <v>4.7</v>
      </c>
      <c r="E192" s="147" t="s">
        <v>273</v>
      </c>
      <c r="F192" s="115"/>
    </row>
    <row r="193" spans="1:6" ht="16.2">
      <c r="A193" s="86"/>
      <c r="B193" s="60" t="s">
        <v>536</v>
      </c>
      <c r="C193" s="99" t="s">
        <v>276</v>
      </c>
      <c r="D193" s="76">
        <f>IF(Cdiff_act="",Cdiff_rec,Cdiff_act)</f>
        <v>4.7</v>
      </c>
      <c r="E193" s="133" t="s">
        <v>273</v>
      </c>
      <c r="F193" s="100"/>
    </row>
    <row r="194" spans="1:6" ht="16.2">
      <c r="A194" s="86"/>
      <c r="B194" s="60" t="s">
        <v>537</v>
      </c>
      <c r="C194" s="99" t="s">
        <v>277</v>
      </c>
      <c r="D194" s="76">
        <f>1/(2*3.141*2*fBUR_UP*1000*Cdiff*10^-9)</f>
        <v>498.0756349767039</v>
      </c>
      <c r="E194" s="133" t="s">
        <v>215</v>
      </c>
      <c r="F194" s="150"/>
    </row>
    <row r="195" spans="1:6" ht="16.2">
      <c r="A195" s="86"/>
      <c r="B195" s="153" t="s">
        <v>538</v>
      </c>
      <c r="C195" s="107" t="s">
        <v>278</v>
      </c>
      <c r="D195" s="53">
        <v>499</v>
      </c>
      <c r="E195" s="147" t="s">
        <v>215</v>
      </c>
      <c r="F195" s="115"/>
    </row>
    <row r="196" spans="1:6" ht="16.2">
      <c r="A196" s="86"/>
      <c r="B196" s="60" t="s">
        <v>539</v>
      </c>
      <c r="C196" s="99" t="s">
        <v>279</v>
      </c>
      <c r="D196" s="76">
        <f>IF(Rdiff_act="",Rdiff_rec,Rdiff_act)</f>
        <v>499</v>
      </c>
      <c r="E196" s="133" t="s">
        <v>80</v>
      </c>
      <c r="F196" s="100"/>
    </row>
    <row r="197" spans="1:6" ht="15.6">
      <c r="A197" s="86"/>
      <c r="B197" s="185" t="s">
        <v>645</v>
      </c>
      <c r="C197" s="99"/>
      <c r="D197" s="76"/>
      <c r="E197" s="182"/>
      <c r="F197" s="150"/>
    </row>
    <row r="198" spans="1:6" ht="16.2">
      <c r="A198" s="86"/>
      <c r="B198" s="60" t="s">
        <v>540</v>
      </c>
      <c r="C198" s="99" t="s">
        <v>280</v>
      </c>
      <c r="D198" s="76">
        <f>(1/(Rvo1_*1000*2*3.141*Fcr_min*1000/10))*10^9</f>
        <v>0.10390664029931762</v>
      </c>
      <c r="E198" s="133" t="s">
        <v>273</v>
      </c>
      <c r="F198" s="150"/>
    </row>
    <row r="199" spans="1:6" ht="16.2">
      <c r="A199" s="86"/>
      <c r="B199" s="153" t="s">
        <v>541</v>
      </c>
      <c r="C199" s="107" t="s">
        <v>281</v>
      </c>
      <c r="D199" s="53">
        <v>0.1</v>
      </c>
      <c r="E199" s="147" t="s">
        <v>273</v>
      </c>
      <c r="F199" s="115"/>
    </row>
    <row r="200" spans="1:6" ht="16.2">
      <c r="A200" s="86"/>
      <c r="B200" s="60" t="s">
        <v>542</v>
      </c>
      <c r="C200" s="99" t="s">
        <v>282</v>
      </c>
      <c r="D200" s="76">
        <f>IF(Cint_act="",Cint_rec,Cint_act)</f>
        <v>0.1</v>
      </c>
      <c r="E200" s="133" t="s">
        <v>283</v>
      </c>
      <c r="F200" s="100"/>
    </row>
    <row r="201" spans="1:6" ht="16.8" thickBot="1">
      <c r="A201" s="86"/>
      <c r="B201" s="68" t="s">
        <v>543</v>
      </c>
      <c r="C201" s="102" t="s">
        <v>389</v>
      </c>
      <c r="D201" s="112">
        <v>0</v>
      </c>
      <c r="E201" s="124" t="s">
        <v>215</v>
      </c>
      <c r="F201" s="104"/>
    </row>
    <row r="202" spans="1:6">
      <c r="A202" s="86"/>
    </row>
    <row r="203" spans="1:6">
      <c r="A203" s="86"/>
    </row>
    <row r="204" spans="1:6">
      <c r="A204" s="86"/>
    </row>
    <row r="205" spans="1:6">
      <c r="A205" s="86"/>
    </row>
    <row r="206" spans="1:6">
      <c r="A206" s="86"/>
    </row>
    <row r="207" spans="1:6">
      <c r="A207" s="86"/>
    </row>
    <row r="208" spans="1:6">
      <c r="A208" s="86"/>
    </row>
    <row r="209" spans="1:1">
      <c r="A209" s="86"/>
    </row>
    <row r="210" spans="1:1">
      <c r="A210" s="86"/>
    </row>
    <row r="211" spans="1:1">
      <c r="A211" s="86"/>
    </row>
    <row r="212" spans="1:1">
      <c r="A212" s="86"/>
    </row>
    <row r="213" spans="1:1">
      <c r="A213" s="86"/>
    </row>
    <row r="214" spans="1:1">
      <c r="A214" s="86"/>
    </row>
    <row r="215" spans="1:1">
      <c r="A215" s="86"/>
    </row>
    <row r="216" spans="1:1">
      <c r="A216" s="86"/>
    </row>
    <row r="217" spans="1:1">
      <c r="A217" s="86"/>
    </row>
    <row r="218" spans="1:1">
      <c r="A218" s="86"/>
    </row>
    <row r="219" spans="1:1">
      <c r="A219" s="86"/>
    </row>
    <row r="220" spans="1:1">
      <c r="A220" s="86"/>
    </row>
    <row r="221" spans="1:1">
      <c r="A221" s="86"/>
    </row>
    <row r="222" spans="1:1">
      <c r="A222" s="86"/>
    </row>
    <row r="223" spans="1:1">
      <c r="A223" s="86"/>
    </row>
    <row r="224" spans="1:1">
      <c r="A224" s="86"/>
    </row>
    <row r="225" spans="1:1">
      <c r="A225" s="86"/>
    </row>
    <row r="226" spans="1:1">
      <c r="A226" s="86"/>
    </row>
    <row r="227" spans="1:1">
      <c r="A227" s="86"/>
    </row>
    <row r="228" spans="1:1">
      <c r="A228" s="86"/>
    </row>
    <row r="229" spans="1:1">
      <c r="A229" s="86"/>
    </row>
    <row r="230" spans="1:1">
      <c r="A230" s="86"/>
    </row>
    <row r="231" spans="1:1">
      <c r="A231" s="86"/>
    </row>
    <row r="232" spans="1:1">
      <c r="A232" s="86"/>
    </row>
    <row r="233" spans="1:1">
      <c r="A233" s="86"/>
    </row>
    <row r="234" spans="1:1">
      <c r="A234" s="86"/>
    </row>
    <row r="235" spans="1:1">
      <c r="A235" s="86"/>
    </row>
    <row r="236" spans="1:1">
      <c r="A236" s="86"/>
    </row>
    <row r="237" spans="1:1">
      <c r="A237" s="86"/>
    </row>
    <row r="238" spans="1:1">
      <c r="A238" s="86"/>
    </row>
    <row r="239" spans="1:1">
      <c r="A239" s="86"/>
    </row>
    <row r="240" spans="1:1">
      <c r="A240" s="86"/>
    </row>
    <row r="241" spans="1:1">
      <c r="A241" s="86"/>
    </row>
    <row r="242" spans="1:1">
      <c r="A242" s="86"/>
    </row>
    <row r="243" spans="1:1">
      <c r="A243" s="86"/>
    </row>
    <row r="244" spans="1:1">
      <c r="A244" s="86"/>
    </row>
    <row r="245" spans="1:1">
      <c r="A245" s="86"/>
    </row>
    <row r="246" spans="1:1">
      <c r="A246" s="86"/>
    </row>
    <row r="247" spans="1:1">
      <c r="A247" s="86"/>
    </row>
    <row r="248" spans="1:1">
      <c r="A248" s="86"/>
    </row>
    <row r="249" spans="1:1">
      <c r="A249" s="86"/>
    </row>
    <row r="250" spans="1:1">
      <c r="A250" s="86"/>
    </row>
    <row r="251" spans="1:1">
      <c r="A251" s="86"/>
    </row>
    <row r="252" spans="1:1">
      <c r="A252" s="86"/>
    </row>
    <row r="253" spans="1:1">
      <c r="A253" s="86"/>
    </row>
    <row r="254" spans="1:1">
      <c r="A254" s="86"/>
    </row>
    <row r="255" spans="1:1">
      <c r="A255" s="86"/>
    </row>
    <row r="256" spans="1:1">
      <c r="A256" s="86"/>
    </row>
    <row r="257" spans="1:1">
      <c r="A257" s="86"/>
    </row>
    <row r="258" spans="1:1">
      <c r="A258" s="86"/>
    </row>
    <row r="259" spans="1:1">
      <c r="A259" s="86"/>
    </row>
    <row r="260" spans="1:1">
      <c r="A260" s="86"/>
    </row>
    <row r="261" spans="1:1">
      <c r="A261" s="86"/>
    </row>
    <row r="262" spans="1:1">
      <c r="A262" s="86"/>
    </row>
    <row r="263" spans="1:1">
      <c r="A263" s="86"/>
    </row>
    <row r="264" spans="1:1">
      <c r="A264" s="86"/>
    </row>
    <row r="265" spans="1:1">
      <c r="A265" s="86"/>
    </row>
    <row r="266" spans="1:1">
      <c r="A266" s="86"/>
    </row>
    <row r="267" spans="1:1">
      <c r="A267" s="86"/>
    </row>
    <row r="268" spans="1:1">
      <c r="A268" s="86"/>
    </row>
    <row r="269" spans="1:1">
      <c r="A269" s="86"/>
    </row>
    <row r="270" spans="1:1">
      <c r="A270" s="86"/>
    </row>
    <row r="271" spans="1:1">
      <c r="A271" s="86"/>
    </row>
    <row r="272" spans="1:1">
      <c r="A272" s="86"/>
    </row>
    <row r="273" spans="1:1">
      <c r="A273" s="86"/>
    </row>
    <row r="274" spans="1:1">
      <c r="A274" s="86"/>
    </row>
    <row r="275" spans="1:1">
      <c r="A275" s="86"/>
    </row>
    <row r="276" spans="1:1">
      <c r="A276" s="86"/>
    </row>
    <row r="277" spans="1:1">
      <c r="A277" s="86"/>
    </row>
    <row r="278" spans="1:1">
      <c r="A278" s="86"/>
    </row>
    <row r="279" spans="1:1">
      <c r="A279" s="86"/>
    </row>
    <row r="280" spans="1:1">
      <c r="A280" s="86"/>
    </row>
    <row r="281" spans="1:1">
      <c r="A281" s="86"/>
    </row>
    <row r="282" spans="1:1">
      <c r="A282" s="86"/>
    </row>
    <row r="283" spans="1:1">
      <c r="A283" s="86"/>
    </row>
    <row r="284" spans="1:1">
      <c r="A284" s="86"/>
    </row>
    <row r="285" spans="1:1">
      <c r="A285" s="86"/>
    </row>
    <row r="286" spans="1:1">
      <c r="A286" s="86"/>
    </row>
    <row r="287" spans="1:1">
      <c r="A287" s="86"/>
    </row>
    <row r="288" spans="1:1">
      <c r="A288" s="86"/>
    </row>
    <row r="289" spans="1:1">
      <c r="A289" s="86"/>
    </row>
    <row r="290" spans="1:1">
      <c r="A290" s="86"/>
    </row>
    <row r="291" spans="1:1">
      <c r="A291" s="86"/>
    </row>
    <row r="292" spans="1:1">
      <c r="A292" s="86"/>
    </row>
    <row r="293" spans="1:1">
      <c r="A293" s="86"/>
    </row>
    <row r="294" spans="1:1">
      <c r="A294" s="86"/>
    </row>
    <row r="295" spans="1:1">
      <c r="A295" s="86"/>
    </row>
    <row r="296" spans="1:1">
      <c r="A296" s="86"/>
    </row>
    <row r="297" spans="1:1">
      <c r="A297" s="86"/>
    </row>
    <row r="298" spans="1:1">
      <c r="A298" s="86"/>
    </row>
    <row r="299" spans="1:1">
      <c r="A299" s="86"/>
    </row>
    <row r="300" spans="1:1">
      <c r="A300" s="86"/>
    </row>
    <row r="301" spans="1:1">
      <c r="A301" s="86"/>
    </row>
    <row r="302" spans="1:1">
      <c r="A302" s="86"/>
    </row>
    <row r="303" spans="1:1">
      <c r="A303" s="86"/>
    </row>
  </sheetData>
  <sheetProtection password="E9DD" sheet="1" objects="1" scenarios="1" selectLockedCells="1"/>
  <mergeCells count="66">
    <mergeCell ref="C180:D180"/>
    <mergeCell ref="E187:F187"/>
    <mergeCell ref="F170:F172"/>
    <mergeCell ref="E144:F144"/>
    <mergeCell ref="E154:F154"/>
    <mergeCell ref="E156:F156"/>
    <mergeCell ref="E155:F155"/>
    <mergeCell ref="E160:F160"/>
    <mergeCell ref="E165:F165"/>
    <mergeCell ref="E145:F145"/>
    <mergeCell ref="E153:F153"/>
    <mergeCell ref="E95:F95"/>
    <mergeCell ref="E96:F96"/>
    <mergeCell ref="E87:F87"/>
    <mergeCell ref="E81:F81"/>
    <mergeCell ref="E93:F93"/>
    <mergeCell ref="E94:F94"/>
    <mergeCell ref="E92:F92"/>
    <mergeCell ref="E135:F135"/>
    <mergeCell ref="E106:F106"/>
    <mergeCell ref="E108:F108"/>
    <mergeCell ref="E102:F102"/>
    <mergeCell ref="E120:F120"/>
    <mergeCell ref="E122:F122"/>
    <mergeCell ref="E128:F128"/>
    <mergeCell ref="E129:F129"/>
    <mergeCell ref="E130:F130"/>
    <mergeCell ref="E117:F117"/>
    <mergeCell ref="E121:F121"/>
    <mergeCell ref="E116:F116"/>
    <mergeCell ref="E118:F118"/>
    <mergeCell ref="E113:F113"/>
    <mergeCell ref="E114:F114"/>
    <mergeCell ref="E115:F115"/>
    <mergeCell ref="E64:F64"/>
    <mergeCell ref="B66:F66"/>
    <mergeCell ref="E76:F76"/>
    <mergeCell ref="E77:F77"/>
    <mergeCell ref="E78:F78"/>
    <mergeCell ref="E80:F80"/>
    <mergeCell ref="E85:F85"/>
    <mergeCell ref="B2:F2"/>
    <mergeCell ref="E3:F3"/>
    <mergeCell ref="E6:F6"/>
    <mergeCell ref="E7:F7"/>
    <mergeCell ref="E8:F8"/>
    <mergeCell ref="E4:F4"/>
    <mergeCell ref="E5:F5"/>
    <mergeCell ref="E10:F10"/>
    <mergeCell ref="E11:F11"/>
    <mergeCell ref="E25:F25"/>
    <mergeCell ref="B37:F37"/>
    <mergeCell ref="E22:F22"/>
    <mergeCell ref="B57:F57"/>
    <mergeCell ref="E79:F79"/>
    <mergeCell ref="E60:F60"/>
    <mergeCell ref="E63:F63"/>
    <mergeCell ref="E59:F59"/>
    <mergeCell ref="E58:F58"/>
    <mergeCell ref="E52:F52"/>
    <mergeCell ref="E61:F61"/>
    <mergeCell ref="E38:F38"/>
    <mergeCell ref="E39:F39"/>
    <mergeCell ref="E55:F55"/>
    <mergeCell ref="E40:F40"/>
    <mergeCell ref="E53:F53"/>
  </mergeCells>
  <phoneticPr fontId="25"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6</xdr:col>
                <xdr:colOff>45720</xdr:colOff>
                <xdr:row>65</xdr:row>
                <xdr:rowOff>7620</xdr:rowOff>
              </from>
              <to>
                <xdr:col>10</xdr:col>
                <xdr:colOff>723900</xdr:colOff>
                <xdr:row>73</xdr:row>
                <xdr:rowOff>7620</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3:H127"/>
  <sheetViews>
    <sheetView zoomScaleNormal="100" workbookViewId="0">
      <selection activeCell="E40" sqref="E40"/>
    </sheetView>
  </sheetViews>
  <sheetFormatPr baseColWidth="10" defaultColWidth="9.109375" defaultRowHeight="14.4"/>
  <cols>
    <col min="1" max="1" width="4.33203125" customWidth="1"/>
    <col min="2" max="2" width="38.88671875" customWidth="1"/>
    <col min="3" max="3" width="40.44140625" customWidth="1"/>
    <col min="4" max="4" width="11.88671875" customWidth="1"/>
    <col min="5" max="5" width="5.44140625" customWidth="1"/>
    <col min="6" max="6" width="16.33203125" customWidth="1"/>
    <col min="7" max="7" width="14.109375" customWidth="1"/>
  </cols>
  <sheetData>
    <row r="3" spans="7:7" ht="41.4">
      <c r="G3" s="29" t="s">
        <v>369</v>
      </c>
    </row>
    <row r="5" spans="7:7">
      <c r="G5" s="166"/>
    </row>
    <row r="6" spans="7:7">
      <c r="G6" s="166"/>
    </row>
    <row r="9" spans="7:7" ht="18">
      <c r="G9" s="180"/>
    </row>
    <row r="17" spans="2:7" ht="15" thickBot="1"/>
    <row r="18" spans="2:7" ht="21">
      <c r="B18" s="435" t="s">
        <v>790</v>
      </c>
      <c r="C18" s="436"/>
      <c r="D18" s="436"/>
      <c r="E18" s="436"/>
      <c r="F18" s="437"/>
      <c r="G18" s="166"/>
    </row>
    <row r="19" spans="2:7" ht="18" thickBot="1">
      <c r="B19" s="16" t="s">
        <v>302</v>
      </c>
      <c r="C19" s="438" t="s">
        <v>303</v>
      </c>
      <c r="D19" s="438"/>
      <c r="E19" s="438"/>
      <c r="F19" s="439"/>
    </row>
    <row r="20" spans="2:7" ht="15.6" thickBot="1">
      <c r="B20" s="432"/>
      <c r="C20" s="433"/>
      <c r="D20" s="433"/>
      <c r="E20" s="433"/>
      <c r="F20" s="434"/>
      <c r="G20" s="166"/>
    </row>
    <row r="21" spans="2:7" ht="15" customHeight="1">
      <c r="B21" s="442" t="s">
        <v>305</v>
      </c>
      <c r="C21" s="17" t="s">
        <v>306</v>
      </c>
      <c r="D21" s="20">
        <f>RCS</f>
        <v>0.75</v>
      </c>
      <c r="E21" s="18" t="s">
        <v>19</v>
      </c>
      <c r="F21" s="19" t="s">
        <v>307</v>
      </c>
    </row>
    <row r="22" spans="2:7" ht="15" customHeight="1" thickBot="1">
      <c r="B22" s="443"/>
      <c r="C22" s="25" t="s">
        <v>304</v>
      </c>
      <c r="D22" s="27">
        <f>PRcs</f>
        <v>0.66275633723624994</v>
      </c>
      <c r="E22" s="440" t="s">
        <v>11</v>
      </c>
      <c r="F22" s="441"/>
    </row>
    <row r="23" spans="2:7" ht="15.6" thickBot="1">
      <c r="B23" s="432"/>
      <c r="C23" s="433"/>
      <c r="D23" s="433"/>
      <c r="E23" s="433"/>
      <c r="F23" s="434"/>
    </row>
    <row r="24" spans="2:7" ht="18.600000000000001" thickBot="1">
      <c r="B24" s="23" t="s">
        <v>312</v>
      </c>
      <c r="C24" s="17" t="s">
        <v>306</v>
      </c>
      <c r="D24" s="18">
        <f>RFB</f>
        <v>22.1</v>
      </c>
      <c r="E24" s="18" t="s">
        <v>309</v>
      </c>
      <c r="F24" s="19" t="s">
        <v>307</v>
      </c>
    </row>
    <row r="25" spans="2:7" ht="15.6" thickBot="1">
      <c r="B25" s="432"/>
      <c r="C25" s="433"/>
      <c r="D25" s="433"/>
      <c r="E25" s="433"/>
      <c r="F25" s="434"/>
    </row>
    <row r="26" spans="2:7" ht="18.600000000000001" thickBot="1">
      <c r="B26" s="48" t="s">
        <v>313</v>
      </c>
      <c r="C26" s="17" t="s">
        <v>306</v>
      </c>
      <c r="D26" s="21">
        <f>RBLEED</f>
        <v>6.6</v>
      </c>
      <c r="E26" s="22" t="s">
        <v>314</v>
      </c>
      <c r="F26" s="19" t="s">
        <v>307</v>
      </c>
    </row>
    <row r="27" spans="2:7" ht="15.6" thickBot="1">
      <c r="B27" s="432"/>
      <c r="C27" s="433"/>
      <c r="D27" s="433"/>
      <c r="E27" s="433"/>
      <c r="F27" s="434"/>
    </row>
    <row r="28" spans="2:7" ht="18.600000000000001" thickBot="1">
      <c r="B28" s="48" t="s">
        <v>315</v>
      </c>
      <c r="C28" s="17" t="s">
        <v>306</v>
      </c>
      <c r="D28" s="21">
        <f>RVS_1</f>
        <v>51</v>
      </c>
      <c r="E28" s="22" t="s">
        <v>309</v>
      </c>
      <c r="F28" s="19" t="s">
        <v>307</v>
      </c>
    </row>
    <row r="29" spans="2:7" ht="15.6" thickBot="1">
      <c r="B29" s="432"/>
      <c r="C29" s="433"/>
      <c r="D29" s="433"/>
      <c r="E29" s="433"/>
      <c r="F29" s="434"/>
    </row>
    <row r="30" spans="2:7" ht="18.600000000000001" thickBot="1">
      <c r="B30" s="23" t="s">
        <v>316</v>
      </c>
      <c r="C30" s="17" t="s">
        <v>306</v>
      </c>
      <c r="D30" s="18">
        <f>RVS_2</f>
        <v>11</v>
      </c>
      <c r="E30" s="18" t="s">
        <v>309</v>
      </c>
      <c r="F30" s="19" t="s">
        <v>307</v>
      </c>
    </row>
    <row r="31" spans="2:7" ht="15.6" customHeight="1" thickBot="1">
      <c r="B31" s="432"/>
      <c r="C31" s="433"/>
      <c r="D31" s="433"/>
      <c r="E31" s="433"/>
      <c r="F31" s="434"/>
    </row>
    <row r="32" spans="2:7" ht="18.600000000000001" thickBot="1">
      <c r="B32" s="48" t="s">
        <v>317</v>
      </c>
      <c r="C32" s="17" t="s">
        <v>306</v>
      </c>
      <c r="D32" s="21">
        <f>R_OPP</f>
        <v>1370</v>
      </c>
      <c r="E32" s="18" t="s">
        <v>19</v>
      </c>
      <c r="F32" s="19" t="s">
        <v>307</v>
      </c>
    </row>
    <row r="33" spans="2:6" ht="15.6" thickBot="1">
      <c r="B33" s="432"/>
      <c r="C33" s="433"/>
      <c r="D33" s="433"/>
      <c r="E33" s="433"/>
      <c r="F33" s="434"/>
    </row>
    <row r="34" spans="2:6" ht="18.600000000000001" thickBot="1">
      <c r="B34" s="48" t="s">
        <v>318</v>
      </c>
      <c r="C34" s="17" t="s">
        <v>306</v>
      </c>
      <c r="D34" s="21">
        <f>RDM</f>
        <v>61.9</v>
      </c>
      <c r="E34" s="22" t="s">
        <v>309</v>
      </c>
      <c r="F34" s="19" t="s">
        <v>307</v>
      </c>
    </row>
    <row r="35" spans="2:6" ht="15.6" thickBot="1">
      <c r="B35" s="432"/>
      <c r="C35" s="433"/>
      <c r="D35" s="433"/>
      <c r="E35" s="433"/>
      <c r="F35" s="434"/>
    </row>
    <row r="36" spans="2:6" ht="18.600000000000001" thickBot="1">
      <c r="B36" s="23" t="s">
        <v>319</v>
      </c>
      <c r="C36" s="17" t="s">
        <v>306</v>
      </c>
      <c r="D36" s="18">
        <f>RTZ</f>
        <v>499</v>
      </c>
      <c r="E36" s="18" t="s">
        <v>309</v>
      </c>
      <c r="F36" s="19" t="s">
        <v>307</v>
      </c>
    </row>
    <row r="37" spans="2:6" ht="15.6" customHeight="1" thickBot="1">
      <c r="B37" s="432"/>
      <c r="C37" s="433"/>
      <c r="D37" s="433"/>
      <c r="E37" s="433"/>
      <c r="F37" s="434"/>
    </row>
    <row r="38" spans="2:6" ht="18.600000000000001" thickBot="1">
      <c r="B38" s="48" t="s">
        <v>320</v>
      </c>
      <c r="C38" s="17" t="s">
        <v>306</v>
      </c>
      <c r="D38" s="21">
        <f>RBUR1</f>
        <v>316</v>
      </c>
      <c r="E38" s="22" t="s">
        <v>309</v>
      </c>
      <c r="F38" s="19" t="s">
        <v>307</v>
      </c>
    </row>
    <row r="39" spans="2:6" ht="15" customHeight="1" thickBot="1">
      <c r="B39" s="432"/>
      <c r="C39" s="433"/>
      <c r="D39" s="433"/>
      <c r="E39" s="433"/>
      <c r="F39" s="434"/>
    </row>
    <row r="40" spans="2:6" ht="18.600000000000001" thickBot="1">
      <c r="B40" s="48" t="s">
        <v>321</v>
      </c>
      <c r="C40" s="17" t="s">
        <v>306</v>
      </c>
      <c r="D40" s="21">
        <f>RBUR2</f>
        <v>51</v>
      </c>
      <c r="E40" s="22" t="s">
        <v>309</v>
      </c>
      <c r="F40" s="19" t="s">
        <v>307</v>
      </c>
    </row>
    <row r="41" spans="2:6" ht="15.6" thickBot="1">
      <c r="B41" s="432"/>
      <c r="C41" s="433"/>
      <c r="D41" s="433"/>
      <c r="E41" s="433"/>
      <c r="F41" s="434"/>
    </row>
    <row r="42" spans="2:6" ht="18.600000000000001" thickBot="1">
      <c r="B42" s="23" t="s">
        <v>322</v>
      </c>
      <c r="C42" s="17" t="s">
        <v>306</v>
      </c>
      <c r="D42" s="18">
        <f>RSWS</f>
        <v>124</v>
      </c>
      <c r="E42" s="18" t="s">
        <v>19</v>
      </c>
      <c r="F42" s="19" t="s">
        <v>307</v>
      </c>
    </row>
    <row r="43" spans="2:6" ht="15.6" customHeight="1" thickBot="1">
      <c r="B43" s="432"/>
      <c r="C43" s="433"/>
      <c r="D43" s="433"/>
      <c r="E43" s="433"/>
      <c r="F43" s="434"/>
    </row>
    <row r="44" spans="2:6" ht="18.600000000000001" thickBot="1">
      <c r="B44" s="48" t="s">
        <v>323</v>
      </c>
      <c r="C44" s="17" t="s">
        <v>306</v>
      </c>
      <c r="D44" s="21">
        <f>RHVG</f>
        <v>1</v>
      </c>
      <c r="E44" s="22" t="s">
        <v>314</v>
      </c>
      <c r="F44" s="19" t="s">
        <v>307</v>
      </c>
    </row>
    <row r="45" spans="2:6" ht="15.6" thickBot="1">
      <c r="B45" s="432"/>
      <c r="C45" s="433"/>
      <c r="D45" s="433"/>
      <c r="E45" s="433"/>
      <c r="F45" s="434"/>
    </row>
    <row r="46" spans="2:6" ht="18.600000000000001" thickBot="1">
      <c r="B46" s="48" t="s">
        <v>324</v>
      </c>
      <c r="C46" s="17" t="s">
        <v>306</v>
      </c>
      <c r="D46" s="21">
        <f>RDD2_</f>
        <v>5.6</v>
      </c>
      <c r="E46" s="18" t="s">
        <v>19</v>
      </c>
      <c r="F46" s="19" t="s">
        <v>307</v>
      </c>
    </row>
    <row r="47" spans="2:6" ht="15.6" thickBot="1">
      <c r="B47" s="432"/>
      <c r="C47" s="433"/>
      <c r="D47" s="433"/>
      <c r="E47" s="433"/>
      <c r="F47" s="434"/>
    </row>
    <row r="48" spans="2:6" ht="18.600000000000001" thickBot="1">
      <c r="B48" s="23" t="s">
        <v>325</v>
      </c>
      <c r="C48" s="17" t="s">
        <v>306</v>
      </c>
      <c r="D48" s="18">
        <f>RDD_1</f>
        <v>10.5</v>
      </c>
      <c r="E48" s="18" t="s">
        <v>19</v>
      </c>
      <c r="F48" s="19" t="s">
        <v>307</v>
      </c>
    </row>
    <row r="49" spans="2:8" ht="15.6" customHeight="1" thickBot="1">
      <c r="B49" s="432"/>
      <c r="C49" s="433"/>
      <c r="D49" s="433"/>
      <c r="E49" s="433"/>
      <c r="F49" s="434"/>
    </row>
    <row r="50" spans="2:8" ht="18.600000000000001" thickBot="1">
      <c r="B50" s="48" t="s">
        <v>326</v>
      </c>
      <c r="C50" s="17" t="s">
        <v>306</v>
      </c>
      <c r="D50" s="21">
        <f>Rbias1</f>
        <v>11</v>
      </c>
      <c r="E50" s="22" t="s">
        <v>309</v>
      </c>
      <c r="F50" s="19" t="s">
        <v>307</v>
      </c>
    </row>
    <row r="51" spans="2:8" ht="15" customHeight="1" thickBot="1">
      <c r="B51" s="432"/>
      <c r="C51" s="433"/>
      <c r="D51" s="433"/>
      <c r="E51" s="433"/>
      <c r="F51" s="434"/>
    </row>
    <row r="52" spans="2:8" ht="18.600000000000001" thickBot="1">
      <c r="B52" s="48" t="s">
        <v>327</v>
      </c>
      <c r="C52" s="17" t="s">
        <v>306</v>
      </c>
      <c r="D52" s="21">
        <f>Rbias2</f>
        <v>14.3</v>
      </c>
      <c r="E52" s="22" t="s">
        <v>309</v>
      </c>
      <c r="F52" s="19" t="s">
        <v>307</v>
      </c>
    </row>
    <row r="53" spans="2:8" ht="15.6" thickBot="1">
      <c r="B53" s="432"/>
      <c r="C53" s="433"/>
      <c r="D53" s="433"/>
      <c r="E53" s="433"/>
      <c r="F53" s="434"/>
    </row>
    <row r="54" spans="2:8" ht="18.600000000000001" thickBot="1">
      <c r="B54" s="23" t="s">
        <v>328</v>
      </c>
      <c r="C54" s="17" t="s">
        <v>306</v>
      </c>
      <c r="D54" s="18">
        <f>Rvo1_</f>
        <v>383</v>
      </c>
      <c r="E54" s="18" t="s">
        <v>309</v>
      </c>
      <c r="F54" s="19" t="s">
        <v>307</v>
      </c>
    </row>
    <row r="55" spans="2:8" ht="15.6" thickBot="1">
      <c r="B55" s="432"/>
      <c r="C55" s="433"/>
      <c r="D55" s="433"/>
      <c r="E55" s="433"/>
      <c r="F55" s="434"/>
    </row>
    <row r="56" spans="2:8" ht="18.600000000000001" thickBot="1">
      <c r="B56" s="48" t="s">
        <v>329</v>
      </c>
      <c r="C56" s="17" t="s">
        <v>306</v>
      </c>
      <c r="D56" s="21">
        <f>Rvo2_</f>
        <v>32.4</v>
      </c>
      <c r="E56" s="22" t="s">
        <v>309</v>
      </c>
      <c r="F56" s="19" t="s">
        <v>307</v>
      </c>
    </row>
    <row r="57" spans="2:8" ht="15.6" thickBot="1">
      <c r="B57" s="432"/>
      <c r="C57" s="433"/>
      <c r="D57" s="433"/>
      <c r="E57" s="433"/>
      <c r="F57" s="434"/>
    </row>
    <row r="58" spans="2:8" ht="18.600000000000001" thickBot="1">
      <c r="B58" s="48" t="s">
        <v>571</v>
      </c>
      <c r="C58" s="17" t="s">
        <v>306</v>
      </c>
      <c r="D58" s="21">
        <f>RCOMP</f>
        <v>1</v>
      </c>
      <c r="E58" s="22" t="s">
        <v>314</v>
      </c>
      <c r="F58" s="19" t="s">
        <v>307</v>
      </c>
    </row>
    <row r="59" spans="2:8" ht="15.6" thickBot="1">
      <c r="B59" s="432"/>
      <c r="C59" s="433"/>
      <c r="D59" s="433"/>
      <c r="E59" s="433"/>
      <c r="F59" s="434"/>
    </row>
    <row r="60" spans="2:8" ht="18.600000000000001" thickBot="1">
      <c r="B60" s="48" t="s">
        <v>330</v>
      </c>
      <c r="C60" s="17" t="s">
        <v>306</v>
      </c>
      <c r="D60" s="21">
        <f>Rdiff</f>
        <v>499</v>
      </c>
      <c r="E60" s="18" t="s">
        <v>19</v>
      </c>
      <c r="F60" s="19" t="s">
        <v>307</v>
      </c>
    </row>
    <row r="61" spans="2:8" ht="15.6" thickBot="1">
      <c r="B61" s="432"/>
      <c r="C61" s="433"/>
      <c r="D61" s="433"/>
      <c r="E61" s="433"/>
      <c r="F61" s="434"/>
      <c r="G61" s="166"/>
    </row>
    <row r="62" spans="2:8" ht="15">
      <c r="B62" s="442" t="s">
        <v>333</v>
      </c>
      <c r="C62" s="24" t="s">
        <v>308</v>
      </c>
      <c r="D62" s="444" t="s">
        <v>331</v>
      </c>
      <c r="E62" s="445"/>
      <c r="F62" s="446"/>
      <c r="G62" s="166"/>
    </row>
    <row r="63" spans="2:8" ht="15">
      <c r="B63" s="443"/>
      <c r="C63" s="25" t="s">
        <v>306</v>
      </c>
      <c r="D63" s="26">
        <f>CBULK</f>
        <v>94</v>
      </c>
      <c r="E63" s="26" t="s">
        <v>173</v>
      </c>
      <c r="F63" s="28"/>
      <c r="H63" s="166"/>
    </row>
    <row r="64" spans="2:8" ht="15.6" thickBot="1">
      <c r="B64" s="443"/>
      <c r="C64" s="25" t="s">
        <v>332</v>
      </c>
      <c r="D64" s="26">
        <f>Vcin_rated</f>
        <v>200</v>
      </c>
      <c r="E64" s="440" t="s">
        <v>10</v>
      </c>
      <c r="F64" s="441"/>
    </row>
    <row r="65" spans="2:7" ht="15.6" thickBot="1">
      <c r="B65" s="432"/>
      <c r="C65" s="433"/>
      <c r="D65" s="433"/>
      <c r="E65" s="433"/>
      <c r="F65" s="434"/>
    </row>
    <row r="66" spans="2:7" ht="15">
      <c r="B66" s="442" t="s">
        <v>334</v>
      </c>
      <c r="C66" s="24" t="s">
        <v>308</v>
      </c>
      <c r="D66" s="444" t="s">
        <v>331</v>
      </c>
      <c r="E66" s="445"/>
      <c r="F66" s="446"/>
      <c r="G66" s="166"/>
    </row>
    <row r="67" spans="2:7" ht="15">
      <c r="B67" s="443"/>
      <c r="C67" s="25" t="s">
        <v>306</v>
      </c>
      <c r="D67" s="26">
        <f>COUT</f>
        <v>650</v>
      </c>
      <c r="E67" s="26" t="s">
        <v>173</v>
      </c>
      <c r="F67" s="28"/>
    </row>
    <row r="68" spans="2:7" ht="15.6" thickBot="1">
      <c r="B68" s="443"/>
      <c r="C68" s="25" t="s">
        <v>332</v>
      </c>
      <c r="D68" s="26">
        <f>VOUT*1.25</f>
        <v>40</v>
      </c>
      <c r="E68" s="440" t="s">
        <v>10</v>
      </c>
      <c r="F68" s="441"/>
      <c r="G68" s="166"/>
    </row>
    <row r="69" spans="2:7" ht="15.6" thickBot="1">
      <c r="B69" s="432"/>
      <c r="C69" s="433"/>
      <c r="D69" s="433"/>
      <c r="E69" s="433"/>
      <c r="F69" s="434"/>
    </row>
    <row r="70" spans="2:7" ht="15">
      <c r="B70" s="442" t="s">
        <v>335</v>
      </c>
      <c r="C70" s="24" t="s">
        <v>308</v>
      </c>
      <c r="D70" s="444" t="s">
        <v>336</v>
      </c>
      <c r="E70" s="445"/>
      <c r="F70" s="446"/>
      <c r="G70" s="166"/>
    </row>
    <row r="71" spans="2:7" ht="15">
      <c r="B71" s="443"/>
      <c r="C71" s="25" t="s">
        <v>306</v>
      </c>
      <c r="D71" s="26">
        <f>Cclamp</f>
        <v>0.27</v>
      </c>
      <c r="E71" s="26" t="s">
        <v>173</v>
      </c>
      <c r="F71" s="28"/>
    </row>
    <row r="72" spans="2:7" ht="15.6" thickBot="1">
      <c r="B72" s="443"/>
      <c r="C72" s="25" t="s">
        <v>332</v>
      </c>
      <c r="D72" s="26">
        <f>VOUT*NPS*2+50</f>
        <v>370</v>
      </c>
      <c r="E72" s="440" t="s">
        <v>10</v>
      </c>
      <c r="F72" s="441"/>
      <c r="G72" s="166"/>
    </row>
    <row r="73" spans="2:7" ht="15.6" thickBot="1">
      <c r="B73" s="432"/>
      <c r="C73" s="433"/>
      <c r="D73" s="433"/>
      <c r="E73" s="433"/>
      <c r="F73" s="434"/>
    </row>
    <row r="74" spans="2:7" ht="15">
      <c r="B74" s="442" t="s">
        <v>337</v>
      </c>
      <c r="C74" s="24" t="s">
        <v>308</v>
      </c>
      <c r="D74" s="444" t="s">
        <v>336</v>
      </c>
      <c r="E74" s="445"/>
      <c r="F74" s="446"/>
      <c r="G74" s="166"/>
    </row>
    <row r="75" spans="2:7" ht="15">
      <c r="B75" s="443"/>
      <c r="C75" s="25" t="s">
        <v>306</v>
      </c>
      <c r="D75" s="26">
        <f>CCS</f>
        <v>100</v>
      </c>
      <c r="E75" s="26" t="s">
        <v>338</v>
      </c>
      <c r="F75" s="28"/>
    </row>
    <row r="76" spans="2:7" ht="15.6" thickBot="1">
      <c r="B76" s="443"/>
      <c r="C76" s="25" t="s">
        <v>332</v>
      </c>
      <c r="D76" s="26">
        <v>50</v>
      </c>
      <c r="E76" s="440" t="s">
        <v>10</v>
      </c>
      <c r="F76" s="441"/>
    </row>
    <row r="77" spans="2:7" ht="15.6" thickBot="1">
      <c r="B77" s="432"/>
      <c r="C77" s="433"/>
      <c r="D77" s="433"/>
      <c r="E77" s="433"/>
      <c r="F77" s="434"/>
    </row>
    <row r="78" spans="2:7" ht="15">
      <c r="B78" s="442" t="s">
        <v>339</v>
      </c>
      <c r="C78" s="24" t="s">
        <v>308</v>
      </c>
      <c r="D78" s="444" t="s">
        <v>336</v>
      </c>
      <c r="E78" s="445"/>
      <c r="F78" s="446"/>
      <c r="G78" s="166"/>
    </row>
    <row r="79" spans="2:7" ht="15">
      <c r="B79" s="443"/>
      <c r="C79" s="25" t="s">
        <v>306</v>
      </c>
      <c r="D79" s="26">
        <f>CSWS</f>
        <v>22</v>
      </c>
      <c r="E79" s="26" t="s">
        <v>338</v>
      </c>
      <c r="F79" s="28"/>
    </row>
    <row r="80" spans="2:7" ht="15.6" thickBot="1">
      <c r="B80" s="443"/>
      <c r="C80" s="25" t="s">
        <v>332</v>
      </c>
      <c r="D80" s="26">
        <v>50</v>
      </c>
      <c r="E80" s="440" t="s">
        <v>10</v>
      </c>
      <c r="F80" s="441"/>
    </row>
    <row r="81" spans="2:7" ht="15.6" thickBot="1">
      <c r="B81" s="432"/>
      <c r="C81" s="433"/>
      <c r="D81" s="433"/>
      <c r="E81" s="433"/>
      <c r="F81" s="434"/>
    </row>
    <row r="82" spans="2:7" ht="15">
      <c r="B82" s="442" t="s">
        <v>365</v>
      </c>
      <c r="C82" s="24" t="s">
        <v>308</v>
      </c>
      <c r="D82" s="444" t="s">
        <v>336</v>
      </c>
      <c r="E82" s="445"/>
      <c r="F82" s="446"/>
      <c r="G82" s="166"/>
    </row>
    <row r="83" spans="2:7" ht="15">
      <c r="B83" s="443"/>
      <c r="C83" s="25" t="s">
        <v>306</v>
      </c>
      <c r="D83" s="26">
        <f>CBUR</f>
        <v>270</v>
      </c>
      <c r="E83" s="26" t="s">
        <v>26</v>
      </c>
      <c r="F83" s="28"/>
    </row>
    <row r="84" spans="2:7" ht="15.6" thickBot="1">
      <c r="B84" s="443"/>
      <c r="C84" s="25" t="s">
        <v>332</v>
      </c>
      <c r="D84" s="26">
        <v>50</v>
      </c>
      <c r="E84" s="440" t="s">
        <v>10</v>
      </c>
      <c r="F84" s="441"/>
      <c r="G84" s="166"/>
    </row>
    <row r="85" spans="2:7" ht="15.6" thickBot="1">
      <c r="B85" s="432"/>
      <c r="C85" s="433"/>
      <c r="D85" s="433"/>
      <c r="E85" s="433"/>
      <c r="F85" s="434"/>
    </row>
    <row r="86" spans="2:7" ht="15">
      <c r="B86" s="442" t="s">
        <v>340</v>
      </c>
      <c r="C86" s="24" t="s">
        <v>308</v>
      </c>
      <c r="D86" s="444" t="s">
        <v>336</v>
      </c>
      <c r="E86" s="445"/>
      <c r="F86" s="446"/>
      <c r="G86" s="166"/>
    </row>
    <row r="87" spans="2:7" ht="15">
      <c r="B87" s="443"/>
      <c r="C87" s="25" t="s">
        <v>306</v>
      </c>
      <c r="D87" s="26">
        <f>CHVG</f>
        <v>2.2000000000000002</v>
      </c>
      <c r="E87" s="26" t="s">
        <v>170</v>
      </c>
      <c r="F87" s="28"/>
    </row>
    <row r="88" spans="2:7" ht="15.6" thickBot="1">
      <c r="B88" s="443"/>
      <c r="C88" s="25" t="s">
        <v>332</v>
      </c>
      <c r="D88" s="26">
        <v>50</v>
      </c>
      <c r="E88" s="440" t="s">
        <v>10</v>
      </c>
      <c r="F88" s="441"/>
    </row>
    <row r="89" spans="2:7" ht="15.6" thickBot="1">
      <c r="B89" s="432"/>
      <c r="C89" s="433"/>
      <c r="D89" s="433"/>
      <c r="E89" s="433"/>
      <c r="F89" s="434"/>
    </row>
    <row r="90" spans="2:7" ht="15">
      <c r="B90" s="442" t="s">
        <v>341</v>
      </c>
      <c r="C90" s="24" t="s">
        <v>308</v>
      </c>
      <c r="D90" s="444" t="s">
        <v>336</v>
      </c>
      <c r="E90" s="445"/>
      <c r="F90" s="446"/>
      <c r="G90" s="166"/>
    </row>
    <row r="91" spans="2:7" ht="15">
      <c r="B91" s="443"/>
      <c r="C91" s="25" t="s">
        <v>306</v>
      </c>
      <c r="D91" s="26">
        <f>CREF</f>
        <v>0.1</v>
      </c>
      <c r="E91" s="26" t="s">
        <v>173</v>
      </c>
      <c r="F91" s="28"/>
    </row>
    <row r="92" spans="2:7" ht="15.6" thickBot="1">
      <c r="B92" s="443"/>
      <c r="C92" s="25" t="s">
        <v>332</v>
      </c>
      <c r="D92" s="26">
        <v>25</v>
      </c>
      <c r="E92" s="440" t="s">
        <v>10</v>
      </c>
      <c r="F92" s="441"/>
    </row>
    <row r="93" spans="2:7" ht="15.6" thickBot="1">
      <c r="B93" s="432"/>
      <c r="C93" s="433"/>
      <c r="D93" s="433"/>
      <c r="E93" s="433"/>
      <c r="F93" s="434"/>
    </row>
    <row r="94" spans="2:7" ht="15">
      <c r="B94" s="442" t="s">
        <v>342</v>
      </c>
      <c r="C94" s="24" t="s">
        <v>308</v>
      </c>
      <c r="D94" s="444" t="s">
        <v>336</v>
      </c>
      <c r="E94" s="445"/>
      <c r="F94" s="446"/>
      <c r="G94" s="166"/>
    </row>
    <row r="95" spans="2:7" ht="15">
      <c r="B95" s="443"/>
      <c r="C95" s="25" t="s">
        <v>306</v>
      </c>
      <c r="D95" s="26">
        <f>Cboot</f>
        <v>10</v>
      </c>
      <c r="E95" s="26" t="s">
        <v>170</v>
      </c>
      <c r="F95" s="28"/>
    </row>
    <row r="96" spans="2:7" ht="15.6" thickBot="1">
      <c r="B96" s="443"/>
      <c r="C96" s="25" t="s">
        <v>332</v>
      </c>
      <c r="D96" s="26">
        <v>50</v>
      </c>
      <c r="E96" s="440" t="s">
        <v>10</v>
      </c>
      <c r="F96" s="441"/>
      <c r="G96" s="166"/>
    </row>
    <row r="97" spans="2:7" ht="15.6" thickBot="1">
      <c r="B97" s="432"/>
      <c r="C97" s="433"/>
      <c r="D97" s="433"/>
      <c r="E97" s="433"/>
      <c r="F97" s="434"/>
    </row>
    <row r="98" spans="2:7" ht="15">
      <c r="B98" s="442" t="s">
        <v>343</v>
      </c>
      <c r="C98" s="24" t="s">
        <v>308</v>
      </c>
      <c r="D98" s="444" t="s">
        <v>336</v>
      </c>
      <c r="E98" s="445"/>
      <c r="F98" s="446"/>
      <c r="G98" s="166"/>
    </row>
    <row r="99" spans="2:7" ht="15">
      <c r="B99" s="443"/>
      <c r="C99" s="25" t="s">
        <v>306</v>
      </c>
      <c r="D99" s="26">
        <f>CDD2_</f>
        <v>0.1</v>
      </c>
      <c r="E99" s="26" t="s">
        <v>173</v>
      </c>
      <c r="F99" s="28"/>
    </row>
    <row r="100" spans="2:7" ht="15.6" thickBot="1">
      <c r="B100" s="443"/>
      <c r="C100" s="25" t="s">
        <v>332</v>
      </c>
      <c r="D100" s="26">
        <v>25</v>
      </c>
      <c r="E100" s="440" t="s">
        <v>10</v>
      </c>
      <c r="F100" s="441"/>
    </row>
    <row r="101" spans="2:7" ht="15.6" thickBot="1">
      <c r="B101" s="432"/>
      <c r="C101" s="433"/>
      <c r="D101" s="433"/>
      <c r="E101" s="433"/>
      <c r="F101" s="434"/>
    </row>
    <row r="102" spans="2:7" ht="15">
      <c r="B102" s="442" t="s">
        <v>344</v>
      </c>
      <c r="C102" s="24" t="s">
        <v>308</v>
      </c>
      <c r="D102" s="444" t="s">
        <v>336</v>
      </c>
      <c r="E102" s="445"/>
      <c r="F102" s="446"/>
      <c r="G102" s="166"/>
    </row>
    <row r="103" spans="2:7" ht="15">
      <c r="B103" s="443"/>
      <c r="C103" s="25" t="s">
        <v>306</v>
      </c>
      <c r="D103" s="26">
        <f>CDD_1</f>
        <v>88</v>
      </c>
      <c r="E103" s="26" t="s">
        <v>173</v>
      </c>
      <c r="F103" s="28"/>
    </row>
    <row r="104" spans="2:7" ht="15.6" thickBot="1">
      <c r="B104" s="443"/>
      <c r="C104" s="25" t="s">
        <v>332</v>
      </c>
      <c r="D104" s="26">
        <v>35</v>
      </c>
      <c r="E104" s="440" t="s">
        <v>10</v>
      </c>
      <c r="F104" s="441"/>
      <c r="G104" s="166"/>
    </row>
    <row r="105" spans="2:7" ht="15.6" thickBot="1">
      <c r="B105" s="432"/>
      <c r="C105" s="433"/>
      <c r="D105" s="433"/>
      <c r="E105" s="433"/>
      <c r="F105" s="434"/>
    </row>
    <row r="106" spans="2:7" ht="15">
      <c r="B106" s="442" t="s">
        <v>345</v>
      </c>
      <c r="C106" s="24" t="s">
        <v>308</v>
      </c>
      <c r="D106" s="444" t="s">
        <v>336</v>
      </c>
      <c r="E106" s="445"/>
      <c r="F106" s="446"/>
      <c r="G106" s="166"/>
    </row>
    <row r="107" spans="2:7" ht="15">
      <c r="B107" s="443"/>
      <c r="C107" s="25" t="s">
        <v>306</v>
      </c>
      <c r="D107" s="26">
        <f>Cdiff</f>
        <v>4.7</v>
      </c>
      <c r="E107" s="26" t="s">
        <v>170</v>
      </c>
      <c r="F107" s="28"/>
    </row>
    <row r="108" spans="2:7" ht="15.6" thickBot="1">
      <c r="B108" s="443"/>
      <c r="C108" s="25" t="s">
        <v>332</v>
      </c>
      <c r="D108" s="26">
        <v>50</v>
      </c>
      <c r="E108" s="440" t="s">
        <v>10</v>
      </c>
      <c r="F108" s="441"/>
    </row>
    <row r="109" spans="2:7" ht="15.6" thickBot="1">
      <c r="B109" s="432"/>
      <c r="C109" s="433"/>
      <c r="D109" s="433"/>
      <c r="E109" s="433"/>
      <c r="F109" s="434"/>
    </row>
    <row r="110" spans="2:7" ht="15">
      <c r="B110" s="442" t="s">
        <v>398</v>
      </c>
      <c r="C110" s="24" t="s">
        <v>308</v>
      </c>
      <c r="D110" s="444" t="s">
        <v>336</v>
      </c>
      <c r="E110" s="445"/>
      <c r="F110" s="446"/>
      <c r="G110" s="166"/>
    </row>
    <row r="111" spans="2:7" ht="15">
      <c r="B111" s="443"/>
      <c r="C111" s="25" t="s">
        <v>306</v>
      </c>
      <c r="D111" s="26">
        <f>CFB</f>
        <v>100</v>
      </c>
      <c r="E111" s="26" t="s">
        <v>375</v>
      </c>
      <c r="F111" s="28"/>
    </row>
    <row r="112" spans="2:7" ht="15.6" thickBot="1">
      <c r="B112" s="443"/>
      <c r="C112" s="25" t="s">
        <v>332</v>
      </c>
      <c r="D112" s="26">
        <v>50</v>
      </c>
      <c r="E112" s="440" t="s">
        <v>10</v>
      </c>
      <c r="F112" s="441"/>
    </row>
    <row r="113" spans="2:7" ht="15.6" thickBot="1">
      <c r="B113" s="432"/>
      <c r="C113" s="433"/>
      <c r="D113" s="433"/>
      <c r="E113" s="433"/>
      <c r="F113" s="434"/>
    </row>
    <row r="114" spans="2:7" ht="15">
      <c r="B114" s="442" t="s">
        <v>346</v>
      </c>
      <c r="C114" s="24" t="s">
        <v>308</v>
      </c>
      <c r="D114" s="444" t="s">
        <v>336</v>
      </c>
      <c r="E114" s="445"/>
      <c r="F114" s="446"/>
      <c r="G114" s="166"/>
    </row>
    <row r="115" spans="2:7" ht="15">
      <c r="B115" s="443"/>
      <c r="C115" s="25" t="s">
        <v>306</v>
      </c>
      <c r="D115" s="26">
        <f>Cint</f>
        <v>0.1</v>
      </c>
      <c r="E115" s="26" t="s">
        <v>170</v>
      </c>
      <c r="F115" s="28"/>
    </row>
    <row r="116" spans="2:7" ht="15.6" thickBot="1">
      <c r="B116" s="443"/>
      <c r="C116" s="25" t="s">
        <v>332</v>
      </c>
      <c r="D116" s="26">
        <v>50</v>
      </c>
      <c r="E116" s="440" t="s">
        <v>10</v>
      </c>
      <c r="F116" s="441"/>
    </row>
    <row r="117" spans="2:7" ht="15.6" thickBot="1">
      <c r="B117" s="432"/>
      <c r="C117" s="433"/>
      <c r="D117" s="433"/>
      <c r="E117" s="433"/>
      <c r="F117" s="434"/>
    </row>
    <row r="118" spans="2:7" ht="15">
      <c r="B118" s="442" t="s">
        <v>347</v>
      </c>
      <c r="C118" s="256" t="s">
        <v>348</v>
      </c>
      <c r="D118" s="257">
        <f>LM</f>
        <v>300</v>
      </c>
      <c r="E118" s="258" t="s">
        <v>48</v>
      </c>
      <c r="F118" s="259"/>
      <c r="G118" s="166"/>
    </row>
    <row r="119" spans="2:7" ht="15">
      <c r="B119" s="447"/>
      <c r="C119" s="256" t="s">
        <v>353</v>
      </c>
      <c r="D119" s="260">
        <f>LK_actual</f>
        <v>2.5</v>
      </c>
      <c r="E119" s="258" t="s">
        <v>48</v>
      </c>
      <c r="F119" s="259"/>
    </row>
    <row r="120" spans="2:7" ht="18.600000000000001">
      <c r="B120" s="443"/>
      <c r="C120" s="256" t="s">
        <v>349</v>
      </c>
      <c r="D120" s="261">
        <f>NPS</f>
        <v>5</v>
      </c>
      <c r="E120" s="258"/>
      <c r="F120" s="259" t="s">
        <v>791</v>
      </c>
    </row>
    <row r="121" spans="2:7" ht="15">
      <c r="B121" s="443"/>
      <c r="C121" s="256" t="s">
        <v>646</v>
      </c>
      <c r="D121" s="261">
        <f>NA/NSS</f>
        <v>0.75</v>
      </c>
      <c r="E121" s="258"/>
      <c r="F121" s="259" t="s">
        <v>792</v>
      </c>
    </row>
    <row r="122" spans="2:7" ht="18.600000000000001">
      <c r="B122" s="443"/>
      <c r="C122" s="256" t="s">
        <v>350</v>
      </c>
      <c r="D122" s="262">
        <f>NP</f>
        <v>21</v>
      </c>
      <c r="E122" s="258"/>
      <c r="F122" s="259" t="s">
        <v>793</v>
      </c>
    </row>
    <row r="123" spans="2:7" ht="18.600000000000001">
      <c r="B123" s="443"/>
      <c r="C123" s="256" t="s">
        <v>351</v>
      </c>
      <c r="D123" s="262">
        <f>ROUND(NS, 0)</f>
        <v>4</v>
      </c>
      <c r="E123" s="258"/>
      <c r="F123" s="259" t="s">
        <v>794</v>
      </c>
      <c r="G123" s="166"/>
    </row>
    <row r="124" spans="2:7" ht="19.2" thickBot="1">
      <c r="B124" s="443"/>
      <c r="C124" s="263" t="s">
        <v>352</v>
      </c>
      <c r="D124" s="262">
        <f>ROUND(NA,0)</f>
        <v>3</v>
      </c>
      <c r="E124" s="258"/>
      <c r="F124" s="259" t="s">
        <v>795</v>
      </c>
      <c r="G124" s="166"/>
    </row>
    <row r="125" spans="2:7" ht="15.6" thickBot="1">
      <c r="B125" s="432"/>
      <c r="C125" s="433"/>
      <c r="D125" s="433"/>
      <c r="E125" s="433"/>
      <c r="F125" s="434"/>
      <c r="G125" s="166"/>
    </row>
    <row r="126" spans="2:7">
      <c r="B126" s="166"/>
    </row>
    <row r="127" spans="2:7">
      <c r="C127" s="166"/>
    </row>
  </sheetData>
  <sheetProtection password="E9DD" sheet="1" objects="1" scenarios="1" selectLockedCells="1"/>
  <mergeCells count="83">
    <mergeCell ref="B105:F105"/>
    <mergeCell ref="B125:F125"/>
    <mergeCell ref="B114:B116"/>
    <mergeCell ref="D114:F114"/>
    <mergeCell ref="E116:F116"/>
    <mergeCell ref="B117:F117"/>
    <mergeCell ref="B118:B124"/>
    <mergeCell ref="B106:B108"/>
    <mergeCell ref="D106:F106"/>
    <mergeCell ref="E108:F108"/>
    <mergeCell ref="B113:F113"/>
    <mergeCell ref="B109:F109"/>
    <mergeCell ref="B110:B112"/>
    <mergeCell ref="D110:F110"/>
    <mergeCell ref="E112:F112"/>
    <mergeCell ref="B94:B96"/>
    <mergeCell ref="D94:F94"/>
    <mergeCell ref="E96:F96"/>
    <mergeCell ref="B98:B100"/>
    <mergeCell ref="D98:F98"/>
    <mergeCell ref="E100:F100"/>
    <mergeCell ref="B97:F97"/>
    <mergeCell ref="B101:F101"/>
    <mergeCell ref="B102:B104"/>
    <mergeCell ref="D102:F102"/>
    <mergeCell ref="E104:F104"/>
    <mergeCell ref="B78:B80"/>
    <mergeCell ref="D78:F78"/>
    <mergeCell ref="E80:F80"/>
    <mergeCell ref="B85:F85"/>
    <mergeCell ref="B86:B88"/>
    <mergeCell ref="D86:F86"/>
    <mergeCell ref="E88:F88"/>
    <mergeCell ref="B81:F81"/>
    <mergeCell ref="B82:B84"/>
    <mergeCell ref="D82:F82"/>
    <mergeCell ref="E84:F84"/>
    <mergeCell ref="B93:F93"/>
    <mergeCell ref="B62:B64"/>
    <mergeCell ref="E64:F64"/>
    <mergeCell ref="B89:F89"/>
    <mergeCell ref="B90:B92"/>
    <mergeCell ref="D90:F90"/>
    <mergeCell ref="E92:F92"/>
    <mergeCell ref="B69:F69"/>
    <mergeCell ref="B70:B72"/>
    <mergeCell ref="D70:F70"/>
    <mergeCell ref="E72:F72"/>
    <mergeCell ref="B73:F73"/>
    <mergeCell ref="B74:B76"/>
    <mergeCell ref="D74:F74"/>
    <mergeCell ref="E76:F76"/>
    <mergeCell ref="B77:F77"/>
    <mergeCell ref="B65:F65"/>
    <mergeCell ref="B66:B68"/>
    <mergeCell ref="D66:F66"/>
    <mergeCell ref="E68:F68"/>
    <mergeCell ref="B27:F27"/>
    <mergeCell ref="B39:F39"/>
    <mergeCell ref="B43:F43"/>
    <mergeCell ref="B53:F53"/>
    <mergeCell ref="B47:F47"/>
    <mergeCell ref="B41:F41"/>
    <mergeCell ref="B45:F45"/>
    <mergeCell ref="B49:F49"/>
    <mergeCell ref="B51:F51"/>
    <mergeCell ref="B55:F55"/>
    <mergeCell ref="B61:F61"/>
    <mergeCell ref="D62:F62"/>
    <mergeCell ref="B57:F57"/>
    <mergeCell ref="B59:F59"/>
    <mergeCell ref="B18:F18"/>
    <mergeCell ref="C19:F19"/>
    <mergeCell ref="B20:F20"/>
    <mergeCell ref="E22:F22"/>
    <mergeCell ref="B21:B22"/>
    <mergeCell ref="B25:F25"/>
    <mergeCell ref="B23:F23"/>
    <mergeCell ref="B31:F31"/>
    <mergeCell ref="B33:F33"/>
    <mergeCell ref="B37:F37"/>
    <mergeCell ref="B35:F35"/>
    <mergeCell ref="B29:F29"/>
  </mergeCells>
  <phoneticPr fontId="25" type="noConversion"/>
  <pageMargins left="0.25" right="0.25" top="0.75" bottom="0.75" header="0.3" footer="0.3"/>
  <pageSetup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R78"/>
  <sheetViews>
    <sheetView topLeftCell="A57" zoomScale="70" zoomScaleNormal="70" workbookViewId="0">
      <selection activeCell="E33" sqref="E33:G33"/>
    </sheetView>
  </sheetViews>
  <sheetFormatPr baseColWidth="10" defaultColWidth="9.109375" defaultRowHeight="14.4"/>
  <cols>
    <col min="1" max="1" width="4.44140625" customWidth="1"/>
    <col min="2" max="2" width="9" customWidth="1"/>
    <col min="3" max="3" width="14.109375" bestFit="1" customWidth="1"/>
    <col min="4" max="4" width="9" customWidth="1"/>
    <col min="9" max="9" width="10.33203125" bestFit="1" customWidth="1"/>
    <col min="15" max="15" width="10.33203125" bestFit="1" customWidth="1"/>
  </cols>
  <sheetData>
    <row r="2" spans="3:18" ht="28.2">
      <c r="C2" s="40" t="s">
        <v>796</v>
      </c>
      <c r="N2" s="166"/>
      <c r="R2" s="187"/>
    </row>
    <row r="19" spans="1:18">
      <c r="B19" s="31"/>
      <c r="C19" s="31"/>
      <c r="D19" s="31"/>
      <c r="E19" s="31"/>
      <c r="F19" s="32"/>
      <c r="G19" s="32"/>
      <c r="H19" s="32"/>
      <c r="I19" s="32"/>
      <c r="J19" s="32"/>
    </row>
    <row r="20" spans="1:18">
      <c r="B20" s="31"/>
      <c r="C20" s="31"/>
      <c r="D20" s="31"/>
      <c r="E20" s="31"/>
      <c r="F20" s="32"/>
      <c r="G20" s="32"/>
      <c r="H20" s="32"/>
      <c r="J20" s="32"/>
      <c r="K20" s="32"/>
    </row>
    <row r="21" spans="1:18" ht="16.2">
      <c r="B21" s="35" t="s">
        <v>401</v>
      </c>
      <c r="C21" s="35"/>
      <c r="D21" s="35"/>
      <c r="E21" s="35"/>
      <c r="F21" s="32"/>
      <c r="G21" s="32"/>
      <c r="I21" s="167"/>
    </row>
    <row r="22" spans="1:18">
      <c r="B22" s="471" t="s">
        <v>403</v>
      </c>
      <c r="C22" s="471"/>
      <c r="D22" s="471"/>
      <c r="E22" s="465" t="s">
        <v>586</v>
      </c>
      <c r="F22" s="465"/>
      <c r="G22" s="465"/>
      <c r="H22" s="34"/>
      <c r="I22" s="451"/>
      <c r="J22" s="452"/>
      <c r="K22" s="452"/>
      <c r="L22" s="452"/>
      <c r="M22" s="453"/>
    </row>
    <row r="23" spans="1:18">
      <c r="B23" s="471" t="s">
        <v>659</v>
      </c>
      <c r="C23" s="471"/>
      <c r="D23" s="471"/>
      <c r="E23" s="465">
        <v>80</v>
      </c>
      <c r="F23" s="465"/>
      <c r="G23" s="465"/>
      <c r="H23" s="49" t="s">
        <v>399</v>
      </c>
      <c r="I23" s="264" t="s">
        <v>657</v>
      </c>
      <c r="J23" s="264"/>
      <c r="K23" s="264"/>
      <c r="L23" s="264"/>
      <c r="M23" s="265"/>
    </row>
    <row r="24" spans="1:18">
      <c r="A24" s="32"/>
      <c r="B24" s="463" t="s">
        <v>400</v>
      </c>
      <c r="C24" s="463"/>
      <c r="D24" s="463"/>
      <c r="E24" s="472">
        <f>(((NPS^2)/(4*(3.14^2)*LK_actual*10^-6*(fsw_OPP_min*1000)^2))*10^6)/((100-Co1_dec)/100)</f>
        <v>164.46022153426017</v>
      </c>
      <c r="F24" s="472"/>
      <c r="G24" s="472"/>
      <c r="H24" s="33" t="s">
        <v>173</v>
      </c>
      <c r="I24" s="448"/>
      <c r="J24" s="449"/>
      <c r="K24" s="449"/>
      <c r="L24" s="449"/>
      <c r="M24" s="450"/>
    </row>
    <row r="25" spans="1:18">
      <c r="A25" s="32"/>
      <c r="B25" s="463" t="s">
        <v>658</v>
      </c>
      <c r="C25" s="463"/>
      <c r="D25" s="463"/>
      <c r="E25" s="465">
        <v>66</v>
      </c>
      <c r="F25" s="465"/>
      <c r="G25" s="465"/>
      <c r="H25" s="33" t="s">
        <v>173</v>
      </c>
      <c r="I25" s="264" t="s">
        <v>404</v>
      </c>
      <c r="J25" s="264"/>
      <c r="K25" s="264"/>
      <c r="L25" s="264"/>
      <c r="M25" s="264"/>
    </row>
    <row r="26" spans="1:18">
      <c r="A26" s="32"/>
      <c r="B26" s="269"/>
      <c r="C26" s="269"/>
      <c r="D26" s="269"/>
      <c r="E26" s="32"/>
      <c r="F26" s="32"/>
      <c r="G26" s="32"/>
      <c r="H26" s="32"/>
      <c r="I26" s="266"/>
      <c r="J26" s="267"/>
      <c r="K26" s="268"/>
      <c r="L26" s="268"/>
      <c r="M26" s="268"/>
    </row>
    <row r="27" spans="1:18">
      <c r="A27" s="32"/>
      <c r="B27" s="463" t="s">
        <v>799</v>
      </c>
      <c r="C27" s="463"/>
      <c r="D27" s="463"/>
      <c r="E27" s="472">
        <f>(1/((2*3.14*1000*fsw_OPP_min)^2*Co_1*(100-Co1_dec)/100*10^-6)-1/((2*3.14*1000*fsw_OPP_min)^2*COUT*10^-6)-0.0001*RCO/(2*3.14*fsw_OPP_min*1000))*10^6*10</f>
        <v>1.9878142943900108</v>
      </c>
      <c r="F27" s="472"/>
      <c r="G27" s="472"/>
      <c r="H27" s="33" t="s">
        <v>402</v>
      </c>
      <c r="I27" s="459"/>
      <c r="J27" s="460"/>
      <c r="K27" s="460"/>
      <c r="L27" s="460"/>
      <c r="M27" s="461"/>
      <c r="N27" s="166"/>
      <c r="P27" s="169"/>
      <c r="R27" s="187"/>
    </row>
    <row r="28" spans="1:18">
      <c r="A28" s="32"/>
      <c r="B28" s="463" t="s">
        <v>405</v>
      </c>
      <c r="C28" s="463"/>
      <c r="D28" s="463"/>
      <c r="E28" s="465">
        <v>1</v>
      </c>
      <c r="F28" s="465"/>
      <c r="G28" s="465"/>
      <c r="H28" s="33" t="s">
        <v>402</v>
      </c>
      <c r="I28" s="459"/>
      <c r="J28" s="460"/>
      <c r="K28" s="460"/>
      <c r="L28" s="460"/>
      <c r="M28" s="461"/>
      <c r="N28" s="166"/>
    </row>
    <row r="29" spans="1:18">
      <c r="A29" s="32"/>
      <c r="B29" s="269"/>
      <c r="C29" s="269"/>
      <c r="D29" s="269"/>
      <c r="E29" s="32"/>
      <c r="F29" s="32"/>
      <c r="G29" s="32"/>
      <c r="H29" s="32"/>
      <c r="I29" s="267"/>
      <c r="J29" s="267"/>
      <c r="K29" s="268"/>
      <c r="L29" s="268"/>
      <c r="M29" s="268"/>
    </row>
    <row r="30" spans="1:18" ht="16.2">
      <c r="A30" s="32"/>
      <c r="B30" s="463" t="s">
        <v>800</v>
      </c>
      <c r="C30" s="463"/>
      <c r="D30" s="463"/>
      <c r="E30" s="472">
        <f>Lo*0.13</f>
        <v>0.13</v>
      </c>
      <c r="F30" s="472"/>
      <c r="G30" s="472"/>
      <c r="H30" s="33" t="s">
        <v>402</v>
      </c>
      <c r="I30" s="456" t="s">
        <v>797</v>
      </c>
      <c r="J30" s="457"/>
      <c r="K30" s="457"/>
      <c r="L30" s="457"/>
      <c r="M30" s="458"/>
      <c r="N30" s="166"/>
      <c r="P30" s="187"/>
    </row>
    <row r="31" spans="1:18" ht="16.2">
      <c r="A31" s="32"/>
      <c r="B31" s="463" t="s">
        <v>801</v>
      </c>
      <c r="C31" s="463"/>
      <c r="D31" s="463"/>
      <c r="E31" s="465">
        <v>0.68</v>
      </c>
      <c r="F31" s="465"/>
      <c r="G31" s="465"/>
      <c r="H31" s="33" t="s">
        <v>402</v>
      </c>
      <c r="I31" s="264" t="s">
        <v>404</v>
      </c>
      <c r="J31" s="264"/>
      <c r="K31" s="264"/>
      <c r="L31" s="264"/>
      <c r="M31" s="264"/>
      <c r="N31" s="166"/>
    </row>
    <row r="32" spans="1:18" ht="16.2">
      <c r="A32" s="32"/>
      <c r="B32" s="463" t="s">
        <v>802</v>
      </c>
      <c r="C32" s="463"/>
      <c r="D32" s="463"/>
      <c r="E32" s="464">
        <f>SQRT(Lo/(Co_1*(100-Co1_dec)/100))</f>
        <v>0.27524094128159016</v>
      </c>
      <c r="F32" s="464"/>
      <c r="G32" s="464"/>
      <c r="H32" s="33" t="s">
        <v>80</v>
      </c>
      <c r="I32" s="456" t="s">
        <v>798</v>
      </c>
      <c r="J32" s="457"/>
      <c r="K32" s="457"/>
      <c r="L32" s="457"/>
      <c r="M32" s="458"/>
      <c r="N32" s="177"/>
      <c r="R32" s="187"/>
    </row>
    <row r="33" spans="1:17" ht="16.2" customHeight="1">
      <c r="A33" s="32"/>
      <c r="B33" s="463" t="s">
        <v>803</v>
      </c>
      <c r="C33" s="463"/>
      <c r="D33" s="463"/>
      <c r="E33" s="465">
        <v>0.67</v>
      </c>
      <c r="F33" s="465"/>
      <c r="G33" s="465"/>
      <c r="H33" s="33" t="s">
        <v>660</v>
      </c>
      <c r="I33" s="466"/>
      <c r="J33" s="467"/>
      <c r="K33" s="467"/>
      <c r="L33" s="467"/>
      <c r="M33" s="468"/>
      <c r="N33" s="166"/>
      <c r="Q33" s="187"/>
    </row>
    <row r="34" spans="1:17">
      <c r="A34" s="32"/>
      <c r="B34" s="36"/>
      <c r="C34" s="36"/>
      <c r="D34" s="36"/>
      <c r="I34" s="32"/>
      <c r="J34" s="32"/>
      <c r="K34" s="32"/>
      <c r="L34" s="32"/>
      <c r="M34" s="32"/>
    </row>
    <row r="35" spans="1:17" ht="16.2">
      <c r="B35" s="38" t="s">
        <v>804</v>
      </c>
      <c r="C35" s="270"/>
      <c r="E35" s="470" t="s">
        <v>556</v>
      </c>
      <c r="F35" s="470"/>
      <c r="G35" s="470"/>
      <c r="H35" s="37">
        <f>Lo*0.13</f>
        <v>0.13</v>
      </c>
      <c r="I35" s="37" t="s">
        <v>21</v>
      </c>
      <c r="J35" s="168"/>
      <c r="K35" s="168"/>
      <c r="L35" s="168"/>
      <c r="M35" s="168"/>
      <c r="N35" s="37"/>
      <c r="O35" s="37"/>
      <c r="P35" s="37"/>
    </row>
    <row r="36" spans="1:17" ht="18.75" customHeight="1">
      <c r="D36" s="186"/>
      <c r="E36" s="37" t="s">
        <v>557</v>
      </c>
      <c r="F36" s="37"/>
      <c r="G36" s="37"/>
      <c r="H36" s="37"/>
      <c r="I36" s="37"/>
      <c r="J36" s="37"/>
      <c r="K36" s="37"/>
      <c r="L36" s="37"/>
      <c r="M36" s="37"/>
      <c r="N36" s="37"/>
      <c r="O36" s="168"/>
      <c r="P36" s="37"/>
    </row>
    <row r="37" spans="1:17">
      <c r="O37" s="166"/>
    </row>
    <row r="50" spans="2:14">
      <c r="B50" s="37"/>
      <c r="C50" s="37"/>
      <c r="D50" s="37"/>
      <c r="E50" s="37"/>
      <c r="F50" s="37"/>
      <c r="G50" s="37"/>
      <c r="H50" s="37"/>
      <c r="I50" s="37"/>
      <c r="J50" s="37"/>
      <c r="K50" s="37"/>
      <c r="L50" s="37"/>
      <c r="M50" s="37"/>
      <c r="N50" s="37"/>
    </row>
    <row r="51" spans="2:14" ht="16.2">
      <c r="B51" s="37"/>
      <c r="C51" s="37"/>
      <c r="D51" s="37"/>
      <c r="E51" s="37" t="s">
        <v>558</v>
      </c>
      <c r="F51" s="37"/>
      <c r="G51" s="37"/>
      <c r="H51" s="37"/>
      <c r="I51" s="37"/>
      <c r="J51" s="37"/>
      <c r="K51" s="37"/>
      <c r="L51" s="37"/>
      <c r="M51" s="37"/>
      <c r="N51" s="37"/>
    </row>
    <row r="52" spans="2:14">
      <c r="B52" s="37"/>
      <c r="C52" s="37"/>
      <c r="D52" s="37"/>
      <c r="E52" s="37"/>
      <c r="F52" s="37"/>
      <c r="G52" s="37"/>
      <c r="H52" s="37"/>
      <c r="I52" s="37"/>
      <c r="J52" s="37"/>
      <c r="K52" s="37"/>
      <c r="L52" s="37"/>
      <c r="M52" s="37"/>
      <c r="N52" s="37"/>
    </row>
    <row r="53" spans="2:14">
      <c r="B53" s="38" t="s">
        <v>805</v>
      </c>
      <c r="C53" s="84"/>
      <c r="D53" s="187"/>
      <c r="E53" s="37"/>
      <c r="F53" s="37"/>
      <c r="G53" s="37"/>
      <c r="H53" s="37"/>
      <c r="I53" s="37"/>
      <c r="J53" s="37"/>
      <c r="K53" s="37"/>
      <c r="L53" s="37"/>
      <c r="M53" s="37"/>
      <c r="N53" s="37"/>
    </row>
    <row r="54" spans="2:14">
      <c r="B54" s="39" t="s">
        <v>559</v>
      </c>
      <c r="C54" s="39"/>
      <c r="D54" s="39"/>
      <c r="E54" s="39"/>
      <c r="F54" s="39"/>
      <c r="G54" s="39"/>
      <c r="H54" s="39"/>
      <c r="I54" s="39"/>
      <c r="J54" s="37"/>
      <c r="K54" s="37"/>
      <c r="L54" s="37"/>
      <c r="M54" s="37"/>
      <c r="N54" s="37"/>
    </row>
    <row r="55" spans="2:14">
      <c r="B55" s="39" t="s">
        <v>368</v>
      </c>
      <c r="C55" s="39"/>
      <c r="D55" s="39"/>
      <c r="E55" s="39"/>
      <c r="F55" s="37"/>
      <c r="G55" s="37"/>
      <c r="H55" s="37"/>
      <c r="I55" s="37"/>
      <c r="J55" s="37"/>
      <c r="K55" s="37"/>
      <c r="L55" s="37"/>
      <c r="M55" s="37"/>
      <c r="N55" s="37"/>
    </row>
    <row r="56" spans="2:14">
      <c r="B56" s="37"/>
      <c r="C56" s="37"/>
      <c r="D56" s="37"/>
      <c r="E56" s="37"/>
      <c r="F56" s="37"/>
      <c r="G56" s="37"/>
      <c r="H56" s="37"/>
      <c r="I56" s="37"/>
      <c r="J56" s="37"/>
      <c r="K56" s="37"/>
      <c r="L56" s="37"/>
      <c r="M56" s="37"/>
      <c r="N56" s="37"/>
    </row>
    <row r="57" spans="2:14" ht="16.2">
      <c r="B57" s="37"/>
      <c r="C57" s="37"/>
      <c r="D57" s="37"/>
      <c r="E57" s="37"/>
      <c r="F57" s="37"/>
      <c r="G57" s="37"/>
      <c r="H57" s="469" t="s">
        <v>573</v>
      </c>
      <c r="I57" s="469"/>
      <c r="J57" s="37"/>
      <c r="K57" s="37"/>
      <c r="L57" s="37"/>
      <c r="M57" s="37"/>
      <c r="N57" s="37"/>
    </row>
    <row r="70" spans="1:15">
      <c r="A70" s="270"/>
      <c r="B70" s="270"/>
      <c r="C70" s="270"/>
      <c r="D70" s="270"/>
      <c r="E70" s="270"/>
    </row>
    <row r="71" spans="1:15">
      <c r="A71" s="270"/>
      <c r="B71" s="462" t="s">
        <v>806</v>
      </c>
      <c r="C71" s="462"/>
      <c r="D71" s="462"/>
      <c r="E71" s="270"/>
    </row>
    <row r="72" spans="1:15" ht="54" customHeight="1">
      <c r="A72" s="270"/>
      <c r="B72" s="271"/>
      <c r="C72" s="169" t="s">
        <v>807</v>
      </c>
      <c r="D72" s="270"/>
      <c r="E72" s="270"/>
      <c r="J72" s="268"/>
      <c r="K72" s="455" t="s">
        <v>808</v>
      </c>
      <c r="L72" s="455"/>
      <c r="M72" s="455"/>
      <c r="N72" s="455"/>
      <c r="O72" s="166"/>
    </row>
    <row r="73" spans="1:15">
      <c r="K73" s="268"/>
      <c r="L73" s="268"/>
      <c r="M73" s="268"/>
      <c r="N73" s="268"/>
      <c r="O73" s="268"/>
    </row>
    <row r="74" spans="1:15">
      <c r="K74" s="268"/>
      <c r="L74" s="268"/>
      <c r="M74" s="268"/>
      <c r="N74" s="268"/>
      <c r="O74" s="268"/>
    </row>
    <row r="75" spans="1:15" ht="60.6" customHeight="1">
      <c r="K75" s="454" t="s">
        <v>809</v>
      </c>
      <c r="L75" s="454"/>
      <c r="M75" s="454"/>
      <c r="N75" s="454"/>
      <c r="O75" s="272"/>
    </row>
    <row r="76" spans="1:15">
      <c r="K76" s="268"/>
      <c r="L76" s="268"/>
      <c r="M76" s="268"/>
      <c r="N76" s="268"/>
      <c r="O76" s="268"/>
    </row>
    <row r="77" spans="1:15">
      <c r="K77" s="268"/>
      <c r="L77" s="268"/>
      <c r="M77" s="268"/>
      <c r="N77" s="268"/>
      <c r="O77" s="268"/>
    </row>
    <row r="78" spans="1:15" ht="16.2">
      <c r="E78" s="37" t="s">
        <v>574</v>
      </c>
    </row>
  </sheetData>
  <sheetProtection password="E9DD" sheet="1" objects="1" scenarios="1" selectLockedCells="1"/>
  <mergeCells count="32">
    <mergeCell ref="B31:D31"/>
    <mergeCell ref="E31:G31"/>
    <mergeCell ref="B22:D22"/>
    <mergeCell ref="B23:D23"/>
    <mergeCell ref="E23:G23"/>
    <mergeCell ref="E22:G22"/>
    <mergeCell ref="B24:D24"/>
    <mergeCell ref="E24:G24"/>
    <mergeCell ref="B25:D25"/>
    <mergeCell ref="E25:G25"/>
    <mergeCell ref="B30:D30"/>
    <mergeCell ref="E30:G30"/>
    <mergeCell ref="B27:D27"/>
    <mergeCell ref="E27:G27"/>
    <mergeCell ref="B28:D28"/>
    <mergeCell ref="E28:G28"/>
    <mergeCell ref="B71:D71"/>
    <mergeCell ref="B32:D32"/>
    <mergeCell ref="E32:G32"/>
    <mergeCell ref="I32:M32"/>
    <mergeCell ref="B33:D33"/>
    <mergeCell ref="E33:G33"/>
    <mergeCell ref="I33:M33"/>
    <mergeCell ref="H57:I57"/>
    <mergeCell ref="E35:G35"/>
    <mergeCell ref="I24:M24"/>
    <mergeCell ref="I22:M22"/>
    <mergeCell ref="K75:N75"/>
    <mergeCell ref="K72:N72"/>
    <mergeCell ref="I30:M30"/>
    <mergeCell ref="I28:M28"/>
    <mergeCell ref="I27:M27"/>
  </mergeCells>
  <phoneticPr fontId="25"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S28"/>
  <sheetViews>
    <sheetView topLeftCell="A13" zoomScale="120" zoomScaleNormal="120" workbookViewId="0">
      <selection activeCell="B6" sqref="B6"/>
    </sheetView>
  </sheetViews>
  <sheetFormatPr baseColWidth="10" defaultColWidth="9.109375" defaultRowHeight="14.4"/>
  <cols>
    <col min="2" max="2" width="11.88671875" bestFit="1" customWidth="1"/>
    <col min="3" max="3" width="3.33203125" customWidth="1"/>
    <col min="5" max="5" width="9.109375" bestFit="1" customWidth="1"/>
    <col min="6" max="6" width="3" bestFit="1" customWidth="1"/>
    <col min="11" max="11" width="15.5546875" customWidth="1"/>
  </cols>
  <sheetData>
    <row r="2" spans="1:19" ht="28.8">
      <c r="A2" s="188"/>
      <c r="E2" s="188" t="s">
        <v>674</v>
      </c>
      <c r="L2" s="187"/>
      <c r="M2" s="187"/>
      <c r="S2" s="187"/>
    </row>
    <row r="3" spans="1:19" ht="28.8">
      <c r="A3" s="268"/>
      <c r="B3" s="268"/>
      <c r="C3" s="268"/>
      <c r="D3" s="268"/>
      <c r="E3" s="273"/>
      <c r="F3" s="268"/>
      <c r="G3" s="268"/>
      <c r="H3" s="188" t="s">
        <v>675</v>
      </c>
      <c r="I3" s="273"/>
      <c r="J3" s="273"/>
      <c r="K3" s="273"/>
    </row>
    <row r="4" spans="1:19">
      <c r="A4" s="268"/>
      <c r="B4" s="268"/>
      <c r="C4" s="268"/>
      <c r="D4" s="268"/>
      <c r="E4" s="268"/>
      <c r="F4" s="268"/>
      <c r="G4" s="268"/>
      <c r="H4" s="268"/>
      <c r="I4" s="268"/>
      <c r="J4" s="268"/>
      <c r="K4" s="268"/>
    </row>
    <row r="5" spans="1:19">
      <c r="A5" s="274" t="s">
        <v>654</v>
      </c>
      <c r="B5" s="275">
        <f>NA</f>
        <v>3</v>
      </c>
      <c r="C5" s="276" t="s">
        <v>672</v>
      </c>
      <c r="D5" s="277"/>
      <c r="E5" s="450" t="s">
        <v>656</v>
      </c>
      <c r="F5" s="474"/>
      <c r="G5" s="474"/>
      <c r="H5" s="268"/>
      <c r="I5" s="268"/>
      <c r="J5" s="268"/>
      <c r="K5" s="268"/>
      <c r="M5" s="189"/>
      <c r="N5" s="187"/>
    </row>
    <row r="6" spans="1:19">
      <c r="A6" s="274" t="s">
        <v>655</v>
      </c>
      <c r="B6" s="275">
        <v>13</v>
      </c>
      <c r="C6" s="278" t="s">
        <v>673</v>
      </c>
      <c r="D6" s="279"/>
      <c r="E6" s="280"/>
      <c r="F6" s="268"/>
      <c r="G6" s="268"/>
      <c r="H6" s="268"/>
      <c r="I6" s="268"/>
      <c r="J6" s="268"/>
      <c r="K6" s="268"/>
    </row>
    <row r="7" spans="1:19">
      <c r="A7" s="274" t="s">
        <v>589</v>
      </c>
      <c r="B7" s="281">
        <f>NSS</f>
        <v>4</v>
      </c>
      <c r="C7" s="282" t="s">
        <v>673</v>
      </c>
      <c r="D7" s="283"/>
      <c r="E7" s="280"/>
      <c r="F7" s="280"/>
      <c r="G7" s="268"/>
      <c r="H7" s="268"/>
      <c r="I7" s="268"/>
      <c r="J7" s="268"/>
      <c r="K7" s="268"/>
    </row>
    <row r="8" spans="1:19">
      <c r="A8" s="274" t="s">
        <v>594</v>
      </c>
      <c r="B8" s="284">
        <f>RBUR1</f>
        <v>316</v>
      </c>
      <c r="C8" s="285" t="s">
        <v>647</v>
      </c>
      <c r="D8" s="280"/>
      <c r="E8" s="280"/>
      <c r="F8" s="280"/>
      <c r="G8" s="268"/>
      <c r="H8" s="268"/>
      <c r="I8" s="268"/>
      <c r="J8" s="268"/>
      <c r="K8" s="268"/>
    </row>
    <row r="9" spans="1:19">
      <c r="A9" s="274" t="s">
        <v>648</v>
      </c>
      <c r="B9" s="275">
        <v>20</v>
      </c>
      <c r="C9" s="274" t="s">
        <v>591</v>
      </c>
      <c r="D9" s="274" t="s">
        <v>652</v>
      </c>
      <c r="E9" s="286">
        <v>0.97499999999999998</v>
      </c>
      <c r="F9" s="274" t="s">
        <v>591</v>
      </c>
      <c r="G9" s="473" t="s">
        <v>650</v>
      </c>
      <c r="H9" s="474"/>
      <c r="I9" s="474"/>
      <c r="J9" s="475" t="s">
        <v>653</v>
      </c>
      <c r="K9" s="476"/>
    </row>
    <row r="10" spans="1:19">
      <c r="A10" s="274" t="s">
        <v>649</v>
      </c>
      <c r="B10" s="275">
        <v>5</v>
      </c>
      <c r="C10" s="274" t="s">
        <v>591</v>
      </c>
      <c r="D10" s="274" t="s">
        <v>590</v>
      </c>
      <c r="E10" s="286">
        <v>0.84199999999999997</v>
      </c>
      <c r="F10" s="274" t="s">
        <v>591</v>
      </c>
      <c r="G10" s="473" t="s">
        <v>651</v>
      </c>
      <c r="H10" s="474"/>
      <c r="I10" s="474"/>
      <c r="J10" s="476"/>
      <c r="K10" s="476"/>
    </row>
    <row r="11" spans="1:19">
      <c r="A11" s="280"/>
      <c r="B11" s="280"/>
      <c r="C11" s="280"/>
      <c r="D11" s="280"/>
      <c r="E11" s="280"/>
      <c r="F11" s="280"/>
      <c r="G11" s="268"/>
      <c r="H11" s="268"/>
      <c r="I11" s="268"/>
      <c r="J11" s="268"/>
      <c r="K11" s="268"/>
    </row>
    <row r="12" spans="1:19">
      <c r="A12" s="280" t="s">
        <v>592</v>
      </c>
      <c r="B12" s="312">
        <f>(Na1_+Na2_)*B8*(Vbur2*Vomax-Vbur1*Vomin)/-(5*NS_*(Vbur1-Vbur2)+(Na1_+Na2_)*(5*(Vomin-Vomax)+(Vbur2*Vomax-Vbur1*Vomin)))</f>
        <v>60.140212744805652</v>
      </c>
      <c r="C12" s="280" t="s">
        <v>647</v>
      </c>
      <c r="D12" s="280"/>
      <c r="E12" s="280"/>
      <c r="F12" s="280"/>
      <c r="G12" s="268"/>
      <c r="H12" s="268"/>
      <c r="I12" s="268"/>
      <c r="J12" s="268"/>
      <c r="K12" s="268"/>
    </row>
    <row r="13" spans="1:19">
      <c r="A13" s="280" t="s">
        <v>593</v>
      </c>
      <c r="B13" s="312">
        <f>(Na1_+Na2_)*B8*(Vbur2*Vomax-Vbur1*Vomin)/(5*NS_*(Vbur1-Vbur2))/1000</f>
        <v>22.742496240601504</v>
      </c>
      <c r="C13" s="280" t="s">
        <v>829</v>
      </c>
      <c r="D13" s="280"/>
      <c r="E13" s="280"/>
      <c r="F13" s="280"/>
      <c r="G13" s="268"/>
      <c r="H13" s="268"/>
      <c r="I13" s="268"/>
      <c r="J13" s="268"/>
      <c r="K13" s="268"/>
    </row>
    <row r="15" spans="1:19" ht="16.2">
      <c r="A15" s="84" t="s">
        <v>598</v>
      </c>
      <c r="B15" s="84"/>
      <c r="C15" s="37"/>
      <c r="D15" s="37"/>
      <c r="E15" s="37"/>
      <c r="F15" s="37"/>
    </row>
    <row r="16" spans="1:19">
      <c r="A16" s="37" t="s">
        <v>596</v>
      </c>
      <c r="B16" s="37"/>
      <c r="C16" s="37"/>
      <c r="D16" s="37"/>
      <c r="E16" s="37"/>
      <c r="F16" s="37"/>
    </row>
    <row r="17" spans="1:10">
      <c r="A17" s="37" t="s">
        <v>597</v>
      </c>
      <c r="B17" s="37"/>
      <c r="C17" s="37"/>
      <c r="D17" s="37"/>
      <c r="E17" s="37"/>
      <c r="F17" s="37"/>
    </row>
    <row r="20" spans="1:10">
      <c r="B20" s="166"/>
      <c r="G20" s="187"/>
    </row>
    <row r="21" spans="1:10">
      <c r="B21" s="166"/>
      <c r="G21" s="187"/>
    </row>
    <row r="22" spans="1:10">
      <c r="B22" s="166"/>
      <c r="G22" s="187"/>
    </row>
    <row r="23" spans="1:10">
      <c r="B23" s="166"/>
      <c r="J23" s="187"/>
    </row>
    <row r="28" spans="1:10">
      <c r="G28" s="190"/>
    </row>
  </sheetData>
  <sheetProtection password="E9DD" sheet="1" objects="1" scenarios="1" selectLockedCells="1"/>
  <mergeCells count="4">
    <mergeCell ref="G9:I9"/>
    <mergeCell ref="G10:I10"/>
    <mergeCell ref="J9:K10"/>
    <mergeCell ref="E5:G5"/>
  </mergeCells>
  <phoneticPr fontId="25"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5"/>
  <sheetViews>
    <sheetView zoomScale="80" zoomScaleNormal="80" workbookViewId="0">
      <selection activeCell="J29" sqref="J29"/>
    </sheetView>
  </sheetViews>
  <sheetFormatPr baseColWidth="10" defaultColWidth="9.109375" defaultRowHeight="14.4"/>
  <cols>
    <col min="1" max="1" width="5.33203125" customWidth="1"/>
    <col min="2" max="2" width="61.109375" customWidth="1"/>
    <col min="3" max="3" width="18.6640625" customWidth="1"/>
    <col min="4" max="4" width="13.5546875" customWidth="1"/>
    <col min="6" max="6" width="21.33203125" customWidth="1"/>
  </cols>
  <sheetData>
    <row r="1" spans="1:8" ht="15" thickBot="1">
      <c r="B1" s="166"/>
      <c r="F1" s="170"/>
      <c r="G1" s="169"/>
    </row>
    <row r="2" spans="1:8" ht="15.6">
      <c r="B2" s="477" t="s">
        <v>133</v>
      </c>
      <c r="C2" s="478"/>
      <c r="D2" s="478"/>
      <c r="E2" s="478"/>
      <c r="F2" s="479"/>
      <c r="G2" s="166"/>
      <c r="H2" s="166"/>
    </row>
    <row r="3" spans="1:8" ht="16.2">
      <c r="A3" s="30"/>
      <c r="B3" s="10" t="s">
        <v>289</v>
      </c>
      <c r="C3" s="11" t="s">
        <v>286</v>
      </c>
      <c r="D3" s="12">
        <f>SQRT(LK_actual/(Cclamp*((100-Drea_clamp)/100)))*(ID_SR_max*0.9)/NPS</f>
        <v>158.39191898578662</v>
      </c>
      <c r="E3" s="13" t="s">
        <v>23</v>
      </c>
      <c r="F3" s="171"/>
      <c r="G3" s="166"/>
      <c r="H3" s="166"/>
    </row>
    <row r="4" spans="1:8" ht="16.2">
      <c r="A4" s="30"/>
      <c r="B4" s="10" t="s">
        <v>290</v>
      </c>
      <c r="C4" s="11" t="s">
        <v>288</v>
      </c>
      <c r="D4" s="12">
        <f>SQRT(LK_actual/(Cclamp*((100-Drea_clamp)/100)))*(IQH_max*0.9)</f>
        <v>38.890872965260115</v>
      </c>
      <c r="E4" s="13" t="s">
        <v>23</v>
      </c>
      <c r="F4" s="171"/>
      <c r="G4" s="169"/>
      <c r="H4" s="166"/>
    </row>
    <row r="5" spans="1:8" ht="16.8" thickBot="1">
      <c r="A5" s="30"/>
      <c r="B5" s="6" t="s">
        <v>291</v>
      </c>
      <c r="C5" s="3" t="s">
        <v>287</v>
      </c>
      <c r="D5" s="4">
        <f>MIN(Vclamp_max_SR,Vclamp_max_QH)</f>
        <v>38.890872965260115</v>
      </c>
      <c r="E5" s="42" t="s">
        <v>23</v>
      </c>
      <c r="F5" s="172"/>
      <c r="G5" s="166"/>
      <c r="H5" s="166"/>
    </row>
    <row r="6" spans="1:8" ht="15" thickBot="1">
      <c r="G6" s="166"/>
      <c r="H6" s="166"/>
    </row>
    <row r="7" spans="1:8" ht="15.6">
      <c r="B7" s="45" t="s">
        <v>74</v>
      </c>
      <c r="C7" s="46"/>
      <c r="D7" s="46"/>
      <c r="E7" s="46"/>
      <c r="F7" s="47"/>
      <c r="G7" s="166"/>
      <c r="H7" s="166"/>
    </row>
    <row r="8" spans="1:8" ht="16.2">
      <c r="B8" s="5" t="s">
        <v>238</v>
      </c>
      <c r="C8" s="9" t="s">
        <v>237</v>
      </c>
      <c r="D8" s="8">
        <f>SQRT(IM_nega_run^2+2*(PO_FL*OPP*0.01/ηXFMR)*(1/(fsw_OPP_run*1000*LM*10^-6)))</f>
        <v>2.0713706546886659</v>
      </c>
      <c r="E8" s="41" t="s">
        <v>50</v>
      </c>
      <c r="F8" s="173"/>
      <c r="G8" s="166"/>
      <c r="H8" s="166"/>
    </row>
    <row r="9" spans="1:8" ht="16.2">
      <c r="B9" s="5" t="s">
        <v>102</v>
      </c>
      <c r="C9" s="9" t="s">
        <v>88</v>
      </c>
      <c r="D9" s="8">
        <f>IF(Vin_type="AC",(VINPUT_Brownin*1.414*DOPP_run^2)/(2*(LM*10^-6)*IIN_OPP_run-DOPP_run*(LM*10^-6)*(IM_nega_run)+DOPP_run*VINPUT_Brownin*1.414*0.5*3.141*SQRT((LM*10^-6)*(CSW_T_nor*10^-12)))/1000,(VINPUT_Brownin*DOPP_run^2)/(2*(LM*10^-6)*IIN_OPP_run-DOPP_run*(LM*10^-6)*(IM_nega_run)+DOPP_run*VINPUT_Brownin*0.5*3.141*SQRT((LM*10^-6)*(CSW_T_nor*10^-12)))/1000)</f>
        <v>102.8601912278078</v>
      </c>
      <c r="E9" s="162" t="s">
        <v>15</v>
      </c>
      <c r="F9" s="173"/>
      <c r="G9" s="166"/>
      <c r="H9" s="166"/>
    </row>
    <row r="10" spans="1:8" ht="16.2">
      <c r="B10" s="5" t="s">
        <v>105</v>
      </c>
      <c r="C10" s="9" t="s">
        <v>87</v>
      </c>
      <c r="D10" s="8">
        <f>IF(Vin_type="AC",PO_FL*OPP*0.01/(ηXFMR*VINPUT_Brownin*1.414),PO_FL*OPP*0.01/(ηXFMR*VINPUT_Brownin))</f>
        <v>0.50446620749031434</v>
      </c>
      <c r="E10" s="162" t="s">
        <v>50</v>
      </c>
      <c r="F10" s="173"/>
      <c r="G10" s="166"/>
      <c r="H10" s="166"/>
    </row>
    <row r="11" spans="1:8" ht="16.2">
      <c r="B11" s="5" t="s">
        <v>101</v>
      </c>
      <c r="C11" s="9" t="s">
        <v>86</v>
      </c>
      <c r="D11" s="8">
        <f>IF(Vin_type="AC",-SQRT(CSW_T_nor*(10^-12)/(LM*(10^-6)))*1.414159*VINPUT_Brownin,-SQRT(CSW_T_nor*(10^-12)/(LM*(10^-6)))*VINPUT_Brownin)</f>
        <v>-0.19295134888250964</v>
      </c>
      <c r="E11" s="162" t="s">
        <v>50</v>
      </c>
      <c r="F11" s="173"/>
      <c r="G11" s="166"/>
      <c r="H11" s="166"/>
    </row>
    <row r="12" spans="1:8" ht="16.8" thickBot="1">
      <c r="B12" s="6" t="s">
        <v>295</v>
      </c>
      <c r="C12" s="3" t="s">
        <v>91</v>
      </c>
      <c r="D12" s="4">
        <f>IF(Vin_type="AC",(NPS*(VOUT+Vf_SR))/(VINPUT_Brownin*1.414+NPS*(VOUT+Vf_SR)),(NPS*(VOUT+Vf_SR))/(VINPUT_Brownin+NPS*(VOUT+Vf_SR)))</f>
        <v>0.55155676898044737</v>
      </c>
      <c r="E12" s="161"/>
      <c r="F12" s="174"/>
      <c r="G12" s="166"/>
      <c r="H12" s="166"/>
    </row>
    <row r="13" spans="1:8" ht="15" thickBot="1">
      <c r="G13" s="166"/>
      <c r="H13" s="166"/>
    </row>
    <row r="14" spans="1:8" ht="18">
      <c r="B14" s="45" t="s">
        <v>83</v>
      </c>
      <c r="C14" s="46"/>
      <c r="D14" s="46"/>
      <c r="E14" s="46"/>
      <c r="F14" s="47"/>
      <c r="G14" s="166"/>
      <c r="H14" s="166"/>
    </row>
    <row r="15" spans="1:8" ht="16.2">
      <c r="B15" s="5" t="s">
        <v>221</v>
      </c>
      <c r="C15" s="9" t="s">
        <v>219</v>
      </c>
      <c r="D15" s="8">
        <f>SQRT(IM_nega_OPP_min^2+2*(PO_FL*OPP*0.01/ηXFMR)*(1/(fsw_OPP_min*1000*LM*10^-6)))</f>
        <v>2.2379809980838696</v>
      </c>
      <c r="E15" s="41" t="s">
        <v>50</v>
      </c>
      <c r="F15" s="173"/>
      <c r="G15" s="166"/>
      <c r="H15" s="166"/>
    </row>
    <row r="16" spans="1:8" ht="16.2">
      <c r="B16" s="7" t="s">
        <v>234</v>
      </c>
      <c r="C16" s="9" t="s">
        <v>220</v>
      </c>
      <c r="D16" s="8">
        <f>IF(Vin_type="AC",-SQRT(CSW_T_nor*(10^-12)/(LM*(10^-6)))*1.414159*VINPUT_Brownout,-SQRT(CSW_T_nor*(10^-12)/(LM*(10^-6)))*VINPUT_Brownout)</f>
        <v>-0.160149619572483</v>
      </c>
      <c r="E16" s="41" t="s">
        <v>50</v>
      </c>
      <c r="F16" s="173"/>
      <c r="G16" s="169"/>
    </row>
    <row r="17" spans="2:11" ht="16.2">
      <c r="B17" s="5" t="s">
        <v>104</v>
      </c>
      <c r="C17" s="9" t="s">
        <v>89</v>
      </c>
      <c r="D17" s="8">
        <f>IF(Vin_type="AC",(VINPUT_Brownout*1.414*DOPP_min^2)/(2*(LM*10^-6)*IIN_OPP_min-DOPP_min*(LM*10^-6)*(IM_nega_OPP_min)+DOPP_min*VINPUT_Brownout*1.414*0.5*3.141*SQRT((LM*10^-6)*(CSW_T_nor*10^-12)))/1000,(VINPUT_Brownout*DOPP_min^2)/(2*(LM*10^-6)*IIN_OPP_min-DOPP_min*(LM*10^-6)*(IM_nega_OPP_min)+DOPP_min*VINPUT_Brownout*0.5*3.141*SQRT((LM*10^-6)*(CSW_T_nor*10^-12)))/1000)</f>
        <v>87.800082293567002</v>
      </c>
      <c r="E17" s="41" t="s">
        <v>15</v>
      </c>
      <c r="F17" s="173"/>
      <c r="G17" s="166"/>
    </row>
    <row r="18" spans="2:11" ht="16.2">
      <c r="B18" s="5" t="s">
        <v>106</v>
      </c>
      <c r="C18" s="9" t="s">
        <v>90</v>
      </c>
      <c r="D18" s="8">
        <f>IF(Vin_type="AC",PO_FL*OPP*0.01/(ηXFMR*VINPUT_Brownout*1.414),PO_FL*OPP*0.01/(ηXFMR*VINPUT_Brownout))</f>
        <v>0.60779061143411361</v>
      </c>
      <c r="E18" s="41" t="s">
        <v>50</v>
      </c>
      <c r="F18" s="173"/>
      <c r="G18" s="166"/>
    </row>
    <row r="19" spans="2:11" ht="16.2">
      <c r="B19" s="10" t="s">
        <v>296</v>
      </c>
      <c r="C19" s="9" t="s">
        <v>92</v>
      </c>
      <c r="D19" s="8">
        <f>IF(Vin_type="AC",(NPS*(VOUT+Vf_SR))/(VINPUT_Brownout*1.414+NPS*(VOUT+Vf_SR)),(NPS*(VOUT+Vf_SR))/(VINPUT_Brownout+NPS*(VOUT+Vf_SR)))</f>
        <v>0.59707498933474812</v>
      </c>
      <c r="E19" s="163"/>
      <c r="F19" s="174"/>
      <c r="G19" s="166"/>
    </row>
    <row r="20" spans="2:11" ht="16.2">
      <c r="B20" s="10" t="s">
        <v>103</v>
      </c>
      <c r="C20" s="9" t="s">
        <v>93</v>
      </c>
      <c r="D20" s="8">
        <f>IF(Vin_type="AC",ipk_OPP_min*LM/(VINPUT_Brownout*1.414),ipk_OPP_min*LM/(VINPUT_Brownout))</f>
        <v>6.2181661220723328</v>
      </c>
      <c r="E20" s="165" t="s">
        <v>53</v>
      </c>
      <c r="F20" s="173"/>
      <c r="G20" s="166"/>
    </row>
    <row r="21" spans="2:11" ht="16.2">
      <c r="B21" s="10" t="s">
        <v>109</v>
      </c>
      <c r="C21" s="11" t="s">
        <v>108</v>
      </c>
      <c r="D21" s="12">
        <f>COSS_QL_bg+COSS_QH_sm+CTr+CBootD_T+(COSS_SR_H+Vf_Daux)/NPS^2</f>
        <v>5043.21</v>
      </c>
      <c r="E21" s="163" t="s">
        <v>94</v>
      </c>
      <c r="F21" s="175"/>
      <c r="G21" s="166"/>
    </row>
    <row r="22" spans="2:11" ht="16.8" thickBot="1">
      <c r="B22" s="6" t="s">
        <v>107</v>
      </c>
      <c r="C22" s="3" t="s">
        <v>96</v>
      </c>
      <c r="D22" s="4">
        <f>TD_CS_filter+tD_CS+TD_LDr</f>
        <v>265</v>
      </c>
      <c r="E22" s="164" t="s">
        <v>97</v>
      </c>
      <c r="F22" s="173"/>
      <c r="G22" s="169"/>
    </row>
    <row r="23" spans="2:11" ht="15" thickBot="1">
      <c r="G23" s="166"/>
    </row>
    <row r="24" spans="2:11" ht="15.6">
      <c r="B24" s="45" t="s">
        <v>110</v>
      </c>
      <c r="C24" s="46"/>
      <c r="D24" s="46"/>
      <c r="E24" s="46"/>
      <c r="F24" s="47"/>
      <c r="G24" s="166"/>
    </row>
    <row r="25" spans="2:11" ht="16.2">
      <c r="B25" s="5" t="s">
        <v>239</v>
      </c>
      <c r="C25" s="9" t="s">
        <v>240</v>
      </c>
      <c r="D25" s="8">
        <f>SQRT(IM_nega_max^2+2*(PO_FL*OPP*0.01/ηXFMR)*(1/(fsw_OPP_max*1000*LM*10^-6)))</f>
        <v>1.6907290567388622</v>
      </c>
      <c r="E25" s="41" t="s">
        <v>50</v>
      </c>
      <c r="F25" s="173"/>
      <c r="G25" s="166"/>
      <c r="H25" s="287"/>
      <c r="I25" s="31"/>
      <c r="J25" s="31"/>
      <c r="K25" s="31"/>
    </row>
    <row r="26" spans="2:11" ht="16.2">
      <c r="B26" s="5" t="s">
        <v>112</v>
      </c>
      <c r="C26" s="9" t="s">
        <v>111</v>
      </c>
      <c r="D26" s="8">
        <f>IF(Vin_type="AC",-SQRT(CSW_T_nor*0.57*(10^-12)/(LM*(10^-6)))*1.414*VINPUT_max,-SQRT(CSW_T_nor*0.57*(10^-12)/(LM*(10^-6)))*VINPUT_max)</f>
        <v>-0.26123570287294251</v>
      </c>
      <c r="E26" s="41" t="s">
        <v>50</v>
      </c>
      <c r="F26" s="173"/>
      <c r="G26" s="166"/>
      <c r="H26" s="166"/>
    </row>
    <row r="27" spans="2:11" ht="16.2">
      <c r="B27" s="5" t="s">
        <v>113</v>
      </c>
      <c r="C27" s="9" t="s">
        <v>114</v>
      </c>
      <c r="D27" s="8">
        <f>IF(Vin_type="AC",(VINPUT_max*1.414*DOPP_max^2)/(2*(LM*10^-6)*IIN_OPP_max-DOPP_min*(LM*10^-6)*(IM_nega_max)+DOPP_max*VINPUT_Brownout*1.414*0.5*3.141*SQRT((LM*10^-6)*(CSW_T_nor*10^-12)))/1000,(VINPUT_max*DOPP_max^2)/(2*(LM*10^-6)*IIN_OPP_max-DOPP_min*(LM*10^-6)*(IM_nega_max)+DOPP_max*VINPUT_Brownout*0.5*3.141*SQRT((LM*10^-6)*(CSW_T_nor*10^-12)))/1000)</f>
        <v>156.7920159525116</v>
      </c>
      <c r="E27" s="41" t="s">
        <v>15</v>
      </c>
      <c r="F27" s="173"/>
      <c r="G27" s="166"/>
      <c r="H27" s="166"/>
    </row>
    <row r="28" spans="2:11" ht="16.2">
      <c r="B28" s="10" t="s">
        <v>297</v>
      </c>
      <c r="C28" s="9" t="s">
        <v>115</v>
      </c>
      <c r="D28" s="8">
        <f>IF(Vin_type="AC",(NPS*(VOUT+Vf_SR))/(VINPUT_max*1.414+NPS*(VOUT+Vf_SR)),(NPS*(VOUT+Vf_SR))/(VINPUT_max+NPS*(VOUT+Vf_SR)))</f>
        <v>0.40680379344537393</v>
      </c>
      <c r="E28" s="41"/>
      <c r="F28" s="174"/>
      <c r="G28" s="166"/>
      <c r="H28" s="166"/>
    </row>
    <row r="29" spans="2:11" ht="16.2">
      <c r="B29" s="5" t="s">
        <v>116</v>
      </c>
      <c r="C29" s="9" t="s">
        <v>117</v>
      </c>
      <c r="D29" s="8">
        <f>IF(Vin_type="AC",PO_FL*OPP*0.01/(ηXFMR*VINPUT_max*1.414),PO_FL*OPP*0.01/(ηXFMR*VINPUT_max))</f>
        <v>0.28127812781278128</v>
      </c>
      <c r="E29" s="41" t="s">
        <v>50</v>
      </c>
      <c r="F29" s="173"/>
      <c r="G29" s="166"/>
      <c r="H29" s="166"/>
    </row>
    <row r="30" spans="2:11" ht="16.2">
      <c r="B30" s="15" t="s">
        <v>125</v>
      </c>
      <c r="C30" s="9" t="s">
        <v>119</v>
      </c>
      <c r="D30" s="8">
        <f>IF(Vin_type="AC",VCST_OPP4-ipk_OPP_max*RCS+VINPUT_max*1.414*RCS*(tD_CST*10^-9)/(LM*10^-6)+0.001*Vhys_CS,VCST_OPP4-ipk_OPP_max*RCS+VINPUT_max*RCS*(tD_CST*10^-9)/(LM*10^-6)+0.001*Vhys_CS)</f>
        <v>-0.68347891755414669</v>
      </c>
      <c r="E30" s="163" t="s">
        <v>95</v>
      </c>
      <c r="F30" s="174"/>
      <c r="G30" s="166"/>
      <c r="H30" s="166"/>
    </row>
    <row r="31" spans="2:11" ht="16.2">
      <c r="B31" s="10" t="s">
        <v>146</v>
      </c>
      <c r="C31" s="9" t="s">
        <v>147</v>
      </c>
      <c r="D31" s="8">
        <f>IF(Vin_type="AC",(((VINPUT_max*1.414-VR_pri_max-VLk_pri_max)*NA/NP-Vs_clamp)/(RVS_1*1000)-Vs_clamp/(RVS_2*1000))*10^3,(((VINPUT_max-VR_pri_max-VLk_pri_max)*NA/NP-Vs_clamp)/(RVS_1*1000)-Vs_clamp/(RVS_2*1000))*10^3)</f>
        <v>0.61785833917186617</v>
      </c>
      <c r="E31" s="165" t="s">
        <v>123</v>
      </c>
      <c r="F31" s="174"/>
      <c r="G31" s="166"/>
      <c r="H31" s="166"/>
    </row>
    <row r="32" spans="2:11" ht="16.2">
      <c r="B32" s="10" t="s">
        <v>126</v>
      </c>
      <c r="C32" s="11" t="s">
        <v>120</v>
      </c>
      <c r="D32" s="12">
        <f>ipk_OPP_max*(RDSon_QL+VCST_OPP1/ipk_OPP_min+Rpri_dc)</f>
        <v>0.92668655200742289</v>
      </c>
      <c r="E32" s="163" t="s">
        <v>95</v>
      </c>
      <c r="F32" s="174"/>
      <c r="G32" s="166"/>
      <c r="H32" s="166"/>
    </row>
    <row r="33" spans="2:8" ht="16.8" thickBot="1">
      <c r="B33" s="6" t="s">
        <v>810</v>
      </c>
      <c r="C33" s="3" t="s">
        <v>121</v>
      </c>
      <c r="D33" s="4">
        <f>IF(Vin_type="AC",VINPUT_max*1.414*LK_actual/LM,VINPUT_max*LK_actual/LM)</f>
        <v>1.94425</v>
      </c>
      <c r="E33" s="164" t="s">
        <v>95</v>
      </c>
      <c r="F33" s="174"/>
      <c r="G33" s="166"/>
      <c r="H33" s="166"/>
    </row>
    <row r="34" spans="2:8" ht="15" thickBot="1">
      <c r="G34" s="166"/>
      <c r="H34" s="166"/>
    </row>
    <row r="35" spans="2:8" ht="15.6">
      <c r="B35" s="45" t="s">
        <v>139</v>
      </c>
      <c r="C35" s="46"/>
      <c r="D35" s="46"/>
      <c r="E35" s="46"/>
      <c r="F35" s="47"/>
      <c r="G35" s="166"/>
      <c r="H35" s="166"/>
    </row>
    <row r="36" spans="2:8" ht="16.2">
      <c r="B36" s="5" t="s">
        <v>150</v>
      </c>
      <c r="C36" s="9" t="s">
        <v>140</v>
      </c>
      <c r="D36" s="8">
        <f>SQRT(IM_nega_BUR^2+2*(PO_FL*BUR*0.01/ηXFMR)*(1/(fsw_BUR*1000*LM*10^-6)))</f>
        <v>0.7244939182001412</v>
      </c>
      <c r="E36" s="41" t="s">
        <v>50</v>
      </c>
      <c r="F36" s="173"/>
      <c r="G36" s="166"/>
      <c r="H36" s="166"/>
    </row>
    <row r="37" spans="2:8" ht="16.2">
      <c r="B37" s="7" t="s">
        <v>151</v>
      </c>
      <c r="C37" s="9" t="s">
        <v>141</v>
      </c>
      <c r="D37" s="8">
        <f>IF(Vin_type="AC",-SQRT(CSW_T_nor*0.57*(10^-12)/(LM*(10^-6)))*1.414*VINPUT_BUR,-SQRT(CSW_T_nor*0.57*(10^-12)/(LM*(10^-6)))*VINPUT_BUR)</f>
        <v>-0.26123570287294251</v>
      </c>
      <c r="E37" s="41" t="s">
        <v>50</v>
      </c>
      <c r="F37" s="173"/>
      <c r="G37" s="166"/>
      <c r="H37" s="166"/>
    </row>
    <row r="38" spans="2:8" ht="16.2">
      <c r="B38" s="5" t="s">
        <v>152</v>
      </c>
      <c r="C38" s="9" t="s">
        <v>142</v>
      </c>
      <c r="D38" s="8">
        <f>IF(Vin_type="AC",(VINPUT_BUR*1.414*DBUR^2)/(2*(LM*10^-6)*IIN_BUR-DBUR*(LM*10^-6)*(IM_nega_BUR)+DBUR*VINPUT_BUR*1.414*0.5*3.141*SQRT((LM*10^-6)*(CSW_T_nor*10^-12)))/1000,(VINPUT_BUR*DBUR^2)/(2*(LM*10^-6)*IIN_BUR-DBUR*(LM*10^-6)*(IM_nega_BUR)+DBUR*VINPUT_BUR*0.5*3.141*SQRT((LM*10^-6)*(CSW_T_nor*10^-12)))/1000)</f>
        <v>266.13048141897571</v>
      </c>
      <c r="E38" s="41" t="s">
        <v>15</v>
      </c>
      <c r="F38" s="173"/>
      <c r="G38" s="166"/>
      <c r="H38" s="166"/>
    </row>
    <row r="39" spans="2:8" ht="16.2">
      <c r="B39" s="10" t="s">
        <v>298</v>
      </c>
      <c r="C39" s="9" t="s">
        <v>143</v>
      </c>
      <c r="D39" s="8">
        <f>IF(Vin_type="AC",(NPS*(VOUT+Vf_SR))/(VINPUT_BUR*1.414+NPS*(VOUT+Vf_SR)),(NPS*(VOUT+Vf_SR))/(VINPUT_BUR+NPS*(VOUT+Vf_SR)))</f>
        <v>0.40680379344537393</v>
      </c>
      <c r="E39" s="41"/>
      <c r="F39" s="174"/>
      <c r="G39" s="166"/>
      <c r="H39" s="166"/>
    </row>
    <row r="40" spans="2:8" ht="16.2">
      <c r="B40" s="5" t="s">
        <v>153</v>
      </c>
      <c r="C40" s="9" t="s">
        <v>144</v>
      </c>
      <c r="D40" s="8">
        <f>IF(Vin_type="AC",PO_FL*BUR*0.01/(ηXFMR*VINPUT_BUR*1.414),PO_FL*BUR*0.01/(ηXFMR*VINPUT_BUR))</f>
        <v>7.8132813281328137E-2</v>
      </c>
      <c r="E40" s="41" t="s">
        <v>50</v>
      </c>
      <c r="F40" s="173"/>
      <c r="G40" s="166"/>
      <c r="H40" s="166"/>
    </row>
    <row r="41" spans="2:8" ht="16.8" thickBot="1">
      <c r="B41" s="6" t="s">
        <v>154</v>
      </c>
      <c r="C41" s="3" t="s">
        <v>148</v>
      </c>
      <c r="D41" s="4">
        <f>IF(Vin_type="AC",(((VINPUT_BUR*1.414-VR_pri_max-VLk_pri_max)*NA/NP-Vs_clamp)/(RVS_1*1000)-Vs_clamp/(RVS_2*1000))*10^3,(((VINPUT_BUR-VR_pri_max-VLk_pri_max)*NA/NP-Vs_clamp)/(RVS_1*1000)-Vs_clamp/(RVS_2*1000))*10^3)</f>
        <v>0.61785833917186617</v>
      </c>
      <c r="E41" s="42" t="s">
        <v>123</v>
      </c>
      <c r="F41" s="174"/>
      <c r="G41" s="166"/>
      <c r="H41" s="166"/>
    </row>
    <row r="42" spans="2:8" ht="15" thickBot="1">
      <c r="G42" s="166"/>
      <c r="H42" s="166"/>
    </row>
    <row r="43" spans="2:8" ht="15.6">
      <c r="B43" s="45" t="s">
        <v>164</v>
      </c>
      <c r="C43" s="46"/>
      <c r="D43" s="46"/>
      <c r="E43" s="46"/>
      <c r="F43" s="47"/>
      <c r="G43" s="166"/>
      <c r="H43" s="166"/>
    </row>
    <row r="44" spans="2:8" ht="16.8" thickBot="1">
      <c r="B44" s="6" t="s">
        <v>393</v>
      </c>
      <c r="C44" s="3" t="s">
        <v>394</v>
      </c>
      <c r="D44" s="4">
        <f>IF(Vin_type="AC",((CSW_T_nor*0.7*10^-12)*(VINPUT_max*1.414+NPS*VOUT)/ipk_BUR)*10^9,((CSW_T_nor*0.7*10^-12)*(VINPUT_max+NPS*VOUT)/ipk_BUR)*10^9)</f>
        <v>250.75121085035019</v>
      </c>
      <c r="E44" s="42" t="s">
        <v>395</v>
      </c>
      <c r="F44" s="43"/>
      <c r="G44" s="166"/>
      <c r="H44" s="166"/>
    </row>
    <row r="45" spans="2:8" ht="15" thickBot="1">
      <c r="G45" s="166"/>
      <c r="H45" s="166"/>
    </row>
    <row r="46" spans="2:8" ht="15.6">
      <c r="B46" s="45" t="s">
        <v>177</v>
      </c>
      <c r="C46" s="46"/>
      <c r="D46" s="46"/>
      <c r="E46" s="46"/>
      <c r="F46" s="47"/>
      <c r="G46" s="166"/>
      <c r="H46" s="166"/>
    </row>
    <row r="47" spans="2:8" ht="16.8" thickBot="1">
      <c r="B47" s="5" t="s">
        <v>253</v>
      </c>
      <c r="C47" s="9" t="s">
        <v>243</v>
      </c>
      <c r="D47" s="8">
        <f>(RDSon_QL/(RDSon_QH+RDSon_QL))*((15-IVCC_qcc)/10^9)*10^9</f>
        <v>7.3</v>
      </c>
      <c r="E47" s="163" t="s">
        <v>244</v>
      </c>
      <c r="F47" s="176"/>
      <c r="G47" s="166"/>
      <c r="H47" s="166"/>
    </row>
    <row r="48" spans="2:8" ht="16.2">
      <c r="B48" s="5" t="s">
        <v>254</v>
      </c>
      <c r="C48" s="9" t="s">
        <v>247</v>
      </c>
      <c r="D48" s="8">
        <f>SQRT(IM_nega_BUR^2+2*(PO_FL*BUR*0.01/ηXFMR)*(1/(fsw_BUR_min*1000*LM*10^-6)))</f>
        <v>0.77372883094328615</v>
      </c>
      <c r="E48" s="41" t="s">
        <v>30</v>
      </c>
      <c r="F48" s="173"/>
      <c r="G48" s="166"/>
      <c r="H48" s="166"/>
    </row>
    <row r="49" spans="2:8" ht="30">
      <c r="B49" s="7" t="s">
        <v>255</v>
      </c>
      <c r="C49" s="9" t="s">
        <v>248</v>
      </c>
      <c r="D49" s="8">
        <f>IF(Vin_type="AC",-SQRT(CSW_T_nor*0.57*(10^-12)/(LM*(10^-6)))*1.414*VINPUT_Brownout,-SQRT(CSW_T_nor*0.57*(10^-12)/(LM*(10^-6)))*VINPUT_Brownout)</f>
        <v>-0.12089671679622964</v>
      </c>
      <c r="E49" s="41" t="s">
        <v>30</v>
      </c>
      <c r="F49" s="173"/>
      <c r="G49" s="166"/>
      <c r="H49" s="166"/>
    </row>
    <row r="50" spans="2:8" ht="16.2">
      <c r="B50" s="7" t="s">
        <v>256</v>
      </c>
      <c r="C50" s="9" t="s">
        <v>249</v>
      </c>
      <c r="D50" s="8">
        <f>IF(Vin_type="AC",(VINPUT_Brownout*1.414*DBUR_min^2)/(2*(LM*10^-6)*IIN_BUR_min-DBUR_min*(LM*10^-6)*(IM_nega_BUR_min)+DBUR_min*VINPUT_Brownout*1.414*0.5*3.141*SQRT((LM*10^-6)*(CSW_T_nor*10^-12)))/1000,(VINPUT_Brownout*DBUR_min^2)/(2*(LM*10^-6)*IIN_BUR_min-DBUR_min*(LM*10^-6)*(IM_nega_BUR_min)+DBUR_min*VINPUT_Brownout*0.5*3.141*SQRT((LM*10^-6)*(CSW_T_nor*10^-12)))/1000)</f>
        <v>229.11949455726409</v>
      </c>
      <c r="E50" s="41" t="s">
        <v>15</v>
      </c>
      <c r="F50" s="173"/>
      <c r="G50" s="166"/>
      <c r="H50" s="166"/>
    </row>
    <row r="51" spans="2:8" ht="16.2">
      <c r="B51" s="5" t="s">
        <v>299</v>
      </c>
      <c r="C51" s="9" t="s">
        <v>250</v>
      </c>
      <c r="D51" s="8">
        <f>IF(Vin_type="AC",(NPS*(VOUT+Vf_SR))/(VINPUT_Brownout*1.414+NPS*(VOUT+Vf_SR)),(NPS*(VOUT+Vf_SR))/(VINPUT_Brownout+NPS*(VOUT+Vf_SR)))</f>
        <v>0.59707498933474812</v>
      </c>
      <c r="E51" s="41"/>
      <c r="F51" s="174"/>
      <c r="G51" s="166"/>
      <c r="H51" s="166"/>
    </row>
    <row r="52" spans="2:8" ht="16.8" thickBot="1">
      <c r="B52" s="6" t="s">
        <v>257</v>
      </c>
      <c r="C52" s="3" t="s">
        <v>251</v>
      </c>
      <c r="D52" s="4">
        <f>IF(Vin_type="AC",PO_FL*BUR*0.01/(ηXFMR*VINPUT_Brownout*1.414),PO_FL*BUR*0.01/(ηXFMR*VINPUT_Brownout))</f>
        <v>0.16883072539836488</v>
      </c>
      <c r="E52" s="42" t="s">
        <v>30</v>
      </c>
      <c r="F52" s="173"/>
      <c r="G52" s="166"/>
      <c r="H52" s="166"/>
    </row>
    <row r="53" spans="2:8" ht="15" thickBot="1">
      <c r="G53" s="166"/>
      <c r="H53" s="166"/>
    </row>
    <row r="54" spans="2:8" ht="15.6">
      <c r="B54" s="45" t="s">
        <v>178</v>
      </c>
      <c r="C54" s="46"/>
      <c r="D54" s="46"/>
      <c r="E54" s="46"/>
      <c r="F54" s="47"/>
      <c r="G54" s="166"/>
      <c r="H54" s="166"/>
    </row>
    <row r="55" spans="2:8" ht="16.2">
      <c r="B55" s="5" t="s">
        <v>242</v>
      </c>
      <c r="C55" s="9" t="s">
        <v>241</v>
      </c>
      <c r="D55" s="8">
        <f>SQRT(IM_nega_start^2+2*(PO_FL*OPP*0.5*0.01*1.333/ηXFMR)*(1/(fsw_OPP_start*1000*LM*10^-6)))</f>
        <v>1.9836342158236051</v>
      </c>
      <c r="E55" s="41" t="s">
        <v>50</v>
      </c>
      <c r="F55" s="173"/>
      <c r="G55" s="166"/>
      <c r="H55" s="166"/>
    </row>
    <row r="56" spans="2:8" ht="30">
      <c r="B56" s="7" t="s">
        <v>194</v>
      </c>
      <c r="C56" s="9" t="s">
        <v>185</v>
      </c>
      <c r="D56" s="8">
        <f>IF(Vin_type="AC",-SQRT(CSW_T_nor*(10^-12)/(LM*(10^-6)))*(1.414159*VINPUT_Brownout+30),-SQRT(CSW_T_nor*(10^-12)/(LM*(10^-6)))*(VINPUT_Brownout+30))</f>
        <v>-0.2046417298046859</v>
      </c>
      <c r="E56" s="41" t="s">
        <v>50</v>
      </c>
      <c r="F56" s="173"/>
      <c r="G56" s="166"/>
      <c r="H56" s="166"/>
    </row>
    <row r="57" spans="2:8" ht="16.2">
      <c r="B57" s="5" t="s">
        <v>195</v>
      </c>
      <c r="C57" s="9" t="s">
        <v>186</v>
      </c>
      <c r="D57" s="8">
        <f>IF(Vin_type="AC",((VINPUT_Brownout*1.414+30)*DOPP_start^2)/(2*(LM*10^-6)*IIN_OPP_start-DOPP_start*(LM*10^-6)*(IM_nega_start)+DOPP_start*(VINPUT_Brownout*1.414+30)*0.5*3.141*SQRT((LM*10^-6)*(CSW_T_nor*10^-12)))/1000,((VINPUT_Brownout+30)*DOPP_start^2)/(2*(LM*10^-6)*IIN_OPP_start-DOPP_start*(LM*10^-6)*(IM_nega_start)+DOPP_start*(VINPUT_Brownout+30)*0.5*3.141*SQRT((LM*10^-6)*(CSW_T_nor*10^-12)))/1000)</f>
        <v>74.90348267580535</v>
      </c>
      <c r="E57" s="41" t="s">
        <v>15</v>
      </c>
      <c r="F57" s="173"/>
      <c r="G57" s="166"/>
      <c r="H57" s="166"/>
    </row>
    <row r="58" spans="2:8" ht="16.2">
      <c r="B58" s="5" t="s">
        <v>196</v>
      </c>
      <c r="C58" s="9" t="s">
        <v>187</v>
      </c>
      <c r="D58" s="8">
        <f>IF(Vin_type="AC",PO_FL*OPP*0.01*1.333*0.5/(ηXFMR*(VINPUT_Brownout*1.414+30)),PO_FL*OPP*0.01*1.333*0.5/(ηXFMR*(VINPUT_Brownout+30)))</f>
        <v>0.31701166039394363</v>
      </c>
      <c r="E58" s="41" t="s">
        <v>50</v>
      </c>
      <c r="F58" s="173"/>
      <c r="G58" s="166"/>
      <c r="H58" s="166"/>
    </row>
    <row r="59" spans="2:8" ht="16.2">
      <c r="B59" s="10" t="s">
        <v>300</v>
      </c>
      <c r="C59" s="9" t="s">
        <v>188</v>
      </c>
      <c r="D59" s="8">
        <f>IF(Vin_type="AC",(NPS*(VOUT/2+Vf_SR))/((VINPUT_Brownout*1.414+30)+NPS*(VOUT/2+Vf_SR)),(NPS*(VOUT/2+Vf_SR))/((VINPUT_Brownout+30)+NPS*(VOUT/2+Vf_SR)))</f>
        <v>0.36701786606270209</v>
      </c>
      <c r="E59" s="163"/>
      <c r="F59" s="174"/>
      <c r="G59" s="166"/>
      <c r="H59" s="166"/>
    </row>
    <row r="60" spans="2:8" ht="16.8" thickBot="1">
      <c r="B60" s="6" t="s">
        <v>197</v>
      </c>
      <c r="C60" s="3" t="s">
        <v>191</v>
      </c>
      <c r="D60" s="4">
        <f>(((15-IVCC_qcc)*10^-3)/10^6)*fsw_OPP_start*1000*10^3</f>
        <v>1.0935908470667584</v>
      </c>
      <c r="E60" s="164" t="s">
        <v>192</v>
      </c>
      <c r="F60" s="176"/>
      <c r="G60" s="166"/>
      <c r="H60" s="166"/>
    </row>
    <row r="61" spans="2:8" ht="15" thickBot="1">
      <c r="G61" s="166"/>
      <c r="H61" s="166"/>
    </row>
    <row r="62" spans="2:8" ht="15.6">
      <c r="B62" s="45" t="s">
        <v>203</v>
      </c>
      <c r="C62" s="46"/>
      <c r="D62" s="46"/>
      <c r="E62" s="46"/>
      <c r="F62" s="47"/>
      <c r="G62" s="166"/>
      <c r="H62" s="166"/>
    </row>
    <row r="63" spans="2:8" ht="16.2">
      <c r="B63" s="5" t="s">
        <v>232</v>
      </c>
      <c r="C63" s="9" t="s">
        <v>222</v>
      </c>
      <c r="D63" s="8">
        <f>SQRT(IM_nega_min^2+2*(PO_FL/ηXFMR)*(1/(fsw_min*LM*10^-6)))</f>
        <v>1.330604671129614</v>
      </c>
      <c r="E63" s="41" t="s">
        <v>30</v>
      </c>
      <c r="F63" s="173"/>
      <c r="G63" s="166"/>
      <c r="H63" s="166"/>
    </row>
    <row r="64" spans="2:8" ht="16.2">
      <c r="B64" s="5" t="s">
        <v>233</v>
      </c>
      <c r="C64" s="9" t="s">
        <v>223</v>
      </c>
      <c r="D64" s="8">
        <f>IF(Vin_type="AC",-SQRT(CSW_T_nor*(10^-12)/(LM*(10^-6)))*1.414159*VINPUT_Brownout,-SQRT(CSW_T_nor*(10^-12)/(LM*(10^-6)))*VINPUT_Brownout)</f>
        <v>-0.160149619572483</v>
      </c>
      <c r="E64" s="41" t="s">
        <v>30</v>
      </c>
      <c r="F64" s="173"/>
      <c r="G64" s="166"/>
      <c r="H64" s="166"/>
    </row>
    <row r="65" spans="2:8" ht="16.2">
      <c r="B65" s="5" t="s">
        <v>235</v>
      </c>
      <c r="C65" s="9" t="s">
        <v>224</v>
      </c>
      <c r="D65" s="8">
        <f>IF(Vin_type="AC",(VINPUT_Brownout*1.414*Dmin^2)/(2*(LM*10^-6)*IIN_min-Dmin*(LM*10^-6)*(IM_nega_min)+Dmin*VINPUT_Brownout*1.414*0.5*3.141*SQRT((LM*10^-6)*(CSW_T_nor*10^-12))),(VINPUT_Brownout*Dmin^2)/(2*(LM*10^-6)*IIN_min-Dmin*(LM*10^-6)*(IM_nega_min)+Dmin*VINPUT_Brownout*0.5*3.141*SQRT((LM*10^-6)*(CSW_T_nor*10^-12))))</f>
        <v>139297.95602794481</v>
      </c>
      <c r="E65" s="41" t="s">
        <v>51</v>
      </c>
      <c r="F65" s="173"/>
      <c r="G65" s="166"/>
      <c r="H65" s="166"/>
    </row>
    <row r="66" spans="2:8" ht="16.2">
      <c r="B66" s="5" t="s">
        <v>236</v>
      </c>
      <c r="C66" s="9" t="s">
        <v>225</v>
      </c>
      <c r="D66" s="8">
        <f>IF(Vin_type="AC",PO_FL/(ηXFMR*VINPUT_Brownout*1.414),PO_FL/(ηXFMR*VINPUT_Brownout))</f>
        <v>0.33766145079672977</v>
      </c>
      <c r="E66" s="41" t="s">
        <v>30</v>
      </c>
      <c r="F66" s="173"/>
      <c r="G66" s="166"/>
      <c r="H66" s="166"/>
    </row>
    <row r="67" spans="2:8" ht="16.2">
      <c r="B67" s="10" t="s">
        <v>301</v>
      </c>
      <c r="C67" s="9" t="s">
        <v>226</v>
      </c>
      <c r="D67" s="8">
        <f>IF(Vin_type="AC",(NPS*(VOUT+Vf_SR))/(VINPUT_Brownout*1.414+NPS*(VOUT+Vf_SR)),(NPS*(VOUT+Vf_SR))/(VINPUT_Brownout+NPS*(VOUT+Vf_SR)))</f>
        <v>0.59707498933474812</v>
      </c>
      <c r="E67" s="163"/>
      <c r="F67" s="174"/>
      <c r="G67" s="166"/>
      <c r="H67" s="166"/>
    </row>
    <row r="68" spans="2:8" ht="16.8" thickBot="1">
      <c r="B68" s="14" t="s">
        <v>231</v>
      </c>
      <c r="C68" s="3" t="s">
        <v>227</v>
      </c>
      <c r="D68" s="4">
        <f>IF(Vin_type="AC",(NPS*VINPUT_Brownout*1.414/(2*RCS*(VINPUT_Brownout*1.414+NPS*VOUT)))/(0.8*(COUT*10^-6)*(((VINPUT_Brownout*1.414*NPS^2*(ipk_min+IM_nega_min))/(2*(VINPUT_Brownout*1.414+NPS*VOUT)^2)+IOUT/VOUT)*RCO*10^-3+1)),(NPS*VINPUT_Brownout/(2*RCS*(VINPUT_Brownout+NPS*VOUT)))/(0.8*(COUT*10^-6)*(((VINPUT_Brownout*NPS^2*(ipk_min+IM_nega_min))/(2*(VINPUT_Brownout+NPS*VOUT)^2)+IOUT/VOUT)*RCO*10^-3+1)))</f>
        <v>2547.0798944329995</v>
      </c>
      <c r="E68" s="44"/>
      <c r="F68" s="174"/>
      <c r="G68" s="166"/>
      <c r="H68" s="166"/>
    </row>
    <row r="72" spans="2:8">
      <c r="C72" t="s">
        <v>407</v>
      </c>
    </row>
    <row r="73" spans="2:8">
      <c r="C73" t="s">
        <v>406</v>
      </c>
    </row>
    <row r="74" spans="2:8">
      <c r="C74" t="s">
        <v>600</v>
      </c>
    </row>
    <row r="75" spans="2:8">
      <c r="C75" t="s">
        <v>601</v>
      </c>
    </row>
  </sheetData>
  <sheetProtection selectLockedCells="1"/>
  <mergeCells count="1">
    <mergeCell ref="B2:F2"/>
  </mergeCells>
  <phoneticPr fontId="25" type="noConversion"/>
  <dataValidations count="1">
    <dataValidation type="list" showInputMessage="1" showErrorMessage="1" sqref="B76">
      <formula1>$C$73:$C$75</formula1>
    </dataValidation>
  </dataValidation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287</vt:i4>
      </vt:variant>
    </vt:vector>
  </HeadingPairs>
  <TitlesOfParts>
    <vt:vector size="293" baseType="lpstr">
      <vt:lpstr>Input Here</vt:lpstr>
      <vt:lpstr>Calculation</vt:lpstr>
      <vt:lpstr>Schematic and Values</vt:lpstr>
      <vt:lpstr>Secondary Resonance</vt:lpstr>
      <vt:lpstr>Burst Mode for USB-PD</vt:lpstr>
      <vt:lpstr>Hide Calculate</vt:lpstr>
      <vt:lpstr>_∆V_MIN</vt:lpstr>
      <vt:lpstr>_∆VO_ABM</vt:lpstr>
      <vt:lpstr>BUR</vt:lpstr>
      <vt:lpstr>Cboot</vt:lpstr>
      <vt:lpstr>CBootD_T</vt:lpstr>
      <vt:lpstr>CBULK</vt:lpstr>
      <vt:lpstr>CBULK_act</vt:lpstr>
      <vt:lpstr>CBULK_rec</vt:lpstr>
      <vt:lpstr>CBUR</vt:lpstr>
      <vt:lpstr>CBUR_act</vt:lpstr>
      <vt:lpstr>CBUR_rec</vt:lpstr>
      <vt:lpstr>Cclamp</vt:lpstr>
      <vt:lpstr>Cclamp_act</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COSS_QL_bg</vt:lpstr>
      <vt:lpstr>COSS_QL_sm</vt:lpstr>
      <vt:lpstr>COSS_Qs</vt:lpstr>
      <vt:lpstr>Coss_SR_bg</vt:lpstr>
      <vt:lpstr>COSS_SR_H</vt:lpstr>
      <vt:lpstr>Coss_SR_sm</vt:lpstr>
      <vt:lpstr>Coss_SR_T</vt:lpstr>
      <vt:lpstr>COUT</vt:lpstr>
      <vt:lpstr>COUT_act</vt:lpstr>
      <vt:lpstr>COUT_rec</vt:lpstr>
      <vt:lpstr>CREF</vt:lpstr>
      <vt:lpstr>CREF_act</vt:lpstr>
      <vt:lpstr>CREF_rec</vt:lpstr>
      <vt:lpstr>CSW_0toVx</vt:lpstr>
      <vt:lpstr>CSW_T_nor</vt:lpstr>
      <vt:lpstr>CSWS</vt:lpstr>
      <vt:lpstr>CSWS_act</vt:lpstr>
      <vt:lpstr>CSWS_rec</vt:lpstr>
      <vt:lpstr>CTr</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LK_actual</vt:lpstr>
      <vt:lpstr>LM</vt:lpstr>
      <vt:lpstr>LM_actual</vt:lpstr>
      <vt:lpstr>LM_recommended</vt:lpstr>
      <vt:lpstr>Lo</vt:lpstr>
      <vt:lpstr>LQs</vt:lpstr>
      <vt:lpstr>NA</vt:lpstr>
      <vt:lpstr>NA_max</vt:lpstr>
      <vt:lpstr>NA_min</vt:lpstr>
      <vt:lpstr>Na1_</vt:lpstr>
      <vt:lpstr>Na2_</vt:lpstr>
      <vt:lpstr>NP</vt:lpstr>
      <vt:lpstr>NPS</vt:lpstr>
      <vt:lpstr>NPS_min</vt:lpstr>
      <vt:lpstr>NS</vt:lpstr>
      <vt:lpstr>NS_</vt:lpstr>
      <vt:lpstr>NSS</vt:lpstr>
      <vt:lpstr>OPP</vt:lpstr>
      <vt:lpstr>OVP</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RBLEED_recc</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T_on_min</vt:lpstr>
      <vt:lpstr>tD_CS</vt:lpstr>
      <vt:lpstr>TD_CS_filter</vt:lpstr>
      <vt:lpstr>tD_CST</vt:lpstr>
      <vt:lpstr>TD_HDr</vt:lpstr>
      <vt:lpstr>TD_LDr</vt:lpstr>
      <vt:lpstr>tD_RUN_PWML</vt:lpstr>
      <vt:lpstr>TFDR</vt:lpstr>
      <vt:lpstr>THVG</vt:lpstr>
      <vt:lpstr>Trise_max</vt:lpstr>
      <vt:lpstr>TSS_max</vt:lpstr>
      <vt:lpstr>TZ_min</vt:lpstr>
      <vt:lpstr>Vbur1</vt:lpstr>
      <vt:lpstr>Vbur2</vt:lpstr>
      <vt:lpstr>VCE_sat_opto</vt:lpstr>
      <vt:lpstr>Vcin_rated</vt:lpstr>
      <vt:lpstr>Vclamp_max</vt:lpstr>
      <vt:lpstr>Vclamp_max_QH</vt:lpstr>
      <vt:lpstr>Vclamp_max_SR</vt:lpstr>
      <vt:lpstr>VCST_BUR</vt:lpstr>
      <vt:lpstr>VCST_max</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Vhys_CS</vt:lpstr>
      <vt:lpstr>VIN_LOW</vt:lpstr>
      <vt:lpstr>Vin_type</vt:lpstr>
      <vt:lpstr>VINPUT_Brownin</vt:lpstr>
      <vt:lpstr>VINPUT_Brownout</vt:lpstr>
      <vt:lpstr>VINPUT_BUR</vt:lpstr>
      <vt:lpstr>VINPUT_max</vt:lpstr>
      <vt:lpstr>VINPUT_nom</vt:lpstr>
      <vt:lpstr>VLk_pri_max</vt:lpstr>
      <vt:lpstr>Vo_drop</vt:lpstr>
      <vt:lpstr>Voffset_CS_OPP</vt:lpstr>
      <vt:lpstr>Vomax</vt:lpstr>
      <vt:lpstr>Vomin</vt:lpstr>
      <vt:lpstr>VOUT</vt:lpstr>
      <vt:lpstr>VR_pri_max</vt:lpstr>
      <vt:lpstr>Vref_431</vt:lpstr>
      <vt:lpstr>VRfl</vt:lpstr>
      <vt:lpstr>Vs_clamp</vt:lpstr>
      <vt:lpstr>VSR_actual</vt:lpstr>
      <vt:lpstr>Vth_Qs</vt:lpstr>
      <vt:lpstr>VVS_OVP</vt:lpstr>
      <vt:lpstr>Vx_SR</vt:lpstr>
      <vt:lpstr>Vxh</vt:lpstr>
      <vt:lpstr>Vxl</vt:lpstr>
      <vt:lpstr>ΔVCLAMP</vt:lpstr>
      <vt:lpstr>ΔVSPIKE</vt:lpstr>
      <vt:lpstr>η</vt:lpstr>
      <vt:lpstr>η_min</vt:lpstr>
      <vt:lpstr>ηXFMR</vt:lpstr>
    </vt:vector>
  </TitlesOfParts>
  <Company>Texas Instruments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FELAHI Mohamed</cp:lastModifiedBy>
  <cp:lastPrinted>2019-10-30T13:59:51Z</cp:lastPrinted>
  <dcterms:created xsi:type="dcterms:W3CDTF">2018-06-20T15:06:35Z</dcterms:created>
  <dcterms:modified xsi:type="dcterms:W3CDTF">2021-10-26T12:03:35Z</dcterms:modified>
</cp:coreProperties>
</file>