
<file path=[Content_Types].xml><?xml version="1.0" encoding="utf-8"?>
<Types xmlns="http://schemas.openxmlformats.org/package/2006/content-types">
  <Default Extension="vsd" ContentType="application/vnd.visio"/>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28B59D7B-B41F-4EC0-AFCE-AA2EA8E86D7F}" xr6:coauthVersionLast="36" xr6:coauthVersionMax="36" xr10:uidLastSave="{00000000-0000-0000-0000-000000000000}"/>
  <bookViews>
    <workbookView xWindow="0" yWindow="0" windowWidth="22260" windowHeight="12645" xr2:uid="{00000000-000D-0000-FFFF-FFFF00000000}"/>
  </bookViews>
  <sheets>
    <sheet name="Sheet1" sheetId="1" r:id="rId1"/>
  </sheets>
  <externalReferences>
    <externalReference r:id="rId2"/>
  </externalReferences>
  <definedNames>
    <definedName name="C_f1">'[1]Std. R and C Values'!$K$18</definedName>
    <definedName name="C_f2">'[1]Std. R and C Values'!$K$25</definedName>
    <definedName name="c_s1">'[1]Std. R and C Values'!$J$7</definedName>
    <definedName name="C_s2">'[1]Std. R and C Values'!$J$20</definedName>
    <definedName name="E96_f">'[1]Std. R and C Values'!$H$99</definedName>
    <definedName name="E96_s">'[1]Std. R and C Values'!$G$4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1" l="1"/>
  <c r="B108" i="1" l="1"/>
  <c r="B102" i="1"/>
  <c r="B101" i="1"/>
  <c r="B100" i="1"/>
  <c r="B99" i="1"/>
  <c r="B96" i="1"/>
  <c r="D93" i="1"/>
  <c r="C93" i="1"/>
  <c r="B104" i="1" s="1"/>
  <c r="C92" i="1"/>
  <c r="B103" i="1" s="1"/>
  <c r="C79" i="1"/>
  <c r="C74" i="1"/>
  <c r="C72" i="1"/>
  <c r="C77" i="1"/>
  <c r="E60" i="1"/>
  <c r="E67" i="1" s="1"/>
  <c r="D60" i="1"/>
  <c r="D67" i="1" s="1"/>
  <c r="C60" i="1"/>
  <c r="C78" i="1" s="1"/>
  <c r="C86" i="1" s="1"/>
  <c r="D86" i="1" s="1"/>
  <c r="C59" i="1"/>
  <c r="I44" i="1"/>
  <c r="I43" i="1"/>
  <c r="I42" i="1"/>
  <c r="B42" i="1"/>
  <c r="I41" i="1"/>
  <c r="B41" i="1"/>
  <c r="I40" i="1"/>
  <c r="B40" i="1"/>
  <c r="I39" i="1"/>
  <c r="B39" i="1"/>
  <c r="C58" i="1" s="1"/>
  <c r="I38" i="1"/>
  <c r="B38" i="1"/>
  <c r="I37" i="1"/>
  <c r="B37" i="1"/>
  <c r="C80" i="1" s="1"/>
  <c r="I36" i="1"/>
  <c r="B36" i="1"/>
  <c r="C63" i="1" s="1"/>
  <c r="I35" i="1"/>
  <c r="B35" i="1"/>
  <c r="I34" i="1"/>
  <c r="B34" i="1"/>
  <c r="I33" i="1"/>
  <c r="B33" i="1"/>
  <c r="I32" i="1"/>
  <c r="B32" i="1"/>
  <c r="I31" i="1"/>
  <c r="B31" i="1"/>
  <c r="C56" i="1" s="1"/>
  <c r="C68" i="1" l="1"/>
  <c r="C75" i="1" s="1"/>
  <c r="C61" i="1"/>
  <c r="C69" i="1"/>
  <c r="C81" i="1"/>
  <c r="C82" i="1" s="1"/>
  <c r="D82" i="1" s="1"/>
  <c r="D58" i="1"/>
  <c r="B98" i="1"/>
  <c r="C70" i="1"/>
  <c r="C84" i="1"/>
  <c r="D84" i="1" s="1"/>
  <c r="B97" i="1"/>
  <c r="C62" i="1"/>
  <c r="C73" i="1"/>
  <c r="C64" i="1"/>
  <c r="C65" i="1" s="1"/>
  <c r="C88" i="1"/>
  <c r="C67" i="1"/>
  <c r="C91" i="1" l="1"/>
  <c r="C90" i="1"/>
  <c r="C89" i="1"/>
  <c r="B105" i="1" s="1"/>
</calcChain>
</file>

<file path=xl/sharedStrings.xml><?xml version="1.0" encoding="utf-8"?>
<sst xmlns="http://schemas.openxmlformats.org/spreadsheetml/2006/main" count="200" uniqueCount="197">
  <si>
    <t>© 2009</t>
  </si>
  <si>
    <t>Creating an Inverting Power Supply from a Step-Down Regulator</t>
  </si>
  <si>
    <t>Application Note Calculator Tool - Rev. E</t>
  </si>
  <si>
    <t>SLVC211</t>
  </si>
  <si>
    <t>This worksheet is designed for use with Microsoft Excel 2002 or later.  It is intended to assist circuit designers in their</t>
  </si>
  <si>
    <t>routine, day-to-day calculations.  Additional worksheets may be added as they are completed.</t>
  </si>
  <si>
    <t xml:space="preserve">This worksheet can be modified and used with a variety of devices.  The initial values show an example using the </t>
  </si>
  <si>
    <t>TPS54060 and complement the SLVA317 application note.</t>
  </si>
  <si>
    <t>All worksheets contain yellow user-input cells and purple value-select cells that accept manual numeric input,</t>
  </si>
  <si>
    <t>light blue calculated cells, and light gray constants cells.</t>
  </si>
  <si>
    <t>Disclaimer:</t>
  </si>
  <si>
    <t>This product is designed as an aid for customers of Texas Instruments.  No warranties, either express</t>
  </si>
  <si>
    <t>or implied, with respect to this software or its fitness for any particular purpose is made by Texas</t>
  </si>
  <si>
    <t>Instruments or the author.  The software is licensed solely on an "as is" basis.  The entire risk as to its</t>
  </si>
  <si>
    <t>quality and performance is with the user.</t>
  </si>
  <si>
    <t>Device</t>
  </si>
  <si>
    <t>description</t>
  </si>
  <si>
    <t>Devices Supported</t>
  </si>
  <si>
    <t>vdevmax (V)</t>
  </si>
  <si>
    <t>maximum operating voltage</t>
  </si>
  <si>
    <t>User-Input Cells</t>
  </si>
  <si>
    <t>vdevmin (V)</t>
  </si>
  <si>
    <t>minimum operating voltage</t>
  </si>
  <si>
    <t>Calculated Cells</t>
  </si>
  <si>
    <t>devfreqmax (V)</t>
  </si>
  <si>
    <t>maximum switching frequency</t>
  </si>
  <si>
    <t>Constants Cells</t>
  </si>
  <si>
    <t>devfreqmin (V)</t>
  </si>
  <si>
    <t>minimum switching frequency</t>
  </si>
  <si>
    <t>ICLmin (A)</t>
  </si>
  <si>
    <t>minimum current limit</t>
  </si>
  <si>
    <t>tonmin (s)</t>
  </si>
  <si>
    <t>minimum controllable on time</t>
  </si>
  <si>
    <t>gmps (A/V)</t>
  </si>
  <si>
    <t>transconductance of power stage</t>
  </si>
  <si>
    <t>gmea (A/V)</t>
  </si>
  <si>
    <t>transconductance of error amplifier</t>
  </si>
  <si>
    <t>Vref (V)</t>
  </si>
  <si>
    <t xml:space="preserve">reference voltage </t>
  </si>
  <si>
    <t>Rhs (Ohm)</t>
  </si>
  <si>
    <t>maximum on resistance</t>
  </si>
  <si>
    <t>tr (s)</t>
  </si>
  <si>
    <t>switch turn on time</t>
  </si>
  <si>
    <t>tf (s)</t>
  </si>
  <si>
    <t>switch turn off time</t>
  </si>
  <si>
    <t>power supply requirements</t>
  </si>
  <si>
    <t>vo (V)</t>
  </si>
  <si>
    <t>power supply output voltage</t>
  </si>
  <si>
    <t>dVo(V)</t>
  </si>
  <si>
    <t>output ripple voltage requirement</t>
  </si>
  <si>
    <t>TPS54560</t>
  </si>
  <si>
    <t>vi (V)</t>
  </si>
  <si>
    <t>nominal input voltage</t>
  </si>
  <si>
    <t>vimax (V)</t>
  </si>
  <si>
    <t>maximum input voltage</t>
  </si>
  <si>
    <t>vimin (V)</t>
  </si>
  <si>
    <t>minimum input voltage</t>
  </si>
  <si>
    <t>Io (A)</t>
  </si>
  <si>
    <t>output current</t>
  </si>
  <si>
    <t>fsw (Hz)</t>
  </si>
  <si>
    <t>desired switching frequency</t>
  </si>
  <si>
    <t>tss (s)</t>
  </si>
  <si>
    <t>slow start time</t>
  </si>
  <si>
    <t>Rdc (Ohm)</t>
  </si>
  <si>
    <t>resistance of inductor</t>
  </si>
  <si>
    <t>Vfd (V)</t>
  </si>
  <si>
    <t>Vosc (V)</t>
  </si>
  <si>
    <t>output voltage during short circuit fault</t>
  </si>
  <si>
    <t>eq1</t>
  </si>
  <si>
    <t>maximum operating voltage supported by device</t>
  </si>
  <si>
    <t>R2 (Ohm)</t>
  </si>
  <si>
    <t>low side feedback resistor</t>
  </si>
  <si>
    <t>eq2</t>
  </si>
  <si>
    <t>R1 (Ohm)</t>
  </si>
  <si>
    <t>high side feedback resistor for adjusting output voltage</t>
  </si>
  <si>
    <t>eq3</t>
  </si>
  <si>
    <t>Vimin (V)</t>
  </si>
  <si>
    <t>minimum input voltage needs to be greater than the device minimum voltage</t>
  </si>
  <si>
    <t>eq4</t>
  </si>
  <si>
    <t>D  max, min, nom</t>
  </si>
  <si>
    <t>maximum, minimum, nominal duty cycle</t>
  </si>
  <si>
    <t>eq5</t>
  </si>
  <si>
    <t>Iomax (A)</t>
  </si>
  <si>
    <t>maximum output current supported by device current limit</t>
  </si>
  <si>
    <t>eq6</t>
  </si>
  <si>
    <t>fskipmax (Hz)</t>
  </si>
  <si>
    <t>maximum switching frequency to avoid pulse skipping</t>
  </si>
  <si>
    <t>eq7</t>
  </si>
  <si>
    <t>fshiftmax (Hz)</t>
  </si>
  <si>
    <t>maximum switching frequency to avoid overcurrent runaway in inductor</t>
  </si>
  <si>
    <t>eq8</t>
  </si>
  <si>
    <t>ILavg (A)</t>
  </si>
  <si>
    <t>average inductor current</t>
  </si>
  <si>
    <t>eq9</t>
  </si>
  <si>
    <t>Lo (H)</t>
  </si>
  <si>
    <t>calculated inductor value</t>
  </si>
  <si>
    <t>Lo_actual (H)</t>
  </si>
  <si>
    <t>actual inductor value</t>
  </si>
  <si>
    <t>eq10</t>
  </si>
  <si>
    <t>ILpeak (A)</t>
  </si>
  <si>
    <t>peak inductor current at maximum, minimum and nominal duty cycle.</t>
  </si>
  <si>
    <t>eq11</t>
  </si>
  <si>
    <t>ILrms (A)</t>
  </si>
  <si>
    <t xml:space="preserve">rms inductor current </t>
  </si>
  <si>
    <t>eq12</t>
  </si>
  <si>
    <t>Comin (F)</t>
  </si>
  <si>
    <t>minimum output capacitance</t>
  </si>
  <si>
    <t>eq13</t>
  </si>
  <si>
    <t>Rc (Ohm)</t>
  </si>
  <si>
    <t>maximum equivalent series resistance (esr) of output capacitor</t>
  </si>
  <si>
    <t>Co_actual (F)</t>
  </si>
  <si>
    <t>actual capacitor (note the capacitor is derated by 30%)</t>
  </si>
  <si>
    <t>actual esr</t>
  </si>
  <si>
    <t>eq14</t>
  </si>
  <si>
    <t>Icorms(A)</t>
  </si>
  <si>
    <t>rms current for output capacitor</t>
  </si>
  <si>
    <t>eq15</t>
  </si>
  <si>
    <t>Pdiode (W)</t>
  </si>
  <si>
    <t>power dissipated in diode</t>
  </si>
  <si>
    <t>eq16</t>
  </si>
  <si>
    <t>Pdevice (W)</t>
  </si>
  <si>
    <t>power dissipated in device</t>
  </si>
  <si>
    <t>eq17</t>
  </si>
  <si>
    <t>T(s)</t>
  </si>
  <si>
    <t>see app note</t>
  </si>
  <si>
    <t>eq18</t>
  </si>
  <si>
    <t>fz1 (Hz )</t>
  </si>
  <si>
    <t>esr zero of power stage</t>
  </si>
  <si>
    <t>eq19</t>
  </si>
  <si>
    <t>fz2 (Hz)</t>
  </si>
  <si>
    <t>rhp zero of power stage</t>
  </si>
  <si>
    <t>eq20</t>
  </si>
  <si>
    <t>fp1 (Hz)</t>
  </si>
  <si>
    <t>dominant pole of power stage</t>
  </si>
  <si>
    <t>eq21</t>
  </si>
  <si>
    <t>Kbb (V/V)</t>
  </si>
  <si>
    <t>dc gain of power stage</t>
  </si>
  <si>
    <t>eq22</t>
  </si>
  <si>
    <t>fco (Hz)</t>
  </si>
  <si>
    <t xml:space="preserve">initial crossover frequency </t>
  </si>
  <si>
    <t>eq23</t>
  </si>
  <si>
    <t>Rcomp (Ohm)</t>
  </si>
  <si>
    <t>compensation resistor</t>
  </si>
  <si>
    <t>Rcomp_actual</t>
  </si>
  <si>
    <t>actual compensation resistor</t>
  </si>
  <si>
    <t>eq24</t>
  </si>
  <si>
    <t>Czero (F)</t>
  </si>
  <si>
    <t>compensation capacitor for zero</t>
  </si>
  <si>
    <t>Czero_actual</t>
  </si>
  <si>
    <t>actual compensation capacitor for zero</t>
  </si>
  <si>
    <t>eq25</t>
  </si>
  <si>
    <t>Cpole (F)</t>
  </si>
  <si>
    <t>compensation capacitor for pole</t>
  </si>
  <si>
    <t>Cpole_actual</t>
  </si>
  <si>
    <t>actual compensation capacitor for pole</t>
  </si>
  <si>
    <t>eq26</t>
  </si>
  <si>
    <t>Iiavg (A)</t>
  </si>
  <si>
    <t>average input current</t>
  </si>
  <si>
    <t>eq27</t>
  </si>
  <si>
    <t>Ci (F)</t>
  </si>
  <si>
    <t>minimum input capacitor</t>
  </si>
  <si>
    <t>eq28</t>
  </si>
  <si>
    <t>ESRci (Ohm)</t>
  </si>
  <si>
    <t>maximum esr for input capacitor</t>
  </si>
  <si>
    <t>eq29</t>
  </si>
  <si>
    <t>Icirms (A)</t>
  </si>
  <si>
    <t>rms current for input capacitor</t>
  </si>
  <si>
    <t>eq30</t>
  </si>
  <si>
    <t>Css(F)</t>
  </si>
  <si>
    <t>slow start capacitor</t>
  </si>
  <si>
    <t>eq31</t>
  </si>
  <si>
    <t>RT (Ohm)</t>
  </si>
  <si>
    <t>timing resistance</t>
  </si>
  <si>
    <t>Summary of Components</t>
  </si>
  <si>
    <t>Lo</t>
  </si>
  <si>
    <t>Co</t>
  </si>
  <si>
    <t>R1</t>
  </si>
  <si>
    <t>R2</t>
  </si>
  <si>
    <t>Rcomp</t>
  </si>
  <si>
    <t>Cpole</t>
  </si>
  <si>
    <t>Czero</t>
  </si>
  <si>
    <t>Css</t>
  </si>
  <si>
    <t>RT</t>
  </si>
  <si>
    <t>Cin</t>
  </si>
  <si>
    <t>Cboot</t>
  </si>
  <si>
    <t>Cd</t>
  </si>
  <si>
    <t>U1</t>
  </si>
  <si>
    <t>D1</t>
  </si>
  <si>
    <t>4.22kohm</t>
    <phoneticPr fontId="1" type="noConversion"/>
  </si>
  <si>
    <t>0.15uf</t>
    <phoneticPr fontId="1" type="noConversion"/>
  </si>
  <si>
    <t>2700pf</t>
    <phoneticPr fontId="1" type="noConversion"/>
  </si>
  <si>
    <t>/</t>
    <phoneticPr fontId="1" type="noConversion"/>
  </si>
  <si>
    <t>87.1uf</t>
    <phoneticPr fontId="1" type="noConversion"/>
  </si>
  <si>
    <t>1ms</t>
    <phoneticPr fontId="1" type="noConversion"/>
  </si>
  <si>
    <t xml:space="preserve">forward voltage of diode </t>
    <phoneticPr fontId="1" type="noConversion"/>
  </si>
  <si>
    <t>0.75V</t>
    <phoneticPr fontId="1" type="noConversion"/>
  </si>
  <si>
    <t>TPS54260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</si>
</sst>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00000"/>
    <numFmt numFmtId="167" formatCode="0.00000"/>
    <numFmt numFmtId="168" formatCode="0.0000"/>
  </numFmts>
  <fonts count="11">
    <font>
      <sz val="11"/>
      <color theme="1"/>
      <name val="Calibri"/>
      <family val="2"/>
      <scheme val="minor"/>
    </font>
    <font>
      <sz val="9"/>
      <name val="Calibri"/>
      <family val="3"/>
      <charset val="134"/>
      <scheme val="minor"/>
    </font>
    <font>
      <b/>
      <sz val="24"/>
      <name val="Arial"/>
      <family val="2"/>
    </font>
    <font>
      <sz val="16"/>
      <name val="Arial"/>
      <family val="2"/>
    </font>
    <font>
      <sz val="10"/>
      <name val="Arial"/>
      <family val="2"/>
    </font>
    <font>
      <b/>
      <sz val="12"/>
      <name val="Arial"/>
      <family val="2"/>
    </font>
    <font>
      <sz val="10"/>
      <name val="Times New Roman"/>
      <family val="1"/>
    </font>
    <font>
      <sz val="10"/>
      <color indexed="18"/>
      <name val="Arial"/>
      <family val="2"/>
    </font>
    <font>
      <sz val="12"/>
      <name val="Arial"/>
      <family val="2"/>
    </font>
    <font>
      <sz val="10"/>
      <color indexed="8"/>
      <name val="Arial"/>
      <family val="2"/>
    </font>
    <font>
      <sz val="11"/>
      <color rgb="FFFF0000"/>
      <name val="Calibri"/>
      <family val="2"/>
      <scheme val="minor"/>
    </font>
  </fonts>
  <fills count="7">
    <fill>
      <patternFill patternType="none"/>
    </fill>
    <fill>
      <patternFill patternType="gray125"/>
    </fill>
    <fill>
      <patternFill patternType="solid">
        <fgColor indexed="34"/>
        <bgColor indexed="64"/>
      </patternFill>
    </fill>
    <fill>
      <patternFill patternType="solid">
        <fgColor indexed="13"/>
        <bgColor indexed="64"/>
      </patternFill>
    </fill>
    <fill>
      <patternFill patternType="solid">
        <fgColor indexed="10"/>
        <bgColor indexed="64"/>
      </patternFill>
    </fill>
    <fill>
      <patternFill patternType="solid">
        <fgColor indexed="22"/>
        <bgColor indexed="64"/>
      </patternFill>
    </fill>
    <fill>
      <patternFill patternType="solid">
        <fgColor indexed="15"/>
        <bgColor indexed="64"/>
      </patternFill>
    </fill>
  </fills>
  <borders count="17">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cellStyleXfs>
  <cellXfs count="6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2" fillId="2" borderId="4" xfId="0" applyFont="1" applyFill="1" applyBorder="1"/>
    <xf numFmtId="0" fontId="2" fillId="2" borderId="0" xfId="0" applyFont="1" applyFill="1"/>
    <xf numFmtId="0" fontId="2" fillId="2" borderId="5" xfId="0" applyFont="1" applyFill="1" applyBorder="1"/>
    <xf numFmtId="0" fontId="3" fillId="2" borderId="4" xfId="0" applyFont="1" applyFill="1" applyBorder="1"/>
    <xf numFmtId="0" fontId="3" fillId="2" borderId="0" xfId="0" applyFont="1" applyFill="1"/>
    <xf numFmtId="0" fontId="3" fillId="2" borderId="5" xfId="0" applyFont="1" applyFill="1" applyBorder="1"/>
    <xf numFmtId="0" fontId="4" fillId="2" borderId="0" xfId="0" applyFont="1" applyFill="1"/>
    <xf numFmtId="0" fontId="0" fillId="3"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5" fillId="2" borderId="0" xfId="0" applyFont="1" applyFill="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0" fontId="0" fillId="4" borderId="0" xfId="0" applyFill="1"/>
    <xf numFmtId="0" fontId="0" fillId="3" borderId="0" xfId="0" applyFill="1" applyAlignment="1" applyProtection="1">
      <alignment horizontal="center"/>
      <protection locked="0"/>
    </xf>
    <xf numFmtId="0" fontId="0" fillId="0" borderId="0" xfId="0" applyFill="1"/>
    <xf numFmtId="164" fontId="0" fillId="5" borderId="0" xfId="0" applyNumberFormat="1" applyFill="1"/>
    <xf numFmtId="0" fontId="6" fillId="3" borderId="0" xfId="0" applyFont="1" applyFill="1"/>
    <xf numFmtId="0" fontId="6" fillId="6" borderId="0" xfId="0" applyFont="1" applyFill="1"/>
    <xf numFmtId="0" fontId="0" fillId="5" borderId="0" xfId="0" applyFill="1"/>
    <xf numFmtId="0" fontId="6" fillId="5" borderId="0" xfId="0" applyFont="1" applyFill="1"/>
    <xf numFmtId="165" fontId="0" fillId="5" borderId="0" xfId="0" applyNumberFormat="1" applyFill="1"/>
    <xf numFmtId="166" fontId="0" fillId="5" borderId="0" xfId="0" applyNumberFormat="1" applyFill="1"/>
    <xf numFmtId="2" fontId="0" fillId="5" borderId="0" xfId="0" applyNumberFormat="1" applyFill="1"/>
    <xf numFmtId="0" fontId="7" fillId="0" borderId="0" xfId="0" applyFont="1"/>
    <xf numFmtId="11" fontId="0" fillId="5" borderId="0" xfId="0" applyNumberFormat="1" applyFill="1"/>
    <xf numFmtId="0" fontId="0" fillId="5" borderId="0" xfId="0" applyNumberFormat="1" applyFill="1"/>
    <xf numFmtId="0" fontId="0" fillId="3" borderId="0" xfId="0" applyFill="1" applyProtection="1">
      <protection locked="0"/>
    </xf>
    <xf numFmtId="165" fontId="0" fillId="3" borderId="0" xfId="0" applyNumberFormat="1" applyFill="1" applyProtection="1">
      <protection locked="0"/>
    </xf>
    <xf numFmtId="0" fontId="0" fillId="0" borderId="0" xfId="0" applyAlignment="1">
      <alignment horizontal="left"/>
    </xf>
    <xf numFmtId="0" fontId="0" fillId="0" borderId="0" xfId="0" applyFill="1" applyAlignment="1">
      <alignment horizontal="left"/>
    </xf>
    <xf numFmtId="164" fontId="0" fillId="3" borderId="0" xfId="0" applyNumberFormat="1" applyFill="1" applyProtection="1">
      <protection locked="0"/>
    </xf>
    <xf numFmtId="0" fontId="0" fillId="6" borderId="0" xfId="0" applyFill="1"/>
    <xf numFmtId="1" fontId="0" fillId="6" borderId="0" xfId="0" applyNumberFormat="1" applyFill="1"/>
    <xf numFmtId="165" fontId="0" fillId="6" borderId="0" xfId="0" applyNumberFormat="1" applyFill="1"/>
    <xf numFmtId="48" fontId="0" fillId="6" borderId="0" xfId="0" applyNumberFormat="1" applyFill="1"/>
    <xf numFmtId="48" fontId="0" fillId="3" borderId="0" xfId="0" applyNumberFormat="1" applyFill="1" applyProtection="1">
      <protection locked="0"/>
    </xf>
    <xf numFmtId="167" fontId="0" fillId="0" borderId="0" xfId="0" applyNumberFormat="1"/>
    <xf numFmtId="165" fontId="0" fillId="0" borderId="0" xfId="0" applyNumberFormat="1"/>
    <xf numFmtId="168" fontId="0" fillId="6" borderId="0" xfId="0" applyNumberFormat="1" applyFill="1"/>
    <xf numFmtId="164" fontId="0" fillId="6" borderId="0" xfId="0" applyNumberFormat="1" applyFill="1"/>
    <xf numFmtId="1" fontId="0" fillId="3" borderId="0" xfId="0" applyNumberFormat="1" applyFill="1" applyProtection="1">
      <protection locked="0"/>
    </xf>
    <xf numFmtId="2" fontId="0" fillId="6" borderId="0" xfId="0" applyNumberFormat="1" applyFill="1"/>
    <xf numFmtId="0" fontId="8" fillId="0" borderId="0" xfId="0" applyFont="1" applyFill="1"/>
    <xf numFmtId="0" fontId="9" fillId="4" borderId="0" xfId="0" applyFont="1" applyFill="1"/>
    <xf numFmtId="2" fontId="0" fillId="4" borderId="0" xfId="0" applyNumberFormat="1" applyFill="1"/>
    <xf numFmtId="0" fontId="0" fillId="0" borderId="0" xfId="0" applyNumberFormat="1" applyFill="1"/>
    <xf numFmtId="168" fontId="0" fillId="0" borderId="0" xfId="0" applyNumberFormat="1" applyFill="1"/>
    <xf numFmtId="11" fontId="0" fillId="0" borderId="0" xfId="0" applyNumberFormat="1" applyFill="1"/>
    <xf numFmtId="1" fontId="0" fillId="0" borderId="0" xfId="0" applyNumberFormat="1" applyFill="1"/>
    <xf numFmtId="0" fontId="0" fillId="0" borderId="0" xfId="0" applyAlignment="1">
      <alignment horizontal="right"/>
    </xf>
    <xf numFmtId="0" fontId="0" fillId="0" borderId="0" xfId="0" applyNumberFormat="1"/>
    <xf numFmtId="0" fontId="10" fillId="0" borderId="0" xfId="0" applyFont="1"/>
    <xf numFmtId="0" fontId="10" fillId="0" borderId="0" xfId="0" applyFont="1" applyAlignment="1">
      <alignment horizontal="right"/>
    </xf>
    <xf numFmtId="0" fontId="10" fillId="0"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95</xdr:row>
          <xdr:rowOff>9525</xdr:rowOff>
        </xdr:from>
        <xdr:to>
          <xdr:col>8</xdr:col>
          <xdr:colOff>495300</xdr:colOff>
          <xdr:row>115</xdr:row>
          <xdr:rowOff>76200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ueqi.wang/Desktop/P2HC_EVT1/EVT1&#20027;&#25511;&#26495;&#27979;&#35797;/SWIFTINV-CALC-RE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heetName val="data"/>
      <sheetName val="Std. R and C Values"/>
    </sheetNames>
    <sheetDataSet>
      <sheetData sheetId="0"/>
      <sheetData sheetId="1">
        <row r="4">
          <cell r="B4" t="str">
            <v>TPS54040</v>
          </cell>
          <cell r="C4">
            <v>42</v>
          </cell>
          <cell r="D4">
            <v>3.5</v>
          </cell>
          <cell r="E4">
            <v>100000</v>
          </cell>
          <cell r="F4">
            <v>2500000</v>
          </cell>
          <cell r="G4">
            <v>0.6</v>
          </cell>
          <cell r="H4">
            <v>1.9</v>
          </cell>
          <cell r="I4">
            <v>9.7E-5</v>
          </cell>
          <cell r="J4">
            <v>0.8</v>
          </cell>
          <cell r="K4">
            <v>0.41</v>
          </cell>
          <cell r="L4">
            <v>2.4999999999999999E-8</v>
          </cell>
          <cell r="M4">
            <v>2.4999999999999999E-8</v>
          </cell>
          <cell r="N4">
            <v>1.3E-7</v>
          </cell>
        </row>
        <row r="5">
          <cell r="B5" t="str">
            <v>TPS54060</v>
          </cell>
          <cell r="C5">
            <v>60</v>
          </cell>
          <cell r="D5">
            <v>3.5</v>
          </cell>
          <cell r="E5">
            <v>100000</v>
          </cell>
          <cell r="F5">
            <v>2500000</v>
          </cell>
          <cell r="G5">
            <v>0.6</v>
          </cell>
          <cell r="H5">
            <v>1.9</v>
          </cell>
          <cell r="I5">
            <v>9.7E-5</v>
          </cell>
          <cell r="J5">
            <v>0.8</v>
          </cell>
          <cell r="K5">
            <v>0.41</v>
          </cell>
          <cell r="L5">
            <v>2.4999999999999999E-8</v>
          </cell>
          <cell r="M5">
            <v>2.4999999999999999E-8</v>
          </cell>
          <cell r="N5">
            <v>1.3E-7</v>
          </cell>
        </row>
        <row r="6">
          <cell r="B6" t="str">
            <v>TPS54140</v>
          </cell>
          <cell r="C6">
            <v>42</v>
          </cell>
          <cell r="D6">
            <v>3.5</v>
          </cell>
          <cell r="E6">
            <v>100000</v>
          </cell>
          <cell r="F6">
            <v>2500000</v>
          </cell>
          <cell r="G6">
            <v>1.8</v>
          </cell>
          <cell r="H6">
            <v>6</v>
          </cell>
          <cell r="I6">
            <v>9.7E-5</v>
          </cell>
          <cell r="J6">
            <v>0.8</v>
          </cell>
          <cell r="K6">
            <v>0.41</v>
          </cell>
          <cell r="L6">
            <v>2.4999999999999999E-8</v>
          </cell>
          <cell r="M6">
            <v>2.4999999999999999E-8</v>
          </cell>
          <cell r="N6">
            <v>1.3E-7</v>
          </cell>
        </row>
        <row r="7">
          <cell r="B7" t="str">
            <v>TPS54160</v>
          </cell>
          <cell r="C7">
            <v>60</v>
          </cell>
          <cell r="D7">
            <v>3.5</v>
          </cell>
          <cell r="E7">
            <v>100000</v>
          </cell>
          <cell r="F7">
            <v>2500000</v>
          </cell>
          <cell r="G7">
            <v>1.8</v>
          </cell>
          <cell r="H7">
            <v>6</v>
          </cell>
          <cell r="I7">
            <v>9.7E-5</v>
          </cell>
          <cell r="J7">
            <v>0.8</v>
          </cell>
          <cell r="K7">
            <v>0.41</v>
          </cell>
          <cell r="L7">
            <v>2.4999999999999999E-8</v>
          </cell>
          <cell r="M7">
            <v>2.4999999999999999E-8</v>
          </cell>
          <cell r="N7">
            <v>1.3E-7</v>
          </cell>
        </row>
        <row r="8">
          <cell r="B8" t="str">
            <v>TPS54231</v>
          </cell>
          <cell r="C8">
            <v>28</v>
          </cell>
          <cell r="D8">
            <v>3.5</v>
          </cell>
          <cell r="E8">
            <v>570000</v>
          </cell>
          <cell r="F8">
            <v>570000</v>
          </cell>
          <cell r="G8">
            <v>2.2999999999999998</v>
          </cell>
          <cell r="H8">
            <v>9</v>
          </cell>
          <cell r="I8">
            <v>9.2E-5</v>
          </cell>
          <cell r="J8">
            <v>0.8</v>
          </cell>
          <cell r="K8">
            <v>0.15</v>
          </cell>
          <cell r="L8">
            <v>2.4999999999999999E-8</v>
          </cell>
          <cell r="M8">
            <v>2.4999999999999999E-8</v>
          </cell>
          <cell r="N8">
            <v>1.1000000000000001E-7</v>
          </cell>
        </row>
        <row r="9">
          <cell r="B9" t="str">
            <v>TPS54232</v>
          </cell>
          <cell r="C9">
            <v>28</v>
          </cell>
          <cell r="D9">
            <v>3.5</v>
          </cell>
          <cell r="E9">
            <v>1000000</v>
          </cell>
          <cell r="F9">
            <v>1000000</v>
          </cell>
          <cell r="G9">
            <v>2.2999999999999998</v>
          </cell>
          <cell r="H9">
            <v>10</v>
          </cell>
          <cell r="I9">
            <v>9.2E-5</v>
          </cell>
          <cell r="J9">
            <v>0.8</v>
          </cell>
          <cell r="K9">
            <v>0.15</v>
          </cell>
          <cell r="L9">
            <v>2.4999999999999999E-8</v>
          </cell>
          <cell r="M9">
            <v>2.4999999999999999E-8</v>
          </cell>
          <cell r="N9">
            <v>1.1000000000000001E-7</v>
          </cell>
        </row>
        <row r="10">
          <cell r="B10" t="str">
            <v>TPS54233</v>
          </cell>
          <cell r="C10">
            <v>28</v>
          </cell>
          <cell r="D10">
            <v>3.5</v>
          </cell>
          <cell r="E10">
            <v>300000</v>
          </cell>
          <cell r="F10">
            <v>300000</v>
          </cell>
          <cell r="G10">
            <v>2.2999999999999998</v>
          </cell>
          <cell r="H10">
            <v>9</v>
          </cell>
          <cell r="I10">
            <v>9.2E-5</v>
          </cell>
          <cell r="J10">
            <v>0.8</v>
          </cell>
          <cell r="K10">
            <v>0.15</v>
          </cell>
          <cell r="L10">
            <v>2.4999999999999999E-8</v>
          </cell>
          <cell r="M10">
            <v>2.4999999999999999E-8</v>
          </cell>
          <cell r="N10">
            <v>1.1000000000000001E-7</v>
          </cell>
        </row>
        <row r="11">
          <cell r="B11" t="str">
            <v>TPS54240</v>
          </cell>
          <cell r="C11">
            <v>42</v>
          </cell>
          <cell r="D11">
            <v>3.5</v>
          </cell>
          <cell r="E11">
            <v>100000</v>
          </cell>
          <cell r="F11">
            <v>2500000</v>
          </cell>
          <cell r="G11">
            <v>3.5</v>
          </cell>
          <cell r="H11">
            <v>10.5</v>
          </cell>
          <cell r="I11">
            <v>3.1E-4</v>
          </cell>
          <cell r="J11">
            <v>0.8</v>
          </cell>
          <cell r="K11">
            <v>0.41</v>
          </cell>
          <cell r="L11">
            <v>2.4999999999999999E-8</v>
          </cell>
          <cell r="M11">
            <v>2.4999999999999999E-8</v>
          </cell>
          <cell r="N11">
            <v>1.35E-7</v>
          </cell>
        </row>
        <row r="12">
          <cell r="B12" t="str">
            <v>TPS54260</v>
          </cell>
          <cell r="C12">
            <v>60</v>
          </cell>
          <cell r="D12">
            <v>3.5</v>
          </cell>
          <cell r="E12">
            <v>100000</v>
          </cell>
          <cell r="F12">
            <v>2500000</v>
          </cell>
          <cell r="G12">
            <v>3.5</v>
          </cell>
          <cell r="H12">
            <v>10.5</v>
          </cell>
          <cell r="I12">
            <v>3.1E-4</v>
          </cell>
          <cell r="J12">
            <v>0.8</v>
          </cell>
          <cell r="K12">
            <v>0.41</v>
          </cell>
          <cell r="L12">
            <v>2.4999999999999999E-8</v>
          </cell>
          <cell r="M12">
            <v>2.4999999999999999E-8</v>
          </cell>
          <cell r="N12">
            <v>1.35E-7</v>
          </cell>
        </row>
        <row r="13">
          <cell r="B13" t="str">
            <v>TPS54331</v>
          </cell>
          <cell r="C13">
            <v>28</v>
          </cell>
          <cell r="D13">
            <v>3.5</v>
          </cell>
          <cell r="E13">
            <v>570000</v>
          </cell>
          <cell r="F13">
            <v>570000</v>
          </cell>
          <cell r="G13">
            <v>3.5</v>
          </cell>
          <cell r="H13">
            <v>12</v>
          </cell>
          <cell r="I13">
            <v>9.2E-5</v>
          </cell>
          <cell r="J13">
            <v>0.8</v>
          </cell>
          <cell r="K13">
            <v>0.15</v>
          </cell>
          <cell r="L13">
            <v>2.4999999999999999E-8</v>
          </cell>
          <cell r="M13">
            <v>2.4999999999999999E-8</v>
          </cell>
          <cell r="N13">
            <v>1.1000000000000001E-7</v>
          </cell>
        </row>
        <row r="14">
          <cell r="B14" t="str">
            <v>TPS54332</v>
          </cell>
          <cell r="C14">
            <v>28</v>
          </cell>
          <cell r="D14">
            <v>3.5</v>
          </cell>
          <cell r="E14">
            <v>1000000</v>
          </cell>
          <cell r="F14">
            <v>1000000</v>
          </cell>
          <cell r="G14">
            <v>4.2</v>
          </cell>
          <cell r="H14">
            <v>12</v>
          </cell>
          <cell r="I14">
            <v>9.2E-5</v>
          </cell>
          <cell r="J14">
            <v>0.8</v>
          </cell>
          <cell r="K14">
            <v>0.15</v>
          </cell>
          <cell r="L14">
            <v>2.4999999999999999E-8</v>
          </cell>
          <cell r="M14">
            <v>2.4999999999999999E-8</v>
          </cell>
          <cell r="N14">
            <v>1.1000000000000001E-7</v>
          </cell>
        </row>
        <row r="15">
          <cell r="B15" t="str">
            <v>TPS54340</v>
          </cell>
          <cell r="C15">
            <v>42</v>
          </cell>
          <cell r="D15">
            <v>4.5</v>
          </cell>
          <cell r="E15">
            <v>100000</v>
          </cell>
          <cell r="F15">
            <v>2500000</v>
          </cell>
          <cell r="G15">
            <v>4.5</v>
          </cell>
          <cell r="H15">
            <v>12</v>
          </cell>
          <cell r="I15">
            <v>3.5E-4</v>
          </cell>
          <cell r="J15">
            <v>0.8</v>
          </cell>
          <cell r="K15">
            <v>0.19</v>
          </cell>
          <cell r="L15">
            <v>4.3800000000000002E-9</v>
          </cell>
          <cell r="M15">
            <v>4.3800000000000002E-9</v>
          </cell>
          <cell r="N15">
            <v>1.35E-7</v>
          </cell>
        </row>
        <row r="16">
          <cell r="B16" t="str">
            <v>TPS54360</v>
          </cell>
          <cell r="C16">
            <v>60</v>
          </cell>
          <cell r="D16">
            <v>4.5</v>
          </cell>
          <cell r="E16">
            <v>100000</v>
          </cell>
          <cell r="F16">
            <v>2500000</v>
          </cell>
          <cell r="G16">
            <v>4.5</v>
          </cell>
          <cell r="H16">
            <v>12</v>
          </cell>
          <cell r="I16">
            <v>3.5E-4</v>
          </cell>
          <cell r="J16">
            <v>0.8</v>
          </cell>
          <cell r="K16">
            <v>0.19</v>
          </cell>
          <cell r="L16">
            <v>4.3800000000000002E-9</v>
          </cell>
          <cell r="M16">
            <v>4.3800000000000002E-9</v>
          </cell>
          <cell r="N16">
            <v>1.35E-7</v>
          </cell>
        </row>
        <row r="17">
          <cell r="B17" t="str">
            <v>TPS54540</v>
          </cell>
          <cell r="C17">
            <v>42</v>
          </cell>
          <cell r="D17">
            <v>4.5</v>
          </cell>
          <cell r="E17">
            <v>100000</v>
          </cell>
          <cell r="F17">
            <v>2500000</v>
          </cell>
          <cell r="G17">
            <v>6.3</v>
          </cell>
          <cell r="H17">
            <v>17</v>
          </cell>
          <cell r="I17">
            <v>3.5E-4</v>
          </cell>
          <cell r="J17">
            <v>0.8</v>
          </cell>
          <cell r="K17">
            <v>0.19</v>
          </cell>
          <cell r="L17">
            <v>4.3800000000000002E-9</v>
          </cell>
          <cell r="M17">
            <v>4.3800000000000002E-9</v>
          </cell>
          <cell r="N17">
            <v>1.35E-7</v>
          </cell>
        </row>
        <row r="18">
          <cell r="B18" t="str">
            <v>TPS54560</v>
          </cell>
          <cell r="C18">
            <v>60</v>
          </cell>
          <cell r="D18">
            <v>4.5</v>
          </cell>
          <cell r="E18">
            <v>100000</v>
          </cell>
          <cell r="F18">
            <v>2500000</v>
          </cell>
          <cell r="G18">
            <v>6.3</v>
          </cell>
          <cell r="H18">
            <v>17</v>
          </cell>
          <cell r="I18">
            <v>3.5E-4</v>
          </cell>
          <cell r="J18">
            <v>0.8</v>
          </cell>
          <cell r="K18">
            <v>0.19</v>
          </cell>
          <cell r="L18">
            <v>4.3800000000000002E-9</v>
          </cell>
          <cell r="M18">
            <v>4.3800000000000002E-9</v>
          </cell>
          <cell r="N18">
            <v>1.35E-7</v>
          </cell>
        </row>
      </sheetData>
      <sheetData sheetId="2">
        <row r="4">
          <cell r="G4">
            <v>100</v>
          </cell>
        </row>
        <row r="7">
          <cell r="J7">
            <v>1</v>
          </cell>
        </row>
        <row r="18">
          <cell r="K18">
            <v>10</v>
          </cell>
        </row>
        <row r="20">
          <cell r="J20">
            <v>1</v>
          </cell>
        </row>
        <row r="25">
          <cell r="K25">
            <v>10</v>
          </cell>
        </row>
        <row r="99">
          <cell r="H99">
            <v>1000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Microsoft_Visio_2003-2010___.vsd"/><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9"/>
  <sheetViews>
    <sheetView tabSelected="1" topLeftCell="A34" workbookViewId="0">
      <selection activeCell="B54" sqref="B54"/>
    </sheetView>
  </sheetViews>
  <sheetFormatPr defaultRowHeight="15"/>
  <cols>
    <col min="1" max="1" width="11.5703125" customWidth="1"/>
    <col min="2" max="2" width="16.42578125" customWidth="1"/>
    <col min="3" max="3" width="10.85546875" bestFit="1" customWidth="1"/>
    <col min="4" max="4" width="10.42578125" customWidth="1"/>
    <col min="5" max="5" width="12.42578125" customWidth="1"/>
    <col min="6" max="6" width="11.28515625" customWidth="1"/>
    <col min="8" max="8" width="4.140625" customWidth="1"/>
    <col min="257" max="257" width="11.5703125" customWidth="1"/>
    <col min="258" max="258" width="16.42578125" customWidth="1"/>
    <col min="259" max="259" width="10.85546875" bestFit="1" customWidth="1"/>
    <col min="260" max="260" width="10.42578125" customWidth="1"/>
    <col min="262" max="262" width="11.28515625" customWidth="1"/>
    <col min="264" max="264" width="4.140625" customWidth="1"/>
    <col min="513" max="513" width="11.5703125" customWidth="1"/>
    <col min="514" max="514" width="16.42578125" customWidth="1"/>
    <col min="515" max="515" width="10.85546875" bestFit="1" customWidth="1"/>
    <col min="516" max="516" width="10.42578125" customWidth="1"/>
    <col min="518" max="518" width="11.28515625" customWidth="1"/>
    <col min="520" max="520" width="4.140625" customWidth="1"/>
    <col min="769" max="769" width="11.5703125" customWidth="1"/>
    <col min="770" max="770" width="16.42578125" customWidth="1"/>
    <col min="771" max="771" width="10.85546875" bestFit="1" customWidth="1"/>
    <col min="772" max="772" width="10.42578125" customWidth="1"/>
    <col min="774" max="774" width="11.28515625" customWidth="1"/>
    <col min="776" max="776" width="4.140625" customWidth="1"/>
    <col min="1025" max="1025" width="11.5703125" customWidth="1"/>
    <col min="1026" max="1026" width="16.42578125" customWidth="1"/>
    <col min="1027" max="1027" width="10.85546875" bestFit="1" customWidth="1"/>
    <col min="1028" max="1028" width="10.42578125" customWidth="1"/>
    <col min="1030" max="1030" width="11.28515625" customWidth="1"/>
    <col min="1032" max="1032" width="4.140625" customWidth="1"/>
    <col min="1281" max="1281" width="11.5703125" customWidth="1"/>
    <col min="1282" max="1282" width="16.42578125" customWidth="1"/>
    <col min="1283" max="1283" width="10.85546875" bestFit="1" customWidth="1"/>
    <col min="1284" max="1284" width="10.42578125" customWidth="1"/>
    <col min="1286" max="1286" width="11.28515625" customWidth="1"/>
    <col min="1288" max="1288" width="4.140625" customWidth="1"/>
    <col min="1537" max="1537" width="11.5703125" customWidth="1"/>
    <col min="1538" max="1538" width="16.42578125" customWidth="1"/>
    <col min="1539" max="1539" width="10.85546875" bestFit="1" customWidth="1"/>
    <col min="1540" max="1540" width="10.42578125" customWidth="1"/>
    <col min="1542" max="1542" width="11.28515625" customWidth="1"/>
    <col min="1544" max="1544" width="4.140625" customWidth="1"/>
    <col min="1793" max="1793" width="11.5703125" customWidth="1"/>
    <col min="1794" max="1794" width="16.42578125" customWidth="1"/>
    <col min="1795" max="1795" width="10.85546875" bestFit="1" customWidth="1"/>
    <col min="1796" max="1796" width="10.42578125" customWidth="1"/>
    <col min="1798" max="1798" width="11.28515625" customWidth="1"/>
    <col min="1800" max="1800" width="4.140625" customWidth="1"/>
    <col min="2049" max="2049" width="11.5703125" customWidth="1"/>
    <col min="2050" max="2050" width="16.42578125" customWidth="1"/>
    <col min="2051" max="2051" width="10.85546875" bestFit="1" customWidth="1"/>
    <col min="2052" max="2052" width="10.42578125" customWidth="1"/>
    <col min="2054" max="2054" width="11.28515625" customWidth="1"/>
    <col min="2056" max="2056" width="4.140625" customWidth="1"/>
    <col min="2305" max="2305" width="11.5703125" customWidth="1"/>
    <col min="2306" max="2306" width="16.42578125" customWidth="1"/>
    <col min="2307" max="2307" width="10.85546875" bestFit="1" customWidth="1"/>
    <col min="2308" max="2308" width="10.42578125" customWidth="1"/>
    <col min="2310" max="2310" width="11.28515625" customWidth="1"/>
    <col min="2312" max="2312" width="4.140625" customWidth="1"/>
    <col min="2561" max="2561" width="11.5703125" customWidth="1"/>
    <col min="2562" max="2562" width="16.42578125" customWidth="1"/>
    <col min="2563" max="2563" width="10.85546875" bestFit="1" customWidth="1"/>
    <col min="2564" max="2564" width="10.42578125" customWidth="1"/>
    <col min="2566" max="2566" width="11.28515625" customWidth="1"/>
    <col min="2568" max="2568" width="4.140625" customWidth="1"/>
    <col min="2817" max="2817" width="11.5703125" customWidth="1"/>
    <col min="2818" max="2818" width="16.42578125" customWidth="1"/>
    <col min="2819" max="2819" width="10.85546875" bestFit="1" customWidth="1"/>
    <col min="2820" max="2820" width="10.42578125" customWidth="1"/>
    <col min="2822" max="2822" width="11.28515625" customWidth="1"/>
    <col min="2824" max="2824" width="4.140625" customWidth="1"/>
    <col min="3073" max="3073" width="11.5703125" customWidth="1"/>
    <col min="3074" max="3074" width="16.42578125" customWidth="1"/>
    <col min="3075" max="3075" width="10.85546875" bestFit="1" customWidth="1"/>
    <col min="3076" max="3076" width="10.42578125" customWidth="1"/>
    <col min="3078" max="3078" width="11.28515625" customWidth="1"/>
    <col min="3080" max="3080" width="4.140625" customWidth="1"/>
    <col min="3329" max="3329" width="11.5703125" customWidth="1"/>
    <col min="3330" max="3330" width="16.42578125" customWidth="1"/>
    <col min="3331" max="3331" width="10.85546875" bestFit="1" customWidth="1"/>
    <col min="3332" max="3332" width="10.42578125" customWidth="1"/>
    <col min="3334" max="3334" width="11.28515625" customWidth="1"/>
    <col min="3336" max="3336" width="4.140625" customWidth="1"/>
    <col min="3585" max="3585" width="11.5703125" customWidth="1"/>
    <col min="3586" max="3586" width="16.42578125" customWidth="1"/>
    <col min="3587" max="3587" width="10.85546875" bestFit="1" customWidth="1"/>
    <col min="3588" max="3588" width="10.42578125" customWidth="1"/>
    <col min="3590" max="3590" width="11.28515625" customWidth="1"/>
    <col min="3592" max="3592" width="4.140625" customWidth="1"/>
    <col min="3841" max="3841" width="11.5703125" customWidth="1"/>
    <col min="3842" max="3842" width="16.42578125" customWidth="1"/>
    <col min="3843" max="3843" width="10.85546875" bestFit="1" customWidth="1"/>
    <col min="3844" max="3844" width="10.42578125" customWidth="1"/>
    <col min="3846" max="3846" width="11.28515625" customWidth="1"/>
    <col min="3848" max="3848" width="4.140625" customWidth="1"/>
    <col min="4097" max="4097" width="11.5703125" customWidth="1"/>
    <col min="4098" max="4098" width="16.42578125" customWidth="1"/>
    <col min="4099" max="4099" width="10.85546875" bestFit="1" customWidth="1"/>
    <col min="4100" max="4100" width="10.42578125" customWidth="1"/>
    <col min="4102" max="4102" width="11.28515625" customWidth="1"/>
    <col min="4104" max="4104" width="4.140625" customWidth="1"/>
    <col min="4353" max="4353" width="11.5703125" customWidth="1"/>
    <col min="4354" max="4354" width="16.42578125" customWidth="1"/>
    <col min="4355" max="4355" width="10.85546875" bestFit="1" customWidth="1"/>
    <col min="4356" max="4356" width="10.42578125" customWidth="1"/>
    <col min="4358" max="4358" width="11.28515625" customWidth="1"/>
    <col min="4360" max="4360" width="4.140625" customWidth="1"/>
    <col min="4609" max="4609" width="11.5703125" customWidth="1"/>
    <col min="4610" max="4610" width="16.42578125" customWidth="1"/>
    <col min="4611" max="4611" width="10.85546875" bestFit="1" customWidth="1"/>
    <col min="4612" max="4612" width="10.42578125" customWidth="1"/>
    <col min="4614" max="4614" width="11.28515625" customWidth="1"/>
    <col min="4616" max="4616" width="4.140625" customWidth="1"/>
    <col min="4865" max="4865" width="11.5703125" customWidth="1"/>
    <col min="4866" max="4866" width="16.42578125" customWidth="1"/>
    <col min="4867" max="4867" width="10.85546875" bestFit="1" customWidth="1"/>
    <col min="4868" max="4868" width="10.42578125" customWidth="1"/>
    <col min="4870" max="4870" width="11.28515625" customWidth="1"/>
    <col min="4872" max="4872" width="4.140625" customWidth="1"/>
    <col min="5121" max="5121" width="11.5703125" customWidth="1"/>
    <col min="5122" max="5122" width="16.42578125" customWidth="1"/>
    <col min="5123" max="5123" width="10.85546875" bestFit="1" customWidth="1"/>
    <col min="5124" max="5124" width="10.42578125" customWidth="1"/>
    <col min="5126" max="5126" width="11.28515625" customWidth="1"/>
    <col min="5128" max="5128" width="4.140625" customWidth="1"/>
    <col min="5377" max="5377" width="11.5703125" customWidth="1"/>
    <col min="5378" max="5378" width="16.42578125" customWidth="1"/>
    <col min="5379" max="5379" width="10.85546875" bestFit="1" customWidth="1"/>
    <col min="5380" max="5380" width="10.42578125" customWidth="1"/>
    <col min="5382" max="5382" width="11.28515625" customWidth="1"/>
    <col min="5384" max="5384" width="4.140625" customWidth="1"/>
    <col min="5633" max="5633" width="11.5703125" customWidth="1"/>
    <col min="5634" max="5634" width="16.42578125" customWidth="1"/>
    <col min="5635" max="5635" width="10.85546875" bestFit="1" customWidth="1"/>
    <col min="5636" max="5636" width="10.42578125" customWidth="1"/>
    <col min="5638" max="5638" width="11.28515625" customWidth="1"/>
    <col min="5640" max="5640" width="4.140625" customWidth="1"/>
    <col min="5889" max="5889" width="11.5703125" customWidth="1"/>
    <col min="5890" max="5890" width="16.42578125" customWidth="1"/>
    <col min="5891" max="5891" width="10.85546875" bestFit="1" customWidth="1"/>
    <col min="5892" max="5892" width="10.42578125" customWidth="1"/>
    <col min="5894" max="5894" width="11.28515625" customWidth="1"/>
    <col min="5896" max="5896" width="4.140625" customWidth="1"/>
    <col min="6145" max="6145" width="11.5703125" customWidth="1"/>
    <col min="6146" max="6146" width="16.42578125" customWidth="1"/>
    <col min="6147" max="6147" width="10.85546875" bestFit="1" customWidth="1"/>
    <col min="6148" max="6148" width="10.42578125" customWidth="1"/>
    <col min="6150" max="6150" width="11.28515625" customWidth="1"/>
    <col min="6152" max="6152" width="4.140625" customWidth="1"/>
    <col min="6401" max="6401" width="11.5703125" customWidth="1"/>
    <col min="6402" max="6402" width="16.42578125" customWidth="1"/>
    <col min="6403" max="6403" width="10.85546875" bestFit="1" customWidth="1"/>
    <col min="6404" max="6404" width="10.42578125" customWidth="1"/>
    <col min="6406" max="6406" width="11.28515625" customWidth="1"/>
    <col min="6408" max="6408" width="4.140625" customWidth="1"/>
    <col min="6657" max="6657" width="11.5703125" customWidth="1"/>
    <col min="6658" max="6658" width="16.42578125" customWidth="1"/>
    <col min="6659" max="6659" width="10.85546875" bestFit="1" customWidth="1"/>
    <col min="6660" max="6660" width="10.42578125" customWidth="1"/>
    <col min="6662" max="6662" width="11.28515625" customWidth="1"/>
    <col min="6664" max="6664" width="4.140625" customWidth="1"/>
    <col min="6913" max="6913" width="11.5703125" customWidth="1"/>
    <col min="6914" max="6914" width="16.42578125" customWidth="1"/>
    <col min="6915" max="6915" width="10.85546875" bestFit="1" customWidth="1"/>
    <col min="6916" max="6916" width="10.42578125" customWidth="1"/>
    <col min="6918" max="6918" width="11.28515625" customWidth="1"/>
    <col min="6920" max="6920" width="4.140625" customWidth="1"/>
    <col min="7169" max="7169" width="11.5703125" customWidth="1"/>
    <col min="7170" max="7170" width="16.42578125" customWidth="1"/>
    <col min="7171" max="7171" width="10.85546875" bestFit="1" customWidth="1"/>
    <col min="7172" max="7172" width="10.42578125" customWidth="1"/>
    <col min="7174" max="7174" width="11.28515625" customWidth="1"/>
    <col min="7176" max="7176" width="4.140625" customWidth="1"/>
    <col min="7425" max="7425" width="11.5703125" customWidth="1"/>
    <col min="7426" max="7426" width="16.42578125" customWidth="1"/>
    <col min="7427" max="7427" width="10.85546875" bestFit="1" customWidth="1"/>
    <col min="7428" max="7428" width="10.42578125" customWidth="1"/>
    <col min="7430" max="7430" width="11.28515625" customWidth="1"/>
    <col min="7432" max="7432" width="4.140625" customWidth="1"/>
    <col min="7681" max="7681" width="11.5703125" customWidth="1"/>
    <col min="7682" max="7682" width="16.42578125" customWidth="1"/>
    <col min="7683" max="7683" width="10.85546875" bestFit="1" customWidth="1"/>
    <col min="7684" max="7684" width="10.42578125" customWidth="1"/>
    <col min="7686" max="7686" width="11.28515625" customWidth="1"/>
    <col min="7688" max="7688" width="4.140625" customWidth="1"/>
    <col min="7937" max="7937" width="11.5703125" customWidth="1"/>
    <col min="7938" max="7938" width="16.42578125" customWidth="1"/>
    <col min="7939" max="7939" width="10.85546875" bestFit="1" customWidth="1"/>
    <col min="7940" max="7940" width="10.42578125" customWidth="1"/>
    <col min="7942" max="7942" width="11.28515625" customWidth="1"/>
    <col min="7944" max="7944" width="4.140625" customWidth="1"/>
    <col min="8193" max="8193" width="11.5703125" customWidth="1"/>
    <col min="8194" max="8194" width="16.42578125" customWidth="1"/>
    <col min="8195" max="8195" width="10.85546875" bestFit="1" customWidth="1"/>
    <col min="8196" max="8196" width="10.42578125" customWidth="1"/>
    <col min="8198" max="8198" width="11.28515625" customWidth="1"/>
    <col min="8200" max="8200" width="4.140625" customWidth="1"/>
    <col min="8449" max="8449" width="11.5703125" customWidth="1"/>
    <col min="8450" max="8450" width="16.42578125" customWidth="1"/>
    <col min="8451" max="8451" width="10.85546875" bestFit="1" customWidth="1"/>
    <col min="8452" max="8452" width="10.42578125" customWidth="1"/>
    <col min="8454" max="8454" width="11.28515625" customWidth="1"/>
    <col min="8456" max="8456" width="4.140625" customWidth="1"/>
    <col min="8705" max="8705" width="11.5703125" customWidth="1"/>
    <col min="8706" max="8706" width="16.42578125" customWidth="1"/>
    <col min="8707" max="8707" width="10.85546875" bestFit="1" customWidth="1"/>
    <col min="8708" max="8708" width="10.42578125" customWidth="1"/>
    <col min="8710" max="8710" width="11.28515625" customWidth="1"/>
    <col min="8712" max="8712" width="4.140625" customWidth="1"/>
    <col min="8961" max="8961" width="11.5703125" customWidth="1"/>
    <col min="8962" max="8962" width="16.42578125" customWidth="1"/>
    <col min="8963" max="8963" width="10.85546875" bestFit="1" customWidth="1"/>
    <col min="8964" max="8964" width="10.42578125" customWidth="1"/>
    <col min="8966" max="8966" width="11.28515625" customWidth="1"/>
    <col min="8968" max="8968" width="4.140625" customWidth="1"/>
    <col min="9217" max="9217" width="11.5703125" customWidth="1"/>
    <col min="9218" max="9218" width="16.42578125" customWidth="1"/>
    <col min="9219" max="9219" width="10.85546875" bestFit="1" customWidth="1"/>
    <col min="9220" max="9220" width="10.42578125" customWidth="1"/>
    <col min="9222" max="9222" width="11.28515625" customWidth="1"/>
    <col min="9224" max="9224" width="4.140625" customWidth="1"/>
    <col min="9473" max="9473" width="11.5703125" customWidth="1"/>
    <col min="9474" max="9474" width="16.42578125" customWidth="1"/>
    <col min="9475" max="9475" width="10.85546875" bestFit="1" customWidth="1"/>
    <col min="9476" max="9476" width="10.42578125" customWidth="1"/>
    <col min="9478" max="9478" width="11.28515625" customWidth="1"/>
    <col min="9480" max="9480" width="4.140625" customWidth="1"/>
    <col min="9729" max="9729" width="11.5703125" customWidth="1"/>
    <col min="9730" max="9730" width="16.42578125" customWidth="1"/>
    <col min="9731" max="9731" width="10.85546875" bestFit="1" customWidth="1"/>
    <col min="9732" max="9732" width="10.42578125" customWidth="1"/>
    <col min="9734" max="9734" width="11.28515625" customWidth="1"/>
    <col min="9736" max="9736" width="4.140625" customWidth="1"/>
    <col min="9985" max="9985" width="11.5703125" customWidth="1"/>
    <col min="9986" max="9986" width="16.42578125" customWidth="1"/>
    <col min="9987" max="9987" width="10.85546875" bestFit="1" customWidth="1"/>
    <col min="9988" max="9988" width="10.42578125" customWidth="1"/>
    <col min="9990" max="9990" width="11.28515625" customWidth="1"/>
    <col min="9992" max="9992" width="4.140625" customWidth="1"/>
    <col min="10241" max="10241" width="11.5703125" customWidth="1"/>
    <col min="10242" max="10242" width="16.42578125" customWidth="1"/>
    <col min="10243" max="10243" width="10.85546875" bestFit="1" customWidth="1"/>
    <col min="10244" max="10244" width="10.42578125" customWidth="1"/>
    <col min="10246" max="10246" width="11.28515625" customWidth="1"/>
    <col min="10248" max="10248" width="4.140625" customWidth="1"/>
    <col min="10497" max="10497" width="11.5703125" customWidth="1"/>
    <col min="10498" max="10498" width="16.42578125" customWidth="1"/>
    <col min="10499" max="10499" width="10.85546875" bestFit="1" customWidth="1"/>
    <col min="10500" max="10500" width="10.42578125" customWidth="1"/>
    <col min="10502" max="10502" width="11.28515625" customWidth="1"/>
    <col min="10504" max="10504" width="4.140625" customWidth="1"/>
    <col min="10753" max="10753" width="11.5703125" customWidth="1"/>
    <col min="10754" max="10754" width="16.42578125" customWidth="1"/>
    <col min="10755" max="10755" width="10.85546875" bestFit="1" customWidth="1"/>
    <col min="10756" max="10756" width="10.42578125" customWidth="1"/>
    <col min="10758" max="10758" width="11.28515625" customWidth="1"/>
    <col min="10760" max="10760" width="4.140625" customWidth="1"/>
    <col min="11009" max="11009" width="11.5703125" customWidth="1"/>
    <col min="11010" max="11010" width="16.42578125" customWidth="1"/>
    <col min="11011" max="11011" width="10.85546875" bestFit="1" customWidth="1"/>
    <col min="11012" max="11012" width="10.42578125" customWidth="1"/>
    <col min="11014" max="11014" width="11.28515625" customWidth="1"/>
    <col min="11016" max="11016" width="4.140625" customWidth="1"/>
    <col min="11265" max="11265" width="11.5703125" customWidth="1"/>
    <col min="11266" max="11266" width="16.42578125" customWidth="1"/>
    <col min="11267" max="11267" width="10.85546875" bestFit="1" customWidth="1"/>
    <col min="11268" max="11268" width="10.42578125" customWidth="1"/>
    <col min="11270" max="11270" width="11.28515625" customWidth="1"/>
    <col min="11272" max="11272" width="4.140625" customWidth="1"/>
    <col min="11521" max="11521" width="11.5703125" customWidth="1"/>
    <col min="11522" max="11522" width="16.42578125" customWidth="1"/>
    <col min="11523" max="11523" width="10.85546875" bestFit="1" customWidth="1"/>
    <col min="11524" max="11524" width="10.42578125" customWidth="1"/>
    <col min="11526" max="11526" width="11.28515625" customWidth="1"/>
    <col min="11528" max="11528" width="4.140625" customWidth="1"/>
    <col min="11777" max="11777" width="11.5703125" customWidth="1"/>
    <col min="11778" max="11778" width="16.42578125" customWidth="1"/>
    <col min="11779" max="11779" width="10.85546875" bestFit="1" customWidth="1"/>
    <col min="11780" max="11780" width="10.42578125" customWidth="1"/>
    <col min="11782" max="11782" width="11.28515625" customWidth="1"/>
    <col min="11784" max="11784" width="4.140625" customWidth="1"/>
    <col min="12033" max="12033" width="11.5703125" customWidth="1"/>
    <col min="12034" max="12034" width="16.42578125" customWidth="1"/>
    <col min="12035" max="12035" width="10.85546875" bestFit="1" customWidth="1"/>
    <col min="12036" max="12036" width="10.42578125" customWidth="1"/>
    <col min="12038" max="12038" width="11.28515625" customWidth="1"/>
    <col min="12040" max="12040" width="4.140625" customWidth="1"/>
    <col min="12289" max="12289" width="11.5703125" customWidth="1"/>
    <col min="12290" max="12290" width="16.42578125" customWidth="1"/>
    <col min="12291" max="12291" width="10.85546875" bestFit="1" customWidth="1"/>
    <col min="12292" max="12292" width="10.42578125" customWidth="1"/>
    <col min="12294" max="12294" width="11.28515625" customWidth="1"/>
    <col min="12296" max="12296" width="4.140625" customWidth="1"/>
    <col min="12545" max="12545" width="11.5703125" customWidth="1"/>
    <col min="12546" max="12546" width="16.42578125" customWidth="1"/>
    <col min="12547" max="12547" width="10.85546875" bestFit="1" customWidth="1"/>
    <col min="12548" max="12548" width="10.42578125" customWidth="1"/>
    <col min="12550" max="12550" width="11.28515625" customWidth="1"/>
    <col min="12552" max="12552" width="4.140625" customWidth="1"/>
    <col min="12801" max="12801" width="11.5703125" customWidth="1"/>
    <col min="12802" max="12802" width="16.42578125" customWidth="1"/>
    <col min="12803" max="12803" width="10.85546875" bestFit="1" customWidth="1"/>
    <col min="12804" max="12804" width="10.42578125" customWidth="1"/>
    <col min="12806" max="12806" width="11.28515625" customWidth="1"/>
    <col min="12808" max="12808" width="4.140625" customWidth="1"/>
    <col min="13057" max="13057" width="11.5703125" customWidth="1"/>
    <col min="13058" max="13058" width="16.42578125" customWidth="1"/>
    <col min="13059" max="13059" width="10.85546875" bestFit="1" customWidth="1"/>
    <col min="13060" max="13060" width="10.42578125" customWidth="1"/>
    <col min="13062" max="13062" width="11.28515625" customWidth="1"/>
    <col min="13064" max="13064" width="4.140625" customWidth="1"/>
    <col min="13313" max="13313" width="11.5703125" customWidth="1"/>
    <col min="13314" max="13314" width="16.42578125" customWidth="1"/>
    <col min="13315" max="13315" width="10.85546875" bestFit="1" customWidth="1"/>
    <col min="13316" max="13316" width="10.42578125" customWidth="1"/>
    <col min="13318" max="13318" width="11.28515625" customWidth="1"/>
    <col min="13320" max="13320" width="4.140625" customWidth="1"/>
    <col min="13569" max="13569" width="11.5703125" customWidth="1"/>
    <col min="13570" max="13570" width="16.42578125" customWidth="1"/>
    <col min="13571" max="13571" width="10.85546875" bestFit="1" customWidth="1"/>
    <col min="13572" max="13572" width="10.42578125" customWidth="1"/>
    <col min="13574" max="13574" width="11.28515625" customWidth="1"/>
    <col min="13576" max="13576" width="4.140625" customWidth="1"/>
    <col min="13825" max="13825" width="11.5703125" customWidth="1"/>
    <col min="13826" max="13826" width="16.42578125" customWidth="1"/>
    <col min="13827" max="13827" width="10.85546875" bestFit="1" customWidth="1"/>
    <col min="13828" max="13828" width="10.42578125" customWidth="1"/>
    <col min="13830" max="13830" width="11.28515625" customWidth="1"/>
    <col min="13832" max="13832" width="4.140625" customWidth="1"/>
    <col min="14081" max="14081" width="11.5703125" customWidth="1"/>
    <col min="14082" max="14082" width="16.42578125" customWidth="1"/>
    <col min="14083" max="14083" width="10.85546875" bestFit="1" customWidth="1"/>
    <col min="14084" max="14084" width="10.42578125" customWidth="1"/>
    <col min="14086" max="14086" width="11.28515625" customWidth="1"/>
    <col min="14088" max="14088" width="4.140625" customWidth="1"/>
    <col min="14337" max="14337" width="11.5703125" customWidth="1"/>
    <col min="14338" max="14338" width="16.42578125" customWidth="1"/>
    <col min="14339" max="14339" width="10.85546875" bestFit="1" customWidth="1"/>
    <col min="14340" max="14340" width="10.42578125" customWidth="1"/>
    <col min="14342" max="14342" width="11.28515625" customWidth="1"/>
    <col min="14344" max="14344" width="4.140625" customWidth="1"/>
    <col min="14593" max="14593" width="11.5703125" customWidth="1"/>
    <col min="14594" max="14594" width="16.42578125" customWidth="1"/>
    <col min="14595" max="14595" width="10.85546875" bestFit="1" customWidth="1"/>
    <col min="14596" max="14596" width="10.42578125" customWidth="1"/>
    <col min="14598" max="14598" width="11.28515625" customWidth="1"/>
    <col min="14600" max="14600" width="4.140625" customWidth="1"/>
    <col min="14849" max="14849" width="11.5703125" customWidth="1"/>
    <col min="14850" max="14850" width="16.42578125" customWidth="1"/>
    <col min="14851" max="14851" width="10.85546875" bestFit="1" customWidth="1"/>
    <col min="14852" max="14852" width="10.42578125" customWidth="1"/>
    <col min="14854" max="14854" width="11.28515625" customWidth="1"/>
    <col min="14856" max="14856" width="4.140625" customWidth="1"/>
    <col min="15105" max="15105" width="11.5703125" customWidth="1"/>
    <col min="15106" max="15106" width="16.42578125" customWidth="1"/>
    <col min="15107" max="15107" width="10.85546875" bestFit="1" customWidth="1"/>
    <col min="15108" max="15108" width="10.42578125" customWidth="1"/>
    <col min="15110" max="15110" width="11.28515625" customWidth="1"/>
    <col min="15112" max="15112" width="4.140625" customWidth="1"/>
    <col min="15361" max="15361" width="11.5703125" customWidth="1"/>
    <col min="15362" max="15362" width="16.42578125" customWidth="1"/>
    <col min="15363" max="15363" width="10.85546875" bestFit="1" customWidth="1"/>
    <col min="15364" max="15364" width="10.42578125" customWidth="1"/>
    <col min="15366" max="15366" width="11.28515625" customWidth="1"/>
    <col min="15368" max="15368" width="4.140625" customWidth="1"/>
    <col min="15617" max="15617" width="11.5703125" customWidth="1"/>
    <col min="15618" max="15618" width="16.42578125" customWidth="1"/>
    <col min="15619" max="15619" width="10.85546875" bestFit="1" customWidth="1"/>
    <col min="15620" max="15620" width="10.42578125" customWidth="1"/>
    <col min="15622" max="15622" width="11.28515625" customWidth="1"/>
    <col min="15624" max="15624" width="4.140625" customWidth="1"/>
    <col min="15873" max="15873" width="11.5703125" customWidth="1"/>
    <col min="15874" max="15874" width="16.42578125" customWidth="1"/>
    <col min="15875" max="15875" width="10.85546875" bestFit="1" customWidth="1"/>
    <col min="15876" max="15876" width="10.42578125" customWidth="1"/>
    <col min="15878" max="15878" width="11.28515625" customWidth="1"/>
    <col min="15880" max="15880" width="4.140625" customWidth="1"/>
    <col min="16129" max="16129" width="11.5703125" customWidth="1"/>
    <col min="16130" max="16130" width="16.42578125" customWidth="1"/>
    <col min="16131" max="16131" width="10.85546875" bestFit="1" customWidth="1"/>
    <col min="16132" max="16132" width="10.42578125" customWidth="1"/>
    <col min="16134" max="16134" width="11.28515625" customWidth="1"/>
    <col min="16136" max="16136" width="4.140625" customWidth="1"/>
  </cols>
  <sheetData>
    <row r="1" spans="1:17" ht="15.75" thickBot="1"/>
    <row r="2" spans="1:17" ht="15.75" thickTop="1">
      <c r="A2" s="1"/>
      <c r="B2" s="2"/>
      <c r="C2" s="2"/>
      <c r="D2" s="2"/>
      <c r="E2" s="2"/>
      <c r="F2" s="2"/>
      <c r="G2" s="2"/>
      <c r="H2" s="2"/>
      <c r="I2" s="2"/>
      <c r="J2" s="2"/>
      <c r="K2" s="2"/>
      <c r="L2" s="2"/>
      <c r="M2" s="2"/>
      <c r="N2" s="2"/>
      <c r="O2" s="2"/>
      <c r="P2" s="2"/>
      <c r="Q2" s="3"/>
    </row>
    <row r="3" spans="1:17">
      <c r="A3" s="4"/>
      <c r="B3" s="5"/>
      <c r="C3" s="5"/>
      <c r="D3" s="5"/>
      <c r="E3" s="5"/>
      <c r="F3" s="5"/>
      <c r="G3" s="5"/>
      <c r="H3" s="5"/>
      <c r="I3" s="5"/>
      <c r="J3" s="5"/>
      <c r="K3" s="5"/>
      <c r="L3" s="5"/>
      <c r="M3" s="5"/>
      <c r="N3" s="5"/>
      <c r="O3" s="5"/>
      <c r="P3" s="5"/>
      <c r="Q3" s="6"/>
    </row>
    <row r="4" spans="1:17">
      <c r="A4" s="4"/>
      <c r="B4" s="5"/>
      <c r="C4" s="5"/>
      <c r="D4" s="5"/>
      <c r="E4" s="5"/>
      <c r="F4" s="5"/>
      <c r="G4" s="5"/>
      <c r="H4" s="5"/>
      <c r="I4" s="5"/>
      <c r="J4" s="5"/>
      <c r="K4" s="5"/>
      <c r="L4" s="5"/>
      <c r="M4" s="5"/>
      <c r="N4" s="5"/>
      <c r="O4" s="5" t="s">
        <v>0</v>
      </c>
      <c r="P4" s="5"/>
      <c r="Q4" s="6"/>
    </row>
    <row r="5" spans="1:17" ht="30">
      <c r="A5" s="7"/>
      <c r="B5" s="8" t="s">
        <v>1</v>
      </c>
      <c r="C5" s="8"/>
      <c r="D5" s="8"/>
      <c r="E5" s="8"/>
      <c r="F5" s="8"/>
      <c r="G5" s="8"/>
      <c r="H5" s="8"/>
      <c r="I5" s="8"/>
      <c r="J5" s="8"/>
      <c r="K5" s="8"/>
      <c r="L5" s="8"/>
      <c r="M5" s="8"/>
      <c r="N5" s="8"/>
      <c r="O5" s="8"/>
      <c r="P5" s="8"/>
      <c r="Q5" s="9"/>
    </row>
    <row r="6" spans="1:17" ht="20.25">
      <c r="A6" s="10"/>
      <c r="B6" s="11" t="s">
        <v>2</v>
      </c>
      <c r="C6" s="11"/>
      <c r="D6" s="11"/>
      <c r="E6" s="11"/>
      <c r="F6" s="11"/>
      <c r="G6" s="11"/>
      <c r="H6" s="11"/>
      <c r="I6" s="11"/>
      <c r="J6" s="11"/>
      <c r="K6" s="11"/>
      <c r="L6" s="11"/>
      <c r="M6" s="11"/>
      <c r="N6" s="11"/>
      <c r="O6" s="11"/>
      <c r="P6" s="11"/>
      <c r="Q6" s="12"/>
    </row>
    <row r="7" spans="1:17">
      <c r="A7" s="4"/>
      <c r="B7" s="13" t="s">
        <v>3</v>
      </c>
      <c r="C7" s="5"/>
      <c r="D7" s="5"/>
      <c r="E7" s="5"/>
      <c r="F7" s="5"/>
      <c r="G7" s="5"/>
      <c r="H7" s="5"/>
      <c r="I7" s="5"/>
      <c r="J7" s="5"/>
      <c r="K7" s="5"/>
      <c r="L7" s="5"/>
      <c r="M7" s="5"/>
      <c r="N7" s="5"/>
      <c r="O7" s="5"/>
      <c r="P7" s="5"/>
      <c r="Q7" s="6"/>
    </row>
    <row r="8" spans="1:17">
      <c r="A8" s="4"/>
      <c r="B8" s="5"/>
      <c r="C8" s="5"/>
      <c r="D8" s="5"/>
      <c r="E8" s="5"/>
      <c r="F8" s="5"/>
      <c r="G8" s="5"/>
      <c r="H8" s="5"/>
      <c r="I8" s="5"/>
      <c r="J8" s="5"/>
      <c r="K8" s="5"/>
      <c r="L8" s="5"/>
      <c r="M8" s="5"/>
      <c r="N8" s="5"/>
      <c r="O8" s="5"/>
      <c r="P8" s="5"/>
      <c r="Q8" s="6"/>
    </row>
    <row r="9" spans="1:17">
      <c r="A9" s="4"/>
      <c r="B9" s="5" t="s">
        <v>4</v>
      </c>
      <c r="C9" s="5"/>
      <c r="D9" s="5"/>
      <c r="E9" s="5"/>
      <c r="F9" s="5"/>
      <c r="G9" s="5"/>
      <c r="H9" s="5"/>
      <c r="I9" s="5"/>
      <c r="J9" s="5"/>
      <c r="K9" s="5"/>
      <c r="L9" s="5"/>
      <c r="M9" s="5"/>
      <c r="N9" s="5"/>
      <c r="O9" s="5"/>
      <c r="P9" s="5"/>
      <c r="Q9" s="6"/>
    </row>
    <row r="10" spans="1:17">
      <c r="A10" s="4"/>
      <c r="B10" s="5" t="s">
        <v>5</v>
      </c>
      <c r="C10" s="5"/>
      <c r="D10" s="5"/>
      <c r="E10" s="5"/>
      <c r="F10" s="5"/>
      <c r="G10" s="5"/>
      <c r="H10" s="5"/>
      <c r="I10" s="5"/>
      <c r="J10" s="5"/>
      <c r="K10" s="5"/>
      <c r="L10" s="5"/>
      <c r="M10" s="5"/>
      <c r="N10" s="5"/>
      <c r="O10" s="5"/>
      <c r="P10" s="5"/>
      <c r="Q10" s="6"/>
    </row>
    <row r="11" spans="1:17">
      <c r="A11" s="4"/>
      <c r="B11" s="5"/>
      <c r="C11" s="5"/>
      <c r="D11" s="5"/>
      <c r="E11" s="5"/>
      <c r="F11" s="5"/>
      <c r="G11" s="5"/>
      <c r="H11" s="5"/>
      <c r="I11" s="5"/>
      <c r="J11" s="5"/>
      <c r="K11" s="5"/>
      <c r="L11" s="5"/>
      <c r="M11" s="5"/>
      <c r="N11" s="5"/>
      <c r="O11" s="5"/>
      <c r="P11" s="5"/>
      <c r="Q11" s="6"/>
    </row>
    <row r="12" spans="1:17">
      <c r="A12" s="4"/>
      <c r="B12" s="5" t="s">
        <v>6</v>
      </c>
      <c r="C12" s="5"/>
      <c r="D12" s="5"/>
      <c r="E12" s="5"/>
      <c r="F12" s="5"/>
      <c r="G12" s="5"/>
      <c r="H12" s="5"/>
      <c r="I12" s="5"/>
      <c r="J12" s="5"/>
      <c r="K12" s="5"/>
      <c r="L12" s="5"/>
      <c r="M12" s="5"/>
      <c r="N12" s="5"/>
      <c r="O12" s="5"/>
      <c r="P12" s="5"/>
      <c r="Q12" s="6"/>
    </row>
    <row r="13" spans="1:17">
      <c r="A13" s="4"/>
      <c r="B13" s="13" t="s">
        <v>7</v>
      </c>
      <c r="C13" s="5"/>
      <c r="D13" s="5"/>
      <c r="E13" s="5"/>
      <c r="F13" s="5"/>
      <c r="G13" s="5"/>
      <c r="H13" s="5"/>
      <c r="I13" s="5"/>
      <c r="J13" s="5"/>
      <c r="K13" s="5"/>
      <c r="L13" s="5"/>
      <c r="M13" s="5"/>
      <c r="N13" s="5"/>
      <c r="O13" s="5"/>
      <c r="P13" s="5"/>
      <c r="Q13" s="6"/>
    </row>
    <row r="14" spans="1:17">
      <c r="A14" s="4"/>
      <c r="B14" s="14"/>
      <c r="C14" s="14"/>
      <c r="D14" s="14"/>
      <c r="E14" s="14"/>
      <c r="F14" s="5"/>
      <c r="G14" s="5"/>
      <c r="H14" s="5"/>
      <c r="I14" s="5"/>
      <c r="J14" s="5"/>
      <c r="K14" s="5"/>
      <c r="L14" s="5"/>
      <c r="M14" s="5"/>
      <c r="N14" s="5"/>
      <c r="O14" s="5"/>
      <c r="P14" s="5"/>
      <c r="Q14" s="6"/>
    </row>
    <row r="15" spans="1:17">
      <c r="A15" s="4"/>
      <c r="B15" s="14"/>
      <c r="C15" s="14"/>
      <c r="D15" s="14"/>
      <c r="E15" s="14"/>
      <c r="F15" s="5"/>
      <c r="G15" s="5"/>
      <c r="H15" s="5"/>
      <c r="I15" s="5"/>
      <c r="J15" s="5"/>
      <c r="K15" s="5"/>
      <c r="L15" s="5"/>
      <c r="M15" s="5"/>
      <c r="N15" s="5"/>
      <c r="O15" s="5"/>
      <c r="P15" s="5"/>
      <c r="Q15" s="6"/>
    </row>
    <row r="16" spans="1:17">
      <c r="A16" s="4"/>
      <c r="B16" s="5" t="s">
        <v>8</v>
      </c>
      <c r="C16" s="5"/>
      <c r="D16" s="5"/>
      <c r="E16" s="5"/>
      <c r="F16" s="5"/>
      <c r="G16" s="5"/>
      <c r="H16" s="5"/>
      <c r="I16" s="5"/>
      <c r="J16" s="5"/>
      <c r="K16" s="5"/>
      <c r="L16" s="5"/>
      <c r="M16" s="5"/>
      <c r="N16" s="5"/>
      <c r="O16" s="5"/>
      <c r="P16" s="5"/>
      <c r="Q16" s="6"/>
    </row>
    <row r="17" spans="1:17">
      <c r="A17" s="4"/>
      <c r="B17" s="5" t="s">
        <v>9</v>
      </c>
      <c r="C17" s="5"/>
      <c r="D17" s="5"/>
      <c r="E17" s="5"/>
      <c r="F17" s="5"/>
      <c r="G17" s="5"/>
      <c r="H17" s="5"/>
      <c r="I17" s="5"/>
      <c r="J17" s="5"/>
      <c r="K17" s="5"/>
      <c r="L17" s="5"/>
      <c r="M17" s="5"/>
      <c r="N17" s="5"/>
      <c r="O17" s="5"/>
      <c r="P17" s="5"/>
      <c r="Q17" s="6"/>
    </row>
    <row r="18" spans="1:17" ht="15.75" thickBot="1">
      <c r="A18" s="4"/>
      <c r="B18" s="5"/>
      <c r="C18" s="5"/>
      <c r="D18" s="5"/>
      <c r="E18" s="5"/>
      <c r="F18" s="5"/>
      <c r="G18" s="5"/>
      <c r="H18" s="5"/>
      <c r="I18" s="5"/>
      <c r="J18" s="5"/>
      <c r="K18" s="5"/>
      <c r="L18" s="5"/>
      <c r="M18" s="5"/>
      <c r="N18" s="5"/>
      <c r="O18" s="5"/>
      <c r="P18" s="5"/>
      <c r="Q18" s="6"/>
    </row>
    <row r="19" spans="1:17">
      <c r="A19" s="4"/>
      <c r="B19" s="15"/>
      <c r="C19" s="16"/>
      <c r="D19" s="16"/>
      <c r="E19" s="16"/>
      <c r="F19" s="16"/>
      <c r="G19" s="16"/>
      <c r="H19" s="16"/>
      <c r="I19" s="16"/>
      <c r="J19" s="16"/>
      <c r="K19" s="16"/>
      <c r="L19" s="17"/>
      <c r="M19" s="5"/>
      <c r="N19" s="5"/>
      <c r="O19" s="5"/>
      <c r="P19" s="5"/>
      <c r="Q19" s="6"/>
    </row>
    <row r="20" spans="1:17" ht="15.75">
      <c r="A20" s="4"/>
      <c r="B20" s="18"/>
      <c r="C20" s="19" t="s">
        <v>10</v>
      </c>
      <c r="D20" s="5"/>
      <c r="E20" s="5"/>
      <c r="F20" s="5"/>
      <c r="G20" s="5"/>
      <c r="H20" s="5"/>
      <c r="I20" s="5"/>
      <c r="J20" s="5"/>
      <c r="K20" s="5"/>
      <c r="L20" s="20"/>
      <c r="M20" s="5"/>
      <c r="N20" s="5"/>
      <c r="O20" s="5"/>
      <c r="P20" s="5"/>
      <c r="Q20" s="6"/>
    </row>
    <row r="21" spans="1:17">
      <c r="A21" s="4"/>
      <c r="B21" s="18"/>
      <c r="C21" s="5" t="s">
        <v>11</v>
      </c>
      <c r="D21" s="5"/>
      <c r="E21" s="5"/>
      <c r="F21" s="5"/>
      <c r="G21" s="5"/>
      <c r="H21" s="5"/>
      <c r="I21" s="5"/>
      <c r="J21" s="5"/>
      <c r="K21" s="5"/>
      <c r="L21" s="20"/>
      <c r="M21" s="5"/>
      <c r="N21" s="5"/>
      <c r="O21" s="5"/>
      <c r="P21" s="5"/>
      <c r="Q21" s="6"/>
    </row>
    <row r="22" spans="1:17">
      <c r="A22" s="4"/>
      <c r="B22" s="18"/>
      <c r="C22" s="5" t="s">
        <v>12</v>
      </c>
      <c r="D22" s="5"/>
      <c r="E22" s="5"/>
      <c r="F22" s="5"/>
      <c r="G22" s="5"/>
      <c r="H22" s="5"/>
      <c r="I22" s="5"/>
      <c r="J22" s="5"/>
      <c r="K22" s="5"/>
      <c r="L22" s="20"/>
      <c r="M22" s="5"/>
      <c r="N22" s="5"/>
      <c r="O22" s="5"/>
      <c r="P22" s="5"/>
      <c r="Q22" s="6"/>
    </row>
    <row r="23" spans="1:17">
      <c r="A23" s="4"/>
      <c r="B23" s="18"/>
      <c r="C23" s="5" t="s">
        <v>13</v>
      </c>
      <c r="D23" s="5"/>
      <c r="E23" s="5"/>
      <c r="F23" s="5"/>
      <c r="G23" s="5"/>
      <c r="H23" s="5"/>
      <c r="I23" s="5"/>
      <c r="J23" s="5"/>
      <c r="K23" s="5"/>
      <c r="L23" s="20"/>
      <c r="M23" s="5"/>
      <c r="N23" s="5"/>
      <c r="O23" s="5"/>
      <c r="P23" s="5"/>
      <c r="Q23" s="6"/>
    </row>
    <row r="24" spans="1:17">
      <c r="A24" s="4"/>
      <c r="B24" s="18"/>
      <c r="C24" s="5" t="s">
        <v>14</v>
      </c>
      <c r="D24" s="5"/>
      <c r="E24" s="5"/>
      <c r="F24" s="5"/>
      <c r="G24" s="5"/>
      <c r="H24" s="5"/>
      <c r="I24" s="5"/>
      <c r="J24" s="5"/>
      <c r="K24" s="5"/>
      <c r="L24" s="20"/>
      <c r="M24" s="5"/>
      <c r="N24" s="5"/>
      <c r="O24" s="5"/>
      <c r="P24" s="5"/>
      <c r="Q24" s="6"/>
    </row>
    <row r="25" spans="1:17" ht="15.75" thickBot="1">
      <c r="A25" s="4"/>
      <c r="B25" s="21"/>
      <c r="C25" s="22"/>
      <c r="D25" s="22"/>
      <c r="E25" s="22"/>
      <c r="F25" s="22"/>
      <c r="G25" s="22"/>
      <c r="H25" s="22"/>
      <c r="I25" s="22"/>
      <c r="J25" s="22"/>
      <c r="K25" s="22"/>
      <c r="L25" s="23"/>
      <c r="M25" s="5"/>
      <c r="N25" s="5"/>
      <c r="O25" s="5"/>
      <c r="P25" s="5"/>
      <c r="Q25" s="6"/>
    </row>
    <row r="26" spans="1:17">
      <c r="A26" s="4"/>
      <c r="B26" s="5"/>
      <c r="C26" s="5"/>
      <c r="D26" s="5"/>
      <c r="E26" s="5"/>
      <c r="F26" s="5"/>
      <c r="G26" s="5"/>
      <c r="H26" s="5"/>
      <c r="I26" s="5"/>
      <c r="J26" s="5"/>
      <c r="K26" s="5"/>
      <c r="L26" s="5"/>
      <c r="M26" s="5"/>
      <c r="N26" s="5"/>
      <c r="O26" s="5"/>
      <c r="P26" s="5"/>
      <c r="Q26" s="6"/>
    </row>
    <row r="27" spans="1:17">
      <c r="A27" s="4"/>
      <c r="B27" s="5"/>
      <c r="C27" s="5"/>
      <c r="D27" s="5"/>
      <c r="E27" s="5"/>
      <c r="F27" s="5"/>
      <c r="G27" s="5"/>
      <c r="H27" s="5"/>
      <c r="I27" s="5"/>
      <c r="J27" s="5"/>
      <c r="K27" s="5"/>
      <c r="L27" s="5"/>
      <c r="M27" s="5"/>
      <c r="N27" s="5"/>
      <c r="O27" s="5"/>
      <c r="P27" s="5"/>
      <c r="Q27" s="6"/>
    </row>
    <row r="28" spans="1:17" ht="15.75" thickBot="1">
      <c r="A28" s="24"/>
      <c r="B28" s="25"/>
      <c r="C28" s="25"/>
      <c r="D28" s="25"/>
      <c r="E28" s="25"/>
      <c r="F28" s="25"/>
      <c r="G28" s="25"/>
      <c r="H28" s="25"/>
      <c r="I28" s="25"/>
      <c r="J28" s="25"/>
      <c r="K28" s="25"/>
      <c r="L28" s="25"/>
      <c r="M28" s="25"/>
      <c r="N28" s="25"/>
      <c r="O28" s="25"/>
      <c r="P28" s="25"/>
      <c r="Q28" s="26"/>
    </row>
    <row r="29" spans="1:17" ht="15.75" thickTop="1"/>
    <row r="30" spans="1:17">
      <c r="A30" s="27" t="s">
        <v>15</v>
      </c>
      <c r="B30" s="28" t="s">
        <v>196</v>
      </c>
      <c r="C30" s="27" t="s">
        <v>16</v>
      </c>
      <c r="D30" s="27"/>
      <c r="E30" s="27"/>
      <c r="F30" s="27"/>
      <c r="I30" t="s">
        <v>17</v>
      </c>
    </row>
    <row r="31" spans="1:17">
      <c r="A31" s="29" t="s">
        <v>18</v>
      </c>
      <c r="B31" s="30">
        <f>LOOKUP($B$30,[1]data!$B$4:$B$18,[1]data!C4:C18)</f>
        <v>60</v>
      </c>
      <c r="C31" t="s">
        <v>19</v>
      </c>
      <c r="F31" s="31" t="s">
        <v>20</v>
      </c>
      <c r="I31" t="str">
        <f>[1]data!B4</f>
        <v>TPS54040</v>
      </c>
    </row>
    <row r="32" spans="1:17">
      <c r="A32" s="29" t="s">
        <v>21</v>
      </c>
      <c r="B32" s="30">
        <f>LOOKUP($B$30,[1]data!$B$4:$B$18,[1]data!D4:D18)</f>
        <v>3.5</v>
      </c>
      <c r="C32" t="s">
        <v>22</v>
      </c>
      <c r="F32" s="32" t="s">
        <v>23</v>
      </c>
      <c r="I32" t="str">
        <f>[1]data!B5</f>
        <v>TPS54060</v>
      </c>
    </row>
    <row r="33" spans="1:9">
      <c r="A33" s="29" t="s">
        <v>24</v>
      </c>
      <c r="B33" s="33">
        <f>LOOKUP($B$30,[1]data!$B$4:$B$18,[1]data!F4:F18)</f>
        <v>2500000</v>
      </c>
      <c r="C33" t="s">
        <v>25</v>
      </c>
      <c r="F33" s="34" t="s">
        <v>26</v>
      </c>
      <c r="I33" t="str">
        <f>[1]data!B6</f>
        <v>TPS54140</v>
      </c>
    </row>
    <row r="34" spans="1:9">
      <c r="A34" s="29" t="s">
        <v>27</v>
      </c>
      <c r="B34" s="33">
        <f>LOOKUP($B$30,[1]data!$B$4:$B$18,[1]data!E4:E18)</f>
        <v>100000</v>
      </c>
      <c r="C34" t="s">
        <v>28</v>
      </c>
      <c r="I34" t="str">
        <f>[1]data!B7</f>
        <v>TPS54160</v>
      </c>
    </row>
    <row r="35" spans="1:9">
      <c r="A35" s="29" t="s">
        <v>29</v>
      </c>
      <c r="B35" s="35">
        <f>LOOKUP($B$30,[1]data!$B$4:$B$18,[1]data!G4:G18)</f>
        <v>3.5</v>
      </c>
      <c r="C35" t="s">
        <v>30</v>
      </c>
      <c r="I35" t="str">
        <f>[1]data!B8</f>
        <v>TPS54231</v>
      </c>
    </row>
    <row r="36" spans="1:9">
      <c r="A36" s="29" t="s">
        <v>31</v>
      </c>
      <c r="B36" s="36">
        <f>LOOKUP($B$30,[1]data!$B$4:$B$18,[1]data!N4:N18)</f>
        <v>1.35E-7</v>
      </c>
      <c r="C36" t="s">
        <v>32</v>
      </c>
      <c r="I36" t="str">
        <f>[1]data!B9</f>
        <v>TPS54232</v>
      </c>
    </row>
    <row r="37" spans="1:9">
      <c r="A37" s="29" t="s">
        <v>33</v>
      </c>
      <c r="B37" s="37">
        <f>LOOKUP($B$30,[1]data!$B$4:$B$18,[1]data!H4:H18)</f>
        <v>10.5</v>
      </c>
      <c r="C37" t="s">
        <v>34</v>
      </c>
      <c r="H37" s="38"/>
      <c r="I37" t="str">
        <f>[1]data!B10</f>
        <v>TPS54233</v>
      </c>
    </row>
    <row r="38" spans="1:9">
      <c r="A38" s="29" t="s">
        <v>35</v>
      </c>
      <c r="B38" s="39">
        <f>LOOKUP($B$30,[1]data!$B$4:$B$18,[1]data!I4:I18)</f>
        <v>3.1E-4</v>
      </c>
      <c r="C38" t="s">
        <v>36</v>
      </c>
      <c r="I38" t="str">
        <f>[1]data!B11</f>
        <v>TPS54240</v>
      </c>
    </row>
    <row r="39" spans="1:9">
      <c r="A39" s="29" t="s">
        <v>37</v>
      </c>
      <c r="B39" s="35">
        <f>LOOKUP($B$30,[1]data!$B$4:$B$18,[1]data!J4:J18)</f>
        <v>0.8</v>
      </c>
      <c r="C39" t="s">
        <v>38</v>
      </c>
      <c r="I39" s="66" t="str">
        <f>[1]data!B12</f>
        <v>TPS54260</v>
      </c>
    </row>
    <row r="40" spans="1:9">
      <c r="A40" s="29" t="s">
        <v>39</v>
      </c>
      <c r="B40" s="35">
        <f>LOOKUP($B$30,[1]data!$B$4:$B$18,[1]data!K4:K18)</f>
        <v>0.41</v>
      </c>
      <c r="C40" t="s">
        <v>40</v>
      </c>
      <c r="I40" t="str">
        <f>[1]data!B13</f>
        <v>TPS54331</v>
      </c>
    </row>
    <row r="41" spans="1:9">
      <c r="A41" s="29" t="s">
        <v>41</v>
      </c>
      <c r="B41" s="40">
        <f>LOOKUP($B$30,[1]data!$B$4:$B$18,[1]data!L4:L18)</f>
        <v>2.4999999999999999E-8</v>
      </c>
      <c r="C41" t="s">
        <v>42</v>
      </c>
      <c r="I41" t="str">
        <f>[1]data!B14</f>
        <v>TPS54332</v>
      </c>
    </row>
    <row r="42" spans="1:9">
      <c r="A42" s="29" t="s">
        <v>43</v>
      </c>
      <c r="B42" s="40">
        <f>LOOKUP($B$30,[1]data!$B$4:$B$18,[1]data!M4:M18)</f>
        <v>2.4999999999999999E-8</v>
      </c>
      <c r="C42" t="s">
        <v>44</v>
      </c>
      <c r="I42" t="str">
        <f>[1]data!B15</f>
        <v>TPS54340</v>
      </c>
    </row>
    <row r="43" spans="1:9">
      <c r="A43" s="27" t="s">
        <v>45</v>
      </c>
      <c r="B43" s="27"/>
      <c r="C43" s="27"/>
      <c r="D43" s="27"/>
      <c r="E43" s="27"/>
      <c r="F43" s="27"/>
      <c r="I43" t="str">
        <f>[1]data!B16</f>
        <v>TPS54360</v>
      </c>
    </row>
    <row r="44" spans="1:9">
      <c r="A44" s="29" t="s">
        <v>46</v>
      </c>
      <c r="B44" s="41">
        <v>-15</v>
      </c>
      <c r="C44" t="s">
        <v>47</v>
      </c>
      <c r="F44" s="66">
        <v>-15</v>
      </c>
      <c r="I44" t="str">
        <f>[1]data!B17</f>
        <v>TPS54540</v>
      </c>
    </row>
    <row r="45" spans="1:9">
      <c r="A45" s="29" t="s">
        <v>48</v>
      </c>
      <c r="B45" s="42">
        <v>0.05</v>
      </c>
      <c r="C45" s="43" t="s">
        <v>49</v>
      </c>
      <c r="F45" s="66">
        <v>0.05</v>
      </c>
      <c r="I45" t="s">
        <v>50</v>
      </c>
    </row>
    <row r="46" spans="1:9">
      <c r="A46" s="29" t="s">
        <v>51</v>
      </c>
      <c r="B46" s="41">
        <v>24</v>
      </c>
      <c r="C46" s="43" t="s">
        <v>52</v>
      </c>
      <c r="F46" s="66">
        <v>24</v>
      </c>
    </row>
    <row r="47" spans="1:9">
      <c r="A47" s="29" t="s">
        <v>53</v>
      </c>
      <c r="B47" s="41">
        <v>26</v>
      </c>
      <c r="C47" t="s">
        <v>54</v>
      </c>
      <c r="F47" s="66">
        <v>26</v>
      </c>
    </row>
    <row r="48" spans="1:9">
      <c r="A48" s="29" t="s">
        <v>55</v>
      </c>
      <c r="B48" s="41">
        <v>22</v>
      </c>
      <c r="C48" t="s">
        <v>56</v>
      </c>
      <c r="F48" s="66">
        <v>22</v>
      </c>
    </row>
    <row r="49" spans="1:6">
      <c r="A49" s="29" t="s">
        <v>57</v>
      </c>
      <c r="B49" s="41">
        <v>1</v>
      </c>
      <c r="C49" s="43" t="s">
        <v>58</v>
      </c>
      <c r="F49" s="66">
        <v>1</v>
      </c>
    </row>
    <row r="50" spans="1:6">
      <c r="A50" s="29" t="s">
        <v>59</v>
      </c>
      <c r="B50" s="41">
        <v>500000</v>
      </c>
      <c r="C50" s="43" t="s">
        <v>60</v>
      </c>
      <c r="F50" s="66">
        <v>500000</v>
      </c>
    </row>
    <row r="51" spans="1:6">
      <c r="A51" s="29" t="s">
        <v>61</v>
      </c>
      <c r="B51" s="41">
        <v>1E-3</v>
      </c>
      <c r="C51" s="43" t="s">
        <v>62</v>
      </c>
      <c r="F51" s="67" t="s">
        <v>193</v>
      </c>
    </row>
    <row r="52" spans="1:6">
      <c r="A52" s="29" t="s">
        <v>63</v>
      </c>
      <c r="B52" s="41">
        <v>0.13</v>
      </c>
      <c r="C52" s="43" t="s">
        <v>64</v>
      </c>
      <c r="F52" s="66">
        <v>0.13</v>
      </c>
    </row>
    <row r="53" spans="1:6">
      <c r="A53" s="44" t="s">
        <v>65</v>
      </c>
      <c r="B53" s="41">
        <v>0.75</v>
      </c>
      <c r="C53" s="43" t="s">
        <v>194</v>
      </c>
      <c r="F53" s="67" t="s">
        <v>195</v>
      </c>
    </row>
    <row r="54" spans="1:6">
      <c r="A54" s="44" t="s">
        <v>66</v>
      </c>
      <c r="B54" s="45">
        <v>0.1</v>
      </c>
      <c r="C54" s="43" t="s">
        <v>67</v>
      </c>
      <c r="F54" s="66">
        <v>0.1</v>
      </c>
    </row>
    <row r="55" spans="1:6">
      <c r="A55" s="27"/>
      <c r="B55" s="27"/>
      <c r="C55" s="27"/>
      <c r="D55" s="27"/>
      <c r="E55" s="27"/>
      <c r="F55" s="27" t="s">
        <v>16</v>
      </c>
    </row>
    <row r="56" spans="1:6">
      <c r="A56" t="s">
        <v>68</v>
      </c>
      <c r="B56" s="29" t="s">
        <v>53</v>
      </c>
      <c r="C56" s="46">
        <f>B31+B44</f>
        <v>45</v>
      </c>
      <c r="F56" t="s">
        <v>69</v>
      </c>
    </row>
    <row r="57" spans="1:6">
      <c r="B57" s="29" t="s">
        <v>70</v>
      </c>
      <c r="C57" s="41">
        <v>1000</v>
      </c>
      <c r="D57" s="66">
        <v>1000</v>
      </c>
      <c r="F57" t="s">
        <v>71</v>
      </c>
    </row>
    <row r="58" spans="1:6">
      <c r="A58" t="s">
        <v>72</v>
      </c>
      <c r="B58" s="29" t="s">
        <v>73</v>
      </c>
      <c r="C58" s="47">
        <f>C57*(-B44/B39-1)</f>
        <v>17750</v>
      </c>
      <c r="D58" s="47" t="e">
        <f>(IF((10^(LOG(C58)-INT(LOG(C58)))*100)-VLOOKUP((10^(LOG(C58)-INT(LOG(C58)))*100),E96_s:E96_f,1)&lt;VLOOKUP((10^(LOG(C58)-INT(LOG(C58)))*100),E96_s:E96_f,2)-(10^(LOG(C58)-INT(LOG(C58)))*100),VLOOKUP((10^(LOG(C58)-INT(LOG(C58)))*100),E96_s:E96_f,1),VLOOKUP((10^(LOG(C58)-INT(LOG(C58)))*100),E96_s:E96_f,2)))*10^INT(LOG(C58))/100</f>
        <v>#REF!</v>
      </c>
      <c r="F58" t="s">
        <v>74</v>
      </c>
    </row>
    <row r="59" spans="1:6">
      <c r="A59" t="s">
        <v>75</v>
      </c>
      <c r="B59" s="29" t="s">
        <v>76</v>
      </c>
      <c r="C59" s="46">
        <f>B48</f>
        <v>22</v>
      </c>
      <c r="F59" t="s">
        <v>77</v>
      </c>
    </row>
    <row r="60" spans="1:6">
      <c r="A60" t="s">
        <v>78</v>
      </c>
      <c r="B60" s="29" t="s">
        <v>79</v>
      </c>
      <c r="C60" s="48">
        <f>-B44/(B48-B44)</f>
        <v>0.40540540540540543</v>
      </c>
      <c r="D60" s="48">
        <f>-B44/(B47-B44)</f>
        <v>0.36585365853658536</v>
      </c>
      <c r="E60" s="48">
        <f>-B44/(B46-B44)</f>
        <v>0.38461538461538464</v>
      </c>
      <c r="F60" t="s">
        <v>80</v>
      </c>
    </row>
    <row r="61" spans="1:6">
      <c r="A61" t="s">
        <v>81</v>
      </c>
      <c r="B61" s="29" t="s">
        <v>82</v>
      </c>
      <c r="C61" s="46">
        <f>(B35-(B35*0.25/2))*(1-C60)</f>
        <v>1.8209459459459456</v>
      </c>
      <c r="F61" t="s">
        <v>83</v>
      </c>
    </row>
    <row r="62" spans="1:6">
      <c r="A62" t="s">
        <v>84</v>
      </c>
      <c r="B62" s="29" t="s">
        <v>85</v>
      </c>
      <c r="C62" s="47">
        <f>(1/$B$36)*((-$B$44+$B$52*$B$49+$B$53)/($B$47-$B$44+$B$53-$B$49*$B$40))</f>
        <v>2845419.1976204552</v>
      </c>
      <c r="F62" t="s">
        <v>86</v>
      </c>
    </row>
    <row r="63" spans="1:6">
      <c r="A63" t="s">
        <v>87</v>
      </c>
      <c r="B63" s="29" t="s">
        <v>88</v>
      </c>
      <c r="C63" s="47">
        <f>(8/$B$36)*((-$B$54+$B$52*$B$49+$B$53)/($B$47-$B$54+$B$53-$B$49*$B$40))</f>
        <v>1761517.6151761517</v>
      </c>
      <c r="F63" t="s">
        <v>89</v>
      </c>
    </row>
    <row r="64" spans="1:6">
      <c r="A64" t="s">
        <v>90</v>
      </c>
      <c r="B64" s="29" t="s">
        <v>91</v>
      </c>
      <c r="C64" s="46">
        <f>B49/(1-D60)</f>
        <v>1.5769230769230769</v>
      </c>
      <c r="F64" t="s">
        <v>92</v>
      </c>
    </row>
    <row r="65" spans="1:6">
      <c r="A65" t="s">
        <v>93</v>
      </c>
      <c r="B65" s="29" t="s">
        <v>94</v>
      </c>
      <c r="C65" s="49">
        <f>B47*D60/(B50*C64*0.25)</f>
        <v>4.825698988697204E-5</v>
      </c>
      <c r="F65" t="s">
        <v>95</v>
      </c>
    </row>
    <row r="66" spans="1:6">
      <c r="B66" s="29" t="s">
        <v>96</v>
      </c>
      <c r="C66" s="50">
        <v>4.6999999999999997E-5</v>
      </c>
      <c r="D66" s="66">
        <v>4.6999999999999997E-5</v>
      </c>
      <c r="E66" s="29"/>
      <c r="F66" t="s">
        <v>97</v>
      </c>
    </row>
    <row r="67" spans="1:6">
      <c r="A67" t="s">
        <v>98</v>
      </c>
      <c r="B67" s="29" t="s">
        <v>99</v>
      </c>
      <c r="C67" s="48">
        <f>$B$49/(1-C60)+($B$48*C60)/(2*$B$50*$C$66)</f>
        <v>1.8715824141356059</v>
      </c>
      <c r="D67" s="48">
        <f>$B$49/(1-D60)+($B$48*D60)/(2*$B$50*$C$66)</f>
        <v>1.7481737255997765</v>
      </c>
      <c r="E67" s="48">
        <f>$B$49/(1-E60)+($B$48*E60)/(2*$B$50*$C$66)</f>
        <v>1.8050327332242226</v>
      </c>
      <c r="F67" t="s">
        <v>100</v>
      </c>
    </row>
    <row r="68" spans="1:6">
      <c r="A68" t="s">
        <v>101</v>
      </c>
      <c r="B68" s="29" t="s">
        <v>102</v>
      </c>
      <c r="C68" s="48">
        <f>1*(((B49/(1-E60))^2+(1/12)*((E60*B46)/(B50*C66))^2))^0.5</f>
        <v>1.6289513705498004</v>
      </c>
      <c r="D68" s="51"/>
      <c r="E68" s="52"/>
      <c r="F68" t="s">
        <v>103</v>
      </c>
    </row>
    <row r="69" spans="1:6">
      <c r="A69" t="s">
        <v>104</v>
      </c>
      <c r="B69" s="29" t="s">
        <v>105</v>
      </c>
      <c r="C69" s="49">
        <f>(C60*B49)/(B50*B45)</f>
        <v>1.6216216216216218E-5</v>
      </c>
      <c r="F69" t="s">
        <v>106</v>
      </c>
    </row>
    <row r="70" spans="1:6">
      <c r="A70" t="s">
        <v>107</v>
      </c>
      <c r="B70" s="29" t="s">
        <v>108</v>
      </c>
      <c r="C70" s="48">
        <f>B45/(B49/(1-C60)+0.5*((B48*C60)/(B50*C66)))</f>
        <v>2.6715361088222558E-2</v>
      </c>
      <c r="F70" t="s">
        <v>109</v>
      </c>
    </row>
    <row r="71" spans="1:6">
      <c r="B71" s="29" t="s">
        <v>110</v>
      </c>
      <c r="C71" s="50">
        <f>0.0000871</f>
        <v>8.7100000000000003E-5</v>
      </c>
      <c r="D71" s="67" t="s">
        <v>192</v>
      </c>
      <c r="F71" t="s">
        <v>111</v>
      </c>
    </row>
    <row r="72" spans="1:6">
      <c r="B72" s="29" t="s">
        <v>108</v>
      </c>
      <c r="C72" s="41">
        <f>0.001</f>
        <v>1E-3</v>
      </c>
      <c r="D72" s="67" t="s">
        <v>191</v>
      </c>
      <c r="F72" t="s">
        <v>112</v>
      </c>
    </row>
    <row r="73" spans="1:6">
      <c r="A73" t="s">
        <v>113</v>
      </c>
      <c r="B73" s="29" t="s">
        <v>114</v>
      </c>
      <c r="C73" s="48">
        <f>B49*(C60/(1-C60))^0.5</f>
        <v>0.82572282384477058</v>
      </c>
      <c r="F73" t="s">
        <v>115</v>
      </c>
    </row>
    <row r="74" spans="1:6">
      <c r="A74" t="s">
        <v>116</v>
      </c>
      <c r="B74" s="29" t="s">
        <v>117</v>
      </c>
      <c r="C74" s="48">
        <f>B53*B49</f>
        <v>0.75</v>
      </c>
      <c r="F74" t="s">
        <v>118</v>
      </c>
    </row>
    <row r="75" spans="1:6">
      <c r="A75" t="s">
        <v>119</v>
      </c>
      <c r="B75" s="29" t="s">
        <v>120</v>
      </c>
      <c r="C75" s="53">
        <f>B40*E60*(C68^2)+0.5*(B46-B44)*(B49/(1-E60))*(B41+B42)*B50</f>
        <v>1.2106212895086883</v>
      </c>
      <c r="F75" t="s">
        <v>121</v>
      </c>
    </row>
    <row r="76" spans="1:6">
      <c r="A76" t="s">
        <v>122</v>
      </c>
      <c r="B76" s="29" t="s">
        <v>123</v>
      </c>
      <c r="C76" t="s">
        <v>124</v>
      </c>
    </row>
    <row r="77" spans="1:6">
      <c r="A77" t="s">
        <v>125</v>
      </c>
      <c r="B77" s="29" t="s">
        <v>126</v>
      </c>
      <c r="C77" s="47">
        <f>1/(C71*C72*2*PI())</f>
        <v>1827266.855245641</v>
      </c>
      <c r="F77" t="s">
        <v>127</v>
      </c>
    </row>
    <row r="78" spans="1:6">
      <c r="A78" t="s">
        <v>128</v>
      </c>
      <c r="B78" s="29" t="s">
        <v>129</v>
      </c>
      <c r="C78" s="47">
        <f>((-B44/B49)*((1-C60)^2)+(B52*((1-C60)-C60)))/(C60*C66*2*PI())</f>
        <v>44501.576913209276</v>
      </c>
      <c r="F78" t="s">
        <v>130</v>
      </c>
    </row>
    <row r="79" spans="1:6">
      <c r="A79" t="s">
        <v>131</v>
      </c>
      <c r="B79" s="29" t="s">
        <v>132</v>
      </c>
      <c r="C79" s="54">
        <f>(1+E60)/((-B44/B49)*C71*2*PI())</f>
        <v>168.67078663805918</v>
      </c>
      <c r="F79" t="s">
        <v>133</v>
      </c>
    </row>
    <row r="80" spans="1:6">
      <c r="A80" t="s">
        <v>134</v>
      </c>
      <c r="B80" s="29" t="s">
        <v>135</v>
      </c>
      <c r="C80" s="54">
        <f>((-B44/B49)*B46)/(B46+2*(-B44))*B37</f>
        <v>70</v>
      </c>
      <c r="F80" t="s">
        <v>136</v>
      </c>
    </row>
    <row r="81" spans="1:11">
      <c r="A81" t="s">
        <v>137</v>
      </c>
      <c r="B81" s="29" t="s">
        <v>138</v>
      </c>
      <c r="C81" s="47">
        <f>(C79*C78)^0.5</f>
        <v>2739.7291808835962</v>
      </c>
      <c r="F81" t="s">
        <v>139</v>
      </c>
    </row>
    <row r="82" spans="1:11">
      <c r="A82" t="s">
        <v>140</v>
      </c>
      <c r="B82" s="29" t="s">
        <v>141</v>
      </c>
      <c r="C82" s="47">
        <f>(C81/(C80*C79))*(-B44/(B39*B38))</f>
        <v>14034.899375458446</v>
      </c>
      <c r="D82" s="47" t="e">
        <f>(IF((10^(LOG(C82)-INT(LOG(C82)))*100)-VLOOKUP((10^(LOG(C82)-INT(LOG(C82)))*100),E96_s:E96_f,1)&lt;VLOOKUP((10^(LOG(C82)-INT(LOG(C82)))*100),E96_s:E96_f,2)-(10^(LOG(C82)-INT(LOG(C82)))*100),VLOOKUP((10^(LOG(C82)-INT(LOG(C82)))*100),E96_s:E96_f,1),VLOOKUP((10^(LOG(C82)-INT(LOG(C82)))*100),E96_s:E96_f,2)))*10^INT(LOG(C82))/100</f>
        <v>#REF!</v>
      </c>
      <c r="F82" t="s">
        <v>142</v>
      </c>
    </row>
    <row r="83" spans="1:11">
      <c r="B83" s="29" t="s">
        <v>143</v>
      </c>
      <c r="C83" s="55">
        <v>4220</v>
      </c>
      <c r="D83" s="67" t="s">
        <v>188</v>
      </c>
      <c r="E83" s="29"/>
      <c r="F83" t="s">
        <v>144</v>
      </c>
    </row>
    <row r="84" spans="1:11">
      <c r="A84" t="s">
        <v>145</v>
      </c>
      <c r="B84" s="29" t="s">
        <v>146</v>
      </c>
      <c r="C84" s="49">
        <f>1/((C79/2)*C83*2*PI())</f>
        <v>4.4719589257503956E-7</v>
      </c>
      <c r="D84" s="49" t="e">
        <f>IF(C84*10^12&lt;10000,IF((10^(LOG(C84*10^12)-INT(LOG(C84*10^12))))-VLOOKUP((10^(LOG(C84*10^12)-INT(LOG(C84*10^12)))),c_s1:C_f1,1)&lt;VLOOKUP((10^(LOG(C84*10^12)-INT(LOG(C84*10^12)))),c_s1:C_f1,2)-(10^(LOG(C84*10^12)-INT(LOG(C84*10^12)))),VLOOKUP((10^(LOG(C84*10^12)-INT(LOG(C84*10^12)))),c_s1:C_f1,1),VLOOKUP((10^(LOG(C84*10^12)-INT(LOG(C84*10^12)))),c_s1:C_f1,2))*10^INT(LOG(C84*10^12)),IF((10^(LOG(C84*10^12)-INT(LOG(C84*10^12))))-VLOOKUP((10^(LOG(C84*10^12)-INT(LOG(C84*10^12)))),C_s2:C_f2,1)&lt;VLOOKUP((10^(LOG(C84*10^12)-INT(LOG(C84*10^12)))),C_s2:C_f2,2)-(10^(LOG(C84*10^12)-INT(LOG(C84*10^12)))),VLOOKUP((10^(LOG(C84*10^12)-INT(LOG(C84*10^12)))),C_s2:C_f2,1),VLOOKUP((10^(LOG(C84*10^12)-INT(LOG(C84*10^12)))),C_s2:C_f2,2))*10^INT(LOG(C84*10^12)))*10^-12</f>
        <v>#REF!</v>
      </c>
      <c r="E84" s="29"/>
      <c r="F84" t="s">
        <v>147</v>
      </c>
    </row>
    <row r="85" spans="1:11">
      <c r="B85" s="29" t="s">
        <v>148</v>
      </c>
      <c r="C85" s="50">
        <v>1.4999999999999999E-7</v>
      </c>
      <c r="D85" s="68" t="s">
        <v>189</v>
      </c>
      <c r="E85" s="29"/>
      <c r="F85" t="s">
        <v>149</v>
      </c>
    </row>
    <row r="86" spans="1:11">
      <c r="A86" t="s">
        <v>150</v>
      </c>
      <c r="B86" s="29" t="s">
        <v>151</v>
      </c>
      <c r="C86" s="49">
        <f>1/(C78*2*PI()*C83)</f>
        <v>8.4748550741301455E-10</v>
      </c>
      <c r="D86" s="49" t="e">
        <f>IF(C86*10^12&lt;10000,IF((10^(LOG(C86*10^12)-INT(LOG(C86*10^12))))-VLOOKUP((10^(LOG(C86*10^12)-INT(LOG(C86*10^12)))),c_s1:C_f1,1)&lt;VLOOKUP((10^(LOG(C86*10^12)-INT(LOG(C86*10^12)))),c_s1:C_f1,2)-(10^(LOG(C86*10^12)-INT(LOG(C86*10^12)))),VLOOKUP((10^(LOG(C86*10^12)-INT(LOG(C86*10^12)))),c_s1:C_f1,1),VLOOKUP((10^(LOG(C86*10^12)-INT(LOG(C86*10^12)))),c_s1:C_f1,2))*10^INT(LOG(C86*10^12)),IF((10^(LOG(C86*10^12)-INT(LOG(C86*10^12))))-VLOOKUP((10^(LOG(C86*10^12)-INT(LOG(C86*10^12)))),C_s2:C_f2,1)&lt;VLOOKUP((10^(LOG(C86*10^12)-INT(LOG(C86*10^12)))),C_s2:C_f2,2)-(10^(LOG(C86*10^12)-INT(LOG(C86*10^12)))),VLOOKUP((10^(LOG(C86*10^12)-INT(LOG(C86*10^12)))),C_s2:C_f2,1),VLOOKUP((10^(LOG(C86*10^12)-INT(LOG(C86*10^12)))),C_s2:C_f2,2))*10^INT(LOG(C86*10^12)))*10^-12</f>
        <v>#REF!</v>
      </c>
      <c r="F86" t="s">
        <v>152</v>
      </c>
    </row>
    <row r="87" spans="1:11">
      <c r="B87" s="29" t="s">
        <v>153</v>
      </c>
      <c r="C87" s="50">
        <v>8.2000000000000001E-11</v>
      </c>
      <c r="D87" s="68" t="s">
        <v>190</v>
      </c>
      <c r="E87" s="29"/>
      <c r="F87" t="s">
        <v>154</v>
      </c>
    </row>
    <row r="88" spans="1:11">
      <c r="A88" t="s">
        <v>155</v>
      </c>
      <c r="B88" s="29" t="s">
        <v>156</v>
      </c>
      <c r="C88" s="48">
        <f>B49*C60/(1-C60)</f>
        <v>0.68181818181818199</v>
      </c>
      <c r="F88" t="s">
        <v>157</v>
      </c>
    </row>
    <row r="89" spans="1:11">
      <c r="A89" t="s">
        <v>158</v>
      </c>
      <c r="B89" s="29" t="s">
        <v>159</v>
      </c>
      <c r="C89" s="49">
        <f>C88/(B50*B48*0.01)</f>
        <v>6.198347107438018E-6</v>
      </c>
      <c r="F89" t="s">
        <v>160</v>
      </c>
    </row>
    <row r="90" spans="1:11">
      <c r="A90" t="s">
        <v>161</v>
      </c>
      <c r="B90" s="29" t="s">
        <v>162</v>
      </c>
      <c r="C90" s="56">
        <f>0.01*B48/C88</f>
        <v>0.3226666666666666</v>
      </c>
      <c r="F90" t="s">
        <v>163</v>
      </c>
    </row>
    <row r="91" spans="1:11">
      <c r="A91" t="s">
        <v>164</v>
      </c>
      <c r="B91" s="29" t="s">
        <v>165</v>
      </c>
      <c r="C91" s="48">
        <f>(((C67-C88)^2+(1/12)*(B48*C60/(C66*B50))^2)*C60+((1-C60)*C88^2))^0.5</f>
        <v>0.92474114674873131</v>
      </c>
      <c r="F91" t="s">
        <v>166</v>
      </c>
    </row>
    <row r="92" spans="1:11">
      <c r="A92" t="s">
        <v>167</v>
      </c>
      <c r="B92" s="29" t="s">
        <v>168</v>
      </c>
      <c r="C92" s="49">
        <f>(B51*(2*10^-6))/(0.8*0.8)</f>
        <v>3.1249999999999994E-9</v>
      </c>
      <c r="F92" t="s">
        <v>169</v>
      </c>
    </row>
    <row r="93" spans="1:11">
      <c r="A93" t="s">
        <v>170</v>
      </c>
      <c r="B93" s="29" t="s">
        <v>171</v>
      </c>
      <c r="C93" s="47">
        <f>(1000)*206033/((B50/1000)^1.0888)</f>
        <v>237300.27719336707</v>
      </c>
      <c r="D93" s="47" t="e">
        <f>(IF((10^(LOG(C93)-INT(LOG(C93)))*100)-VLOOKUP((10^(LOG(C93)-INT(LOG(C93)))*100),E96_s:E96_f,1)&lt;VLOOKUP((10^(LOG(C93)-INT(LOG(C93)))*100),E96_s:E96_f,2)-(10^(LOG(C93)-INT(LOG(C93)))*100),VLOOKUP((10^(LOG(C93)-INT(LOG(C93)))*100),E96_s:E96_f,1),VLOOKUP((10^(LOG(C93)-INT(LOG(C93)))*100),E96_s:E96_f,2)))*10^INT(LOG(C93))/100</f>
        <v>#REF!</v>
      </c>
      <c r="F93" t="s">
        <v>172</v>
      </c>
    </row>
    <row r="94" spans="1:11" ht="15.75">
      <c r="B94" s="29"/>
      <c r="C94" s="29"/>
      <c r="D94" s="29"/>
      <c r="E94" s="29"/>
      <c r="F94" s="29"/>
      <c r="G94" s="57"/>
      <c r="H94" s="29"/>
      <c r="I94" s="29"/>
      <c r="J94" s="29"/>
      <c r="K94" s="29"/>
    </row>
    <row r="95" spans="1:11">
      <c r="A95" s="58" t="s">
        <v>173</v>
      </c>
      <c r="B95" s="58"/>
      <c r="C95" s="59"/>
      <c r="D95" s="27"/>
      <c r="E95" s="27"/>
      <c r="F95" s="27"/>
      <c r="G95" s="29"/>
      <c r="H95" s="29"/>
      <c r="I95" s="29"/>
      <c r="J95" s="29"/>
      <c r="K95" s="29"/>
    </row>
    <row r="96" spans="1:11">
      <c r="A96" t="s">
        <v>174</v>
      </c>
      <c r="B96" s="60">
        <f>C66</f>
        <v>4.6999999999999997E-5</v>
      </c>
      <c r="C96" s="29"/>
      <c r="D96" s="29"/>
      <c r="E96" s="29"/>
      <c r="F96" s="29"/>
      <c r="G96" s="29"/>
      <c r="H96" s="29"/>
      <c r="I96" s="29"/>
      <c r="J96" s="29"/>
      <c r="K96" s="29"/>
    </row>
    <row r="97" spans="1:11">
      <c r="A97" t="s">
        <v>175</v>
      </c>
      <c r="B97" s="60">
        <f>C71</f>
        <v>8.7100000000000003E-5</v>
      </c>
      <c r="C97" s="61"/>
      <c r="D97" s="61"/>
      <c r="E97" s="61"/>
      <c r="F97" s="29"/>
      <c r="G97" s="29"/>
      <c r="H97" s="29"/>
      <c r="I97" s="29"/>
      <c r="J97" s="29"/>
      <c r="K97" s="29"/>
    </row>
    <row r="98" spans="1:11">
      <c r="A98" t="s">
        <v>176</v>
      </c>
      <c r="B98" s="60">
        <f>C58</f>
        <v>17750</v>
      </c>
    </row>
    <row r="99" spans="1:11">
      <c r="A99" t="s">
        <v>177</v>
      </c>
      <c r="B99" s="60">
        <f>C57</f>
        <v>1000</v>
      </c>
    </row>
    <row r="100" spans="1:11">
      <c r="A100" t="s">
        <v>178</v>
      </c>
      <c r="B100" s="60">
        <f>C83</f>
        <v>4220</v>
      </c>
    </row>
    <row r="101" spans="1:11">
      <c r="A101" t="s">
        <v>179</v>
      </c>
      <c r="B101" s="62">
        <f>C87</f>
        <v>8.2000000000000001E-11</v>
      </c>
    </row>
    <row r="102" spans="1:11">
      <c r="A102" t="s">
        <v>180</v>
      </c>
      <c r="B102" s="62">
        <f>C85</f>
        <v>1.4999999999999999E-7</v>
      </c>
    </row>
    <row r="103" spans="1:11">
      <c r="A103" t="s">
        <v>181</v>
      </c>
      <c r="B103" s="60">
        <f>C92</f>
        <v>3.1249999999999994E-9</v>
      </c>
    </row>
    <row r="104" spans="1:11">
      <c r="A104" t="s">
        <v>182</v>
      </c>
      <c r="B104" s="63">
        <f>C93</f>
        <v>237300.27719336707</v>
      </c>
    </row>
    <row r="105" spans="1:11">
      <c r="A105" t="s">
        <v>183</v>
      </c>
      <c r="B105" s="62">
        <f>C89</f>
        <v>6.198347107438018E-6</v>
      </c>
    </row>
    <row r="106" spans="1:11">
      <c r="A106" t="s">
        <v>184</v>
      </c>
      <c r="B106" s="62">
        <v>9.9999999999999995E-8</v>
      </c>
    </row>
    <row r="107" spans="1:11">
      <c r="A107" t="s">
        <v>185</v>
      </c>
      <c r="B107" s="62">
        <v>9.9999999999999995E-7</v>
      </c>
    </row>
    <row r="108" spans="1:11">
      <c r="A108" t="s">
        <v>186</v>
      </c>
      <c r="B108" s="64" t="str">
        <f>B30</f>
        <v>TPS54260</v>
      </c>
    </row>
    <row r="109" spans="1:11">
      <c r="A109" t="s">
        <v>187</v>
      </c>
      <c r="B109" s="65"/>
    </row>
  </sheetData>
  <phoneticPr fontId="1" type="noConversion"/>
  <dataValidations count="1">
    <dataValidation type="list" errorStyle="warning" allowBlank="1" showInputMessage="1" showErrorMessage="1" errorTitle="Warning" error="Select Device From List_x000a_" promptTitle="Device" prompt="Select Device " sqref="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xr:uid="{00000000-0002-0000-0000-000000000000}">
      <formula1>$I$31:$I$45</formula1>
    </dataValidation>
  </dataValidations>
  <pageMargins left="0.7" right="0.7" top="0.75" bottom="0.75" header="0.3" footer="0.3"/>
  <drawing r:id="rId1"/>
  <legacyDrawing r:id="rId2"/>
  <oleObjects>
    <mc:AlternateContent xmlns:mc="http://schemas.openxmlformats.org/markup-compatibility/2006">
      <mc:Choice Requires="x14">
        <oleObject progId="Visio.Drawing.11" shapeId="1025" r:id="rId3">
          <objectPr defaultSize="0" autoPict="0" r:id="rId4">
            <anchor moveWithCells="1" sizeWithCells="1">
              <from>
                <xdr:col>2</xdr:col>
                <xdr:colOff>19050</xdr:colOff>
                <xdr:row>95</xdr:row>
                <xdr:rowOff>9525</xdr:rowOff>
              </from>
              <to>
                <xdr:col>8</xdr:col>
                <xdr:colOff>495300</xdr:colOff>
                <xdr:row>115</xdr:row>
                <xdr:rowOff>76200</xdr:rowOff>
              </to>
            </anchor>
          </objectPr>
        </oleObject>
      </mc:Choice>
      <mc:Fallback>
        <oleObject progId="Visio.Drawing.11" shapeId="1025"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2024-12-17T06:19:37Z</dcterms:modified>
</cp:coreProperties>
</file>