
<file path=[Content_Types].xml><?xml version="1.0" encoding="utf-8"?>
<Types xmlns="http://schemas.openxmlformats.org/package/2006/content-types">
  <Default Extension="vsd" ContentType="application/vnd.visio"/>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filterPrivacy="1"/>
  <xr:revisionPtr revIDLastSave="0" documentId="13_ncr:1_{28B59D7B-B41F-4EC0-AFCE-AA2EA8E86D7F}" xr6:coauthVersionLast="36" xr6:coauthVersionMax="36" xr10:uidLastSave="{00000000-0000-0000-0000-000000000000}"/>
  <bookViews>
    <workbookView xWindow="0" yWindow="0" windowWidth="22260" windowHeight="12645" xr2:uid="{00000000-000D-0000-FFFF-FFFF00000000}"/>
  </bookViews>
  <sheets>
    <sheet name="Sheet1" sheetId="1" r:id="rId1"/>
  </sheets>
  <externalReferences>
    <externalReference r:id="rId2"/>
  </externalReferences>
  <definedNames>
    <definedName name="C_f1">'[1]Std. R and C Values'!$K$18</definedName>
    <definedName name="C_f2">'[1]Std. R and C Values'!$K$25</definedName>
    <definedName name="c_s1">'[1]Std. R and C Values'!$J$7</definedName>
    <definedName name="C_s2">'[1]Std. R and C Values'!$J$20</definedName>
    <definedName name="E96_f">'[1]Std. R and C Values'!$H$99</definedName>
    <definedName name="E96_s">'[1]Std. R and C Values'!$G$4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1" i="1" l="1"/>
  <c r="B108" i="1" l="1"/>
  <c r="B102" i="1"/>
  <c r="B101" i="1"/>
  <c r="B100" i="1"/>
  <c r="B99" i="1"/>
  <c r="B96" i="1"/>
  <c r="D93" i="1"/>
  <c r="C93" i="1"/>
  <c r="B104" i="1" s="1"/>
  <c r="C92" i="1"/>
  <c r="B103" i="1" s="1"/>
  <c r="C79" i="1"/>
  <c r="C74" i="1"/>
  <c r="C72" i="1"/>
  <c r="C77" i="1"/>
  <c r="E60" i="1"/>
  <c r="E67" i="1" s="1"/>
  <c r="D60" i="1"/>
  <c r="D67" i="1" s="1"/>
  <c r="C60" i="1"/>
  <c r="C78" i="1" s="1"/>
  <c r="C86" i="1" s="1"/>
  <c r="D86" i="1" s="1"/>
  <c r="C59" i="1"/>
  <c r="I44" i="1"/>
  <c r="I43" i="1"/>
  <c r="I42" i="1"/>
  <c r="B42" i="1"/>
  <c r="I41" i="1"/>
  <c r="B41" i="1"/>
  <c r="I40" i="1"/>
  <c r="B40" i="1"/>
  <c r="I39" i="1"/>
  <c r="B39" i="1"/>
  <c r="C58" i="1" s="1"/>
  <c r="I38" i="1"/>
  <c r="B38" i="1"/>
  <c r="I37" i="1"/>
  <c r="B37" i="1"/>
  <c r="C80" i="1" s="1"/>
  <c r="I36" i="1"/>
  <c r="B36" i="1"/>
  <c r="C63" i="1" s="1"/>
  <c r="I35" i="1"/>
  <c r="B35" i="1"/>
  <c r="I34" i="1"/>
  <c r="B34" i="1"/>
  <c r="I33" i="1"/>
  <c r="B33" i="1"/>
  <c r="I32" i="1"/>
  <c r="B32" i="1"/>
  <c r="I31" i="1"/>
  <c r="B31" i="1"/>
  <c r="C56" i="1" s="1"/>
  <c r="C68" i="1" l="1"/>
  <c r="C75" i="1" s="1"/>
  <c r="C61" i="1"/>
  <c r="C69" i="1"/>
  <c r="C81" i="1"/>
  <c r="C82" i="1" s="1"/>
  <c r="D82" i="1" s="1"/>
  <c r="D58" i="1"/>
  <c r="B98" i="1"/>
  <c r="C70" i="1"/>
  <c r="C84" i="1"/>
  <c r="D84" i="1" s="1"/>
  <c r="B97" i="1"/>
  <c r="C62" i="1"/>
  <c r="C73" i="1"/>
  <c r="C64" i="1"/>
  <c r="C65" i="1" s="1"/>
  <c r="C88" i="1"/>
  <c r="C67" i="1"/>
  <c r="C91" i="1" l="1"/>
  <c r="C90" i="1"/>
  <c r="C89" i="1"/>
  <c r="B105" i="1" s="1"/>
</calcChain>
</file>

<file path=xl/sharedStrings.xml><?xml version="1.0" encoding="utf-8"?>
<sst xmlns="http://schemas.openxmlformats.org/spreadsheetml/2006/main" count="200" uniqueCount="197">
  <si>
    <t>© 2009</t>
  </si>
  <si>
    <t>Creating an Inverting Power Supply from a Step-Down Regulator</t>
  </si>
  <si>
    <t>Application Note Calculator Tool - Rev. E</t>
  </si>
  <si>
    <t>SLVC211</t>
  </si>
  <si>
    <t>This worksheet is designed for use with Microsoft Excel 2002 or later.  It is intended to assist circuit designers in their</t>
  </si>
  <si>
    <t>routine, day-to-day calculations.  Additional worksheets may be added as they are completed.</t>
  </si>
  <si>
    <t xml:space="preserve">This worksheet can be modified and used with a variety of devices.  The initial values show an example using the </t>
  </si>
  <si>
    <t>TPS54060 and complement the SLVA317 application note.</t>
  </si>
  <si>
    <t>All worksheets contain yellow user-input cells and purple value-select cells that accept manual numeric input,</t>
  </si>
  <si>
    <t>light blue calculated cells, and light gray constants cells.</t>
  </si>
  <si>
    <t>Disclaimer:</t>
  </si>
  <si>
    <t>This product is designed as an aid for customers of Texas Instruments.  No warranties, either express</t>
  </si>
  <si>
    <t>or implied, with respect to this software or its fitness for any particular purpose is made by Texas</t>
  </si>
  <si>
    <t>Instruments or the author.  The software is licensed solely on an "as is" basis.  The entire risk as to its</t>
  </si>
  <si>
    <t>quality and performance is with the user.</t>
  </si>
  <si>
    <t>Device</t>
  </si>
  <si>
    <t>description</t>
  </si>
  <si>
    <t>Devices Supported</t>
  </si>
  <si>
    <t>vdevmax (V)</t>
  </si>
  <si>
    <t>maximum operating voltage</t>
  </si>
  <si>
    <t>User-Input Cells</t>
  </si>
  <si>
    <t>vdevmin (V)</t>
  </si>
  <si>
    <t>minimum operating voltage</t>
  </si>
  <si>
    <t>Calculated Cells</t>
  </si>
  <si>
    <t>devfreqmax (V)</t>
  </si>
  <si>
    <t>maximum switching frequency</t>
  </si>
  <si>
    <t>Constants Cells</t>
  </si>
  <si>
    <t>devfreqmin (V)</t>
  </si>
  <si>
    <t>minimum switching frequency</t>
  </si>
  <si>
    <t>ICLmin (A)</t>
  </si>
  <si>
    <t>minimum current limit</t>
  </si>
  <si>
    <t>tonmin (s)</t>
  </si>
  <si>
    <t>minimum controllable on time</t>
  </si>
  <si>
    <t>gmps (A/V)</t>
  </si>
  <si>
    <t>transconductance of power stage</t>
  </si>
  <si>
    <t>gmea (A/V)</t>
  </si>
  <si>
    <t>transconductance of error amplifier</t>
  </si>
  <si>
    <t>Vref (V)</t>
  </si>
  <si>
    <t xml:space="preserve">reference voltage </t>
  </si>
  <si>
    <t>Rhs (Ohm)</t>
  </si>
  <si>
    <t>maximum on resistance</t>
  </si>
  <si>
    <t>tr (s)</t>
  </si>
  <si>
    <t>switch turn on time</t>
  </si>
  <si>
    <t>tf (s)</t>
  </si>
  <si>
    <t>switch turn off time</t>
  </si>
  <si>
    <t>power supply requirements</t>
  </si>
  <si>
    <t>vo (V)</t>
  </si>
  <si>
    <t>power supply output voltage</t>
  </si>
  <si>
    <t>dVo(V)</t>
  </si>
  <si>
    <t>output ripple voltage requirement</t>
  </si>
  <si>
    <t>TPS54560</t>
  </si>
  <si>
    <t>vi (V)</t>
  </si>
  <si>
    <t>nominal input voltage</t>
  </si>
  <si>
    <t>vimax (V)</t>
  </si>
  <si>
    <t>maximum input voltage</t>
  </si>
  <si>
    <t>vimin (V)</t>
  </si>
  <si>
    <t>minimum input voltage</t>
  </si>
  <si>
    <t>Io (A)</t>
  </si>
  <si>
    <t>output current</t>
  </si>
  <si>
    <t>fsw (Hz)</t>
  </si>
  <si>
    <t>desired switching frequency</t>
  </si>
  <si>
    <t>tss (s)</t>
  </si>
  <si>
    <t>slow start time</t>
  </si>
  <si>
    <t>Rdc (Ohm)</t>
  </si>
  <si>
    <t>resistance of inductor</t>
  </si>
  <si>
    <t>Vfd (V)</t>
  </si>
  <si>
    <t>Vosc (V)</t>
  </si>
  <si>
    <t>output voltage during short circuit fault</t>
  </si>
  <si>
    <t>eq1</t>
  </si>
  <si>
    <t>maximum operating voltage supported by device</t>
  </si>
  <si>
    <t>R2 (Ohm)</t>
  </si>
  <si>
    <t>low side feedback resistor</t>
  </si>
  <si>
    <t>eq2</t>
  </si>
  <si>
    <t>R1 (Ohm)</t>
  </si>
  <si>
    <t>high side feedback resistor for adjusting output voltage</t>
  </si>
  <si>
    <t>eq3</t>
  </si>
  <si>
    <t>Vimin (V)</t>
  </si>
  <si>
    <t>minimum input voltage needs to be greater than the device minimum voltage</t>
  </si>
  <si>
    <t>eq4</t>
  </si>
  <si>
    <t>D  max, min, nom</t>
  </si>
  <si>
    <t>maximum, minimum, nominal duty cycle</t>
  </si>
  <si>
    <t>eq5</t>
  </si>
  <si>
    <t>Iomax (A)</t>
  </si>
  <si>
    <t>maximum output current supported by device current limit</t>
  </si>
  <si>
    <t>eq6</t>
  </si>
  <si>
    <t>fskipmax (Hz)</t>
  </si>
  <si>
    <t>maximum switching frequency to avoid pulse skipping</t>
  </si>
  <si>
    <t>eq7</t>
  </si>
  <si>
    <t>fshiftmax (Hz)</t>
  </si>
  <si>
    <t>maximum switching frequency to avoid overcurrent runaway in inductor</t>
  </si>
  <si>
    <t>eq8</t>
  </si>
  <si>
    <t>ILavg (A)</t>
  </si>
  <si>
    <t>average inductor current</t>
  </si>
  <si>
    <t>eq9</t>
  </si>
  <si>
    <t>Lo (H)</t>
  </si>
  <si>
    <t>calculated inductor value</t>
  </si>
  <si>
    <t>Lo_actual (H)</t>
  </si>
  <si>
    <t>actual inductor value</t>
  </si>
  <si>
    <t>eq10</t>
  </si>
  <si>
    <t>ILpeak (A)</t>
  </si>
  <si>
    <t>peak inductor current at maximum, minimum and nominal duty cycle.</t>
  </si>
  <si>
    <t>eq11</t>
  </si>
  <si>
    <t>ILrms (A)</t>
  </si>
  <si>
    <t xml:space="preserve">rms inductor current </t>
  </si>
  <si>
    <t>eq12</t>
  </si>
  <si>
    <t>Comin (F)</t>
  </si>
  <si>
    <t>minimum output capacitance</t>
  </si>
  <si>
    <t>eq13</t>
  </si>
  <si>
    <t>Rc (Ohm)</t>
  </si>
  <si>
    <t>maximum equivalent series resistance (esr) of output capacitor</t>
  </si>
  <si>
    <t>Co_actual (F)</t>
  </si>
  <si>
    <t>actual capacitor (note the capacitor is derated by 30%)</t>
  </si>
  <si>
    <t>actual esr</t>
  </si>
  <si>
    <t>eq14</t>
  </si>
  <si>
    <t>Icorms(A)</t>
  </si>
  <si>
    <t>rms current for output capacitor</t>
  </si>
  <si>
    <t>eq15</t>
  </si>
  <si>
    <t>Pdiode (W)</t>
  </si>
  <si>
    <t>power dissipated in diode</t>
  </si>
  <si>
    <t>eq16</t>
  </si>
  <si>
    <t>Pdevice (W)</t>
  </si>
  <si>
    <t>power dissipated in device</t>
  </si>
  <si>
    <t>eq17</t>
  </si>
  <si>
    <t>T(s)</t>
  </si>
  <si>
    <t>see app note</t>
  </si>
  <si>
    <t>eq18</t>
  </si>
  <si>
    <t>fz1 (Hz )</t>
  </si>
  <si>
    <t>esr zero of power stage</t>
  </si>
  <si>
    <t>eq19</t>
  </si>
  <si>
    <t>fz2 (Hz)</t>
  </si>
  <si>
    <t>rhp zero of power stage</t>
  </si>
  <si>
    <t>eq20</t>
  </si>
  <si>
    <t>fp1 (Hz)</t>
  </si>
  <si>
    <t>dominant pole of power stage</t>
  </si>
  <si>
    <t>eq21</t>
  </si>
  <si>
    <t>Kbb (V/V)</t>
  </si>
  <si>
    <t>dc gain of power stage</t>
  </si>
  <si>
    <t>eq22</t>
  </si>
  <si>
    <t>fco (Hz)</t>
  </si>
  <si>
    <t xml:space="preserve">initial crossover frequency </t>
  </si>
  <si>
    <t>eq23</t>
  </si>
  <si>
    <t>Rcomp (Ohm)</t>
  </si>
  <si>
    <t>compensation resistor</t>
  </si>
  <si>
    <t>Rcomp_actual</t>
  </si>
  <si>
    <t>actual compensation resistor</t>
  </si>
  <si>
    <t>eq24</t>
  </si>
  <si>
    <t>Czero (F)</t>
  </si>
  <si>
    <t>compensation capacitor for zero</t>
  </si>
  <si>
    <t>Czero_actual</t>
  </si>
  <si>
    <t>actual compensation capacitor for zero</t>
  </si>
  <si>
    <t>eq25</t>
  </si>
  <si>
    <t>Cpole (F)</t>
  </si>
  <si>
    <t>compensation capacitor for pole</t>
  </si>
  <si>
    <t>Cpole_actual</t>
  </si>
  <si>
    <t>actual compensation capacitor for pole</t>
  </si>
  <si>
    <t>eq26</t>
  </si>
  <si>
    <t>Iiavg (A)</t>
  </si>
  <si>
    <t>average input current</t>
  </si>
  <si>
    <t>eq27</t>
  </si>
  <si>
    <t>Ci (F)</t>
  </si>
  <si>
    <t>minimum input capacitor</t>
  </si>
  <si>
    <t>eq28</t>
  </si>
  <si>
    <t>ESRci (Ohm)</t>
  </si>
  <si>
    <t>maximum esr for input capacitor</t>
  </si>
  <si>
    <t>eq29</t>
  </si>
  <si>
    <t>Icirms (A)</t>
  </si>
  <si>
    <t>rms current for input capacitor</t>
  </si>
  <si>
    <t>eq30</t>
  </si>
  <si>
    <t>Css(F)</t>
  </si>
  <si>
    <t>slow start capacitor</t>
  </si>
  <si>
    <t>eq31</t>
  </si>
  <si>
    <t>RT (Ohm)</t>
  </si>
  <si>
    <t>timing resistance</t>
  </si>
  <si>
    <t>Summary of Components</t>
  </si>
  <si>
    <t>Lo</t>
  </si>
  <si>
    <t>Co</t>
  </si>
  <si>
    <t>R1</t>
  </si>
  <si>
    <t>R2</t>
  </si>
  <si>
    <t>Rcomp</t>
  </si>
  <si>
    <t>Cpole</t>
  </si>
  <si>
    <t>Czero</t>
  </si>
  <si>
    <t>Css</t>
  </si>
  <si>
    <t>RT</t>
  </si>
  <si>
    <t>Cin</t>
  </si>
  <si>
    <t>Cboot</t>
  </si>
  <si>
    <t>Cd</t>
  </si>
  <si>
    <t>U1</t>
  </si>
  <si>
    <t>D1</t>
  </si>
  <si>
    <t>4.22kohm</t>
    <phoneticPr fontId="1" type="noConversion"/>
  </si>
  <si>
    <t>0.15uf</t>
    <phoneticPr fontId="1" type="noConversion"/>
  </si>
  <si>
    <t>2700pf</t>
    <phoneticPr fontId="1" type="noConversion"/>
  </si>
  <si>
    <t>/</t>
    <phoneticPr fontId="1" type="noConversion"/>
  </si>
  <si>
    <t>87.1uf</t>
    <phoneticPr fontId="1" type="noConversion"/>
  </si>
  <si>
    <t>1ms</t>
    <phoneticPr fontId="1" type="noConversion"/>
  </si>
  <si>
    <t xml:space="preserve">forward voltage of diode </t>
    <phoneticPr fontId="1" type="noConversion"/>
  </si>
  <si>
    <t>0.75V</t>
    <phoneticPr fontId="1" type="noConversion"/>
  </si>
  <si>
    <t>TPS54260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</si>
</sst>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
    <numFmt numFmtId="166" formatCode="0.000000000"/>
    <numFmt numFmtId="167" formatCode="0.00000"/>
    <numFmt numFmtId="168" formatCode="0.0000"/>
  </numFmts>
  <fonts count="11">
    <font>
      <sz val="11"/>
      <color theme="1"/>
      <name val="Calibri"/>
      <family val="2"/>
      <scheme val="minor"/>
    </font>
    <font>
      <sz val="9"/>
      <name val="Calibri"/>
      <family val="3"/>
      <charset val="134"/>
      <scheme val="minor"/>
    </font>
    <font>
      <b/>
      <sz val="24"/>
      <name val="Arial"/>
      <family val="2"/>
    </font>
    <font>
      <sz val="16"/>
      <name val="Arial"/>
      <family val="2"/>
    </font>
    <font>
      <sz val="10"/>
      <name val="Arial"/>
      <family val="2"/>
    </font>
    <font>
      <b/>
      <sz val="12"/>
      <name val="Arial"/>
      <family val="2"/>
    </font>
    <font>
      <sz val="10"/>
      <name val="Times New Roman"/>
      <family val="1"/>
    </font>
    <font>
      <sz val="10"/>
      <color indexed="18"/>
      <name val="Arial"/>
      <family val="2"/>
    </font>
    <font>
      <sz val="12"/>
      <name val="Arial"/>
      <family val="2"/>
    </font>
    <font>
      <sz val="10"/>
      <color indexed="8"/>
      <name val="Arial"/>
      <family val="2"/>
    </font>
    <font>
      <sz val="11"/>
      <color rgb="FFFF0000"/>
      <name val="Calibri"/>
      <family val="2"/>
      <scheme val="minor"/>
    </font>
  </fonts>
  <fills count="7">
    <fill>
      <patternFill patternType="none"/>
    </fill>
    <fill>
      <patternFill patternType="gray125"/>
    </fill>
    <fill>
      <patternFill patternType="solid">
        <fgColor indexed="34"/>
        <bgColor indexed="64"/>
      </patternFill>
    </fill>
    <fill>
      <patternFill patternType="solid">
        <fgColor indexed="13"/>
        <bgColor indexed="64"/>
      </patternFill>
    </fill>
    <fill>
      <patternFill patternType="solid">
        <fgColor indexed="10"/>
        <bgColor indexed="64"/>
      </patternFill>
    </fill>
    <fill>
      <patternFill patternType="solid">
        <fgColor indexed="22"/>
        <bgColor indexed="64"/>
      </patternFill>
    </fill>
    <fill>
      <patternFill patternType="solid">
        <fgColor indexed="15"/>
        <bgColor indexed="64"/>
      </patternFill>
    </fill>
  </fills>
  <borders count="17">
    <border>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1">
    <xf numFmtId="0" fontId="0" fillId="0" borderId="0"/>
  </cellStyleXfs>
  <cellXfs count="69">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0" xfId="0" applyFill="1"/>
    <xf numFmtId="0" fontId="0" fillId="2" borderId="5" xfId="0" applyFill="1" applyBorder="1"/>
    <xf numFmtId="0" fontId="2" fillId="2" borderId="4" xfId="0" applyFont="1" applyFill="1" applyBorder="1"/>
    <xf numFmtId="0" fontId="2" fillId="2" borderId="0" xfId="0" applyFont="1" applyFill="1"/>
    <xf numFmtId="0" fontId="2" fillId="2" borderId="5" xfId="0" applyFont="1" applyFill="1" applyBorder="1"/>
    <xf numFmtId="0" fontId="3" fillId="2" borderId="4" xfId="0" applyFont="1" applyFill="1" applyBorder="1"/>
    <xf numFmtId="0" fontId="3" fillId="2" borderId="0" xfId="0" applyFont="1" applyFill="1"/>
    <xf numFmtId="0" fontId="3" fillId="2" borderId="5" xfId="0" applyFont="1" applyFill="1" applyBorder="1"/>
    <xf numFmtId="0" fontId="4" fillId="2" borderId="0" xfId="0" applyFont="1" applyFill="1"/>
    <xf numFmtId="0" fontId="0" fillId="3" borderId="0" xfId="0" applyFill="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5" fillId="2" borderId="0" xfId="0" applyFont="1" applyFill="1"/>
    <xf numFmtId="0" fontId="0" fillId="2" borderId="10" xfId="0" applyFill="1" applyBorder="1"/>
    <xf numFmtId="0" fontId="0" fillId="2" borderId="11" xfId="0" applyFill="1" applyBorder="1"/>
    <xf numFmtId="0" fontId="0" fillId="2" borderId="12" xfId="0" applyFill="1" applyBorder="1"/>
    <xf numFmtId="0" fontId="0" fillId="2" borderId="13" xfId="0" applyFill="1" applyBorder="1"/>
    <xf numFmtId="0" fontId="0" fillId="2" borderId="14" xfId="0" applyFill="1" applyBorder="1"/>
    <xf numFmtId="0" fontId="0" fillId="2" borderId="15" xfId="0" applyFill="1" applyBorder="1"/>
    <xf numFmtId="0" fontId="0" fillId="2" borderId="16" xfId="0" applyFill="1" applyBorder="1"/>
    <xf numFmtId="0" fontId="0" fillId="4" borderId="0" xfId="0" applyFill="1"/>
    <xf numFmtId="0" fontId="0" fillId="3" borderId="0" xfId="0" applyFill="1" applyAlignment="1" applyProtection="1">
      <alignment horizontal="center"/>
      <protection locked="0"/>
    </xf>
    <xf numFmtId="0" fontId="0" fillId="0" borderId="0" xfId="0" applyFill="1"/>
    <xf numFmtId="164" fontId="0" fillId="5" borderId="0" xfId="0" applyNumberFormat="1" applyFill="1"/>
    <xf numFmtId="0" fontId="6" fillId="3" borderId="0" xfId="0" applyFont="1" applyFill="1"/>
    <xf numFmtId="0" fontId="6" fillId="6" borderId="0" xfId="0" applyFont="1" applyFill="1"/>
    <xf numFmtId="0" fontId="0" fillId="5" borderId="0" xfId="0" applyFill="1"/>
    <xf numFmtId="0" fontId="6" fillId="5" borderId="0" xfId="0" applyFont="1" applyFill="1"/>
    <xf numFmtId="165" fontId="0" fillId="5" borderId="0" xfId="0" applyNumberFormat="1" applyFill="1"/>
    <xf numFmtId="166" fontId="0" fillId="5" borderId="0" xfId="0" applyNumberFormat="1" applyFill="1"/>
    <xf numFmtId="2" fontId="0" fillId="5" borderId="0" xfId="0" applyNumberFormat="1" applyFill="1"/>
    <xf numFmtId="0" fontId="7" fillId="0" borderId="0" xfId="0" applyFont="1"/>
    <xf numFmtId="11" fontId="0" fillId="5" borderId="0" xfId="0" applyNumberFormat="1" applyFill="1"/>
    <xf numFmtId="0" fontId="0" fillId="5" borderId="0" xfId="0" applyNumberFormat="1" applyFill="1"/>
    <xf numFmtId="0" fontId="0" fillId="3" borderId="0" xfId="0" applyFill="1" applyProtection="1">
      <protection locked="0"/>
    </xf>
    <xf numFmtId="165" fontId="0" fillId="3" borderId="0" xfId="0" applyNumberFormat="1" applyFill="1" applyProtection="1">
      <protection locked="0"/>
    </xf>
    <xf numFmtId="0" fontId="0" fillId="0" borderId="0" xfId="0" applyAlignment="1">
      <alignment horizontal="left"/>
    </xf>
    <xf numFmtId="0" fontId="0" fillId="0" borderId="0" xfId="0" applyFill="1" applyAlignment="1">
      <alignment horizontal="left"/>
    </xf>
    <xf numFmtId="164" fontId="0" fillId="3" borderId="0" xfId="0" applyNumberFormat="1" applyFill="1" applyProtection="1">
      <protection locked="0"/>
    </xf>
    <xf numFmtId="0" fontId="0" fillId="6" borderId="0" xfId="0" applyFill="1"/>
    <xf numFmtId="1" fontId="0" fillId="6" borderId="0" xfId="0" applyNumberFormat="1" applyFill="1"/>
    <xf numFmtId="165" fontId="0" fillId="6" borderId="0" xfId="0" applyNumberFormat="1" applyFill="1"/>
    <xf numFmtId="48" fontId="0" fillId="6" borderId="0" xfId="0" applyNumberFormat="1" applyFill="1"/>
    <xf numFmtId="48" fontId="0" fillId="3" borderId="0" xfId="0" applyNumberFormat="1" applyFill="1" applyProtection="1">
      <protection locked="0"/>
    </xf>
    <xf numFmtId="167" fontId="0" fillId="0" borderId="0" xfId="0" applyNumberFormat="1"/>
    <xf numFmtId="165" fontId="0" fillId="0" borderId="0" xfId="0" applyNumberFormat="1"/>
    <xf numFmtId="168" fontId="0" fillId="6" borderId="0" xfId="0" applyNumberFormat="1" applyFill="1"/>
    <xf numFmtId="164" fontId="0" fillId="6" borderId="0" xfId="0" applyNumberFormat="1" applyFill="1"/>
    <xf numFmtId="1" fontId="0" fillId="3" borderId="0" xfId="0" applyNumberFormat="1" applyFill="1" applyProtection="1">
      <protection locked="0"/>
    </xf>
    <xf numFmtId="2" fontId="0" fillId="6" borderId="0" xfId="0" applyNumberFormat="1" applyFill="1"/>
    <xf numFmtId="0" fontId="8" fillId="0" borderId="0" xfId="0" applyFont="1" applyFill="1"/>
    <xf numFmtId="0" fontId="9" fillId="4" borderId="0" xfId="0" applyFont="1" applyFill="1"/>
    <xf numFmtId="2" fontId="0" fillId="4" borderId="0" xfId="0" applyNumberFormat="1" applyFill="1"/>
    <xf numFmtId="0" fontId="0" fillId="0" borderId="0" xfId="0" applyNumberFormat="1" applyFill="1"/>
    <xf numFmtId="168" fontId="0" fillId="0" borderId="0" xfId="0" applyNumberFormat="1" applyFill="1"/>
    <xf numFmtId="11" fontId="0" fillId="0" borderId="0" xfId="0" applyNumberFormat="1" applyFill="1"/>
    <xf numFmtId="1" fontId="0" fillId="0" borderId="0" xfId="0" applyNumberFormat="1" applyFill="1"/>
    <xf numFmtId="0" fontId="0" fillId="0" borderId="0" xfId="0" applyAlignment="1">
      <alignment horizontal="right"/>
    </xf>
    <xf numFmtId="0" fontId="0" fillId="0" borderId="0" xfId="0" applyNumberFormat="1"/>
    <xf numFmtId="0" fontId="10" fillId="0" borderId="0" xfId="0" applyFont="1"/>
    <xf numFmtId="0" fontId="10" fillId="0" borderId="0" xfId="0" applyFont="1" applyAlignment="1">
      <alignment horizontal="right"/>
    </xf>
    <xf numFmtId="0" fontId="10" fillId="0" borderId="0" xfId="0" applyFont="1" applyFill="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19050</xdr:colOff>
          <xdr:row>95</xdr:row>
          <xdr:rowOff>9525</xdr:rowOff>
        </xdr:from>
        <xdr:to>
          <xdr:col>8</xdr:col>
          <xdr:colOff>495300</xdr:colOff>
          <xdr:row>115</xdr:row>
          <xdr:rowOff>76200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xueqi.wang/Desktop/P2HC_EVT1/EVT1&#20027;&#25511;&#26495;&#27979;&#35797;/SWIFTINV-CALC-REV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sheet"/>
      <sheetName val="data"/>
      <sheetName val="Std. R and C Values"/>
    </sheetNames>
    <sheetDataSet>
      <sheetData sheetId="0"/>
      <sheetData sheetId="1">
        <row r="4">
          <cell r="B4" t="str">
            <v>TPS54040</v>
          </cell>
          <cell r="C4">
            <v>42</v>
          </cell>
          <cell r="D4">
            <v>3.5</v>
          </cell>
          <cell r="E4">
            <v>100000</v>
          </cell>
          <cell r="F4">
            <v>2500000</v>
          </cell>
          <cell r="G4">
            <v>0.6</v>
          </cell>
          <cell r="H4">
            <v>1.9</v>
          </cell>
          <cell r="I4">
            <v>9.7E-5</v>
          </cell>
          <cell r="J4">
            <v>0.8</v>
          </cell>
          <cell r="K4">
            <v>0.41</v>
          </cell>
          <cell r="L4">
            <v>2.4999999999999999E-8</v>
          </cell>
          <cell r="M4">
            <v>2.4999999999999999E-8</v>
          </cell>
          <cell r="N4">
            <v>1.3E-7</v>
          </cell>
        </row>
        <row r="5">
          <cell r="B5" t="str">
            <v>TPS54060</v>
          </cell>
          <cell r="C5">
            <v>60</v>
          </cell>
          <cell r="D5">
            <v>3.5</v>
          </cell>
          <cell r="E5">
            <v>100000</v>
          </cell>
          <cell r="F5">
            <v>2500000</v>
          </cell>
          <cell r="G5">
            <v>0.6</v>
          </cell>
          <cell r="H5">
            <v>1.9</v>
          </cell>
          <cell r="I5">
            <v>9.7E-5</v>
          </cell>
          <cell r="J5">
            <v>0.8</v>
          </cell>
          <cell r="K5">
            <v>0.41</v>
          </cell>
          <cell r="L5">
            <v>2.4999999999999999E-8</v>
          </cell>
          <cell r="M5">
            <v>2.4999999999999999E-8</v>
          </cell>
          <cell r="N5">
            <v>1.3E-7</v>
          </cell>
        </row>
        <row r="6">
          <cell r="B6" t="str">
            <v>TPS54140</v>
          </cell>
          <cell r="C6">
            <v>42</v>
          </cell>
          <cell r="D6">
            <v>3.5</v>
          </cell>
          <cell r="E6">
            <v>100000</v>
          </cell>
          <cell r="F6">
            <v>2500000</v>
          </cell>
          <cell r="G6">
            <v>1.8</v>
          </cell>
          <cell r="H6">
            <v>6</v>
          </cell>
          <cell r="I6">
            <v>9.7E-5</v>
          </cell>
          <cell r="J6">
            <v>0.8</v>
          </cell>
          <cell r="K6">
            <v>0.41</v>
          </cell>
          <cell r="L6">
            <v>2.4999999999999999E-8</v>
          </cell>
          <cell r="M6">
            <v>2.4999999999999999E-8</v>
          </cell>
          <cell r="N6">
            <v>1.3E-7</v>
          </cell>
        </row>
        <row r="7">
          <cell r="B7" t="str">
            <v>TPS54160</v>
          </cell>
          <cell r="C7">
            <v>60</v>
          </cell>
          <cell r="D7">
            <v>3.5</v>
          </cell>
          <cell r="E7">
            <v>100000</v>
          </cell>
          <cell r="F7">
            <v>2500000</v>
          </cell>
          <cell r="G7">
            <v>1.8</v>
          </cell>
          <cell r="H7">
            <v>6</v>
          </cell>
          <cell r="I7">
            <v>9.7E-5</v>
          </cell>
          <cell r="J7">
            <v>0.8</v>
          </cell>
          <cell r="K7">
            <v>0.41</v>
          </cell>
          <cell r="L7">
            <v>2.4999999999999999E-8</v>
          </cell>
          <cell r="M7">
            <v>2.4999999999999999E-8</v>
          </cell>
          <cell r="N7">
            <v>1.3E-7</v>
          </cell>
        </row>
        <row r="8">
          <cell r="B8" t="str">
            <v>TPS54231</v>
          </cell>
          <cell r="C8">
            <v>28</v>
          </cell>
          <cell r="D8">
            <v>3.5</v>
          </cell>
          <cell r="E8">
            <v>570000</v>
          </cell>
          <cell r="F8">
            <v>570000</v>
          </cell>
          <cell r="G8">
            <v>2.2999999999999998</v>
          </cell>
          <cell r="H8">
            <v>9</v>
          </cell>
          <cell r="I8">
            <v>9.2E-5</v>
          </cell>
          <cell r="J8">
            <v>0.8</v>
          </cell>
          <cell r="K8">
            <v>0.15</v>
          </cell>
          <cell r="L8">
            <v>2.4999999999999999E-8</v>
          </cell>
          <cell r="M8">
            <v>2.4999999999999999E-8</v>
          </cell>
          <cell r="N8">
            <v>1.1000000000000001E-7</v>
          </cell>
        </row>
        <row r="9">
          <cell r="B9" t="str">
            <v>TPS54232</v>
          </cell>
          <cell r="C9">
            <v>28</v>
          </cell>
          <cell r="D9">
            <v>3.5</v>
          </cell>
          <cell r="E9">
            <v>1000000</v>
          </cell>
          <cell r="F9">
            <v>1000000</v>
          </cell>
          <cell r="G9">
            <v>2.2999999999999998</v>
          </cell>
          <cell r="H9">
            <v>10</v>
          </cell>
          <cell r="I9">
            <v>9.2E-5</v>
          </cell>
          <cell r="J9">
            <v>0.8</v>
          </cell>
          <cell r="K9">
            <v>0.15</v>
          </cell>
          <cell r="L9">
            <v>2.4999999999999999E-8</v>
          </cell>
          <cell r="M9">
            <v>2.4999999999999999E-8</v>
          </cell>
          <cell r="N9">
            <v>1.1000000000000001E-7</v>
          </cell>
        </row>
        <row r="10">
          <cell r="B10" t="str">
            <v>TPS54233</v>
          </cell>
          <cell r="C10">
            <v>28</v>
          </cell>
          <cell r="D10">
            <v>3.5</v>
          </cell>
          <cell r="E10">
            <v>300000</v>
          </cell>
          <cell r="F10">
            <v>300000</v>
          </cell>
          <cell r="G10">
            <v>2.2999999999999998</v>
          </cell>
          <cell r="H10">
            <v>9</v>
          </cell>
          <cell r="I10">
            <v>9.2E-5</v>
          </cell>
          <cell r="J10">
            <v>0.8</v>
          </cell>
          <cell r="K10">
            <v>0.15</v>
          </cell>
          <cell r="L10">
            <v>2.4999999999999999E-8</v>
          </cell>
          <cell r="M10">
            <v>2.4999999999999999E-8</v>
          </cell>
          <cell r="N10">
            <v>1.1000000000000001E-7</v>
          </cell>
        </row>
        <row r="11">
          <cell r="B11" t="str">
            <v>TPS54240</v>
          </cell>
          <cell r="C11">
            <v>42</v>
          </cell>
          <cell r="D11">
            <v>3.5</v>
          </cell>
          <cell r="E11">
            <v>100000</v>
          </cell>
          <cell r="F11">
            <v>2500000</v>
          </cell>
          <cell r="G11">
            <v>3.5</v>
          </cell>
          <cell r="H11">
            <v>10.5</v>
          </cell>
          <cell r="I11">
            <v>3.1E-4</v>
          </cell>
          <cell r="J11">
            <v>0.8</v>
          </cell>
          <cell r="K11">
            <v>0.41</v>
          </cell>
          <cell r="L11">
            <v>2.4999999999999999E-8</v>
          </cell>
          <cell r="M11">
            <v>2.4999999999999999E-8</v>
          </cell>
          <cell r="N11">
            <v>1.35E-7</v>
          </cell>
        </row>
        <row r="12">
          <cell r="B12" t="str">
            <v>TPS54260</v>
          </cell>
          <cell r="C12">
            <v>60</v>
          </cell>
          <cell r="D12">
            <v>3.5</v>
          </cell>
          <cell r="E12">
            <v>100000</v>
          </cell>
          <cell r="F12">
            <v>2500000</v>
          </cell>
          <cell r="G12">
            <v>3.5</v>
          </cell>
          <cell r="H12">
            <v>10.5</v>
          </cell>
          <cell r="I12">
            <v>3.1E-4</v>
          </cell>
          <cell r="J12">
            <v>0.8</v>
          </cell>
          <cell r="K12">
            <v>0.41</v>
          </cell>
          <cell r="L12">
            <v>2.4999999999999999E-8</v>
          </cell>
          <cell r="M12">
            <v>2.4999999999999999E-8</v>
          </cell>
          <cell r="N12">
            <v>1.35E-7</v>
          </cell>
        </row>
        <row r="13">
          <cell r="B13" t="str">
            <v>TPS54331</v>
          </cell>
          <cell r="C13">
            <v>28</v>
          </cell>
          <cell r="D13">
            <v>3.5</v>
          </cell>
          <cell r="E13">
            <v>570000</v>
          </cell>
          <cell r="F13">
            <v>570000</v>
          </cell>
          <cell r="G13">
            <v>3.5</v>
          </cell>
          <cell r="H13">
            <v>12</v>
          </cell>
          <cell r="I13">
            <v>9.2E-5</v>
          </cell>
          <cell r="J13">
            <v>0.8</v>
          </cell>
          <cell r="K13">
            <v>0.15</v>
          </cell>
          <cell r="L13">
            <v>2.4999999999999999E-8</v>
          </cell>
          <cell r="M13">
            <v>2.4999999999999999E-8</v>
          </cell>
          <cell r="N13">
            <v>1.1000000000000001E-7</v>
          </cell>
        </row>
        <row r="14">
          <cell r="B14" t="str">
            <v>TPS54332</v>
          </cell>
          <cell r="C14">
            <v>28</v>
          </cell>
          <cell r="D14">
            <v>3.5</v>
          </cell>
          <cell r="E14">
            <v>1000000</v>
          </cell>
          <cell r="F14">
            <v>1000000</v>
          </cell>
          <cell r="G14">
            <v>4.2</v>
          </cell>
          <cell r="H14">
            <v>12</v>
          </cell>
          <cell r="I14">
            <v>9.2E-5</v>
          </cell>
          <cell r="J14">
            <v>0.8</v>
          </cell>
          <cell r="K14">
            <v>0.15</v>
          </cell>
          <cell r="L14">
            <v>2.4999999999999999E-8</v>
          </cell>
          <cell r="M14">
            <v>2.4999999999999999E-8</v>
          </cell>
          <cell r="N14">
            <v>1.1000000000000001E-7</v>
          </cell>
        </row>
        <row r="15">
          <cell r="B15" t="str">
            <v>TPS54340</v>
          </cell>
          <cell r="C15">
            <v>42</v>
          </cell>
          <cell r="D15">
            <v>4.5</v>
          </cell>
          <cell r="E15">
            <v>100000</v>
          </cell>
          <cell r="F15">
            <v>2500000</v>
          </cell>
          <cell r="G15">
            <v>4.5</v>
          </cell>
          <cell r="H15">
            <v>12</v>
          </cell>
          <cell r="I15">
            <v>3.5E-4</v>
          </cell>
          <cell r="J15">
            <v>0.8</v>
          </cell>
          <cell r="K15">
            <v>0.19</v>
          </cell>
          <cell r="L15">
            <v>4.3800000000000002E-9</v>
          </cell>
          <cell r="M15">
            <v>4.3800000000000002E-9</v>
          </cell>
          <cell r="N15">
            <v>1.35E-7</v>
          </cell>
        </row>
        <row r="16">
          <cell r="B16" t="str">
            <v>TPS54360</v>
          </cell>
          <cell r="C16">
            <v>60</v>
          </cell>
          <cell r="D16">
            <v>4.5</v>
          </cell>
          <cell r="E16">
            <v>100000</v>
          </cell>
          <cell r="F16">
            <v>2500000</v>
          </cell>
          <cell r="G16">
            <v>4.5</v>
          </cell>
          <cell r="H16">
            <v>12</v>
          </cell>
          <cell r="I16">
            <v>3.5E-4</v>
          </cell>
          <cell r="J16">
            <v>0.8</v>
          </cell>
          <cell r="K16">
            <v>0.19</v>
          </cell>
          <cell r="L16">
            <v>4.3800000000000002E-9</v>
          </cell>
          <cell r="M16">
            <v>4.3800000000000002E-9</v>
          </cell>
          <cell r="N16">
            <v>1.35E-7</v>
          </cell>
        </row>
        <row r="17">
          <cell r="B17" t="str">
            <v>TPS54540</v>
          </cell>
          <cell r="C17">
            <v>42</v>
          </cell>
          <cell r="D17">
            <v>4.5</v>
          </cell>
          <cell r="E17">
            <v>100000</v>
          </cell>
          <cell r="F17">
            <v>2500000</v>
          </cell>
          <cell r="G17">
            <v>6.3</v>
          </cell>
          <cell r="H17">
            <v>17</v>
          </cell>
          <cell r="I17">
            <v>3.5E-4</v>
          </cell>
          <cell r="J17">
            <v>0.8</v>
          </cell>
          <cell r="K17">
            <v>0.19</v>
          </cell>
          <cell r="L17">
            <v>4.3800000000000002E-9</v>
          </cell>
          <cell r="M17">
            <v>4.3800000000000002E-9</v>
          </cell>
          <cell r="N17">
            <v>1.35E-7</v>
          </cell>
        </row>
        <row r="18">
          <cell r="B18" t="str">
            <v>TPS54560</v>
          </cell>
          <cell r="C18">
            <v>60</v>
          </cell>
          <cell r="D18">
            <v>4.5</v>
          </cell>
          <cell r="E18">
            <v>100000</v>
          </cell>
          <cell r="F18">
            <v>2500000</v>
          </cell>
          <cell r="G18">
            <v>6.3</v>
          </cell>
          <cell r="H18">
            <v>17</v>
          </cell>
          <cell r="I18">
            <v>3.5E-4</v>
          </cell>
          <cell r="J18">
            <v>0.8</v>
          </cell>
          <cell r="K18">
            <v>0.19</v>
          </cell>
          <cell r="L18">
            <v>4.3800000000000002E-9</v>
          </cell>
          <cell r="M18">
            <v>4.3800000000000002E-9</v>
          </cell>
          <cell r="N18">
            <v>1.35E-7</v>
          </cell>
        </row>
      </sheetData>
      <sheetData sheetId="2">
        <row r="4">
          <cell r="G4">
            <v>100</v>
          </cell>
        </row>
        <row r="7">
          <cell r="J7">
            <v>1</v>
          </cell>
        </row>
        <row r="18">
          <cell r="K18">
            <v>10</v>
          </cell>
        </row>
        <row r="20">
          <cell r="J20">
            <v>1</v>
          </cell>
        </row>
        <row r="25">
          <cell r="K25">
            <v>10</v>
          </cell>
        </row>
        <row r="99">
          <cell r="H99">
            <v>1000</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oleObject" Target="../embeddings/Microsoft_Visio_2003-2010___.vsd"/><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image" Target="../media/image1.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9"/>
  <sheetViews>
    <sheetView tabSelected="1" topLeftCell="A34" workbookViewId="0">
      <selection activeCell="B54" sqref="B54"/>
    </sheetView>
  </sheetViews>
  <sheetFormatPr defaultRowHeight="15"/>
  <cols>
    <col min="1" max="1" width="11.5703125" customWidth="1"/>
    <col min="2" max="2" width="16.42578125" customWidth="1"/>
    <col min="3" max="3" width="10.85546875" bestFit="1" customWidth="1"/>
    <col min="4" max="4" width="10.42578125" customWidth="1"/>
    <col min="5" max="5" width="12.42578125" customWidth="1"/>
    <col min="6" max="6" width="11.28515625" customWidth="1"/>
    <col min="8" max="8" width="4.140625" customWidth="1"/>
    <col min="257" max="257" width="11.5703125" customWidth="1"/>
    <col min="258" max="258" width="16.42578125" customWidth="1"/>
    <col min="259" max="259" width="10.85546875" bestFit="1" customWidth="1"/>
    <col min="260" max="260" width="10.42578125" customWidth="1"/>
    <col min="262" max="262" width="11.28515625" customWidth="1"/>
    <col min="264" max="264" width="4.140625" customWidth="1"/>
    <col min="513" max="513" width="11.5703125" customWidth="1"/>
    <col min="514" max="514" width="16.42578125" customWidth="1"/>
    <col min="515" max="515" width="10.85546875" bestFit="1" customWidth="1"/>
    <col min="516" max="516" width="10.42578125" customWidth="1"/>
    <col min="518" max="518" width="11.28515625" customWidth="1"/>
    <col min="520" max="520" width="4.140625" customWidth="1"/>
    <col min="769" max="769" width="11.5703125" customWidth="1"/>
    <col min="770" max="770" width="16.42578125" customWidth="1"/>
    <col min="771" max="771" width="10.85546875" bestFit="1" customWidth="1"/>
    <col min="772" max="772" width="10.42578125" customWidth="1"/>
    <col min="774" max="774" width="11.28515625" customWidth="1"/>
    <col min="776" max="776" width="4.140625" customWidth="1"/>
    <col min="1025" max="1025" width="11.5703125" customWidth="1"/>
    <col min="1026" max="1026" width="16.42578125" customWidth="1"/>
    <col min="1027" max="1027" width="10.85546875" bestFit="1" customWidth="1"/>
    <col min="1028" max="1028" width="10.42578125" customWidth="1"/>
    <col min="1030" max="1030" width="11.28515625" customWidth="1"/>
    <col min="1032" max="1032" width="4.140625" customWidth="1"/>
    <col min="1281" max="1281" width="11.5703125" customWidth="1"/>
    <col min="1282" max="1282" width="16.42578125" customWidth="1"/>
    <col min="1283" max="1283" width="10.85546875" bestFit="1" customWidth="1"/>
    <col min="1284" max="1284" width="10.42578125" customWidth="1"/>
    <col min="1286" max="1286" width="11.28515625" customWidth="1"/>
    <col min="1288" max="1288" width="4.140625" customWidth="1"/>
    <col min="1537" max="1537" width="11.5703125" customWidth="1"/>
    <col min="1538" max="1538" width="16.42578125" customWidth="1"/>
    <col min="1539" max="1539" width="10.85546875" bestFit="1" customWidth="1"/>
    <col min="1540" max="1540" width="10.42578125" customWidth="1"/>
    <col min="1542" max="1542" width="11.28515625" customWidth="1"/>
    <col min="1544" max="1544" width="4.140625" customWidth="1"/>
    <col min="1793" max="1793" width="11.5703125" customWidth="1"/>
    <col min="1794" max="1794" width="16.42578125" customWidth="1"/>
    <col min="1795" max="1795" width="10.85546875" bestFit="1" customWidth="1"/>
    <col min="1796" max="1796" width="10.42578125" customWidth="1"/>
    <col min="1798" max="1798" width="11.28515625" customWidth="1"/>
    <col min="1800" max="1800" width="4.140625" customWidth="1"/>
    <col min="2049" max="2049" width="11.5703125" customWidth="1"/>
    <col min="2050" max="2050" width="16.42578125" customWidth="1"/>
    <col min="2051" max="2051" width="10.85546875" bestFit="1" customWidth="1"/>
    <col min="2052" max="2052" width="10.42578125" customWidth="1"/>
    <col min="2054" max="2054" width="11.28515625" customWidth="1"/>
    <col min="2056" max="2056" width="4.140625" customWidth="1"/>
    <col min="2305" max="2305" width="11.5703125" customWidth="1"/>
    <col min="2306" max="2306" width="16.42578125" customWidth="1"/>
    <col min="2307" max="2307" width="10.85546875" bestFit="1" customWidth="1"/>
    <col min="2308" max="2308" width="10.42578125" customWidth="1"/>
    <col min="2310" max="2310" width="11.28515625" customWidth="1"/>
    <col min="2312" max="2312" width="4.140625" customWidth="1"/>
    <col min="2561" max="2561" width="11.5703125" customWidth="1"/>
    <col min="2562" max="2562" width="16.42578125" customWidth="1"/>
    <col min="2563" max="2563" width="10.85546875" bestFit="1" customWidth="1"/>
    <col min="2564" max="2564" width="10.42578125" customWidth="1"/>
    <col min="2566" max="2566" width="11.28515625" customWidth="1"/>
    <col min="2568" max="2568" width="4.140625" customWidth="1"/>
    <col min="2817" max="2817" width="11.5703125" customWidth="1"/>
    <col min="2818" max="2818" width="16.42578125" customWidth="1"/>
    <col min="2819" max="2819" width="10.85546875" bestFit="1" customWidth="1"/>
    <col min="2820" max="2820" width="10.42578125" customWidth="1"/>
    <col min="2822" max="2822" width="11.28515625" customWidth="1"/>
    <col min="2824" max="2824" width="4.140625" customWidth="1"/>
    <col min="3073" max="3073" width="11.5703125" customWidth="1"/>
    <col min="3074" max="3074" width="16.42578125" customWidth="1"/>
    <col min="3075" max="3075" width="10.85546875" bestFit="1" customWidth="1"/>
    <col min="3076" max="3076" width="10.42578125" customWidth="1"/>
    <col min="3078" max="3078" width="11.28515625" customWidth="1"/>
    <col min="3080" max="3080" width="4.140625" customWidth="1"/>
    <col min="3329" max="3329" width="11.5703125" customWidth="1"/>
    <col min="3330" max="3330" width="16.42578125" customWidth="1"/>
    <col min="3331" max="3331" width="10.85546875" bestFit="1" customWidth="1"/>
    <col min="3332" max="3332" width="10.42578125" customWidth="1"/>
    <col min="3334" max="3334" width="11.28515625" customWidth="1"/>
    <col min="3336" max="3336" width="4.140625" customWidth="1"/>
    <col min="3585" max="3585" width="11.5703125" customWidth="1"/>
    <col min="3586" max="3586" width="16.42578125" customWidth="1"/>
    <col min="3587" max="3587" width="10.85546875" bestFit="1" customWidth="1"/>
    <col min="3588" max="3588" width="10.42578125" customWidth="1"/>
    <col min="3590" max="3590" width="11.28515625" customWidth="1"/>
    <col min="3592" max="3592" width="4.140625" customWidth="1"/>
    <col min="3841" max="3841" width="11.5703125" customWidth="1"/>
    <col min="3842" max="3842" width="16.42578125" customWidth="1"/>
    <col min="3843" max="3843" width="10.85546875" bestFit="1" customWidth="1"/>
    <col min="3844" max="3844" width="10.42578125" customWidth="1"/>
    <col min="3846" max="3846" width="11.28515625" customWidth="1"/>
    <col min="3848" max="3848" width="4.140625" customWidth="1"/>
    <col min="4097" max="4097" width="11.5703125" customWidth="1"/>
    <col min="4098" max="4098" width="16.42578125" customWidth="1"/>
    <col min="4099" max="4099" width="10.85546875" bestFit="1" customWidth="1"/>
    <col min="4100" max="4100" width="10.42578125" customWidth="1"/>
    <col min="4102" max="4102" width="11.28515625" customWidth="1"/>
    <col min="4104" max="4104" width="4.140625" customWidth="1"/>
    <col min="4353" max="4353" width="11.5703125" customWidth="1"/>
    <col min="4354" max="4354" width="16.42578125" customWidth="1"/>
    <col min="4355" max="4355" width="10.85546875" bestFit="1" customWidth="1"/>
    <col min="4356" max="4356" width="10.42578125" customWidth="1"/>
    <col min="4358" max="4358" width="11.28515625" customWidth="1"/>
    <col min="4360" max="4360" width="4.140625" customWidth="1"/>
    <col min="4609" max="4609" width="11.5703125" customWidth="1"/>
    <col min="4610" max="4610" width="16.42578125" customWidth="1"/>
    <col min="4611" max="4611" width="10.85546875" bestFit="1" customWidth="1"/>
    <col min="4612" max="4612" width="10.42578125" customWidth="1"/>
    <col min="4614" max="4614" width="11.28515625" customWidth="1"/>
    <col min="4616" max="4616" width="4.140625" customWidth="1"/>
    <col min="4865" max="4865" width="11.5703125" customWidth="1"/>
    <col min="4866" max="4866" width="16.42578125" customWidth="1"/>
    <col min="4867" max="4867" width="10.85546875" bestFit="1" customWidth="1"/>
    <col min="4868" max="4868" width="10.42578125" customWidth="1"/>
    <col min="4870" max="4870" width="11.28515625" customWidth="1"/>
    <col min="4872" max="4872" width="4.140625" customWidth="1"/>
    <col min="5121" max="5121" width="11.5703125" customWidth="1"/>
    <col min="5122" max="5122" width="16.42578125" customWidth="1"/>
    <col min="5123" max="5123" width="10.85546875" bestFit="1" customWidth="1"/>
    <col min="5124" max="5124" width="10.42578125" customWidth="1"/>
    <col min="5126" max="5126" width="11.28515625" customWidth="1"/>
    <col min="5128" max="5128" width="4.140625" customWidth="1"/>
    <col min="5377" max="5377" width="11.5703125" customWidth="1"/>
    <col min="5378" max="5378" width="16.42578125" customWidth="1"/>
    <col min="5379" max="5379" width="10.85546875" bestFit="1" customWidth="1"/>
    <col min="5380" max="5380" width="10.42578125" customWidth="1"/>
    <col min="5382" max="5382" width="11.28515625" customWidth="1"/>
    <col min="5384" max="5384" width="4.140625" customWidth="1"/>
    <col min="5633" max="5633" width="11.5703125" customWidth="1"/>
    <col min="5634" max="5634" width="16.42578125" customWidth="1"/>
    <col min="5635" max="5635" width="10.85546875" bestFit="1" customWidth="1"/>
    <col min="5636" max="5636" width="10.42578125" customWidth="1"/>
    <col min="5638" max="5638" width="11.28515625" customWidth="1"/>
    <col min="5640" max="5640" width="4.140625" customWidth="1"/>
    <col min="5889" max="5889" width="11.5703125" customWidth="1"/>
    <col min="5890" max="5890" width="16.42578125" customWidth="1"/>
    <col min="5891" max="5891" width="10.85546875" bestFit="1" customWidth="1"/>
    <col min="5892" max="5892" width="10.42578125" customWidth="1"/>
    <col min="5894" max="5894" width="11.28515625" customWidth="1"/>
    <col min="5896" max="5896" width="4.140625" customWidth="1"/>
    <col min="6145" max="6145" width="11.5703125" customWidth="1"/>
    <col min="6146" max="6146" width="16.42578125" customWidth="1"/>
    <col min="6147" max="6147" width="10.85546875" bestFit="1" customWidth="1"/>
    <col min="6148" max="6148" width="10.42578125" customWidth="1"/>
    <col min="6150" max="6150" width="11.28515625" customWidth="1"/>
    <col min="6152" max="6152" width="4.140625" customWidth="1"/>
    <col min="6401" max="6401" width="11.5703125" customWidth="1"/>
    <col min="6402" max="6402" width="16.42578125" customWidth="1"/>
    <col min="6403" max="6403" width="10.85546875" bestFit="1" customWidth="1"/>
    <col min="6404" max="6404" width="10.42578125" customWidth="1"/>
    <col min="6406" max="6406" width="11.28515625" customWidth="1"/>
    <col min="6408" max="6408" width="4.140625" customWidth="1"/>
    <col min="6657" max="6657" width="11.5703125" customWidth="1"/>
    <col min="6658" max="6658" width="16.42578125" customWidth="1"/>
    <col min="6659" max="6659" width="10.85546875" bestFit="1" customWidth="1"/>
    <col min="6660" max="6660" width="10.42578125" customWidth="1"/>
    <col min="6662" max="6662" width="11.28515625" customWidth="1"/>
    <col min="6664" max="6664" width="4.140625" customWidth="1"/>
    <col min="6913" max="6913" width="11.5703125" customWidth="1"/>
    <col min="6914" max="6914" width="16.42578125" customWidth="1"/>
    <col min="6915" max="6915" width="10.85546875" bestFit="1" customWidth="1"/>
    <col min="6916" max="6916" width="10.42578125" customWidth="1"/>
    <col min="6918" max="6918" width="11.28515625" customWidth="1"/>
    <col min="6920" max="6920" width="4.140625" customWidth="1"/>
    <col min="7169" max="7169" width="11.5703125" customWidth="1"/>
    <col min="7170" max="7170" width="16.42578125" customWidth="1"/>
    <col min="7171" max="7171" width="10.85546875" bestFit="1" customWidth="1"/>
    <col min="7172" max="7172" width="10.42578125" customWidth="1"/>
    <col min="7174" max="7174" width="11.28515625" customWidth="1"/>
    <col min="7176" max="7176" width="4.140625" customWidth="1"/>
    <col min="7425" max="7425" width="11.5703125" customWidth="1"/>
    <col min="7426" max="7426" width="16.42578125" customWidth="1"/>
    <col min="7427" max="7427" width="10.85546875" bestFit="1" customWidth="1"/>
    <col min="7428" max="7428" width="10.42578125" customWidth="1"/>
    <col min="7430" max="7430" width="11.28515625" customWidth="1"/>
    <col min="7432" max="7432" width="4.140625" customWidth="1"/>
    <col min="7681" max="7681" width="11.5703125" customWidth="1"/>
    <col min="7682" max="7682" width="16.42578125" customWidth="1"/>
    <col min="7683" max="7683" width="10.85546875" bestFit="1" customWidth="1"/>
    <col min="7684" max="7684" width="10.42578125" customWidth="1"/>
    <col min="7686" max="7686" width="11.28515625" customWidth="1"/>
    <col min="7688" max="7688" width="4.140625" customWidth="1"/>
    <col min="7937" max="7937" width="11.5703125" customWidth="1"/>
    <col min="7938" max="7938" width="16.42578125" customWidth="1"/>
    <col min="7939" max="7939" width="10.85546875" bestFit="1" customWidth="1"/>
    <col min="7940" max="7940" width="10.42578125" customWidth="1"/>
    <col min="7942" max="7942" width="11.28515625" customWidth="1"/>
    <col min="7944" max="7944" width="4.140625" customWidth="1"/>
    <col min="8193" max="8193" width="11.5703125" customWidth="1"/>
    <col min="8194" max="8194" width="16.42578125" customWidth="1"/>
    <col min="8195" max="8195" width="10.85546875" bestFit="1" customWidth="1"/>
    <col min="8196" max="8196" width="10.42578125" customWidth="1"/>
    <col min="8198" max="8198" width="11.28515625" customWidth="1"/>
    <col min="8200" max="8200" width="4.140625" customWidth="1"/>
    <col min="8449" max="8449" width="11.5703125" customWidth="1"/>
    <col min="8450" max="8450" width="16.42578125" customWidth="1"/>
    <col min="8451" max="8451" width="10.85546875" bestFit="1" customWidth="1"/>
    <col min="8452" max="8452" width="10.42578125" customWidth="1"/>
    <col min="8454" max="8454" width="11.28515625" customWidth="1"/>
    <col min="8456" max="8456" width="4.140625" customWidth="1"/>
    <col min="8705" max="8705" width="11.5703125" customWidth="1"/>
    <col min="8706" max="8706" width="16.42578125" customWidth="1"/>
    <col min="8707" max="8707" width="10.85546875" bestFit="1" customWidth="1"/>
    <col min="8708" max="8708" width="10.42578125" customWidth="1"/>
    <col min="8710" max="8710" width="11.28515625" customWidth="1"/>
    <col min="8712" max="8712" width="4.140625" customWidth="1"/>
    <col min="8961" max="8961" width="11.5703125" customWidth="1"/>
    <col min="8962" max="8962" width="16.42578125" customWidth="1"/>
    <col min="8963" max="8963" width="10.85546875" bestFit="1" customWidth="1"/>
    <col min="8964" max="8964" width="10.42578125" customWidth="1"/>
    <col min="8966" max="8966" width="11.28515625" customWidth="1"/>
    <col min="8968" max="8968" width="4.140625" customWidth="1"/>
    <col min="9217" max="9217" width="11.5703125" customWidth="1"/>
    <col min="9218" max="9218" width="16.42578125" customWidth="1"/>
    <col min="9219" max="9219" width="10.85546875" bestFit="1" customWidth="1"/>
    <col min="9220" max="9220" width="10.42578125" customWidth="1"/>
    <col min="9222" max="9222" width="11.28515625" customWidth="1"/>
    <col min="9224" max="9224" width="4.140625" customWidth="1"/>
    <col min="9473" max="9473" width="11.5703125" customWidth="1"/>
    <col min="9474" max="9474" width="16.42578125" customWidth="1"/>
    <col min="9475" max="9475" width="10.85546875" bestFit="1" customWidth="1"/>
    <col min="9476" max="9476" width="10.42578125" customWidth="1"/>
    <col min="9478" max="9478" width="11.28515625" customWidth="1"/>
    <col min="9480" max="9480" width="4.140625" customWidth="1"/>
    <col min="9729" max="9729" width="11.5703125" customWidth="1"/>
    <col min="9730" max="9730" width="16.42578125" customWidth="1"/>
    <col min="9731" max="9731" width="10.85546875" bestFit="1" customWidth="1"/>
    <col min="9732" max="9732" width="10.42578125" customWidth="1"/>
    <col min="9734" max="9734" width="11.28515625" customWidth="1"/>
    <col min="9736" max="9736" width="4.140625" customWidth="1"/>
    <col min="9985" max="9985" width="11.5703125" customWidth="1"/>
    <col min="9986" max="9986" width="16.42578125" customWidth="1"/>
    <col min="9987" max="9987" width="10.85546875" bestFit="1" customWidth="1"/>
    <col min="9988" max="9988" width="10.42578125" customWidth="1"/>
    <col min="9990" max="9990" width="11.28515625" customWidth="1"/>
    <col min="9992" max="9992" width="4.140625" customWidth="1"/>
    <col min="10241" max="10241" width="11.5703125" customWidth="1"/>
    <col min="10242" max="10242" width="16.42578125" customWidth="1"/>
    <col min="10243" max="10243" width="10.85546875" bestFit="1" customWidth="1"/>
    <col min="10244" max="10244" width="10.42578125" customWidth="1"/>
    <col min="10246" max="10246" width="11.28515625" customWidth="1"/>
    <col min="10248" max="10248" width="4.140625" customWidth="1"/>
    <col min="10497" max="10497" width="11.5703125" customWidth="1"/>
    <col min="10498" max="10498" width="16.42578125" customWidth="1"/>
    <col min="10499" max="10499" width="10.85546875" bestFit="1" customWidth="1"/>
    <col min="10500" max="10500" width="10.42578125" customWidth="1"/>
    <col min="10502" max="10502" width="11.28515625" customWidth="1"/>
    <col min="10504" max="10504" width="4.140625" customWidth="1"/>
    <col min="10753" max="10753" width="11.5703125" customWidth="1"/>
    <col min="10754" max="10754" width="16.42578125" customWidth="1"/>
    <col min="10755" max="10755" width="10.85546875" bestFit="1" customWidth="1"/>
    <col min="10756" max="10756" width="10.42578125" customWidth="1"/>
    <col min="10758" max="10758" width="11.28515625" customWidth="1"/>
    <col min="10760" max="10760" width="4.140625" customWidth="1"/>
    <col min="11009" max="11009" width="11.5703125" customWidth="1"/>
    <col min="11010" max="11010" width="16.42578125" customWidth="1"/>
    <col min="11011" max="11011" width="10.85546875" bestFit="1" customWidth="1"/>
    <col min="11012" max="11012" width="10.42578125" customWidth="1"/>
    <col min="11014" max="11014" width="11.28515625" customWidth="1"/>
    <col min="11016" max="11016" width="4.140625" customWidth="1"/>
    <col min="11265" max="11265" width="11.5703125" customWidth="1"/>
    <col min="11266" max="11266" width="16.42578125" customWidth="1"/>
    <col min="11267" max="11267" width="10.85546875" bestFit="1" customWidth="1"/>
    <col min="11268" max="11268" width="10.42578125" customWidth="1"/>
    <col min="11270" max="11270" width="11.28515625" customWidth="1"/>
    <col min="11272" max="11272" width="4.140625" customWidth="1"/>
    <col min="11521" max="11521" width="11.5703125" customWidth="1"/>
    <col min="11522" max="11522" width="16.42578125" customWidth="1"/>
    <col min="11523" max="11523" width="10.85546875" bestFit="1" customWidth="1"/>
    <col min="11524" max="11524" width="10.42578125" customWidth="1"/>
    <col min="11526" max="11526" width="11.28515625" customWidth="1"/>
    <col min="11528" max="11528" width="4.140625" customWidth="1"/>
    <col min="11777" max="11777" width="11.5703125" customWidth="1"/>
    <col min="11778" max="11778" width="16.42578125" customWidth="1"/>
    <col min="11779" max="11779" width="10.85546875" bestFit="1" customWidth="1"/>
    <col min="11780" max="11780" width="10.42578125" customWidth="1"/>
    <col min="11782" max="11782" width="11.28515625" customWidth="1"/>
    <col min="11784" max="11784" width="4.140625" customWidth="1"/>
    <col min="12033" max="12033" width="11.5703125" customWidth="1"/>
    <col min="12034" max="12034" width="16.42578125" customWidth="1"/>
    <col min="12035" max="12035" width="10.85546875" bestFit="1" customWidth="1"/>
    <col min="12036" max="12036" width="10.42578125" customWidth="1"/>
    <col min="12038" max="12038" width="11.28515625" customWidth="1"/>
    <col min="12040" max="12040" width="4.140625" customWidth="1"/>
    <col min="12289" max="12289" width="11.5703125" customWidth="1"/>
    <col min="12290" max="12290" width="16.42578125" customWidth="1"/>
    <col min="12291" max="12291" width="10.85546875" bestFit="1" customWidth="1"/>
    <col min="12292" max="12292" width="10.42578125" customWidth="1"/>
    <col min="12294" max="12294" width="11.28515625" customWidth="1"/>
    <col min="12296" max="12296" width="4.140625" customWidth="1"/>
    <col min="12545" max="12545" width="11.5703125" customWidth="1"/>
    <col min="12546" max="12546" width="16.42578125" customWidth="1"/>
    <col min="12547" max="12547" width="10.85546875" bestFit="1" customWidth="1"/>
    <col min="12548" max="12548" width="10.42578125" customWidth="1"/>
    <col min="12550" max="12550" width="11.28515625" customWidth="1"/>
    <col min="12552" max="12552" width="4.140625" customWidth="1"/>
    <col min="12801" max="12801" width="11.5703125" customWidth="1"/>
    <col min="12802" max="12802" width="16.42578125" customWidth="1"/>
    <col min="12803" max="12803" width="10.85546875" bestFit="1" customWidth="1"/>
    <col min="12804" max="12804" width="10.42578125" customWidth="1"/>
    <col min="12806" max="12806" width="11.28515625" customWidth="1"/>
    <col min="12808" max="12808" width="4.140625" customWidth="1"/>
    <col min="13057" max="13057" width="11.5703125" customWidth="1"/>
    <col min="13058" max="13058" width="16.42578125" customWidth="1"/>
    <col min="13059" max="13059" width="10.85546875" bestFit="1" customWidth="1"/>
    <col min="13060" max="13060" width="10.42578125" customWidth="1"/>
    <col min="13062" max="13062" width="11.28515625" customWidth="1"/>
    <col min="13064" max="13064" width="4.140625" customWidth="1"/>
    <col min="13313" max="13313" width="11.5703125" customWidth="1"/>
    <col min="13314" max="13314" width="16.42578125" customWidth="1"/>
    <col min="13315" max="13315" width="10.85546875" bestFit="1" customWidth="1"/>
    <col min="13316" max="13316" width="10.42578125" customWidth="1"/>
    <col min="13318" max="13318" width="11.28515625" customWidth="1"/>
    <col min="13320" max="13320" width="4.140625" customWidth="1"/>
    <col min="13569" max="13569" width="11.5703125" customWidth="1"/>
    <col min="13570" max="13570" width="16.42578125" customWidth="1"/>
    <col min="13571" max="13571" width="10.85546875" bestFit="1" customWidth="1"/>
    <col min="13572" max="13572" width="10.42578125" customWidth="1"/>
    <col min="13574" max="13574" width="11.28515625" customWidth="1"/>
    <col min="13576" max="13576" width="4.140625" customWidth="1"/>
    <col min="13825" max="13825" width="11.5703125" customWidth="1"/>
    <col min="13826" max="13826" width="16.42578125" customWidth="1"/>
    <col min="13827" max="13827" width="10.85546875" bestFit="1" customWidth="1"/>
    <col min="13828" max="13828" width="10.42578125" customWidth="1"/>
    <col min="13830" max="13830" width="11.28515625" customWidth="1"/>
    <col min="13832" max="13832" width="4.140625" customWidth="1"/>
    <col min="14081" max="14081" width="11.5703125" customWidth="1"/>
    <col min="14082" max="14082" width="16.42578125" customWidth="1"/>
    <col min="14083" max="14083" width="10.85546875" bestFit="1" customWidth="1"/>
    <col min="14084" max="14084" width="10.42578125" customWidth="1"/>
    <col min="14086" max="14086" width="11.28515625" customWidth="1"/>
    <col min="14088" max="14088" width="4.140625" customWidth="1"/>
    <col min="14337" max="14337" width="11.5703125" customWidth="1"/>
    <col min="14338" max="14338" width="16.42578125" customWidth="1"/>
    <col min="14339" max="14339" width="10.85546875" bestFit="1" customWidth="1"/>
    <col min="14340" max="14340" width="10.42578125" customWidth="1"/>
    <col min="14342" max="14342" width="11.28515625" customWidth="1"/>
    <col min="14344" max="14344" width="4.140625" customWidth="1"/>
    <col min="14593" max="14593" width="11.5703125" customWidth="1"/>
    <col min="14594" max="14594" width="16.42578125" customWidth="1"/>
    <col min="14595" max="14595" width="10.85546875" bestFit="1" customWidth="1"/>
    <col min="14596" max="14596" width="10.42578125" customWidth="1"/>
    <col min="14598" max="14598" width="11.28515625" customWidth="1"/>
    <col min="14600" max="14600" width="4.140625" customWidth="1"/>
    <col min="14849" max="14849" width="11.5703125" customWidth="1"/>
    <col min="14850" max="14850" width="16.42578125" customWidth="1"/>
    <col min="14851" max="14851" width="10.85546875" bestFit="1" customWidth="1"/>
    <col min="14852" max="14852" width="10.42578125" customWidth="1"/>
    <col min="14854" max="14854" width="11.28515625" customWidth="1"/>
    <col min="14856" max="14856" width="4.140625" customWidth="1"/>
    <col min="15105" max="15105" width="11.5703125" customWidth="1"/>
    <col min="15106" max="15106" width="16.42578125" customWidth="1"/>
    <col min="15107" max="15107" width="10.85546875" bestFit="1" customWidth="1"/>
    <col min="15108" max="15108" width="10.42578125" customWidth="1"/>
    <col min="15110" max="15110" width="11.28515625" customWidth="1"/>
    <col min="15112" max="15112" width="4.140625" customWidth="1"/>
    <col min="15361" max="15361" width="11.5703125" customWidth="1"/>
    <col min="15362" max="15362" width="16.42578125" customWidth="1"/>
    <col min="15363" max="15363" width="10.85546875" bestFit="1" customWidth="1"/>
    <col min="15364" max="15364" width="10.42578125" customWidth="1"/>
    <col min="15366" max="15366" width="11.28515625" customWidth="1"/>
    <col min="15368" max="15368" width="4.140625" customWidth="1"/>
    <col min="15617" max="15617" width="11.5703125" customWidth="1"/>
    <col min="15618" max="15618" width="16.42578125" customWidth="1"/>
    <col min="15619" max="15619" width="10.85546875" bestFit="1" customWidth="1"/>
    <col min="15620" max="15620" width="10.42578125" customWidth="1"/>
    <col min="15622" max="15622" width="11.28515625" customWidth="1"/>
    <col min="15624" max="15624" width="4.140625" customWidth="1"/>
    <col min="15873" max="15873" width="11.5703125" customWidth="1"/>
    <col min="15874" max="15874" width="16.42578125" customWidth="1"/>
    <col min="15875" max="15875" width="10.85546875" bestFit="1" customWidth="1"/>
    <col min="15876" max="15876" width="10.42578125" customWidth="1"/>
    <col min="15878" max="15878" width="11.28515625" customWidth="1"/>
    <col min="15880" max="15880" width="4.140625" customWidth="1"/>
    <col min="16129" max="16129" width="11.5703125" customWidth="1"/>
    <col min="16130" max="16130" width="16.42578125" customWidth="1"/>
    <col min="16131" max="16131" width="10.85546875" bestFit="1" customWidth="1"/>
    <col min="16132" max="16132" width="10.42578125" customWidth="1"/>
    <col min="16134" max="16134" width="11.28515625" customWidth="1"/>
    <col min="16136" max="16136" width="4.140625" customWidth="1"/>
  </cols>
  <sheetData>
    <row r="1" spans="1:17" ht="15.75" thickBot="1"/>
    <row r="2" spans="1:17" ht="15.75" thickTop="1">
      <c r="A2" s="1"/>
      <c r="B2" s="2"/>
      <c r="C2" s="2"/>
      <c r="D2" s="2"/>
      <c r="E2" s="2"/>
      <c r="F2" s="2"/>
      <c r="G2" s="2"/>
      <c r="H2" s="2"/>
      <c r="I2" s="2"/>
      <c r="J2" s="2"/>
      <c r="K2" s="2"/>
      <c r="L2" s="2"/>
      <c r="M2" s="2"/>
      <c r="N2" s="2"/>
      <c r="O2" s="2"/>
      <c r="P2" s="2"/>
      <c r="Q2" s="3"/>
    </row>
    <row r="3" spans="1:17">
      <c r="A3" s="4"/>
      <c r="B3" s="5"/>
      <c r="C3" s="5"/>
      <c r="D3" s="5"/>
      <c r="E3" s="5"/>
      <c r="F3" s="5"/>
      <c r="G3" s="5"/>
      <c r="H3" s="5"/>
      <c r="I3" s="5"/>
      <c r="J3" s="5"/>
      <c r="K3" s="5"/>
      <c r="L3" s="5"/>
      <c r="M3" s="5"/>
      <c r="N3" s="5"/>
      <c r="O3" s="5"/>
      <c r="P3" s="5"/>
      <c r="Q3" s="6"/>
    </row>
    <row r="4" spans="1:17">
      <c r="A4" s="4"/>
      <c r="B4" s="5"/>
      <c r="C4" s="5"/>
      <c r="D4" s="5"/>
      <c r="E4" s="5"/>
      <c r="F4" s="5"/>
      <c r="G4" s="5"/>
      <c r="H4" s="5"/>
      <c r="I4" s="5"/>
      <c r="J4" s="5"/>
      <c r="K4" s="5"/>
      <c r="L4" s="5"/>
      <c r="M4" s="5"/>
      <c r="N4" s="5"/>
      <c r="O4" s="5" t="s">
        <v>0</v>
      </c>
      <c r="P4" s="5"/>
      <c r="Q4" s="6"/>
    </row>
    <row r="5" spans="1:17" ht="30">
      <c r="A5" s="7"/>
      <c r="B5" s="8" t="s">
        <v>1</v>
      </c>
      <c r="C5" s="8"/>
      <c r="D5" s="8"/>
      <c r="E5" s="8"/>
      <c r="F5" s="8"/>
      <c r="G5" s="8"/>
      <c r="H5" s="8"/>
      <c r="I5" s="8"/>
      <c r="J5" s="8"/>
      <c r="K5" s="8"/>
      <c r="L5" s="8"/>
      <c r="M5" s="8"/>
      <c r="N5" s="8"/>
      <c r="O5" s="8"/>
      <c r="P5" s="8"/>
      <c r="Q5" s="9"/>
    </row>
    <row r="6" spans="1:17" ht="20.25">
      <c r="A6" s="10"/>
      <c r="B6" s="11" t="s">
        <v>2</v>
      </c>
      <c r="C6" s="11"/>
      <c r="D6" s="11"/>
      <c r="E6" s="11"/>
      <c r="F6" s="11"/>
      <c r="G6" s="11"/>
      <c r="H6" s="11"/>
      <c r="I6" s="11"/>
      <c r="J6" s="11"/>
      <c r="K6" s="11"/>
      <c r="L6" s="11"/>
      <c r="M6" s="11"/>
      <c r="N6" s="11"/>
      <c r="O6" s="11"/>
      <c r="P6" s="11"/>
      <c r="Q6" s="12"/>
    </row>
    <row r="7" spans="1:17">
      <c r="A7" s="4"/>
      <c r="B7" s="13" t="s">
        <v>3</v>
      </c>
      <c r="C7" s="5"/>
      <c r="D7" s="5"/>
      <c r="E7" s="5"/>
      <c r="F7" s="5"/>
      <c r="G7" s="5"/>
      <c r="H7" s="5"/>
      <c r="I7" s="5"/>
      <c r="J7" s="5"/>
      <c r="K7" s="5"/>
      <c r="L7" s="5"/>
      <c r="M7" s="5"/>
      <c r="N7" s="5"/>
      <c r="O7" s="5"/>
      <c r="P7" s="5"/>
      <c r="Q7" s="6"/>
    </row>
    <row r="8" spans="1:17">
      <c r="A8" s="4"/>
      <c r="B8" s="5"/>
      <c r="C8" s="5"/>
      <c r="D8" s="5"/>
      <c r="E8" s="5"/>
      <c r="F8" s="5"/>
      <c r="G8" s="5"/>
      <c r="H8" s="5"/>
      <c r="I8" s="5"/>
      <c r="J8" s="5"/>
      <c r="K8" s="5"/>
      <c r="L8" s="5"/>
      <c r="M8" s="5"/>
      <c r="N8" s="5"/>
      <c r="O8" s="5"/>
      <c r="P8" s="5"/>
      <c r="Q8" s="6"/>
    </row>
    <row r="9" spans="1:17">
      <c r="A9" s="4"/>
      <c r="B9" s="5" t="s">
        <v>4</v>
      </c>
      <c r="C9" s="5"/>
      <c r="D9" s="5"/>
      <c r="E9" s="5"/>
      <c r="F9" s="5"/>
      <c r="G9" s="5"/>
      <c r="H9" s="5"/>
      <c r="I9" s="5"/>
      <c r="J9" s="5"/>
      <c r="K9" s="5"/>
      <c r="L9" s="5"/>
      <c r="M9" s="5"/>
      <c r="N9" s="5"/>
      <c r="O9" s="5"/>
      <c r="P9" s="5"/>
      <c r="Q9" s="6"/>
    </row>
    <row r="10" spans="1:17">
      <c r="A10" s="4"/>
      <c r="B10" s="5" t="s">
        <v>5</v>
      </c>
      <c r="C10" s="5"/>
      <c r="D10" s="5"/>
      <c r="E10" s="5"/>
      <c r="F10" s="5"/>
      <c r="G10" s="5"/>
      <c r="H10" s="5"/>
      <c r="I10" s="5"/>
      <c r="J10" s="5"/>
      <c r="K10" s="5"/>
      <c r="L10" s="5"/>
      <c r="M10" s="5"/>
      <c r="N10" s="5"/>
      <c r="O10" s="5"/>
      <c r="P10" s="5"/>
      <c r="Q10" s="6"/>
    </row>
    <row r="11" spans="1:17">
      <c r="A11" s="4"/>
      <c r="B11" s="5"/>
      <c r="C11" s="5"/>
      <c r="D11" s="5"/>
      <c r="E11" s="5"/>
      <c r="F11" s="5"/>
      <c r="G11" s="5"/>
      <c r="H11" s="5"/>
      <c r="I11" s="5"/>
      <c r="J11" s="5"/>
      <c r="K11" s="5"/>
      <c r="L11" s="5"/>
      <c r="M11" s="5"/>
      <c r="N11" s="5"/>
      <c r="O11" s="5"/>
      <c r="P11" s="5"/>
      <c r="Q11" s="6"/>
    </row>
    <row r="12" spans="1:17">
      <c r="A12" s="4"/>
      <c r="B12" s="5" t="s">
        <v>6</v>
      </c>
      <c r="C12" s="5"/>
      <c r="D12" s="5"/>
      <c r="E12" s="5"/>
      <c r="F12" s="5"/>
      <c r="G12" s="5"/>
      <c r="H12" s="5"/>
      <c r="I12" s="5"/>
      <c r="J12" s="5"/>
      <c r="K12" s="5"/>
      <c r="L12" s="5"/>
      <c r="M12" s="5"/>
      <c r="N12" s="5"/>
      <c r="O12" s="5"/>
      <c r="P12" s="5"/>
      <c r="Q12" s="6"/>
    </row>
    <row r="13" spans="1:17">
      <c r="A13" s="4"/>
      <c r="B13" s="13" t="s">
        <v>7</v>
      </c>
      <c r="C13" s="5"/>
      <c r="D13" s="5"/>
      <c r="E13" s="5"/>
      <c r="F13" s="5"/>
      <c r="G13" s="5"/>
      <c r="H13" s="5"/>
      <c r="I13" s="5"/>
      <c r="J13" s="5"/>
      <c r="K13" s="5"/>
      <c r="L13" s="5"/>
      <c r="M13" s="5"/>
      <c r="N13" s="5"/>
      <c r="O13" s="5"/>
      <c r="P13" s="5"/>
      <c r="Q13" s="6"/>
    </row>
    <row r="14" spans="1:17">
      <c r="A14" s="4"/>
      <c r="B14" s="14"/>
      <c r="C14" s="14"/>
      <c r="D14" s="14"/>
      <c r="E14" s="14"/>
      <c r="F14" s="5"/>
      <c r="G14" s="5"/>
      <c r="H14" s="5"/>
      <c r="I14" s="5"/>
      <c r="J14" s="5"/>
      <c r="K14" s="5"/>
      <c r="L14" s="5"/>
      <c r="M14" s="5"/>
      <c r="N14" s="5"/>
      <c r="O14" s="5"/>
      <c r="P14" s="5"/>
      <c r="Q14" s="6"/>
    </row>
    <row r="15" spans="1:17">
      <c r="A15" s="4"/>
      <c r="B15" s="14"/>
      <c r="C15" s="14"/>
      <c r="D15" s="14"/>
      <c r="E15" s="14"/>
      <c r="F15" s="5"/>
      <c r="G15" s="5"/>
      <c r="H15" s="5"/>
      <c r="I15" s="5"/>
      <c r="J15" s="5"/>
      <c r="K15" s="5"/>
      <c r="L15" s="5"/>
      <c r="M15" s="5"/>
      <c r="N15" s="5"/>
      <c r="O15" s="5"/>
      <c r="P15" s="5"/>
      <c r="Q15" s="6"/>
    </row>
    <row r="16" spans="1:17">
      <c r="A16" s="4"/>
      <c r="B16" s="5" t="s">
        <v>8</v>
      </c>
      <c r="C16" s="5"/>
      <c r="D16" s="5"/>
      <c r="E16" s="5"/>
      <c r="F16" s="5"/>
      <c r="G16" s="5"/>
      <c r="H16" s="5"/>
      <c r="I16" s="5"/>
      <c r="J16" s="5"/>
      <c r="K16" s="5"/>
      <c r="L16" s="5"/>
      <c r="M16" s="5"/>
      <c r="N16" s="5"/>
      <c r="O16" s="5"/>
      <c r="P16" s="5"/>
      <c r="Q16" s="6"/>
    </row>
    <row r="17" spans="1:17">
      <c r="A17" s="4"/>
      <c r="B17" s="5" t="s">
        <v>9</v>
      </c>
      <c r="C17" s="5"/>
      <c r="D17" s="5"/>
      <c r="E17" s="5"/>
      <c r="F17" s="5"/>
      <c r="G17" s="5"/>
      <c r="H17" s="5"/>
      <c r="I17" s="5"/>
      <c r="J17" s="5"/>
      <c r="K17" s="5"/>
      <c r="L17" s="5"/>
      <c r="M17" s="5"/>
      <c r="N17" s="5"/>
      <c r="O17" s="5"/>
      <c r="P17" s="5"/>
      <c r="Q17" s="6"/>
    </row>
    <row r="18" spans="1:17" ht="15.75" thickBot="1">
      <c r="A18" s="4"/>
      <c r="B18" s="5"/>
      <c r="C18" s="5"/>
      <c r="D18" s="5"/>
      <c r="E18" s="5"/>
      <c r="F18" s="5"/>
      <c r="G18" s="5"/>
      <c r="H18" s="5"/>
      <c r="I18" s="5"/>
      <c r="J18" s="5"/>
      <c r="K18" s="5"/>
      <c r="L18" s="5"/>
      <c r="M18" s="5"/>
      <c r="N18" s="5"/>
      <c r="O18" s="5"/>
      <c r="P18" s="5"/>
      <c r="Q18" s="6"/>
    </row>
    <row r="19" spans="1:17">
      <c r="A19" s="4"/>
      <c r="B19" s="15"/>
      <c r="C19" s="16"/>
      <c r="D19" s="16"/>
      <c r="E19" s="16"/>
      <c r="F19" s="16"/>
      <c r="G19" s="16"/>
      <c r="H19" s="16"/>
      <c r="I19" s="16"/>
      <c r="J19" s="16"/>
      <c r="K19" s="16"/>
      <c r="L19" s="17"/>
      <c r="M19" s="5"/>
      <c r="N19" s="5"/>
      <c r="O19" s="5"/>
      <c r="P19" s="5"/>
      <c r="Q19" s="6"/>
    </row>
    <row r="20" spans="1:17" ht="15.75">
      <c r="A20" s="4"/>
      <c r="B20" s="18"/>
      <c r="C20" s="19" t="s">
        <v>10</v>
      </c>
      <c r="D20" s="5"/>
      <c r="E20" s="5"/>
      <c r="F20" s="5"/>
      <c r="G20" s="5"/>
      <c r="H20" s="5"/>
      <c r="I20" s="5"/>
      <c r="J20" s="5"/>
      <c r="K20" s="5"/>
      <c r="L20" s="20"/>
      <c r="M20" s="5"/>
      <c r="N20" s="5"/>
      <c r="O20" s="5"/>
      <c r="P20" s="5"/>
      <c r="Q20" s="6"/>
    </row>
    <row r="21" spans="1:17">
      <c r="A21" s="4"/>
      <c r="B21" s="18"/>
      <c r="C21" s="5" t="s">
        <v>11</v>
      </c>
      <c r="D21" s="5"/>
      <c r="E21" s="5"/>
      <c r="F21" s="5"/>
      <c r="G21" s="5"/>
      <c r="H21" s="5"/>
      <c r="I21" s="5"/>
      <c r="J21" s="5"/>
      <c r="K21" s="5"/>
      <c r="L21" s="20"/>
      <c r="M21" s="5"/>
      <c r="N21" s="5"/>
      <c r="O21" s="5"/>
      <c r="P21" s="5"/>
      <c r="Q21" s="6"/>
    </row>
    <row r="22" spans="1:17">
      <c r="A22" s="4"/>
      <c r="B22" s="18"/>
      <c r="C22" s="5" t="s">
        <v>12</v>
      </c>
      <c r="D22" s="5"/>
      <c r="E22" s="5"/>
      <c r="F22" s="5"/>
      <c r="G22" s="5"/>
      <c r="H22" s="5"/>
      <c r="I22" s="5"/>
      <c r="J22" s="5"/>
      <c r="K22" s="5"/>
      <c r="L22" s="20"/>
      <c r="M22" s="5"/>
      <c r="N22" s="5"/>
      <c r="O22" s="5"/>
      <c r="P22" s="5"/>
      <c r="Q22" s="6"/>
    </row>
    <row r="23" spans="1:17">
      <c r="A23" s="4"/>
      <c r="B23" s="18"/>
      <c r="C23" s="5" t="s">
        <v>13</v>
      </c>
      <c r="D23" s="5"/>
      <c r="E23" s="5"/>
      <c r="F23" s="5"/>
      <c r="G23" s="5"/>
      <c r="H23" s="5"/>
      <c r="I23" s="5"/>
      <c r="J23" s="5"/>
      <c r="K23" s="5"/>
      <c r="L23" s="20"/>
      <c r="M23" s="5"/>
      <c r="N23" s="5"/>
      <c r="O23" s="5"/>
      <c r="P23" s="5"/>
      <c r="Q23" s="6"/>
    </row>
    <row r="24" spans="1:17">
      <c r="A24" s="4"/>
      <c r="B24" s="18"/>
      <c r="C24" s="5" t="s">
        <v>14</v>
      </c>
      <c r="D24" s="5"/>
      <c r="E24" s="5"/>
      <c r="F24" s="5"/>
      <c r="G24" s="5"/>
      <c r="H24" s="5"/>
      <c r="I24" s="5"/>
      <c r="J24" s="5"/>
      <c r="K24" s="5"/>
      <c r="L24" s="20"/>
      <c r="M24" s="5"/>
      <c r="N24" s="5"/>
      <c r="O24" s="5"/>
      <c r="P24" s="5"/>
      <c r="Q24" s="6"/>
    </row>
    <row r="25" spans="1:17" ht="15.75" thickBot="1">
      <c r="A25" s="4"/>
      <c r="B25" s="21"/>
      <c r="C25" s="22"/>
      <c r="D25" s="22"/>
      <c r="E25" s="22"/>
      <c r="F25" s="22"/>
      <c r="G25" s="22"/>
      <c r="H25" s="22"/>
      <c r="I25" s="22"/>
      <c r="J25" s="22"/>
      <c r="K25" s="22"/>
      <c r="L25" s="23"/>
      <c r="M25" s="5"/>
      <c r="N25" s="5"/>
      <c r="O25" s="5"/>
      <c r="P25" s="5"/>
      <c r="Q25" s="6"/>
    </row>
    <row r="26" spans="1:17">
      <c r="A26" s="4"/>
      <c r="B26" s="5"/>
      <c r="C26" s="5"/>
      <c r="D26" s="5"/>
      <c r="E26" s="5"/>
      <c r="F26" s="5"/>
      <c r="G26" s="5"/>
      <c r="H26" s="5"/>
      <c r="I26" s="5"/>
      <c r="J26" s="5"/>
      <c r="K26" s="5"/>
      <c r="L26" s="5"/>
      <c r="M26" s="5"/>
      <c r="N26" s="5"/>
      <c r="O26" s="5"/>
      <c r="P26" s="5"/>
      <c r="Q26" s="6"/>
    </row>
    <row r="27" spans="1:17">
      <c r="A27" s="4"/>
      <c r="B27" s="5"/>
      <c r="C27" s="5"/>
      <c r="D27" s="5"/>
      <c r="E27" s="5"/>
      <c r="F27" s="5"/>
      <c r="G27" s="5"/>
      <c r="H27" s="5"/>
      <c r="I27" s="5"/>
      <c r="J27" s="5"/>
      <c r="K27" s="5"/>
      <c r="L27" s="5"/>
      <c r="M27" s="5"/>
      <c r="N27" s="5"/>
      <c r="O27" s="5"/>
      <c r="P27" s="5"/>
      <c r="Q27" s="6"/>
    </row>
    <row r="28" spans="1:17" ht="15.75" thickBot="1">
      <c r="A28" s="24"/>
      <c r="B28" s="25"/>
      <c r="C28" s="25"/>
      <c r="D28" s="25"/>
      <c r="E28" s="25"/>
      <c r="F28" s="25"/>
      <c r="G28" s="25"/>
      <c r="H28" s="25"/>
      <c r="I28" s="25"/>
      <c r="J28" s="25"/>
      <c r="K28" s="25"/>
      <c r="L28" s="25"/>
      <c r="M28" s="25"/>
      <c r="N28" s="25"/>
      <c r="O28" s="25"/>
      <c r="P28" s="25"/>
      <c r="Q28" s="26"/>
    </row>
    <row r="29" spans="1:17" ht="15.75" thickTop="1"/>
    <row r="30" spans="1:17">
      <c r="A30" s="27" t="s">
        <v>15</v>
      </c>
      <c r="B30" s="28" t="s">
        <v>196</v>
      </c>
      <c r="C30" s="27" t="s">
        <v>16</v>
      </c>
      <c r="D30" s="27"/>
      <c r="E30" s="27"/>
      <c r="F30" s="27"/>
      <c r="I30" t="s">
        <v>17</v>
      </c>
    </row>
    <row r="31" spans="1:17">
      <c r="A31" s="29" t="s">
        <v>18</v>
      </c>
      <c r="B31" s="30">
        <f>LOOKUP($B$30,[1]data!$B$4:$B$18,[1]data!C4:C18)</f>
        <v>60</v>
      </c>
      <c r="C31" t="s">
        <v>19</v>
      </c>
      <c r="F31" s="31" t="s">
        <v>20</v>
      </c>
      <c r="I31" t="str">
        <f>[1]data!B4</f>
        <v>TPS54040</v>
      </c>
    </row>
    <row r="32" spans="1:17">
      <c r="A32" s="29" t="s">
        <v>21</v>
      </c>
      <c r="B32" s="30">
        <f>LOOKUP($B$30,[1]data!$B$4:$B$18,[1]data!D4:D18)</f>
        <v>3.5</v>
      </c>
      <c r="C32" t="s">
        <v>22</v>
      </c>
      <c r="F32" s="32" t="s">
        <v>23</v>
      </c>
      <c r="I32" t="str">
        <f>[1]data!B5</f>
        <v>TPS54060</v>
      </c>
    </row>
    <row r="33" spans="1:9">
      <c r="A33" s="29" t="s">
        <v>24</v>
      </c>
      <c r="B33" s="33">
        <f>LOOKUP($B$30,[1]data!$B$4:$B$18,[1]data!F4:F18)</f>
        <v>2500000</v>
      </c>
      <c r="C33" t="s">
        <v>25</v>
      </c>
      <c r="F33" s="34" t="s">
        <v>26</v>
      </c>
      <c r="I33" t="str">
        <f>[1]data!B6</f>
        <v>TPS54140</v>
      </c>
    </row>
    <row r="34" spans="1:9">
      <c r="A34" s="29" t="s">
        <v>27</v>
      </c>
      <c r="B34" s="33">
        <f>LOOKUP($B$30,[1]data!$B$4:$B$18,[1]data!E4:E18)</f>
        <v>100000</v>
      </c>
      <c r="C34" t="s">
        <v>28</v>
      </c>
      <c r="I34" t="str">
        <f>[1]data!B7</f>
        <v>TPS54160</v>
      </c>
    </row>
    <row r="35" spans="1:9">
      <c r="A35" s="29" t="s">
        <v>29</v>
      </c>
      <c r="B35" s="35">
        <f>LOOKUP($B$30,[1]data!$B$4:$B$18,[1]data!G4:G18)</f>
        <v>3.5</v>
      </c>
      <c r="C35" t="s">
        <v>30</v>
      </c>
      <c r="I35" t="str">
        <f>[1]data!B8</f>
        <v>TPS54231</v>
      </c>
    </row>
    <row r="36" spans="1:9">
      <c r="A36" s="29" t="s">
        <v>31</v>
      </c>
      <c r="B36" s="36">
        <f>LOOKUP($B$30,[1]data!$B$4:$B$18,[1]data!N4:N18)</f>
        <v>1.35E-7</v>
      </c>
      <c r="C36" t="s">
        <v>32</v>
      </c>
      <c r="I36" t="str">
        <f>[1]data!B9</f>
        <v>TPS54232</v>
      </c>
    </row>
    <row r="37" spans="1:9">
      <c r="A37" s="29" t="s">
        <v>33</v>
      </c>
      <c r="B37" s="37">
        <f>LOOKUP($B$30,[1]data!$B$4:$B$18,[1]data!H4:H18)</f>
        <v>10.5</v>
      </c>
      <c r="C37" t="s">
        <v>34</v>
      </c>
      <c r="H37" s="38"/>
      <c r="I37" t="str">
        <f>[1]data!B10</f>
        <v>TPS54233</v>
      </c>
    </row>
    <row r="38" spans="1:9">
      <c r="A38" s="29" t="s">
        <v>35</v>
      </c>
      <c r="B38" s="39">
        <f>LOOKUP($B$30,[1]data!$B$4:$B$18,[1]data!I4:I18)</f>
        <v>3.1E-4</v>
      </c>
      <c r="C38" t="s">
        <v>36</v>
      </c>
      <c r="I38" t="str">
        <f>[1]data!B11</f>
        <v>TPS54240</v>
      </c>
    </row>
    <row r="39" spans="1:9">
      <c r="A39" s="29" t="s">
        <v>37</v>
      </c>
      <c r="B39" s="35">
        <f>LOOKUP($B$30,[1]data!$B$4:$B$18,[1]data!J4:J18)</f>
        <v>0.8</v>
      </c>
      <c r="C39" t="s">
        <v>38</v>
      </c>
      <c r="I39" s="66" t="str">
        <f>[1]data!B12</f>
        <v>TPS54260</v>
      </c>
    </row>
    <row r="40" spans="1:9">
      <c r="A40" s="29" t="s">
        <v>39</v>
      </c>
      <c r="B40" s="35">
        <f>LOOKUP($B$30,[1]data!$B$4:$B$18,[1]data!K4:K18)</f>
        <v>0.41</v>
      </c>
      <c r="C40" t="s">
        <v>40</v>
      </c>
      <c r="I40" t="str">
        <f>[1]data!B13</f>
        <v>TPS54331</v>
      </c>
    </row>
    <row r="41" spans="1:9">
      <c r="A41" s="29" t="s">
        <v>41</v>
      </c>
      <c r="B41" s="40">
        <f>LOOKUP($B$30,[1]data!$B$4:$B$18,[1]data!L4:L18)</f>
        <v>2.4999999999999999E-8</v>
      </c>
      <c r="C41" t="s">
        <v>42</v>
      </c>
      <c r="I41" t="str">
        <f>[1]data!B14</f>
        <v>TPS54332</v>
      </c>
    </row>
    <row r="42" spans="1:9">
      <c r="A42" s="29" t="s">
        <v>43</v>
      </c>
      <c r="B42" s="40">
        <f>LOOKUP($B$30,[1]data!$B$4:$B$18,[1]data!M4:M18)</f>
        <v>2.4999999999999999E-8</v>
      </c>
      <c r="C42" t="s">
        <v>44</v>
      </c>
      <c r="I42" t="str">
        <f>[1]data!B15</f>
        <v>TPS54340</v>
      </c>
    </row>
    <row r="43" spans="1:9">
      <c r="A43" s="27" t="s">
        <v>45</v>
      </c>
      <c r="B43" s="27"/>
      <c r="C43" s="27"/>
      <c r="D43" s="27"/>
      <c r="E43" s="27"/>
      <c r="F43" s="27"/>
      <c r="I43" t="str">
        <f>[1]data!B16</f>
        <v>TPS54360</v>
      </c>
    </row>
    <row r="44" spans="1:9">
      <c r="A44" s="29" t="s">
        <v>46</v>
      </c>
      <c r="B44" s="41">
        <v>-15</v>
      </c>
      <c r="C44" t="s">
        <v>47</v>
      </c>
      <c r="F44" s="66">
        <v>-15</v>
      </c>
      <c r="I44" t="str">
        <f>[1]data!B17</f>
        <v>TPS54540</v>
      </c>
    </row>
    <row r="45" spans="1:9">
      <c r="A45" s="29" t="s">
        <v>48</v>
      </c>
      <c r="B45" s="42">
        <v>0.05</v>
      </c>
      <c r="C45" s="43" t="s">
        <v>49</v>
      </c>
      <c r="F45" s="66">
        <v>0.05</v>
      </c>
      <c r="I45" t="s">
        <v>50</v>
      </c>
    </row>
    <row r="46" spans="1:9">
      <c r="A46" s="29" t="s">
        <v>51</v>
      </c>
      <c r="B46" s="41">
        <v>24</v>
      </c>
      <c r="C46" s="43" t="s">
        <v>52</v>
      </c>
      <c r="F46" s="66">
        <v>24</v>
      </c>
    </row>
    <row r="47" spans="1:9">
      <c r="A47" s="29" t="s">
        <v>53</v>
      </c>
      <c r="B47" s="41">
        <v>26</v>
      </c>
      <c r="C47" t="s">
        <v>54</v>
      </c>
      <c r="F47" s="66">
        <v>26</v>
      </c>
    </row>
    <row r="48" spans="1:9">
      <c r="A48" s="29" t="s">
        <v>55</v>
      </c>
      <c r="B48" s="41">
        <v>22</v>
      </c>
      <c r="C48" t="s">
        <v>56</v>
      </c>
      <c r="F48" s="66">
        <v>22</v>
      </c>
    </row>
    <row r="49" spans="1:6">
      <c r="A49" s="29" t="s">
        <v>57</v>
      </c>
      <c r="B49" s="41">
        <v>1</v>
      </c>
      <c r="C49" s="43" t="s">
        <v>58</v>
      </c>
      <c r="F49" s="66">
        <v>1</v>
      </c>
    </row>
    <row r="50" spans="1:6">
      <c r="A50" s="29" t="s">
        <v>59</v>
      </c>
      <c r="B50" s="41">
        <v>500000</v>
      </c>
      <c r="C50" s="43" t="s">
        <v>60</v>
      </c>
      <c r="F50" s="66">
        <v>500000</v>
      </c>
    </row>
    <row r="51" spans="1:6">
      <c r="A51" s="29" t="s">
        <v>61</v>
      </c>
      <c r="B51" s="41">
        <v>1E-3</v>
      </c>
      <c r="C51" s="43" t="s">
        <v>62</v>
      </c>
      <c r="F51" s="67" t="s">
        <v>193</v>
      </c>
    </row>
    <row r="52" spans="1:6">
      <c r="A52" s="29" t="s">
        <v>63</v>
      </c>
      <c r="B52" s="41">
        <v>0.13</v>
      </c>
      <c r="C52" s="43" t="s">
        <v>64</v>
      </c>
      <c r="F52" s="66">
        <v>0.13</v>
      </c>
    </row>
    <row r="53" spans="1:6">
      <c r="A53" s="44" t="s">
        <v>65</v>
      </c>
      <c r="B53" s="41">
        <v>0.75</v>
      </c>
      <c r="C53" s="43" t="s">
        <v>194</v>
      </c>
      <c r="F53" s="67" t="s">
        <v>195</v>
      </c>
    </row>
    <row r="54" spans="1:6">
      <c r="A54" s="44" t="s">
        <v>66</v>
      </c>
      <c r="B54" s="45">
        <v>0.1</v>
      </c>
      <c r="C54" s="43" t="s">
        <v>67</v>
      </c>
      <c r="F54" s="66">
        <v>0.1</v>
      </c>
    </row>
    <row r="55" spans="1:6">
      <c r="A55" s="27"/>
      <c r="B55" s="27"/>
      <c r="C55" s="27"/>
      <c r="D55" s="27"/>
      <c r="E55" s="27"/>
      <c r="F55" s="27" t="s">
        <v>16</v>
      </c>
    </row>
    <row r="56" spans="1:6">
      <c r="A56" t="s">
        <v>68</v>
      </c>
      <c r="B56" s="29" t="s">
        <v>53</v>
      </c>
      <c r="C56" s="46">
        <f>B31+B44</f>
        <v>45</v>
      </c>
      <c r="F56" t="s">
        <v>69</v>
      </c>
    </row>
    <row r="57" spans="1:6">
      <c r="B57" s="29" t="s">
        <v>70</v>
      </c>
      <c r="C57" s="41">
        <v>1000</v>
      </c>
      <c r="D57" s="66">
        <v>1000</v>
      </c>
      <c r="F57" t="s">
        <v>71</v>
      </c>
    </row>
    <row r="58" spans="1:6">
      <c r="A58" t="s">
        <v>72</v>
      </c>
      <c r="B58" s="29" t="s">
        <v>73</v>
      </c>
      <c r="C58" s="47">
        <f>C57*(-B44/B39-1)</f>
        <v>17750</v>
      </c>
      <c r="D58" s="47" t="e">
        <f>(IF((10^(LOG(C58)-INT(LOG(C58)))*100)-VLOOKUP((10^(LOG(C58)-INT(LOG(C58)))*100),E96_s:E96_f,1)&lt;VLOOKUP((10^(LOG(C58)-INT(LOG(C58)))*100),E96_s:E96_f,2)-(10^(LOG(C58)-INT(LOG(C58)))*100),VLOOKUP((10^(LOG(C58)-INT(LOG(C58)))*100),E96_s:E96_f,1),VLOOKUP((10^(LOG(C58)-INT(LOG(C58)))*100),E96_s:E96_f,2)))*10^INT(LOG(C58))/100</f>
        <v>#REF!</v>
      </c>
      <c r="F58" t="s">
        <v>74</v>
      </c>
    </row>
    <row r="59" spans="1:6">
      <c r="A59" t="s">
        <v>75</v>
      </c>
      <c r="B59" s="29" t="s">
        <v>76</v>
      </c>
      <c r="C59" s="46">
        <f>B48</f>
        <v>22</v>
      </c>
      <c r="F59" t="s">
        <v>77</v>
      </c>
    </row>
    <row r="60" spans="1:6">
      <c r="A60" t="s">
        <v>78</v>
      </c>
      <c r="B60" s="29" t="s">
        <v>79</v>
      </c>
      <c r="C60" s="48">
        <f>-B44/(B48-B44)</f>
        <v>0.40540540540540543</v>
      </c>
      <c r="D60" s="48">
        <f>-B44/(B47-B44)</f>
        <v>0.36585365853658536</v>
      </c>
      <c r="E60" s="48">
        <f>-B44/(B46-B44)</f>
        <v>0.38461538461538464</v>
      </c>
      <c r="F60" t="s">
        <v>80</v>
      </c>
    </row>
    <row r="61" spans="1:6">
      <c r="A61" t="s">
        <v>81</v>
      </c>
      <c r="B61" s="29" t="s">
        <v>82</v>
      </c>
      <c r="C61" s="46">
        <f>(B35-(B35*0.25/2))*(1-C60)</f>
        <v>1.8209459459459456</v>
      </c>
      <c r="F61" t="s">
        <v>83</v>
      </c>
    </row>
    <row r="62" spans="1:6">
      <c r="A62" t="s">
        <v>84</v>
      </c>
      <c r="B62" s="29" t="s">
        <v>85</v>
      </c>
      <c r="C62" s="47">
        <f>(1/$B$36)*((-$B$44+$B$52*$B$49+$B$53)/($B$47-$B$44+$B$53-$B$49*$B$40))</f>
        <v>2845419.1976204552</v>
      </c>
      <c r="F62" t="s">
        <v>86</v>
      </c>
    </row>
    <row r="63" spans="1:6">
      <c r="A63" t="s">
        <v>87</v>
      </c>
      <c r="B63" s="29" t="s">
        <v>88</v>
      </c>
      <c r="C63" s="47">
        <f>(8/$B$36)*((-$B$54+$B$52*$B$49+$B$53)/($B$47-$B$54+$B$53-$B$49*$B$40))</f>
        <v>1761517.6151761517</v>
      </c>
      <c r="F63" t="s">
        <v>89</v>
      </c>
    </row>
    <row r="64" spans="1:6">
      <c r="A64" t="s">
        <v>90</v>
      </c>
      <c r="B64" s="29" t="s">
        <v>91</v>
      </c>
      <c r="C64" s="46">
        <f>B49/(1-D60)</f>
        <v>1.5769230769230769</v>
      </c>
      <c r="F64" t="s">
        <v>92</v>
      </c>
    </row>
    <row r="65" spans="1:6">
      <c r="A65" t="s">
        <v>93</v>
      </c>
      <c r="B65" s="29" t="s">
        <v>94</v>
      </c>
      <c r="C65" s="49">
        <f>B47*D60/(B50*C64*0.25)</f>
        <v>4.825698988697204E-5</v>
      </c>
      <c r="F65" t="s">
        <v>95</v>
      </c>
    </row>
    <row r="66" spans="1:6">
      <c r="B66" s="29" t="s">
        <v>96</v>
      </c>
      <c r="C66" s="50">
        <v>4.6999999999999997E-5</v>
      </c>
      <c r="D66" s="66">
        <v>4.6999999999999997E-5</v>
      </c>
      <c r="E66" s="29"/>
      <c r="F66" t="s">
        <v>97</v>
      </c>
    </row>
    <row r="67" spans="1:6">
      <c r="A67" t="s">
        <v>98</v>
      </c>
      <c r="B67" s="29" t="s">
        <v>99</v>
      </c>
      <c r="C67" s="48">
        <f>$B$49/(1-C60)+($B$48*C60)/(2*$B$50*$C$66)</f>
        <v>1.8715824141356059</v>
      </c>
      <c r="D67" s="48">
        <f>$B$49/(1-D60)+($B$48*D60)/(2*$B$50*$C$66)</f>
        <v>1.7481737255997765</v>
      </c>
      <c r="E67" s="48">
        <f>$B$49/(1-E60)+($B$48*E60)/(2*$B$50*$C$66)</f>
        <v>1.8050327332242226</v>
      </c>
      <c r="F67" t="s">
        <v>100</v>
      </c>
    </row>
    <row r="68" spans="1:6">
      <c r="A68" t="s">
        <v>101</v>
      </c>
      <c r="B68" s="29" t="s">
        <v>102</v>
      </c>
      <c r="C68" s="48">
        <f>1*(((B49/(1-E60))^2+(1/12)*((E60*B46)/(B50*C66))^2))^0.5</f>
        <v>1.6289513705498004</v>
      </c>
      <c r="D68" s="51"/>
      <c r="E68" s="52"/>
      <c r="F68" t="s">
        <v>103</v>
      </c>
    </row>
    <row r="69" spans="1:6">
      <c r="A69" t="s">
        <v>104</v>
      </c>
      <c r="B69" s="29" t="s">
        <v>105</v>
      </c>
      <c r="C69" s="49">
        <f>(C60*B49)/(B50*B45)</f>
        <v>1.6216216216216218E-5</v>
      </c>
      <c r="F69" t="s">
        <v>106</v>
      </c>
    </row>
    <row r="70" spans="1:6">
      <c r="A70" t="s">
        <v>107</v>
      </c>
      <c r="B70" s="29" t="s">
        <v>108</v>
      </c>
      <c r="C70" s="48">
        <f>B45/(B49/(1-C60)+0.5*((B48*C60)/(B50*C66)))</f>
        <v>2.6715361088222558E-2</v>
      </c>
      <c r="F70" t="s">
        <v>109</v>
      </c>
    </row>
    <row r="71" spans="1:6">
      <c r="B71" s="29" t="s">
        <v>110</v>
      </c>
      <c r="C71" s="50">
        <f>0.0000871</f>
        <v>8.7100000000000003E-5</v>
      </c>
      <c r="D71" s="67" t="s">
        <v>192</v>
      </c>
      <c r="F71" t="s">
        <v>111</v>
      </c>
    </row>
    <row r="72" spans="1:6">
      <c r="B72" s="29" t="s">
        <v>108</v>
      </c>
      <c r="C72" s="41">
        <f>0.001</f>
        <v>1E-3</v>
      </c>
      <c r="D72" s="67" t="s">
        <v>191</v>
      </c>
      <c r="F72" t="s">
        <v>112</v>
      </c>
    </row>
    <row r="73" spans="1:6">
      <c r="A73" t="s">
        <v>113</v>
      </c>
      <c r="B73" s="29" t="s">
        <v>114</v>
      </c>
      <c r="C73" s="48">
        <f>B49*(C60/(1-C60))^0.5</f>
        <v>0.82572282384477058</v>
      </c>
      <c r="F73" t="s">
        <v>115</v>
      </c>
    </row>
    <row r="74" spans="1:6">
      <c r="A74" t="s">
        <v>116</v>
      </c>
      <c r="B74" s="29" t="s">
        <v>117</v>
      </c>
      <c r="C74" s="48">
        <f>B53*B49</f>
        <v>0.75</v>
      </c>
      <c r="F74" t="s">
        <v>118</v>
      </c>
    </row>
    <row r="75" spans="1:6">
      <c r="A75" t="s">
        <v>119</v>
      </c>
      <c r="B75" s="29" t="s">
        <v>120</v>
      </c>
      <c r="C75" s="53">
        <f>B40*E60*(C68^2)+0.5*(B46-B44)*(B49/(1-E60))*(B41+B42)*B50</f>
        <v>1.2106212895086883</v>
      </c>
      <c r="F75" t="s">
        <v>121</v>
      </c>
    </row>
    <row r="76" spans="1:6">
      <c r="A76" t="s">
        <v>122</v>
      </c>
      <c r="B76" s="29" t="s">
        <v>123</v>
      </c>
      <c r="C76" t="s">
        <v>124</v>
      </c>
    </row>
    <row r="77" spans="1:6">
      <c r="A77" t="s">
        <v>125</v>
      </c>
      <c r="B77" s="29" t="s">
        <v>126</v>
      </c>
      <c r="C77" s="47">
        <f>1/(C71*C72*2*PI())</f>
        <v>1827266.855245641</v>
      </c>
      <c r="F77" t="s">
        <v>127</v>
      </c>
    </row>
    <row r="78" spans="1:6">
      <c r="A78" t="s">
        <v>128</v>
      </c>
      <c r="B78" s="29" t="s">
        <v>129</v>
      </c>
      <c r="C78" s="47">
        <f>((-B44/B49)*((1-C60)^2)+(B52*((1-C60)-C60)))/(C60*C66*2*PI())</f>
        <v>44501.576913209276</v>
      </c>
      <c r="F78" t="s">
        <v>130</v>
      </c>
    </row>
    <row r="79" spans="1:6">
      <c r="A79" t="s">
        <v>131</v>
      </c>
      <c r="B79" s="29" t="s">
        <v>132</v>
      </c>
      <c r="C79" s="54">
        <f>(1+E60)/((-B44/B49)*C71*2*PI())</f>
        <v>168.67078663805918</v>
      </c>
      <c r="F79" t="s">
        <v>133</v>
      </c>
    </row>
    <row r="80" spans="1:6">
      <c r="A80" t="s">
        <v>134</v>
      </c>
      <c r="B80" s="29" t="s">
        <v>135</v>
      </c>
      <c r="C80" s="54">
        <f>((-B44/B49)*B46)/(B46+2*(-B44))*B37</f>
        <v>70</v>
      </c>
      <c r="F80" t="s">
        <v>136</v>
      </c>
    </row>
    <row r="81" spans="1:11">
      <c r="A81" t="s">
        <v>137</v>
      </c>
      <c r="B81" s="29" t="s">
        <v>138</v>
      </c>
      <c r="C81" s="47">
        <f>(C79*C78)^0.5</f>
        <v>2739.7291808835962</v>
      </c>
      <c r="F81" t="s">
        <v>139</v>
      </c>
    </row>
    <row r="82" spans="1:11">
      <c r="A82" t="s">
        <v>140</v>
      </c>
      <c r="B82" s="29" t="s">
        <v>141</v>
      </c>
      <c r="C82" s="47">
        <f>(C81/(C80*C79))*(-B44/(B39*B38))</f>
        <v>14034.899375458446</v>
      </c>
      <c r="D82" s="47" t="e">
        <f>(IF((10^(LOG(C82)-INT(LOG(C82)))*100)-VLOOKUP((10^(LOG(C82)-INT(LOG(C82)))*100),E96_s:E96_f,1)&lt;VLOOKUP((10^(LOG(C82)-INT(LOG(C82)))*100),E96_s:E96_f,2)-(10^(LOG(C82)-INT(LOG(C82)))*100),VLOOKUP((10^(LOG(C82)-INT(LOG(C82)))*100),E96_s:E96_f,1),VLOOKUP((10^(LOG(C82)-INT(LOG(C82)))*100),E96_s:E96_f,2)))*10^INT(LOG(C82))/100</f>
        <v>#REF!</v>
      </c>
      <c r="F82" t="s">
        <v>142</v>
      </c>
    </row>
    <row r="83" spans="1:11">
      <c r="B83" s="29" t="s">
        <v>143</v>
      </c>
      <c r="C83" s="55">
        <v>4220</v>
      </c>
      <c r="D83" s="67" t="s">
        <v>188</v>
      </c>
      <c r="E83" s="29"/>
      <c r="F83" t="s">
        <v>144</v>
      </c>
    </row>
    <row r="84" spans="1:11">
      <c r="A84" t="s">
        <v>145</v>
      </c>
      <c r="B84" s="29" t="s">
        <v>146</v>
      </c>
      <c r="C84" s="49">
        <f>1/((C79/2)*C83*2*PI())</f>
        <v>4.4719589257503956E-7</v>
      </c>
      <c r="D84" s="49" t="e">
        <f>IF(C84*10^12&lt;10000,IF((10^(LOG(C84*10^12)-INT(LOG(C84*10^12))))-VLOOKUP((10^(LOG(C84*10^12)-INT(LOG(C84*10^12)))),c_s1:C_f1,1)&lt;VLOOKUP((10^(LOG(C84*10^12)-INT(LOG(C84*10^12)))),c_s1:C_f1,2)-(10^(LOG(C84*10^12)-INT(LOG(C84*10^12)))),VLOOKUP((10^(LOG(C84*10^12)-INT(LOG(C84*10^12)))),c_s1:C_f1,1),VLOOKUP((10^(LOG(C84*10^12)-INT(LOG(C84*10^12)))),c_s1:C_f1,2))*10^INT(LOG(C84*10^12)),IF((10^(LOG(C84*10^12)-INT(LOG(C84*10^12))))-VLOOKUP((10^(LOG(C84*10^12)-INT(LOG(C84*10^12)))),C_s2:C_f2,1)&lt;VLOOKUP((10^(LOG(C84*10^12)-INT(LOG(C84*10^12)))),C_s2:C_f2,2)-(10^(LOG(C84*10^12)-INT(LOG(C84*10^12)))),VLOOKUP((10^(LOG(C84*10^12)-INT(LOG(C84*10^12)))),C_s2:C_f2,1),VLOOKUP((10^(LOG(C84*10^12)-INT(LOG(C84*10^12)))),C_s2:C_f2,2))*10^INT(LOG(C84*10^12)))*10^-12</f>
        <v>#REF!</v>
      </c>
      <c r="E84" s="29"/>
      <c r="F84" t="s">
        <v>147</v>
      </c>
    </row>
    <row r="85" spans="1:11">
      <c r="B85" s="29" t="s">
        <v>148</v>
      </c>
      <c r="C85" s="50">
        <v>1.4999999999999999E-7</v>
      </c>
      <c r="D85" s="68" t="s">
        <v>189</v>
      </c>
      <c r="E85" s="29"/>
      <c r="F85" t="s">
        <v>149</v>
      </c>
    </row>
    <row r="86" spans="1:11">
      <c r="A86" t="s">
        <v>150</v>
      </c>
      <c r="B86" s="29" t="s">
        <v>151</v>
      </c>
      <c r="C86" s="49">
        <f>1/(C78*2*PI()*C83)</f>
        <v>8.4748550741301455E-10</v>
      </c>
      <c r="D86" s="49" t="e">
        <f>IF(C86*10^12&lt;10000,IF((10^(LOG(C86*10^12)-INT(LOG(C86*10^12))))-VLOOKUP((10^(LOG(C86*10^12)-INT(LOG(C86*10^12)))),c_s1:C_f1,1)&lt;VLOOKUP((10^(LOG(C86*10^12)-INT(LOG(C86*10^12)))),c_s1:C_f1,2)-(10^(LOG(C86*10^12)-INT(LOG(C86*10^12)))),VLOOKUP((10^(LOG(C86*10^12)-INT(LOG(C86*10^12)))),c_s1:C_f1,1),VLOOKUP((10^(LOG(C86*10^12)-INT(LOG(C86*10^12)))),c_s1:C_f1,2))*10^INT(LOG(C86*10^12)),IF((10^(LOG(C86*10^12)-INT(LOG(C86*10^12))))-VLOOKUP((10^(LOG(C86*10^12)-INT(LOG(C86*10^12)))),C_s2:C_f2,1)&lt;VLOOKUP((10^(LOG(C86*10^12)-INT(LOG(C86*10^12)))),C_s2:C_f2,2)-(10^(LOG(C86*10^12)-INT(LOG(C86*10^12)))),VLOOKUP((10^(LOG(C86*10^12)-INT(LOG(C86*10^12)))),C_s2:C_f2,1),VLOOKUP((10^(LOG(C86*10^12)-INT(LOG(C86*10^12)))),C_s2:C_f2,2))*10^INT(LOG(C86*10^12)))*10^-12</f>
        <v>#REF!</v>
      </c>
      <c r="F86" t="s">
        <v>152</v>
      </c>
    </row>
    <row r="87" spans="1:11">
      <c r="B87" s="29" t="s">
        <v>153</v>
      </c>
      <c r="C87" s="50">
        <v>8.2000000000000001E-11</v>
      </c>
      <c r="D87" s="68" t="s">
        <v>190</v>
      </c>
      <c r="E87" s="29"/>
      <c r="F87" t="s">
        <v>154</v>
      </c>
    </row>
    <row r="88" spans="1:11">
      <c r="A88" t="s">
        <v>155</v>
      </c>
      <c r="B88" s="29" t="s">
        <v>156</v>
      </c>
      <c r="C88" s="48">
        <f>B49*C60/(1-C60)</f>
        <v>0.68181818181818199</v>
      </c>
      <c r="F88" t="s">
        <v>157</v>
      </c>
    </row>
    <row r="89" spans="1:11">
      <c r="A89" t="s">
        <v>158</v>
      </c>
      <c r="B89" s="29" t="s">
        <v>159</v>
      </c>
      <c r="C89" s="49">
        <f>C88/(B50*B48*0.01)</f>
        <v>6.198347107438018E-6</v>
      </c>
      <c r="F89" t="s">
        <v>160</v>
      </c>
    </row>
    <row r="90" spans="1:11">
      <c r="A90" t="s">
        <v>161</v>
      </c>
      <c r="B90" s="29" t="s">
        <v>162</v>
      </c>
      <c r="C90" s="56">
        <f>0.01*B48/C88</f>
        <v>0.3226666666666666</v>
      </c>
      <c r="F90" t="s">
        <v>163</v>
      </c>
    </row>
    <row r="91" spans="1:11">
      <c r="A91" t="s">
        <v>164</v>
      </c>
      <c r="B91" s="29" t="s">
        <v>165</v>
      </c>
      <c r="C91" s="48">
        <f>(((C67-C88)^2+(1/12)*(B48*C60/(C66*B50))^2)*C60+((1-C60)*C88^2))^0.5</f>
        <v>0.92474114674873131</v>
      </c>
      <c r="F91" t="s">
        <v>166</v>
      </c>
    </row>
    <row r="92" spans="1:11">
      <c r="A92" t="s">
        <v>167</v>
      </c>
      <c r="B92" s="29" t="s">
        <v>168</v>
      </c>
      <c r="C92" s="49">
        <f>(B51*(2*10^-6))/(0.8*0.8)</f>
        <v>3.1249999999999994E-9</v>
      </c>
      <c r="F92" t="s">
        <v>169</v>
      </c>
    </row>
    <row r="93" spans="1:11">
      <c r="A93" t="s">
        <v>170</v>
      </c>
      <c r="B93" s="29" t="s">
        <v>171</v>
      </c>
      <c r="C93" s="47">
        <f>(1000)*206033/((B50/1000)^1.0888)</f>
        <v>237300.27719336707</v>
      </c>
      <c r="D93" s="47" t="e">
        <f>(IF((10^(LOG(C93)-INT(LOG(C93)))*100)-VLOOKUP((10^(LOG(C93)-INT(LOG(C93)))*100),E96_s:E96_f,1)&lt;VLOOKUP((10^(LOG(C93)-INT(LOG(C93)))*100),E96_s:E96_f,2)-(10^(LOG(C93)-INT(LOG(C93)))*100),VLOOKUP((10^(LOG(C93)-INT(LOG(C93)))*100),E96_s:E96_f,1),VLOOKUP((10^(LOG(C93)-INT(LOG(C93)))*100),E96_s:E96_f,2)))*10^INT(LOG(C93))/100</f>
        <v>#REF!</v>
      </c>
      <c r="F93" t="s">
        <v>172</v>
      </c>
    </row>
    <row r="94" spans="1:11" ht="15.75">
      <c r="B94" s="29"/>
      <c r="C94" s="29"/>
      <c r="D94" s="29"/>
      <c r="E94" s="29"/>
      <c r="F94" s="29"/>
      <c r="G94" s="57"/>
      <c r="H94" s="29"/>
      <c r="I94" s="29"/>
      <c r="J94" s="29"/>
      <c r="K94" s="29"/>
    </row>
    <row r="95" spans="1:11">
      <c r="A95" s="58" t="s">
        <v>173</v>
      </c>
      <c r="B95" s="58"/>
      <c r="C95" s="59"/>
      <c r="D95" s="27"/>
      <c r="E95" s="27"/>
      <c r="F95" s="27"/>
      <c r="G95" s="29"/>
      <c r="H95" s="29"/>
      <c r="I95" s="29"/>
      <c r="J95" s="29"/>
      <c r="K95" s="29"/>
    </row>
    <row r="96" spans="1:11">
      <c r="A96" t="s">
        <v>174</v>
      </c>
      <c r="B96" s="60">
        <f>C66</f>
        <v>4.6999999999999997E-5</v>
      </c>
      <c r="C96" s="29"/>
      <c r="D96" s="29"/>
      <c r="E96" s="29"/>
      <c r="F96" s="29"/>
      <c r="G96" s="29"/>
      <c r="H96" s="29"/>
      <c r="I96" s="29"/>
      <c r="J96" s="29"/>
      <c r="K96" s="29"/>
    </row>
    <row r="97" spans="1:11">
      <c r="A97" t="s">
        <v>175</v>
      </c>
      <c r="B97" s="60">
        <f>C71</f>
        <v>8.7100000000000003E-5</v>
      </c>
      <c r="C97" s="61"/>
      <c r="D97" s="61"/>
      <c r="E97" s="61"/>
      <c r="F97" s="29"/>
      <c r="G97" s="29"/>
      <c r="H97" s="29"/>
      <c r="I97" s="29"/>
      <c r="J97" s="29"/>
      <c r="K97" s="29"/>
    </row>
    <row r="98" spans="1:11">
      <c r="A98" t="s">
        <v>176</v>
      </c>
      <c r="B98" s="60">
        <f>C58</f>
        <v>17750</v>
      </c>
    </row>
    <row r="99" spans="1:11">
      <c r="A99" t="s">
        <v>177</v>
      </c>
      <c r="B99" s="60">
        <f>C57</f>
        <v>1000</v>
      </c>
    </row>
    <row r="100" spans="1:11">
      <c r="A100" t="s">
        <v>178</v>
      </c>
      <c r="B100" s="60">
        <f>C83</f>
        <v>4220</v>
      </c>
    </row>
    <row r="101" spans="1:11">
      <c r="A101" t="s">
        <v>179</v>
      </c>
      <c r="B101" s="62">
        <f>C87</f>
        <v>8.2000000000000001E-11</v>
      </c>
    </row>
    <row r="102" spans="1:11">
      <c r="A102" t="s">
        <v>180</v>
      </c>
      <c r="B102" s="62">
        <f>C85</f>
        <v>1.4999999999999999E-7</v>
      </c>
    </row>
    <row r="103" spans="1:11">
      <c r="A103" t="s">
        <v>181</v>
      </c>
      <c r="B103" s="60">
        <f>C92</f>
        <v>3.1249999999999994E-9</v>
      </c>
    </row>
    <row r="104" spans="1:11">
      <c r="A104" t="s">
        <v>182</v>
      </c>
      <c r="B104" s="63">
        <f>C93</f>
        <v>237300.27719336707</v>
      </c>
    </row>
    <row r="105" spans="1:11">
      <c r="A105" t="s">
        <v>183</v>
      </c>
      <c r="B105" s="62">
        <f>C89</f>
        <v>6.198347107438018E-6</v>
      </c>
    </row>
    <row r="106" spans="1:11">
      <c r="A106" t="s">
        <v>184</v>
      </c>
      <c r="B106" s="62">
        <v>9.9999999999999995E-8</v>
      </c>
    </row>
    <row r="107" spans="1:11">
      <c r="A107" t="s">
        <v>185</v>
      </c>
      <c r="B107" s="62">
        <v>9.9999999999999995E-7</v>
      </c>
    </row>
    <row r="108" spans="1:11">
      <c r="A108" t="s">
        <v>186</v>
      </c>
      <c r="B108" s="64" t="str">
        <f>B30</f>
        <v>TPS54260</v>
      </c>
    </row>
    <row r="109" spans="1:11">
      <c r="A109" t="s">
        <v>187</v>
      </c>
      <c r="B109" s="65"/>
    </row>
  </sheetData>
  <phoneticPr fontId="1" type="noConversion"/>
  <dataValidations count="1">
    <dataValidation type="list" errorStyle="warning" allowBlank="1" showInputMessage="1" showErrorMessage="1" errorTitle="Warning" error="Select Device From List_x000a_" promptTitle="Device" prompt="Select Device " sqref="B30 IX30 ST30 ACP30 AML30 AWH30 BGD30 BPZ30 BZV30 CJR30 CTN30 DDJ30 DNF30 DXB30 EGX30 EQT30 FAP30 FKL30 FUH30 GED30 GNZ30 GXV30 HHR30 HRN30 IBJ30 ILF30 IVB30 JEX30 JOT30 JYP30 KIL30 KSH30 LCD30 LLZ30 LVV30 MFR30 MPN30 MZJ30 NJF30 NTB30 OCX30 OMT30 OWP30 PGL30 PQH30 QAD30 QJZ30 QTV30 RDR30 RNN30 RXJ30 SHF30 SRB30 TAX30 TKT30 TUP30 UEL30 UOH30 UYD30 VHZ30 VRV30 WBR30 WLN30 WVJ30 B65566 IX65566 ST65566 ACP65566 AML65566 AWH65566 BGD65566 BPZ65566 BZV65566 CJR65566 CTN65566 DDJ65566 DNF65566 DXB65566 EGX65566 EQT65566 FAP65566 FKL65566 FUH65566 GED65566 GNZ65566 GXV65566 HHR65566 HRN65566 IBJ65566 ILF65566 IVB65566 JEX65566 JOT65566 JYP65566 KIL65566 KSH65566 LCD65566 LLZ65566 LVV65566 MFR65566 MPN65566 MZJ65566 NJF65566 NTB65566 OCX65566 OMT65566 OWP65566 PGL65566 PQH65566 QAD65566 QJZ65566 QTV65566 RDR65566 RNN65566 RXJ65566 SHF65566 SRB65566 TAX65566 TKT65566 TUP65566 UEL65566 UOH65566 UYD65566 VHZ65566 VRV65566 WBR65566 WLN65566 WVJ65566 B131102 IX131102 ST131102 ACP131102 AML131102 AWH131102 BGD131102 BPZ131102 BZV131102 CJR131102 CTN131102 DDJ131102 DNF131102 DXB131102 EGX131102 EQT131102 FAP131102 FKL131102 FUH131102 GED131102 GNZ131102 GXV131102 HHR131102 HRN131102 IBJ131102 ILF131102 IVB131102 JEX131102 JOT131102 JYP131102 KIL131102 KSH131102 LCD131102 LLZ131102 LVV131102 MFR131102 MPN131102 MZJ131102 NJF131102 NTB131102 OCX131102 OMT131102 OWP131102 PGL131102 PQH131102 QAD131102 QJZ131102 QTV131102 RDR131102 RNN131102 RXJ131102 SHF131102 SRB131102 TAX131102 TKT131102 TUP131102 UEL131102 UOH131102 UYD131102 VHZ131102 VRV131102 WBR131102 WLN131102 WVJ131102 B196638 IX196638 ST196638 ACP196638 AML196638 AWH196638 BGD196638 BPZ196638 BZV196638 CJR196638 CTN196638 DDJ196638 DNF196638 DXB196638 EGX196638 EQT196638 FAP196638 FKL196638 FUH196638 GED196638 GNZ196638 GXV196638 HHR196638 HRN196638 IBJ196638 ILF196638 IVB196638 JEX196638 JOT196638 JYP196638 KIL196638 KSH196638 LCD196638 LLZ196638 LVV196638 MFR196638 MPN196638 MZJ196638 NJF196638 NTB196638 OCX196638 OMT196638 OWP196638 PGL196638 PQH196638 QAD196638 QJZ196638 QTV196638 RDR196638 RNN196638 RXJ196638 SHF196638 SRB196638 TAX196638 TKT196638 TUP196638 UEL196638 UOH196638 UYD196638 VHZ196638 VRV196638 WBR196638 WLN196638 WVJ196638 B262174 IX262174 ST262174 ACP262174 AML262174 AWH262174 BGD262174 BPZ262174 BZV262174 CJR262174 CTN262174 DDJ262174 DNF262174 DXB262174 EGX262174 EQT262174 FAP262174 FKL262174 FUH262174 GED262174 GNZ262174 GXV262174 HHR262174 HRN262174 IBJ262174 ILF262174 IVB262174 JEX262174 JOT262174 JYP262174 KIL262174 KSH262174 LCD262174 LLZ262174 LVV262174 MFR262174 MPN262174 MZJ262174 NJF262174 NTB262174 OCX262174 OMT262174 OWP262174 PGL262174 PQH262174 QAD262174 QJZ262174 QTV262174 RDR262174 RNN262174 RXJ262174 SHF262174 SRB262174 TAX262174 TKT262174 TUP262174 UEL262174 UOH262174 UYD262174 VHZ262174 VRV262174 WBR262174 WLN262174 WVJ262174 B327710 IX327710 ST327710 ACP327710 AML327710 AWH327710 BGD327710 BPZ327710 BZV327710 CJR327710 CTN327710 DDJ327710 DNF327710 DXB327710 EGX327710 EQT327710 FAP327710 FKL327710 FUH327710 GED327710 GNZ327710 GXV327710 HHR327710 HRN327710 IBJ327710 ILF327710 IVB327710 JEX327710 JOT327710 JYP327710 KIL327710 KSH327710 LCD327710 LLZ327710 LVV327710 MFR327710 MPN327710 MZJ327710 NJF327710 NTB327710 OCX327710 OMT327710 OWP327710 PGL327710 PQH327710 QAD327710 QJZ327710 QTV327710 RDR327710 RNN327710 RXJ327710 SHF327710 SRB327710 TAX327710 TKT327710 TUP327710 UEL327710 UOH327710 UYD327710 VHZ327710 VRV327710 WBR327710 WLN327710 WVJ327710 B393246 IX393246 ST393246 ACP393246 AML393246 AWH393246 BGD393246 BPZ393246 BZV393246 CJR393246 CTN393246 DDJ393246 DNF393246 DXB393246 EGX393246 EQT393246 FAP393246 FKL393246 FUH393246 GED393246 GNZ393246 GXV393246 HHR393246 HRN393246 IBJ393246 ILF393246 IVB393246 JEX393246 JOT393246 JYP393246 KIL393246 KSH393246 LCD393246 LLZ393246 LVV393246 MFR393246 MPN393246 MZJ393246 NJF393246 NTB393246 OCX393246 OMT393246 OWP393246 PGL393246 PQH393246 QAD393246 QJZ393246 QTV393246 RDR393246 RNN393246 RXJ393246 SHF393246 SRB393246 TAX393246 TKT393246 TUP393246 UEL393246 UOH393246 UYD393246 VHZ393246 VRV393246 WBR393246 WLN393246 WVJ393246 B458782 IX458782 ST458782 ACP458782 AML458782 AWH458782 BGD458782 BPZ458782 BZV458782 CJR458782 CTN458782 DDJ458782 DNF458782 DXB458782 EGX458782 EQT458782 FAP458782 FKL458782 FUH458782 GED458782 GNZ458782 GXV458782 HHR458782 HRN458782 IBJ458782 ILF458782 IVB458782 JEX458782 JOT458782 JYP458782 KIL458782 KSH458782 LCD458782 LLZ458782 LVV458782 MFR458782 MPN458782 MZJ458782 NJF458782 NTB458782 OCX458782 OMT458782 OWP458782 PGL458782 PQH458782 QAD458782 QJZ458782 QTV458782 RDR458782 RNN458782 RXJ458782 SHF458782 SRB458782 TAX458782 TKT458782 TUP458782 UEL458782 UOH458782 UYD458782 VHZ458782 VRV458782 WBR458782 WLN458782 WVJ458782 B524318 IX524318 ST524318 ACP524318 AML524318 AWH524318 BGD524318 BPZ524318 BZV524318 CJR524318 CTN524318 DDJ524318 DNF524318 DXB524318 EGX524318 EQT524318 FAP524318 FKL524318 FUH524318 GED524318 GNZ524318 GXV524318 HHR524318 HRN524318 IBJ524318 ILF524318 IVB524318 JEX524318 JOT524318 JYP524318 KIL524318 KSH524318 LCD524318 LLZ524318 LVV524318 MFR524318 MPN524318 MZJ524318 NJF524318 NTB524318 OCX524318 OMT524318 OWP524318 PGL524318 PQH524318 QAD524318 QJZ524318 QTV524318 RDR524318 RNN524318 RXJ524318 SHF524318 SRB524318 TAX524318 TKT524318 TUP524318 UEL524318 UOH524318 UYD524318 VHZ524318 VRV524318 WBR524318 WLN524318 WVJ524318 B589854 IX589854 ST589854 ACP589854 AML589854 AWH589854 BGD589854 BPZ589854 BZV589854 CJR589854 CTN589854 DDJ589854 DNF589854 DXB589854 EGX589854 EQT589854 FAP589854 FKL589854 FUH589854 GED589854 GNZ589854 GXV589854 HHR589854 HRN589854 IBJ589854 ILF589854 IVB589854 JEX589854 JOT589854 JYP589854 KIL589854 KSH589854 LCD589854 LLZ589854 LVV589854 MFR589854 MPN589854 MZJ589854 NJF589854 NTB589854 OCX589854 OMT589854 OWP589854 PGL589854 PQH589854 QAD589854 QJZ589854 QTV589854 RDR589854 RNN589854 RXJ589854 SHF589854 SRB589854 TAX589854 TKT589854 TUP589854 UEL589854 UOH589854 UYD589854 VHZ589854 VRV589854 WBR589854 WLN589854 WVJ589854 B655390 IX655390 ST655390 ACP655390 AML655390 AWH655390 BGD655390 BPZ655390 BZV655390 CJR655390 CTN655390 DDJ655390 DNF655390 DXB655390 EGX655390 EQT655390 FAP655390 FKL655390 FUH655390 GED655390 GNZ655390 GXV655390 HHR655390 HRN655390 IBJ655390 ILF655390 IVB655390 JEX655390 JOT655390 JYP655390 KIL655390 KSH655390 LCD655390 LLZ655390 LVV655390 MFR655390 MPN655390 MZJ655390 NJF655390 NTB655390 OCX655390 OMT655390 OWP655390 PGL655390 PQH655390 QAD655390 QJZ655390 QTV655390 RDR655390 RNN655390 RXJ655390 SHF655390 SRB655390 TAX655390 TKT655390 TUP655390 UEL655390 UOH655390 UYD655390 VHZ655390 VRV655390 WBR655390 WLN655390 WVJ655390 B720926 IX720926 ST720926 ACP720926 AML720926 AWH720926 BGD720926 BPZ720926 BZV720926 CJR720926 CTN720926 DDJ720926 DNF720926 DXB720926 EGX720926 EQT720926 FAP720926 FKL720926 FUH720926 GED720926 GNZ720926 GXV720926 HHR720926 HRN720926 IBJ720926 ILF720926 IVB720926 JEX720926 JOT720926 JYP720926 KIL720926 KSH720926 LCD720926 LLZ720926 LVV720926 MFR720926 MPN720926 MZJ720926 NJF720926 NTB720926 OCX720926 OMT720926 OWP720926 PGL720926 PQH720926 QAD720926 QJZ720926 QTV720926 RDR720926 RNN720926 RXJ720926 SHF720926 SRB720926 TAX720926 TKT720926 TUP720926 UEL720926 UOH720926 UYD720926 VHZ720926 VRV720926 WBR720926 WLN720926 WVJ720926 B786462 IX786462 ST786462 ACP786462 AML786462 AWH786462 BGD786462 BPZ786462 BZV786462 CJR786462 CTN786462 DDJ786462 DNF786462 DXB786462 EGX786462 EQT786462 FAP786462 FKL786462 FUH786462 GED786462 GNZ786462 GXV786462 HHR786462 HRN786462 IBJ786462 ILF786462 IVB786462 JEX786462 JOT786462 JYP786462 KIL786462 KSH786462 LCD786462 LLZ786462 LVV786462 MFR786462 MPN786462 MZJ786462 NJF786462 NTB786462 OCX786462 OMT786462 OWP786462 PGL786462 PQH786462 QAD786462 QJZ786462 QTV786462 RDR786462 RNN786462 RXJ786462 SHF786462 SRB786462 TAX786462 TKT786462 TUP786462 UEL786462 UOH786462 UYD786462 VHZ786462 VRV786462 WBR786462 WLN786462 WVJ786462 B851998 IX851998 ST851998 ACP851998 AML851998 AWH851998 BGD851998 BPZ851998 BZV851998 CJR851998 CTN851998 DDJ851998 DNF851998 DXB851998 EGX851998 EQT851998 FAP851998 FKL851998 FUH851998 GED851998 GNZ851998 GXV851998 HHR851998 HRN851998 IBJ851998 ILF851998 IVB851998 JEX851998 JOT851998 JYP851998 KIL851998 KSH851998 LCD851998 LLZ851998 LVV851998 MFR851998 MPN851998 MZJ851998 NJF851998 NTB851998 OCX851998 OMT851998 OWP851998 PGL851998 PQH851998 QAD851998 QJZ851998 QTV851998 RDR851998 RNN851998 RXJ851998 SHF851998 SRB851998 TAX851998 TKT851998 TUP851998 UEL851998 UOH851998 UYD851998 VHZ851998 VRV851998 WBR851998 WLN851998 WVJ851998 B917534 IX917534 ST917534 ACP917534 AML917534 AWH917534 BGD917534 BPZ917534 BZV917534 CJR917534 CTN917534 DDJ917534 DNF917534 DXB917534 EGX917534 EQT917534 FAP917534 FKL917534 FUH917534 GED917534 GNZ917534 GXV917534 HHR917534 HRN917534 IBJ917534 ILF917534 IVB917534 JEX917534 JOT917534 JYP917534 KIL917534 KSH917534 LCD917534 LLZ917534 LVV917534 MFR917534 MPN917534 MZJ917534 NJF917534 NTB917534 OCX917534 OMT917534 OWP917534 PGL917534 PQH917534 QAD917534 QJZ917534 QTV917534 RDR917534 RNN917534 RXJ917534 SHF917534 SRB917534 TAX917534 TKT917534 TUP917534 UEL917534 UOH917534 UYD917534 VHZ917534 VRV917534 WBR917534 WLN917534 WVJ917534 B983070 IX983070 ST983070 ACP983070 AML983070 AWH983070 BGD983070 BPZ983070 BZV983070 CJR983070 CTN983070 DDJ983070 DNF983070 DXB983070 EGX983070 EQT983070 FAP983070 FKL983070 FUH983070 GED983070 GNZ983070 GXV983070 HHR983070 HRN983070 IBJ983070 ILF983070 IVB983070 JEX983070 JOT983070 JYP983070 KIL983070 KSH983070 LCD983070 LLZ983070 LVV983070 MFR983070 MPN983070 MZJ983070 NJF983070 NTB983070 OCX983070 OMT983070 OWP983070 PGL983070 PQH983070 QAD983070 QJZ983070 QTV983070 RDR983070 RNN983070 RXJ983070 SHF983070 SRB983070 TAX983070 TKT983070 TUP983070 UEL983070 UOH983070 UYD983070 VHZ983070 VRV983070 WBR983070 WLN983070 WVJ983070" xr:uid="{00000000-0002-0000-0000-000000000000}">
      <formula1>$I$31:$I$45</formula1>
    </dataValidation>
  </dataValidations>
  <pageMargins left="0.7" right="0.7" top="0.75" bottom="0.75" header="0.3" footer="0.3"/>
  <drawing r:id="rId1"/>
  <legacyDrawing r:id="rId2"/>
  <oleObjects>
    <mc:AlternateContent xmlns:mc="http://schemas.openxmlformats.org/markup-compatibility/2006">
      <mc:Choice Requires="x14">
        <oleObject progId="Visio.Drawing.11" shapeId="1025" r:id="rId3">
          <objectPr defaultSize="0" autoPict="0" r:id="rId4">
            <anchor moveWithCells="1" sizeWithCells="1">
              <from>
                <xdr:col>2</xdr:col>
                <xdr:colOff>19050</xdr:colOff>
                <xdr:row>95</xdr:row>
                <xdr:rowOff>9525</xdr:rowOff>
              </from>
              <to>
                <xdr:col>8</xdr:col>
                <xdr:colOff>495300</xdr:colOff>
                <xdr:row>115</xdr:row>
                <xdr:rowOff>76200</xdr:rowOff>
              </to>
            </anchor>
          </objectPr>
        </oleObject>
      </mc:Choice>
      <mc:Fallback>
        <oleObject progId="Visio.Drawing.11" shapeId="1025" r:id="rId3"/>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2024-12-17T06:19:37Z</dcterms:modified>
</cp:coreProperties>
</file>