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vsdx" ContentType="application/vnd.ms-visio.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robin\Documents\documents_ganmartech20_jan2024\ucc28782work\"/>
    </mc:Choice>
  </mc:AlternateContent>
  <xr:revisionPtr revIDLastSave="0" documentId="8_{5F576C31-D05F-4277-9F6D-6EB28CF8507F}" xr6:coauthVersionLast="47" xr6:coauthVersionMax="47" xr10:uidLastSave="{00000000-0000-0000-0000-000000000000}"/>
  <workbookProtection workbookAlgorithmName="SHA-512" workbookHashValue="bGaI7tPHStg5230j53+cqdS6RikYJP62MZpzMs2DBnm98gKMwpuoakxPuwIFVdnOvmu6fiXmpxnVoloIpMKYCg==" workbookSaltValue="9livb6OHG/aOa7l1EvBo9A==" workbookSpinCount="100000" lockStructure="1"/>
  <bookViews>
    <workbookView xWindow="-120" yWindow="-120" windowWidth="29040" windowHeight="15720" tabRatio="721" activeTab="1" xr2:uid="{00000000-000D-0000-FFFF-FFFF00000000}"/>
  </bookViews>
  <sheets>
    <sheet name="Begin Input Here" sheetId="1" r:id="rId1"/>
    <sheet name="Calculations" sheetId="2" r:id="rId2"/>
    <sheet name="Optimize BUR Pin" sheetId="8" r:id="rId3"/>
    <sheet name="Tune Secondary Resonance" sheetId="5" r:id="rId4"/>
    <sheet name="Schematic and Values" sheetId="4" r:id="rId5"/>
    <sheet name="Hidden" sheetId="6" state="hidden" r:id="rId6"/>
    <sheet name="Revision History" sheetId="9" r:id="rId7"/>
  </sheets>
  <definedNames>
    <definedName name="_∆V_MIN">Calculations!$D$42</definedName>
    <definedName name="_∆VO_ABM">Calculations!$D$37</definedName>
    <definedName name="_xlnm._FilterDatabase" localSheetId="0" hidden="1">'Begin Input Here'!$B$62:$G$68</definedName>
    <definedName name="_xlnm._FilterDatabase" localSheetId="5" hidden="1">Hidden!$D$76:$D$78</definedName>
    <definedName name="_R25">'Begin Input Here'!$D$130</definedName>
    <definedName name="B25_85">'Begin Input Here'!$D$132</definedName>
    <definedName name="BUR">'Begin Input Here'!$D$34</definedName>
    <definedName name="C_01_act">'Tune Secondary Resonance'!$E$10</definedName>
    <definedName name="C_Daux_vbi">Hidden!$D$106</definedName>
    <definedName name="C_Daux_vbi_30">Hidden!$D$116</definedName>
    <definedName name="C_Daux_vbur">Hidden!$D$126</definedName>
    <definedName name="C_Daux_vmax">Hidden!$D$136</definedName>
    <definedName name="C_Daux_vmin">Hidden!$D$96</definedName>
    <definedName name="C_P13">Calculations!$D$154</definedName>
    <definedName name="Cboot">Calculations!$D$162</definedName>
    <definedName name="CBootD_T">'Begin Input Here'!$D$67</definedName>
    <definedName name="CBootD_T_vbi">Hidden!$D$103</definedName>
    <definedName name="CBootD_T_vbi_30">Hidden!$D$113</definedName>
    <definedName name="CBootD_T_vbur">Hidden!$D$123</definedName>
    <definedName name="CBootD_T_vmax">Hidden!$D$133</definedName>
    <definedName name="CBootD_T_vmin">Hidden!$D$93</definedName>
    <definedName name="CBULK">'Begin Input Here'!$D$73</definedName>
    <definedName name="CBULK_act">'Begin Input Here'!$D$72</definedName>
    <definedName name="CBULK_rec">'Begin Input Here'!$D$71</definedName>
    <definedName name="CBUR">Calculations!$D$141</definedName>
    <definedName name="CBUR_act">Calculations!$D$140</definedName>
    <definedName name="CBUR_max">Calculations!$D$139</definedName>
    <definedName name="Cclamp">Calculations!$D$80</definedName>
    <definedName name="Cclamp_act">Calculations!$D$78</definedName>
    <definedName name="Cclamp_eff">Calculations!$D$79</definedName>
    <definedName name="Cclamp_rec">Calculations!$D$77</definedName>
    <definedName name="CCS">Calculations!$D$115</definedName>
    <definedName name="CCS_act">Calculations!$D$114</definedName>
    <definedName name="CCS_rec">Calculations!$D$113</definedName>
    <definedName name="CDaux_H">'Begin Input Here'!$D$123</definedName>
    <definedName name="CDaux_T">'Begin Input Here'!$D$122</definedName>
    <definedName name="CDD_1">Calculations!$D$175</definedName>
    <definedName name="CDD1_act">Calculations!$D$174</definedName>
    <definedName name="CDD1_rec">Calculations!$D$173</definedName>
    <definedName name="CDD2_">Calculations!$D$166</definedName>
    <definedName name="Cdiff">Calculations!$D$206</definedName>
    <definedName name="Cdiff_act">Calculations!$D$205</definedName>
    <definedName name="Cdiff_rec">Calculations!$D$204</definedName>
    <definedName name="CDz">'Begin Input Here'!#REF!</definedName>
    <definedName name="CFB">Calculations!$D$181</definedName>
    <definedName name="Cint">Calculations!$D$213</definedName>
    <definedName name="Cint_act">Calculations!$D$212</definedName>
    <definedName name="Cint_rec">Calculations!$D$211</definedName>
    <definedName name="Ciss_Qs">'Begin Input Here'!$D$117</definedName>
    <definedName name="Co_1">'Tune Secondary Resonance'!$E$11:$G$11</definedName>
    <definedName name="Co1_dec">'Tune Secondary Resonance'!$E$7</definedName>
    <definedName name="Co1_rec">'Tune Secondary Resonance'!$E$8</definedName>
    <definedName name="COSS_QH_bg">'Begin Input Here'!$D$48</definedName>
    <definedName name="COSS_QH_sm">'Begin Input Here'!$D$49</definedName>
    <definedName name="Coss_QH_T">'Begin Input Here'!$D$52</definedName>
    <definedName name="COSS_QH_T_vbi">Hidden!$D$100</definedName>
    <definedName name="COSS_QH_T_vbi_30">Hidden!$D$110</definedName>
    <definedName name="COSS_QH_T_vbur">Hidden!$D$120</definedName>
    <definedName name="COSS_QH_T_vmax">Hidden!$D$130</definedName>
    <definedName name="COSS_QH_T_vmin">Hidden!$D$90</definedName>
    <definedName name="COSS_QL_bg">'Begin Input Here'!$D$56</definedName>
    <definedName name="COSS_QL_sm">'Begin Input Here'!$D$57</definedName>
    <definedName name="Coss_QL_T">'Begin Input Here'!$D$60</definedName>
    <definedName name="COSS_QL_T_vbi">Hidden!$D$101</definedName>
    <definedName name="COSS_QL_T_vbi_30">Hidden!$D$111</definedName>
    <definedName name="COSS_QL_T_vbur">Hidden!$D$121</definedName>
    <definedName name="COSS_QL_T_vmax">Hidden!$D$131</definedName>
    <definedName name="COSS_QL_T_vmin">Hidden!$D$91</definedName>
    <definedName name="COSS_Qs">'Begin Input Here'!$D$114</definedName>
    <definedName name="COSS_Qs_vbi">Hidden!$D$104</definedName>
    <definedName name="COSS_Qs_vbi_30">Hidden!$D$114</definedName>
    <definedName name="COSS_Qs_vbur">Hidden!$D$124</definedName>
    <definedName name="COSS_Qs_vmax">Hidden!$D$134</definedName>
    <definedName name="COSS_Qs_vmin">Hidden!$D$94</definedName>
    <definedName name="Coss_SR_bg">'Begin Input Here'!$D$87</definedName>
    <definedName name="COSS_SR_H">'Begin Input Here'!$D$91</definedName>
    <definedName name="Coss_SR_sm">'Begin Input Here'!$D$88</definedName>
    <definedName name="Coss_SR_T">'Begin Input Here'!$D$90</definedName>
    <definedName name="COSS_SR_t_vmax">Hidden!#REF!</definedName>
    <definedName name="COSS_SR_vbi">Hidden!$D$105</definedName>
    <definedName name="COSS_SR_vbi_30">Hidden!$D$115</definedName>
    <definedName name="COSS_SR_vbur">Hidden!$D$125</definedName>
    <definedName name="COSS_SR_vmax">Hidden!$D$135</definedName>
    <definedName name="COSS_SR_vmin">Hidden!$D$95</definedName>
    <definedName name="COUT">'Begin Input Here'!$D$80</definedName>
    <definedName name="COUT_act">'Begin Input Here'!$D$79</definedName>
    <definedName name="COUT_rec">'Begin Input Here'!$D$78</definedName>
    <definedName name="CP13_act">Calculations!$D$153</definedName>
    <definedName name="CP13_rec">Calculations!$D$152</definedName>
    <definedName name="CREF">Calculations!$D$157</definedName>
    <definedName name="CREF_act">Calculations!$D$156</definedName>
    <definedName name="CREF_rec">Calculations!$D$155</definedName>
    <definedName name="Crfl_Daux_vbi">Hidden!$D$106</definedName>
    <definedName name="Crfl_Daux_vbi_30">Hidden!$D$116</definedName>
    <definedName name="Crfl_Daux_vbur">Hidden!$D$126</definedName>
    <definedName name="Crfl_Daux_vmin">Hidden!$D$96</definedName>
    <definedName name="Crfl_sr_vbi">Hidden!$D$105</definedName>
    <definedName name="Crfl_sr_vbi_30">Hidden!$D$115</definedName>
    <definedName name="Crfl_sr_vbur">Hidden!$D$125</definedName>
    <definedName name="Crfl_sr_vmin">Hidden!$D$95</definedName>
    <definedName name="CSW_0toVx">Hidden!$D$22</definedName>
    <definedName name="CSWN_T">Calculations!$D$73</definedName>
    <definedName name="CSWN_T_vbi">Hidden!$D$107</definedName>
    <definedName name="CSWN_T_vbi_30">Hidden!$D$117</definedName>
    <definedName name="CSWN_T_vbur">Hidden!$D$127</definedName>
    <definedName name="CSWN_T_vmax">Hidden!$D$137</definedName>
    <definedName name="CSWN_T_vmin">Hidden!$D$97</definedName>
    <definedName name="CSWS">Calculations!$D$146</definedName>
    <definedName name="CSWS_act">Calculations!$D$145</definedName>
    <definedName name="CSWS_rec">Calculations!$D$144</definedName>
    <definedName name="CTr">Calculations!$D$63</definedName>
    <definedName name="CTr_vbi">Hidden!$D$102</definedName>
    <definedName name="CTr_vbi_30">Hidden!$D$112</definedName>
    <definedName name="CTr_vbur">Hidden!$D$122</definedName>
    <definedName name="CTr_vmax">Hidden!$D$132</definedName>
    <definedName name="CTr_vmin">Hidden!$D$92</definedName>
    <definedName name="CTRmax">'Begin Input Here'!$D$101</definedName>
    <definedName name="CTRmin">'Begin Input Here'!$D$102</definedName>
    <definedName name="D_max">Calculations!$D$57</definedName>
    <definedName name="DBUR">Hidden!$D$44</definedName>
    <definedName name="DBUR_min">Hidden!$D$56</definedName>
    <definedName name="Dmin">Hidden!$D$72</definedName>
    <definedName name="DOPP_max">Hidden!$D$31</definedName>
    <definedName name="DOPP_min">Hidden!$D$19</definedName>
    <definedName name="DOPP_run">Hidden!$D$8</definedName>
    <definedName name="DOPP_start">Hidden!$D$64</definedName>
    <definedName name="Drea_CDD1">Calculations!$D$172</definedName>
    <definedName name="Drea_clamp">Calculations!$D$76</definedName>
    <definedName name="fBUR_LR">Calculations!$D$39</definedName>
    <definedName name="fBUR_standyby">'Begin Input Here'!$D$37</definedName>
    <definedName name="fBUR_UP">Calculations!$D$38</definedName>
    <definedName name="Fcr_min">'Begin Input Here'!$D$36</definedName>
    <definedName name="fLINE_min">'Begin Input Here'!$D$24</definedName>
    <definedName name="fp_opto">'Begin Input Here'!$D$100</definedName>
    <definedName name="fsw_BUR">Hidden!$D$40</definedName>
    <definedName name="fsw_BUR_min">Hidden!$D$54</definedName>
    <definedName name="fsw_min">Hidden!$D$69</definedName>
    <definedName name="fsw_OPP_max">Hidden!$D$29</definedName>
    <definedName name="fsw_OPP_min">Hidden!$D$17</definedName>
    <definedName name="fsw_OPP_run">Hidden!$D$11</definedName>
    <definedName name="fsw_OPP_start">Hidden!$D$61</definedName>
    <definedName name="fSWmin">'Begin Input Here'!$D$35</definedName>
    <definedName name="ID_SR_max">'Begin Input Here'!$D$93</definedName>
    <definedName name="IDaux_max">'Begin Input Here'!$D$125</definedName>
    <definedName name="IFB_max">Calculations!$D$36</definedName>
    <definedName name="IIN_BUR">Hidden!$D$45</definedName>
    <definedName name="IIN_BUR_min">Hidden!$D$57</definedName>
    <definedName name="IIN_min">Hidden!$D$71</definedName>
    <definedName name="IIN_OPP_max">Hidden!$D$32</definedName>
    <definedName name="IIN_OPP_min">Hidden!$D$18</definedName>
    <definedName name="IIN_OPP_run">Hidden!$D$9</definedName>
    <definedName name="IIN_OPP_start">Hidden!$D$63</definedName>
    <definedName name="IKA_min">'Begin Input Here'!$D$107</definedName>
    <definedName name="IM_nega_BUR">Hidden!$D$39</definedName>
    <definedName name="IM_nega_BUR_min">Hidden!$D$53</definedName>
    <definedName name="IM_nega_max">Hidden!$D$28</definedName>
    <definedName name="IM_nega_min">Hidden!$D$68</definedName>
    <definedName name="IM_nega_OPP_min">Hidden!$D$15</definedName>
    <definedName name="IM_nega_run">Hidden!$D$10</definedName>
    <definedName name="IM_nega_start">Hidden!$D$60</definedName>
    <definedName name="IOUT">'Begin Input Here'!$D$31</definedName>
    <definedName name="IOUT_OPP">'Begin Input Here'!$D$33</definedName>
    <definedName name="IP13_START">Calculations!$D$26</definedName>
    <definedName name="ipk_BUR">Hidden!$D$41</definedName>
    <definedName name="ipk_BUR_min">Hidden!$D$55</definedName>
    <definedName name="ipk_min">Hidden!$D$70</definedName>
    <definedName name="ipk_OPP_max">Hidden!$D$30</definedName>
    <definedName name="ipk_OPP_min">Hidden!$D$16</definedName>
    <definedName name="ipk_OPP_run">Hidden!$D$12</definedName>
    <definedName name="ipk_OPP_start">Hidden!$D$62</definedName>
    <definedName name="IQH_max">'Begin Input Here'!$D$51</definedName>
    <definedName name="IQL_max">'Begin Input Here'!$D$59</definedName>
    <definedName name="iQL_RMS">Calculations!$D$106</definedName>
    <definedName name="Iref_431">'Begin Input Here'!$D$109</definedName>
    <definedName name="Iref_431_max">'Begin Input Here'!$D$110</definedName>
    <definedName name="IRUN_VDD">Calculations!$D$23</definedName>
    <definedName name="IVCC_qcc">'Begin Input Here'!$D$68</definedName>
    <definedName name="IVCC_sw">Hidden!$D$65</definedName>
    <definedName name="iVSL_BUR">Hidden!$D$46</definedName>
    <definedName name="iVSL_max">Hidden!$D$34</definedName>
    <definedName name="IVSL_run">Calculations!$D$8</definedName>
    <definedName name="IVSL_run_max">Calculations!$D$7</definedName>
    <definedName name="IVSL_run_min">Calculations!$D$9</definedName>
    <definedName name="IVSL_stop">Calculations!$D$11</definedName>
    <definedName name="IVSL_stop_max">Calculations!$D$10</definedName>
    <definedName name="IVSL_stop_min">Calculations!$D$12</definedName>
    <definedName name="Iwait_VDD">Calculations!$D$24</definedName>
    <definedName name="KBtol">'Begin Input Here'!$D$133</definedName>
    <definedName name="KBUR_CST">Calculations!$D$21</definedName>
    <definedName name="KCTR_Temp">'Begin Input Here'!$D$103</definedName>
    <definedName name="Kder_HB">'Begin Input Here'!$D$40</definedName>
    <definedName name="Kder_SR">'Begin Input Here'!$D$84</definedName>
    <definedName name="KDM">Calculations!$D$20</definedName>
    <definedName name="KLC">Calculations!$D$19</definedName>
    <definedName name="KRES">Calculations!$D$41</definedName>
    <definedName name="KRtol">'Begin Input Here'!$D$131</definedName>
    <definedName name="KTZ">'Begin Input Here'!$D$44</definedName>
    <definedName name="KVC">Hidden!$D$73</definedName>
    <definedName name="Kvsl">Hidden!$D$81</definedName>
    <definedName name="kZmax">Hidden!#REF!</definedName>
    <definedName name="LK_act">Calculations!$D$61</definedName>
    <definedName name="LM">Calculations!$D$60</definedName>
    <definedName name="LM_act">Calculations!$D$59</definedName>
    <definedName name="LM_rec">Calculations!$D$58</definedName>
    <definedName name="Lo">'Tune Secondary Resonance'!$E$14</definedName>
    <definedName name="LQs">'Begin Input Here'!$D$116</definedName>
    <definedName name="NA">Calculations!$D$55</definedName>
    <definedName name="NA_act">Calculations!#REF!</definedName>
    <definedName name="NA_max">Calculations!$D$54</definedName>
    <definedName name="NA_min">Calculations!$D$53</definedName>
    <definedName name="Na1_">#REF!</definedName>
    <definedName name="Na2_">#REF!</definedName>
    <definedName name="NP">Calculations!$D$50</definedName>
    <definedName name="NPS">Calculations!$D$49</definedName>
    <definedName name="NPS_actual">Calculations!#REF!</definedName>
    <definedName name="NPS_min">Calculations!$D$47</definedName>
    <definedName name="NPS_recommended">Calculations!#REF!</definedName>
    <definedName name="NS">Calculations!$D$52</definedName>
    <definedName name="NS_">#REF!</definedName>
    <definedName name="NS_rec">Calculations!$D$51</definedName>
    <definedName name="NSS">Calculations!$D$52</definedName>
    <definedName name="NTC_pn">'Begin Input Here'!$C$129</definedName>
    <definedName name="NTHS0603N01N1003F">'Begin Input Here'!$C$129</definedName>
    <definedName name="OPP">'Begin Input Here'!$D$32</definedName>
    <definedName name="OVP">Calculations!$D$99</definedName>
    <definedName name="OVP_tgt">'Begin Input Here'!$D$29</definedName>
    <definedName name="PO_FL">'Begin Input Here'!$D$30</definedName>
    <definedName name="PRcs">Calculations!$D$107</definedName>
    <definedName name="Qg_Qh">Hidden!$D$52</definedName>
    <definedName name="R_OPP">Calculations!$D$112</definedName>
    <definedName name="R_OPP_act">Calculations!$D$111</definedName>
    <definedName name="R_OPP_rec">Calculations!$D$110</definedName>
    <definedName name="R_P13">Calculations!#REF!</definedName>
    <definedName name="Rbias1">Calculations!$D$190</definedName>
    <definedName name="Rbias1_max_ABM">Calculations!$D$187</definedName>
    <definedName name="Rbias1_max_SBP">Calculations!$D$186</definedName>
    <definedName name="Rbias2">Calculations!$D$184</definedName>
    <definedName name="Rbias2_act">Calculations!$D$183</definedName>
    <definedName name="Rbias2_rec">Calculations!$D$182</definedName>
    <definedName name="RBLEED">Calculations!$D$83</definedName>
    <definedName name="RBLEED_act">Calculations!$D$82</definedName>
    <definedName name="RBLEED_rec">Calculations!$D$81</definedName>
    <definedName name="RBLEED_rec1">Calculations!#REF!</definedName>
    <definedName name="RBOOT">Calculations!$D$164</definedName>
    <definedName name="RBOOT_rec">Calculations!$D$163</definedName>
    <definedName name="RBUR1">Calculations!$D$134</definedName>
    <definedName name="RBUR1_act">Calculations!$D$133</definedName>
    <definedName name="RBUR1_act2">'Optimize BUR Pin'!$C$24</definedName>
    <definedName name="RBUR1_rec">Calculations!$D$132</definedName>
    <definedName name="RBUR1_rec2">'Optimize BUR Pin'!$C$23</definedName>
    <definedName name="RBUR2">Calculations!$D$137</definedName>
    <definedName name="RBUR2_act">Calculations!$D$136</definedName>
    <definedName name="RBUR2_act2">'Optimize BUR Pin'!$C$26</definedName>
    <definedName name="RBUR2_rec">Calculations!$D$135</definedName>
    <definedName name="RBUR2_rec2">'Optimize BUR Pin'!$C$25</definedName>
    <definedName name="RCO">'Begin Input Here'!$D$76</definedName>
    <definedName name="RCS">Calculations!$D$105</definedName>
    <definedName name="RCS_act">Calculations!$D$104</definedName>
    <definedName name="RCS_rec">Calculations!$D$103</definedName>
    <definedName name="RDD_1">Calculations!#REF!</definedName>
    <definedName name="RDD1_act">Calculations!#REF!</definedName>
    <definedName name="RDD1_rec">Calculations!#REF!</definedName>
    <definedName name="Rdiff">Calculations!$D$209</definedName>
    <definedName name="Rdiff_act">Calculations!$D$208</definedName>
    <definedName name="Rdiff_rec">Calculations!$D$207</definedName>
    <definedName name="RDM">Calculations!$D$121</definedName>
    <definedName name="RDM_act">Calculations!$D$120</definedName>
    <definedName name="RDM_rec">Calculations!$D$119</definedName>
    <definedName name="RDSon_QH">'Begin Input Here'!$D$47</definedName>
    <definedName name="RDSon_QL">'Begin Input Here'!$D$55</definedName>
    <definedName name="RFB">Calculations!$D$180</definedName>
    <definedName name="RFB_act">Calculations!$D$179</definedName>
    <definedName name="RFB_int">Calculations!$D$35</definedName>
    <definedName name="RFB_max">Calculations!$D$178</definedName>
    <definedName name="RIPC">Calculations!$D$219</definedName>
    <definedName name="RIPC_act">Calculations!$D$218</definedName>
    <definedName name="RIPC_rec">Calculations!$D$217</definedName>
    <definedName name="RNTCR">Calculations!$D$31</definedName>
    <definedName name="RNTCR_max">Calculations!$D$30</definedName>
    <definedName name="RNTCR_min">Calculations!$D$32</definedName>
    <definedName name="RNTCTH">Calculations!$D$28</definedName>
    <definedName name="RNTCTH_max">Calculations!$D$27</definedName>
    <definedName name="RNTCTH_min">Calculations!$D$29</definedName>
    <definedName name="Rpri_dc">Calculations!$D$64</definedName>
    <definedName name="RSWS">Calculations!$D$149</definedName>
    <definedName name="RSWS_act">Calculations!$D$148</definedName>
    <definedName name="RSWS_rec">Calculations!$D$147</definedName>
    <definedName name="RTZ">Calculations!$D$127</definedName>
    <definedName name="RTZ_act">Calculations!$D$126</definedName>
    <definedName name="RTZ_rec">Calculations!$D$125</definedName>
    <definedName name="Rvo1_">Calculations!$D$199</definedName>
    <definedName name="Rvo1_act">Calculations!$D$198</definedName>
    <definedName name="Rvo1_rec">Calculations!$D$197</definedName>
    <definedName name="Rvo2_">Calculations!$D$196</definedName>
    <definedName name="Rvo2_act">Calculations!$D$195</definedName>
    <definedName name="Rvo2_rec">Calculations!$D$194</definedName>
    <definedName name="RVS_1">Calculations!$D$89</definedName>
    <definedName name="RVS_2">Calculations!$D$98</definedName>
    <definedName name="RVS1_act">Calculations!$D$87</definedName>
    <definedName name="RVS1_rec">Calculations!$D$86</definedName>
    <definedName name="RVS2_act">Calculations!$D$97</definedName>
    <definedName name="RVS2_rec">Calculations!$D$96</definedName>
    <definedName name="SET">'Begin Input Here'!$D$43</definedName>
    <definedName name="SETPIN">'Begin Input Here'!#REF!</definedName>
    <definedName name="solver_eng" localSheetId="1" hidden="1">1</definedName>
    <definedName name="solver_neg" localSheetId="1" hidden="1">1</definedName>
    <definedName name="solver_num" localSheetId="1" hidden="1">0</definedName>
    <definedName name="solver_opt" localSheetId="1" hidden="1">Hidden!#REF!</definedName>
    <definedName name="solver_typ" localSheetId="1" hidden="1">1</definedName>
    <definedName name="solver_val" localSheetId="1" hidden="1">0</definedName>
    <definedName name="solver_ver" localSheetId="1" hidden="1">3</definedName>
    <definedName name="T_on_min">Hidden!$D$20</definedName>
    <definedName name="tD_CS">Calculations!$D$14</definedName>
    <definedName name="TD_CS_filter">Calculations!$D$102</definedName>
    <definedName name="tD_CST_BUR">Hidden!$D$43</definedName>
    <definedName name="tD_CST_vmax">Hidden!$D$27</definedName>
    <definedName name="tD_CST_vmin">Hidden!$D$23</definedName>
    <definedName name="TD_HDr">'Begin Input Here'!$D$65</definedName>
    <definedName name="TD_LDr">'Begin Input Here'!$D$64</definedName>
    <definedName name="TD_Ql_Coss_BUR">Hidden!$D$42</definedName>
    <definedName name="TD_Ql_Coss_vmax">Hidden!$D$26</definedName>
    <definedName name="TD_Ql_Coss_vmin">Hidden!$D$21</definedName>
    <definedName name="tD_RUN_PWML">Calculations!$D$25</definedName>
    <definedName name="TFDR">Calculations!$D$40</definedName>
    <definedName name="TOTP_tgt">'Begin Input Here'!$D$128</definedName>
    <definedName name="TP13_">Calculations!$D$170</definedName>
    <definedName name="tres">Hidden!#REF!</definedName>
    <definedName name="Trise_max">Hidden!$D$49</definedName>
    <definedName name="TSS_max">Calculations!$D$171</definedName>
    <definedName name="tSW">Hidden!#REF!</definedName>
    <definedName name="tSW_off">Hidden!#REF!</definedName>
    <definedName name="tSW_on">Hidden!#REF!</definedName>
    <definedName name="tSWmax">Hidden!#REF!</definedName>
    <definedName name="TZ_min">Calculations!$D$124</definedName>
    <definedName name="V_P13">Calculations!$D$22</definedName>
    <definedName name="VBrownin">Calculations!$D$91</definedName>
    <definedName name="VBrownin_max">Calculations!$D$90</definedName>
    <definedName name="VBrownin_min">Calculations!$D$92</definedName>
    <definedName name="VBrownout">Calculations!$D$94</definedName>
    <definedName name="VBrownout_max">Calculations!$D$93</definedName>
    <definedName name="VBrownout_min">Calculations!$D$95</definedName>
    <definedName name="VBulk_min_tgt">'Begin Input Here'!$D$22</definedName>
    <definedName name="VBULK_min_tgt1">'Begin Input Here'!#REF!</definedName>
    <definedName name="VBUR">Calculations!$D$138</definedName>
    <definedName name="VBUR_tgt">Calculations!$D$131</definedName>
    <definedName name="VBUR2">'Optimize BUR Pin'!$C$28</definedName>
    <definedName name="VCbulk_rated">'Begin Input Here'!$D$74</definedName>
    <definedName name="VCE_sat_opto">'Begin Input Here'!$D$97</definedName>
    <definedName name="Vclamp_max">Hidden!$D$5</definedName>
    <definedName name="Vclamp_max_QH">Hidden!$D$4</definedName>
    <definedName name="Vclamp_max_SR">Hidden!$D$3</definedName>
    <definedName name="VCST_BUR">Calculations!$D$130</definedName>
    <definedName name="VCST_max">Calculations!$D$15</definedName>
    <definedName name="VCST_OPP_adj_Rcs">Hidden!$D$82</definedName>
    <definedName name="VCST_OPP_adj_Ropp">Hidden!$D$83</definedName>
    <definedName name="VCST_OPP1">Calculations!$D$16</definedName>
    <definedName name="VCST_OPP4">Calculations!$D$17</definedName>
    <definedName name="VD_LED">'Begin Input Here'!$D$98</definedName>
    <definedName name="VD_LED_off">'Begin Input Here'!$D$99</definedName>
    <definedName name="VDD">Calculations!$D$169</definedName>
    <definedName name="VDD_max">Calculations!$D$5</definedName>
    <definedName name="VDD_off">Calculations!$D$3</definedName>
    <definedName name="VDD_on">Calculations!$D$4</definedName>
    <definedName name="VDD_PCT">Calculations!$D$6</definedName>
    <definedName name="VDS_actual">'Begin Input Here'!$D$42</definedName>
    <definedName name="VDz">'Begin Input Here'!#REF!</definedName>
    <definedName name="Vf_BootD">'Begin Input Here'!$D$66</definedName>
    <definedName name="Vf_Daux">'Begin Input Here'!$D$124</definedName>
    <definedName name="Vf_SR">'Begin Input Here'!$D$92</definedName>
    <definedName name="VFB_max">Calculations!$D$34</definedName>
    <definedName name="Vgs_Qs">'Begin Input Here'!$D$115</definedName>
    <definedName name="Vhys_CS">Calculations!#REF!</definedName>
    <definedName name="VIN_min">'Begin Input Here'!$D$19</definedName>
    <definedName name="Vin_type">'Begin Input Here'!$D$16</definedName>
    <definedName name="VINPUT_Brownin">'Begin Input Here'!$D$20</definedName>
    <definedName name="VINPUT_Brownout">'Begin Input Here'!$D$21</definedName>
    <definedName name="VINPUT_BUR">'Begin Input Here'!$D$18</definedName>
    <definedName name="VINPUT_max">'Begin Input Here'!$D$17</definedName>
    <definedName name="VLk_pri_max">Hidden!$D$36</definedName>
    <definedName name="Vo_drop">'Begin Input Here'!$D$77</definedName>
    <definedName name="Voffset_CS_OPP">Hidden!$D$33</definedName>
    <definedName name="Vomax">#REF!</definedName>
    <definedName name="Vomin">#REF!</definedName>
    <definedName name="VOUT">'Begin Input Here'!$D$28</definedName>
    <definedName name="VOUT_low">Calculations!$D$185</definedName>
    <definedName name="VR_pri_max">Hidden!$D$35</definedName>
    <definedName name="VREF">Calculations!$D$33</definedName>
    <definedName name="Vref_431">'Begin Input Here'!$D$108</definedName>
    <definedName name="VRfl">Calculations!$D$56</definedName>
    <definedName name="Vs_clamp">Calculations!$D$18</definedName>
    <definedName name="VSR_actual">'Begin Input Here'!$D$86</definedName>
    <definedName name="Vth_Qs">'Begin Input Here'!$D$118</definedName>
    <definedName name="VVS_OVP">Calculations!$D$13</definedName>
    <definedName name="Vx_SR">'Begin Input Here'!$D$89</definedName>
    <definedName name="Vxh">'Begin Input Here'!$D$50</definedName>
    <definedName name="Vxl">'Begin Input Here'!$D$58</definedName>
    <definedName name="ΔVCLAMP">Calculations!$D$44</definedName>
    <definedName name="ΔVSPIKE_SR">Calculations!$D$43</definedName>
    <definedName name="η">Calculations!#REF!</definedName>
    <definedName name="η_min">'Begin Input Here'!$D$25</definedName>
    <definedName name="ηXFMR">Calculations!$D$62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2" i="6" l="1"/>
  <c r="D85" i="1"/>
  <c r="D48" i="2"/>
  <c r="D47" i="2"/>
  <c r="D187" i="2" l="1"/>
  <c r="D88" i="2" l="1"/>
  <c r="D41" i="1"/>
  <c r="F34" i="1" l="1"/>
  <c r="D20" i="2" l="1"/>
  <c r="E11" i="5" l="1"/>
  <c r="E18" i="5" s="1"/>
  <c r="D57" i="4"/>
  <c r="D213" i="2" l="1"/>
  <c r="D231" i="2" l="1"/>
  <c r="D230" i="2"/>
  <c r="D225" i="2"/>
  <c r="D224" i="2"/>
  <c r="D228" i="2"/>
  <c r="D227" i="2"/>
  <c r="C222" i="2"/>
  <c r="D134" i="1"/>
  <c r="D135" i="1"/>
  <c r="C16" i="8" l="1"/>
  <c r="C21" i="8"/>
  <c r="C13" i="8"/>
  <c r="C19" i="8"/>
  <c r="Q9" i="6"/>
  <c r="Q11" i="6" s="1"/>
  <c r="Q12" i="6" s="1"/>
  <c r="K9" i="6"/>
  <c r="K11" i="6" s="1"/>
  <c r="D144" i="2"/>
  <c r="D152" i="2"/>
  <c r="D133" i="2" l="1"/>
  <c r="D136" i="2"/>
  <c r="D155" i="2"/>
  <c r="D219" i="2" l="1"/>
  <c r="D29" i="4" s="1"/>
  <c r="C30" i="8"/>
  <c r="D110" i="4"/>
  <c r="C29" i="8" l="1"/>
  <c r="D112" i="2"/>
  <c r="D86" i="2" l="1"/>
  <c r="D71" i="1" l="1"/>
  <c r="D204" i="2" l="1"/>
  <c r="D79" i="2"/>
  <c r="E22" i="1" l="1"/>
  <c r="D98" i="2" l="1"/>
  <c r="D15" i="4" s="1"/>
  <c r="D81" i="6" l="1"/>
  <c r="D82" i="6" s="1"/>
  <c r="D83" i="6" l="1"/>
  <c r="D131" i="6"/>
  <c r="D130" i="6"/>
  <c r="D121" i="6"/>
  <c r="D120" i="6"/>
  <c r="D111" i="6"/>
  <c r="D110" i="6"/>
  <c r="D101" i="6"/>
  <c r="D100" i="6"/>
  <c r="D91" i="6"/>
  <c r="D90" i="6"/>
  <c r="D125" i="6"/>
  <c r="D135" i="6"/>
  <c r="D136" i="6"/>
  <c r="D126" i="6"/>
  <c r="D116" i="6"/>
  <c r="D115" i="6"/>
  <c r="D105" i="6"/>
  <c r="D95" i="6"/>
  <c r="D106" i="6"/>
  <c r="D96" i="6"/>
  <c r="D134" i="6"/>
  <c r="D133" i="6"/>
  <c r="D132" i="6"/>
  <c r="D124" i="6"/>
  <c r="D123" i="6"/>
  <c r="D122" i="6"/>
  <c r="D114" i="6"/>
  <c r="D113" i="6"/>
  <c r="D112" i="6"/>
  <c r="D104" i="6"/>
  <c r="D103" i="6"/>
  <c r="D102" i="6"/>
  <c r="D94" i="6"/>
  <c r="D93" i="6"/>
  <c r="D92" i="6"/>
  <c r="D54" i="4" l="1"/>
  <c r="D53" i="4"/>
  <c r="D134" i="2" l="1"/>
  <c r="D72" i="6" l="1"/>
  <c r="D71" i="6"/>
  <c r="D64" i="6"/>
  <c r="D63" i="6"/>
  <c r="D57" i="6"/>
  <c r="D56" i="6"/>
  <c r="D45" i="6"/>
  <c r="D44" i="6"/>
  <c r="D9" i="6"/>
  <c r="D31" i="6"/>
  <c r="D32" i="6"/>
  <c r="D57" i="2" l="1"/>
  <c r="D58" i="2" s="1"/>
  <c r="D80" i="2" l="1"/>
  <c r="D19" i="6"/>
  <c r="D18" i="6"/>
  <c r="D4" i="6" l="1"/>
  <c r="D3" i="6"/>
  <c r="D90" i="1"/>
  <c r="D52" i="1"/>
  <c r="D67" i="2" s="1"/>
  <c r="D60" i="1"/>
  <c r="D68" i="2" s="1"/>
  <c r="D74" i="1"/>
  <c r="D33" i="1"/>
  <c r="D31" i="1"/>
  <c r="D78" i="1" s="1"/>
  <c r="D8" i="6" l="1"/>
  <c r="E16" i="5"/>
  <c r="H42" i="5" s="1"/>
  <c r="D108" i="4"/>
  <c r="D106" i="4"/>
  <c r="D105" i="4"/>
  <c r="D97" i="4"/>
  <c r="D85" i="4"/>
  <c r="D81" i="4"/>
  <c r="D58" i="4"/>
  <c r="D35" i="4"/>
  <c r="D31" i="4"/>
  <c r="D101" i="4"/>
  <c r="D209" i="2"/>
  <c r="D206" i="2"/>
  <c r="D199" i="2"/>
  <c r="D211" i="2" s="1"/>
  <c r="D196" i="2"/>
  <c r="D41" i="4" s="1"/>
  <c r="D194" i="2"/>
  <c r="C193" i="2"/>
  <c r="D184" i="2"/>
  <c r="D182" i="2"/>
  <c r="D180" i="2"/>
  <c r="D9" i="4" s="1"/>
  <c r="D178" i="2"/>
  <c r="D175" i="2"/>
  <c r="D89" i="4" s="1"/>
  <c r="D165" i="2"/>
  <c r="D157" i="2"/>
  <c r="D77" i="4" s="1"/>
  <c r="D154" i="2"/>
  <c r="D170" i="2" s="1"/>
  <c r="D149" i="2"/>
  <c r="D27" i="4" s="1"/>
  <c r="D146" i="2"/>
  <c r="D141" i="2"/>
  <c r="D69" i="4" s="1"/>
  <c r="D23" i="4"/>
  <c r="D137" i="2"/>
  <c r="D127" i="2"/>
  <c r="D21" i="4" s="1"/>
  <c r="D121" i="2"/>
  <c r="D19" i="4" s="1"/>
  <c r="D115" i="2"/>
  <c r="D61" i="4" s="1"/>
  <c r="D113" i="2"/>
  <c r="D105" i="2"/>
  <c r="D89" i="2"/>
  <c r="D83" i="2"/>
  <c r="D11" i="4" s="1"/>
  <c r="D71" i="2"/>
  <c r="D70" i="2"/>
  <c r="D69" i="2"/>
  <c r="D60" i="2"/>
  <c r="D56" i="2"/>
  <c r="D51" i="2"/>
  <c r="D52" i="2" s="1"/>
  <c r="D53" i="2" s="1"/>
  <c r="D80" i="1"/>
  <c r="D52" i="4" s="1"/>
  <c r="D49" i="4"/>
  <c r="D73" i="1"/>
  <c r="D48" i="4" s="1"/>
  <c r="D44" i="1"/>
  <c r="E19" i="1"/>
  <c r="E18" i="1"/>
  <c r="E17" i="1"/>
  <c r="E20" i="1"/>
  <c r="E21" i="1"/>
  <c r="D21" i="1"/>
  <c r="D37" i="4" l="1"/>
  <c r="D186" i="2"/>
  <c r="D188" i="2" s="1"/>
  <c r="D93" i="2"/>
  <c r="D92" i="2"/>
  <c r="D94" i="2"/>
  <c r="D95" i="2"/>
  <c r="D91" i="2"/>
  <c r="D90" i="2"/>
  <c r="C28" i="8"/>
  <c r="D138" i="2" s="1"/>
  <c r="D139" i="2"/>
  <c r="D65" i="4"/>
  <c r="D147" i="2"/>
  <c r="D73" i="4"/>
  <c r="D77" i="2"/>
  <c r="D36" i="6"/>
  <c r="D54" i="2"/>
  <c r="D109" i="4"/>
  <c r="D207" i="2"/>
  <c r="D200" i="2"/>
  <c r="D197" i="2"/>
  <c r="D39" i="4"/>
  <c r="D6" i="4"/>
  <c r="D116" i="2"/>
  <c r="D171" i="2"/>
  <c r="D25" i="4"/>
  <c r="D163" i="2"/>
  <c r="D13" i="4"/>
  <c r="D17" i="4"/>
  <c r="D104" i="4"/>
  <c r="D5" i="6"/>
  <c r="D81" i="2" s="1"/>
  <c r="D99" i="2" l="1"/>
  <c r="D119" i="2"/>
  <c r="F120" i="2" s="1"/>
  <c r="D137" i="6"/>
  <c r="D127" i="6"/>
  <c r="D39" i="6" s="1"/>
  <c r="D40" i="6" s="1"/>
  <c r="D117" i="6"/>
  <c r="D60" i="6" s="1"/>
  <c r="D61" i="6" s="1"/>
  <c r="D107" i="6"/>
  <c r="D97" i="6"/>
  <c r="D15" i="6" s="1"/>
  <c r="D22" i="6"/>
  <c r="D107" i="4"/>
  <c r="D169" i="2"/>
  <c r="D96" i="2"/>
  <c r="D72" i="2"/>
  <c r="D73" i="2" s="1"/>
  <c r="D17" i="6" l="1"/>
  <c r="D10" i="6"/>
  <c r="D11" i="6" s="1"/>
  <c r="D53" i="6"/>
  <c r="D54" i="6" s="1"/>
  <c r="D68" i="6"/>
  <c r="D69" i="6" s="1"/>
  <c r="D28" i="6"/>
  <c r="D124" i="2"/>
  <c r="D160" i="2"/>
  <c r="E13" i="5" l="1"/>
  <c r="E9" i="5"/>
  <c r="E8" i="5"/>
  <c r="D55" i="6"/>
  <c r="D161" i="2" s="1"/>
  <c r="D12" i="6"/>
  <c r="D65" i="6"/>
  <c r="D173" i="2" s="1"/>
  <c r="D70" i="6"/>
  <c r="D73" i="6" s="1"/>
  <c r="D125" i="2"/>
  <c r="F126" i="2" s="1"/>
  <c r="D29" i="6"/>
  <c r="D30" i="6" s="1"/>
  <c r="D35" i="6" s="1"/>
  <c r="D41" i="6"/>
  <c r="D49" i="6" s="1"/>
  <c r="D34" i="6" l="1"/>
  <c r="D46" i="6"/>
  <c r="D42" i="6"/>
  <c r="D43" i="6" s="1"/>
  <c r="D16" i="6"/>
  <c r="D26" i="6"/>
  <c r="D189" i="2"/>
  <c r="F190" i="2" s="1"/>
  <c r="D62" i="6"/>
  <c r="D20" i="6" l="1"/>
  <c r="D106" i="2"/>
  <c r="D107" i="2" s="1"/>
  <c r="D7" i="4" s="1"/>
  <c r="D21" i="6"/>
  <c r="D27" i="6"/>
  <c r="D33" i="6" s="1"/>
  <c r="D110" i="2" s="1"/>
  <c r="D23" i="6" l="1"/>
  <c r="D103" i="2" s="1"/>
  <c r="D130" i="2" l="1"/>
  <c r="F131" i="2" s="1"/>
  <c r="D131" i="2" l="1"/>
  <c r="C17" i="8" s="1"/>
  <c r="C25" i="8" l="1"/>
  <c r="D135" i="2" s="1"/>
  <c r="C23" i="8"/>
  <c r="D132" i="2" s="1"/>
  <c r="C22" i="8"/>
</calcChain>
</file>

<file path=xl/sharedStrings.xml><?xml version="1.0" encoding="utf-8"?>
<sst xmlns="http://schemas.openxmlformats.org/spreadsheetml/2006/main" count="1766" uniqueCount="1183">
  <si>
    <t>DESIGN REQUIREMENTS</t>
  </si>
  <si>
    <t/>
  </si>
  <si>
    <t>Hz</t>
  </si>
  <si>
    <t>%</t>
    <phoneticPr fontId="32" type="noConversion"/>
  </si>
  <si>
    <t>OUTPUT SPECIFICATIONS</t>
  </si>
  <si>
    <t>A</t>
  </si>
  <si>
    <t>V</t>
  </si>
  <si>
    <t>W</t>
    <phoneticPr fontId="32" type="noConversion"/>
  </si>
  <si>
    <t>kHz</t>
    <phoneticPr fontId="32" type="noConversion"/>
  </si>
  <si>
    <t>For loop compensation</t>
    <phoneticPr fontId="32" type="noConversion"/>
  </si>
  <si>
    <t>Ω</t>
  </si>
  <si>
    <t>µH</t>
    <phoneticPr fontId="32" type="noConversion"/>
  </si>
  <si>
    <t>V</t>
    <phoneticPr fontId="32" type="noConversion"/>
  </si>
  <si>
    <t>pF</t>
    <phoneticPr fontId="32" type="noConversion"/>
  </si>
  <si>
    <t>A</t>
    <phoneticPr fontId="32" type="noConversion"/>
  </si>
  <si>
    <t>V</t>
    <phoneticPr fontId="32" type="noConversion"/>
  </si>
  <si>
    <t>A</t>
    <phoneticPr fontId="32" type="noConversion"/>
  </si>
  <si>
    <t>Optocoupler</t>
    <phoneticPr fontId="32" type="noConversion"/>
  </si>
  <si>
    <t>V</t>
    <phoneticPr fontId="32" type="noConversion"/>
  </si>
  <si>
    <t>nH</t>
    <phoneticPr fontId="32" type="noConversion"/>
  </si>
  <si>
    <t>µH</t>
  </si>
  <si>
    <t>pF</t>
    <phoneticPr fontId="32" type="noConversion"/>
  </si>
  <si>
    <t>A</t>
    <phoneticPr fontId="32" type="noConversion"/>
  </si>
  <si>
    <t>Hz</t>
    <phoneticPr fontId="32" type="noConversion"/>
  </si>
  <si>
    <t>µF</t>
    <phoneticPr fontId="32" type="noConversion"/>
  </si>
  <si>
    <t>µs</t>
    <phoneticPr fontId="32" type="noConversion"/>
  </si>
  <si>
    <t>µF</t>
    <phoneticPr fontId="32" type="noConversion"/>
  </si>
  <si>
    <t>pF</t>
    <phoneticPr fontId="32" type="noConversion"/>
  </si>
  <si>
    <t>Resistor Divider of VS Pin</t>
    <phoneticPr fontId="32" type="noConversion"/>
  </si>
  <si>
    <r>
      <t>R</t>
    </r>
    <r>
      <rPr>
        <vertAlign val="subscript"/>
        <sz val="11"/>
        <color theme="1"/>
        <rFont val="Arial"/>
        <family val="2"/>
      </rPr>
      <t>VS1_rec</t>
    </r>
    <r>
      <rPr>
        <sz val="11"/>
        <color theme="1"/>
        <rFont val="Arial"/>
        <family val="2"/>
      </rPr>
      <t xml:space="preserve"> =</t>
    </r>
    <phoneticPr fontId="32" type="noConversion"/>
  </si>
  <si>
    <r>
      <t>R</t>
    </r>
    <r>
      <rPr>
        <vertAlign val="subscript"/>
        <sz val="11"/>
        <color theme="1"/>
        <rFont val="Arial"/>
        <family val="2"/>
      </rPr>
      <t>VS1_act</t>
    </r>
    <r>
      <rPr>
        <sz val="11"/>
        <color theme="1"/>
        <rFont val="Arial"/>
        <family val="2"/>
      </rPr>
      <t xml:space="preserve"> =</t>
    </r>
    <phoneticPr fontId="32" type="noConversion"/>
  </si>
  <si>
    <t>Ω</t>
    <phoneticPr fontId="32" type="noConversion"/>
  </si>
  <si>
    <r>
      <t>R</t>
    </r>
    <r>
      <rPr>
        <vertAlign val="subscript"/>
        <sz val="11"/>
        <color theme="1"/>
        <rFont val="Arial"/>
        <family val="2"/>
      </rPr>
      <t>VS2_act</t>
    </r>
    <r>
      <rPr>
        <sz val="11"/>
        <color theme="1"/>
        <rFont val="Arial"/>
        <family val="2"/>
      </rPr>
      <t xml:space="preserve"> =</t>
    </r>
    <phoneticPr fontId="32" type="noConversion"/>
  </si>
  <si>
    <r>
      <t>R</t>
    </r>
    <r>
      <rPr>
        <vertAlign val="subscript"/>
        <sz val="11"/>
        <color theme="1"/>
        <rFont val="Arial"/>
        <family val="2"/>
      </rPr>
      <t>VS2</t>
    </r>
    <r>
      <rPr>
        <sz val="11"/>
        <color theme="1"/>
        <rFont val="Arial"/>
        <family val="2"/>
      </rPr>
      <t xml:space="preserve"> =</t>
    </r>
    <phoneticPr fontId="32" type="noConversion"/>
  </si>
  <si>
    <r>
      <t>Current Sense Resistor, R</t>
    </r>
    <r>
      <rPr>
        <b/>
        <i/>
        <vertAlign val="subscript"/>
        <sz val="12"/>
        <color theme="0"/>
        <rFont val="Arial"/>
        <family val="2"/>
      </rPr>
      <t>CS</t>
    </r>
    <phoneticPr fontId="32" type="noConversion"/>
  </si>
  <si>
    <t>ns</t>
    <phoneticPr fontId="32" type="noConversion"/>
  </si>
  <si>
    <t>ns</t>
    <phoneticPr fontId="32" type="noConversion"/>
  </si>
  <si>
    <t>pF</t>
    <phoneticPr fontId="32" type="noConversion"/>
  </si>
  <si>
    <t>V</t>
    <phoneticPr fontId="32" type="noConversion"/>
  </si>
  <si>
    <t>ns</t>
    <phoneticPr fontId="32" type="noConversion"/>
  </si>
  <si>
    <t>OPP Programming Resistor</t>
    <phoneticPr fontId="32" type="noConversion"/>
  </si>
  <si>
    <t>mA</t>
    <phoneticPr fontId="32" type="noConversion"/>
  </si>
  <si>
    <r>
      <t>R</t>
    </r>
    <r>
      <rPr>
        <vertAlign val="subscript"/>
        <sz val="11"/>
        <color theme="1"/>
        <rFont val="Arial"/>
        <family val="2"/>
      </rPr>
      <t>_OPP_act</t>
    </r>
    <r>
      <rPr>
        <sz val="11"/>
        <color theme="1"/>
        <rFont val="Arial"/>
        <family val="2"/>
      </rPr>
      <t xml:space="preserve"> =</t>
    </r>
    <phoneticPr fontId="32" type="noConversion"/>
  </si>
  <si>
    <r>
      <t>C</t>
    </r>
    <r>
      <rPr>
        <vertAlign val="subscript"/>
        <sz val="11"/>
        <color theme="1"/>
        <rFont val="Arial"/>
        <family val="2"/>
      </rPr>
      <t xml:space="preserve">CS_act </t>
    </r>
    <r>
      <rPr>
        <sz val="11"/>
        <color theme="1"/>
        <rFont val="Arial"/>
        <family val="2"/>
      </rPr>
      <t>=</t>
    </r>
    <phoneticPr fontId="32" type="noConversion"/>
  </si>
  <si>
    <t>RDM Pin Setting</t>
    <phoneticPr fontId="32" type="noConversion"/>
  </si>
  <si>
    <t>RTZ Pin Setting</t>
    <phoneticPr fontId="32" type="noConversion"/>
  </si>
  <si>
    <t>Clamp Capacitance</t>
    <phoneticPr fontId="32" type="noConversion"/>
  </si>
  <si>
    <t>ns</t>
    <phoneticPr fontId="32" type="noConversion"/>
  </si>
  <si>
    <t>BUR Pin Setting</t>
    <phoneticPr fontId="32" type="noConversion"/>
  </si>
  <si>
    <t>V</t>
    <phoneticPr fontId="32" type="noConversion"/>
  </si>
  <si>
    <t>Damping Network for Depletion FET</t>
    <phoneticPr fontId="32" type="noConversion"/>
  </si>
  <si>
    <t>pF</t>
    <phoneticPr fontId="32" type="noConversion"/>
  </si>
  <si>
    <t>Decoupling Cap of Internal Regulator</t>
    <phoneticPr fontId="32" type="noConversion"/>
  </si>
  <si>
    <t>nF</t>
    <phoneticPr fontId="32" type="noConversion"/>
  </si>
  <si>
    <t>µF</t>
  </si>
  <si>
    <t>VDD Supply for Driver</t>
    <phoneticPr fontId="32" type="noConversion"/>
  </si>
  <si>
    <t>AUX Power on Primary Side</t>
    <phoneticPr fontId="32" type="noConversion"/>
  </si>
  <si>
    <t>ms</t>
    <phoneticPr fontId="32" type="noConversion"/>
  </si>
  <si>
    <t>mA</t>
    <phoneticPr fontId="32" type="noConversion"/>
  </si>
  <si>
    <t>mA</t>
    <phoneticPr fontId="32" type="noConversion"/>
  </si>
  <si>
    <t>Optocoupler Feedback</t>
    <phoneticPr fontId="32" type="noConversion"/>
  </si>
  <si>
    <t>Ω</t>
    <phoneticPr fontId="32" type="noConversion"/>
  </si>
  <si>
    <t>nC</t>
    <phoneticPr fontId="32" type="noConversion"/>
  </si>
  <si>
    <t>V</t>
    <phoneticPr fontId="32" type="noConversion"/>
  </si>
  <si>
    <t>nA</t>
    <phoneticPr fontId="32" type="noConversion"/>
  </si>
  <si>
    <t>kΩ</t>
    <phoneticPr fontId="32" type="noConversion"/>
  </si>
  <si>
    <t>nF</t>
    <phoneticPr fontId="32" type="noConversion"/>
  </si>
  <si>
    <t>nF</t>
    <phoneticPr fontId="32" type="noConversion"/>
  </si>
  <si>
    <t>kΩ</t>
    <phoneticPr fontId="32" type="noConversion"/>
  </si>
  <si>
    <r>
      <t>Switching Node Capacitance, C</t>
    </r>
    <r>
      <rPr>
        <b/>
        <i/>
        <vertAlign val="subscript"/>
        <sz val="12"/>
        <color theme="0"/>
        <rFont val="Arial"/>
        <family val="2"/>
      </rPr>
      <t>SW</t>
    </r>
    <phoneticPr fontId="32" type="noConversion"/>
  </si>
  <si>
    <t>Reference Designator</t>
  </si>
  <si>
    <t>Description/Comments</t>
  </si>
  <si>
    <r>
      <t>R</t>
    </r>
    <r>
      <rPr>
        <b/>
        <vertAlign val="subscript"/>
        <sz val="12"/>
        <color rgb="FFFF0000"/>
        <rFont val="Arial"/>
        <family val="2"/>
      </rPr>
      <t>CS</t>
    </r>
  </si>
  <si>
    <t>Value:</t>
  </si>
  <si>
    <t>±1%</t>
  </si>
  <si>
    <t>Type:</t>
  </si>
  <si>
    <t>kΩ</t>
  </si>
  <si>
    <r>
      <t>R</t>
    </r>
    <r>
      <rPr>
        <b/>
        <vertAlign val="subscript"/>
        <sz val="12"/>
        <color rgb="FFFF0000"/>
        <rFont val="Arial"/>
        <family val="2"/>
      </rPr>
      <t>FB</t>
    </r>
    <phoneticPr fontId="32" type="noConversion"/>
  </si>
  <si>
    <r>
      <t>M</t>
    </r>
    <r>
      <rPr>
        <sz val="12"/>
        <color theme="1"/>
        <rFont val="Calibri"/>
        <family val="2"/>
      </rPr>
      <t>Ω</t>
    </r>
    <phoneticPr fontId="32" type="noConversion"/>
  </si>
  <si>
    <r>
      <t>R</t>
    </r>
    <r>
      <rPr>
        <b/>
        <vertAlign val="subscript"/>
        <sz val="12"/>
        <color rgb="FFFF0000"/>
        <rFont val="Arial"/>
        <family val="2"/>
      </rPr>
      <t>VS1</t>
    </r>
    <phoneticPr fontId="32" type="noConversion"/>
  </si>
  <si>
    <r>
      <t>R</t>
    </r>
    <r>
      <rPr>
        <b/>
        <vertAlign val="subscript"/>
        <sz val="12"/>
        <color rgb="FFFF0000"/>
        <rFont val="Arial"/>
        <family val="2"/>
      </rPr>
      <t>VS2</t>
    </r>
    <phoneticPr fontId="32" type="noConversion"/>
  </si>
  <si>
    <r>
      <t>R</t>
    </r>
    <r>
      <rPr>
        <b/>
        <vertAlign val="subscript"/>
        <sz val="12"/>
        <color rgb="FFFF0000"/>
        <rFont val="Arial"/>
        <family val="2"/>
      </rPr>
      <t>OPP</t>
    </r>
    <phoneticPr fontId="32" type="noConversion"/>
  </si>
  <si>
    <r>
      <t>R</t>
    </r>
    <r>
      <rPr>
        <b/>
        <vertAlign val="subscript"/>
        <sz val="12"/>
        <color rgb="FFFF0000"/>
        <rFont val="Arial"/>
        <family val="2"/>
      </rPr>
      <t>BUR1</t>
    </r>
    <phoneticPr fontId="32" type="noConversion"/>
  </si>
  <si>
    <r>
      <t>R</t>
    </r>
    <r>
      <rPr>
        <b/>
        <vertAlign val="subscript"/>
        <sz val="12"/>
        <color rgb="FFFF0000"/>
        <rFont val="Arial"/>
        <family val="2"/>
      </rPr>
      <t>BUR2</t>
    </r>
    <phoneticPr fontId="32" type="noConversion"/>
  </si>
  <si>
    <r>
      <t>R</t>
    </r>
    <r>
      <rPr>
        <b/>
        <vertAlign val="subscript"/>
        <sz val="12"/>
        <color rgb="FFFF0000"/>
        <rFont val="Arial"/>
        <family val="2"/>
      </rPr>
      <t>SWS</t>
    </r>
    <phoneticPr fontId="32" type="noConversion"/>
  </si>
  <si>
    <r>
      <t>R</t>
    </r>
    <r>
      <rPr>
        <b/>
        <vertAlign val="subscript"/>
        <sz val="12"/>
        <color rgb="FFFF0000"/>
        <rFont val="Arial"/>
        <family val="2"/>
      </rPr>
      <t>Vo1</t>
    </r>
    <phoneticPr fontId="32" type="noConversion"/>
  </si>
  <si>
    <r>
      <t>R</t>
    </r>
    <r>
      <rPr>
        <b/>
        <vertAlign val="subscript"/>
        <sz val="12"/>
        <color rgb="FFFF0000"/>
        <rFont val="Arial"/>
        <family val="2"/>
      </rPr>
      <t>Vo2</t>
    </r>
    <phoneticPr fontId="32" type="noConversion"/>
  </si>
  <si>
    <t>Aluminum Electrolytic</t>
  </si>
  <si>
    <t>Minimum Voltage Rating:</t>
  </si>
  <si>
    <r>
      <t>C</t>
    </r>
    <r>
      <rPr>
        <b/>
        <vertAlign val="subscript"/>
        <sz val="12"/>
        <color rgb="FFFF0000"/>
        <rFont val="Arial"/>
        <family val="2"/>
      </rPr>
      <t>BULK</t>
    </r>
    <phoneticPr fontId="32" type="noConversion"/>
  </si>
  <si>
    <t>Ceramic</t>
    <phoneticPr fontId="32" type="noConversion"/>
  </si>
  <si>
    <r>
      <t>C</t>
    </r>
    <r>
      <rPr>
        <b/>
        <vertAlign val="subscript"/>
        <sz val="12"/>
        <color rgb="FFFF0000"/>
        <rFont val="Arial"/>
        <family val="2"/>
      </rPr>
      <t>CS</t>
    </r>
    <phoneticPr fontId="32" type="noConversion"/>
  </si>
  <si>
    <t>pF</t>
    <phoneticPr fontId="32" type="noConversion"/>
  </si>
  <si>
    <r>
      <t>C</t>
    </r>
    <r>
      <rPr>
        <b/>
        <vertAlign val="subscript"/>
        <sz val="12"/>
        <color rgb="FFFF0000"/>
        <rFont val="Arial"/>
        <family val="2"/>
      </rPr>
      <t>SWS</t>
    </r>
    <phoneticPr fontId="32" type="noConversion"/>
  </si>
  <si>
    <r>
      <t>C</t>
    </r>
    <r>
      <rPr>
        <b/>
        <vertAlign val="subscript"/>
        <sz val="12"/>
        <color rgb="FFFF0000"/>
        <rFont val="Arial"/>
        <family val="2"/>
      </rPr>
      <t>REF</t>
    </r>
    <phoneticPr fontId="32" type="noConversion"/>
  </si>
  <si>
    <r>
      <t>C</t>
    </r>
    <r>
      <rPr>
        <b/>
        <vertAlign val="subscript"/>
        <sz val="12"/>
        <color rgb="FFFF0000"/>
        <rFont val="Arial"/>
        <family val="2"/>
      </rPr>
      <t>DD2</t>
    </r>
    <phoneticPr fontId="32" type="noConversion"/>
  </si>
  <si>
    <r>
      <t>C</t>
    </r>
    <r>
      <rPr>
        <b/>
        <vertAlign val="subscript"/>
        <sz val="12"/>
        <color rgb="FFFF0000"/>
        <rFont val="Arial"/>
        <family val="2"/>
      </rPr>
      <t>DD1</t>
    </r>
    <phoneticPr fontId="32" type="noConversion"/>
  </si>
  <si>
    <t>Primary Inductance:</t>
  </si>
  <si>
    <t>TI Literature Number:</t>
    <phoneticPr fontId="32" type="noConversion"/>
  </si>
  <si>
    <t>kΩ</t>
    <phoneticPr fontId="32" type="noConversion"/>
  </si>
  <si>
    <t>pF</t>
    <phoneticPr fontId="32" type="noConversion"/>
  </si>
  <si>
    <t>pF</t>
    <phoneticPr fontId="32" type="noConversion"/>
  </si>
  <si>
    <r>
      <t>C</t>
    </r>
    <r>
      <rPr>
        <b/>
        <vertAlign val="subscript"/>
        <sz val="12"/>
        <color rgb="FFFF0000"/>
        <rFont val="Arial"/>
        <family val="2"/>
      </rPr>
      <t>BUR</t>
    </r>
    <phoneticPr fontId="32" type="noConversion"/>
  </si>
  <si>
    <t>Disclaimer</t>
    <phoneticPr fontId="32" type="noConversion"/>
  </si>
  <si>
    <t>pF</t>
    <phoneticPr fontId="32" type="noConversion"/>
  </si>
  <si>
    <t>Hz</t>
    <phoneticPr fontId="32" type="noConversion"/>
  </si>
  <si>
    <t>A</t>
    <phoneticPr fontId="32" type="noConversion"/>
  </si>
  <si>
    <t>pF</t>
    <phoneticPr fontId="32" type="noConversion"/>
  </si>
  <si>
    <r>
      <t>C</t>
    </r>
    <r>
      <rPr>
        <vertAlign val="subscript"/>
        <sz val="11"/>
        <color theme="1"/>
        <rFont val="Arial"/>
        <family val="2"/>
      </rPr>
      <t xml:space="preserve">CS_max </t>
    </r>
    <r>
      <rPr>
        <sz val="11"/>
        <color theme="1"/>
        <rFont val="Arial"/>
        <family val="2"/>
      </rPr>
      <t>=</t>
    </r>
    <phoneticPr fontId="32" type="noConversion"/>
  </si>
  <si>
    <t>µF</t>
    <phoneticPr fontId="32" type="noConversion"/>
  </si>
  <si>
    <r>
      <t>R</t>
    </r>
    <r>
      <rPr>
        <vertAlign val="subscript"/>
        <sz val="11"/>
        <color theme="1"/>
        <rFont val="Arial"/>
        <family val="2"/>
      </rPr>
      <t>_OPP</t>
    </r>
    <r>
      <rPr>
        <sz val="11"/>
        <color theme="1"/>
        <rFont val="Arial"/>
        <family val="2"/>
      </rPr>
      <t xml:space="preserve"> =</t>
    </r>
    <phoneticPr fontId="32" type="noConversion"/>
  </si>
  <si>
    <t>ns</t>
    <phoneticPr fontId="32" type="noConversion"/>
  </si>
  <si>
    <r>
      <t>C</t>
    </r>
    <r>
      <rPr>
        <b/>
        <vertAlign val="subscript"/>
        <sz val="12"/>
        <color rgb="FFFF0000"/>
        <rFont val="Arial"/>
        <family val="2"/>
      </rPr>
      <t>FB</t>
    </r>
    <phoneticPr fontId="32" type="noConversion"/>
  </si>
  <si>
    <t>%</t>
    <phoneticPr fontId="32" type="noConversion"/>
  </si>
  <si>
    <t>µH</t>
    <phoneticPr fontId="32" type="noConversion"/>
  </si>
  <si>
    <t>AC</t>
    <phoneticPr fontId="32" type="noConversion"/>
  </si>
  <si>
    <t>V</t>
    <phoneticPr fontId="32" type="noConversion"/>
  </si>
  <si>
    <t>Offset to Power Cycle for Long Output Voltage Overshoot</t>
    <phoneticPr fontId="32" type="noConversion"/>
  </si>
  <si>
    <t>Primary Turns</t>
    <phoneticPr fontId="32" type="noConversion"/>
  </si>
  <si>
    <t>Magnetizing Inductance Used in Calculations</t>
    <phoneticPr fontId="32" type="noConversion"/>
  </si>
  <si>
    <t>Transformer Parasitic Capacitance</t>
    <phoneticPr fontId="32" type="noConversion"/>
  </si>
  <si>
    <t>Depletion FET Output Capacitance</t>
    <phoneticPr fontId="32" type="noConversion"/>
  </si>
  <si>
    <r>
      <rPr>
        <b/>
        <sz val="11"/>
        <color theme="1"/>
        <rFont val="Arial"/>
        <family val="2"/>
      </rPr>
      <t xml:space="preserve">Actual </t>
    </r>
    <r>
      <rPr>
        <sz val="11"/>
        <color theme="1"/>
        <rFont val="Arial"/>
        <family val="2"/>
      </rPr>
      <t>R</t>
    </r>
    <r>
      <rPr>
        <vertAlign val="subscript"/>
        <sz val="11"/>
        <color theme="1"/>
        <rFont val="Arial"/>
        <family val="2"/>
      </rPr>
      <t>VS1</t>
    </r>
    <phoneticPr fontId="32" type="noConversion"/>
  </si>
  <si>
    <r>
      <rPr>
        <b/>
        <sz val="11"/>
        <color theme="1"/>
        <rFont val="Arial"/>
        <family val="2"/>
      </rPr>
      <t>Actual</t>
    </r>
    <r>
      <rPr>
        <sz val="11"/>
        <color theme="1"/>
        <rFont val="Arial"/>
        <family val="2"/>
      </rPr>
      <t xml:space="preserve"> R</t>
    </r>
    <r>
      <rPr>
        <vertAlign val="subscript"/>
        <sz val="11"/>
        <color theme="1"/>
        <rFont val="Arial"/>
        <family val="2"/>
      </rPr>
      <t>VS2</t>
    </r>
    <r>
      <rPr>
        <sz val="11"/>
        <color theme="1"/>
        <rFont val="Arial"/>
        <family val="2"/>
      </rPr>
      <t/>
    </r>
    <phoneticPr fontId="32" type="noConversion"/>
  </si>
  <si>
    <r>
      <rPr>
        <b/>
        <sz val="11"/>
        <color theme="1"/>
        <rFont val="Arial"/>
        <family val="2"/>
      </rPr>
      <t>Actual</t>
    </r>
    <r>
      <rPr>
        <sz val="11"/>
        <color theme="1"/>
        <rFont val="Arial"/>
        <family val="2"/>
      </rPr>
      <t xml:space="preserve"> OPP Resistor</t>
    </r>
    <phoneticPr fontId="32" type="noConversion"/>
  </si>
  <si>
    <t>OPP Resistor Used in Calculations</t>
    <phoneticPr fontId="32" type="noConversion"/>
  </si>
  <si>
    <t>Transition Time for ZVS</t>
    <phoneticPr fontId="32" type="noConversion"/>
  </si>
  <si>
    <t>RTZ Resistor Used in Calculations</t>
    <phoneticPr fontId="32" type="noConversion"/>
  </si>
  <si>
    <t>Capacitance Used in Calculations</t>
    <phoneticPr fontId="32" type="noConversion"/>
  </si>
  <si>
    <t>Resistor Used in Calculations</t>
    <phoneticPr fontId="32" type="noConversion"/>
  </si>
  <si>
    <t>Typical Output Voltage</t>
    <phoneticPr fontId="32" type="noConversion"/>
  </si>
  <si>
    <t>%</t>
    <phoneticPr fontId="32" type="noConversion"/>
  </si>
  <si>
    <r>
      <t>C</t>
    </r>
    <r>
      <rPr>
        <vertAlign val="subscript"/>
        <sz val="11"/>
        <color theme="1"/>
        <rFont val="Arial"/>
        <family val="2"/>
      </rPr>
      <t xml:space="preserve">CS </t>
    </r>
    <r>
      <rPr>
        <sz val="11"/>
        <color theme="1"/>
        <rFont val="Arial"/>
        <family val="2"/>
      </rPr>
      <t>=</t>
    </r>
    <phoneticPr fontId="32" type="noConversion"/>
  </si>
  <si>
    <t>pF</t>
    <phoneticPr fontId="32" type="noConversion"/>
  </si>
  <si>
    <r>
      <t>T</t>
    </r>
    <r>
      <rPr>
        <vertAlign val="subscript"/>
        <sz val="11"/>
        <color theme="1"/>
        <rFont val="Arial"/>
        <family val="2"/>
      </rPr>
      <t>D_CS_filter_act</t>
    </r>
    <r>
      <rPr>
        <sz val="11"/>
        <color theme="1"/>
        <rFont val="Arial"/>
        <family val="2"/>
      </rPr>
      <t xml:space="preserve"> =</t>
    </r>
    <phoneticPr fontId="32" type="noConversion"/>
  </si>
  <si>
    <t>ns</t>
    <phoneticPr fontId="32" type="noConversion"/>
  </si>
  <si>
    <r>
      <t>L</t>
    </r>
    <r>
      <rPr>
        <vertAlign val="subscript"/>
        <sz val="11"/>
        <color theme="1"/>
        <rFont val="Arial"/>
        <family val="2"/>
      </rPr>
      <t>DAMP</t>
    </r>
    <r>
      <rPr>
        <sz val="11"/>
        <color theme="1"/>
        <rFont val="Arial"/>
        <family val="2"/>
      </rPr>
      <t xml:space="preserve"> no smaller than</t>
    </r>
    <phoneticPr fontId="32" type="noConversion"/>
  </si>
  <si>
    <t>V</t>
    <phoneticPr fontId="32" type="noConversion"/>
  </si>
  <si>
    <t>µF</t>
    <phoneticPr fontId="32" type="noConversion"/>
  </si>
  <si>
    <t>Ω</t>
    <phoneticPr fontId="32" type="noConversion"/>
  </si>
  <si>
    <t>%</t>
    <phoneticPr fontId="32" type="noConversion"/>
  </si>
  <si>
    <t>V</t>
    <phoneticPr fontId="32" type="noConversion"/>
  </si>
  <si>
    <t>Minimum Recommended Secondary Turns</t>
    <phoneticPr fontId="32" type="noConversion"/>
  </si>
  <si>
    <t>DC</t>
  </si>
  <si>
    <t>ns</t>
    <phoneticPr fontId="33" type="noConversion"/>
  </si>
  <si>
    <t>ds specs</t>
  </si>
  <si>
    <t>V</t>
    <phoneticPr fontId="33" type="noConversion"/>
  </si>
  <si>
    <t>A/A</t>
  </si>
  <si>
    <t>V/V</t>
  </si>
  <si>
    <t>V</t>
    <phoneticPr fontId="33" type="noConversion"/>
  </si>
  <si>
    <t>mA</t>
    <phoneticPr fontId="33" type="noConversion"/>
  </si>
  <si>
    <t>µs</t>
  </si>
  <si>
    <t>µA</t>
    <phoneticPr fontId="33" type="noConversion"/>
  </si>
  <si>
    <t>mV</t>
    <phoneticPr fontId="33" type="noConversion"/>
  </si>
  <si>
    <t>kHz</t>
    <phoneticPr fontId="33" type="noConversion"/>
  </si>
  <si>
    <t>kHz</t>
    <phoneticPr fontId="33" type="noConversion"/>
  </si>
  <si>
    <t>s</t>
    <phoneticPr fontId="33" type="noConversion"/>
  </si>
  <si>
    <t>ATL431</t>
  </si>
  <si>
    <t>at  80°C ambient</t>
  </si>
  <si>
    <t xml:space="preserve">nA             </t>
  </si>
  <si>
    <t>Input Voltage Type, AC or DC</t>
  </si>
  <si>
    <t>INPUT  SPECIFICATIONS</t>
  </si>
  <si>
    <t>BSS126</t>
  </si>
  <si>
    <t>CSFMT108-HF</t>
  </si>
  <si>
    <t>Voltage at which diode current is negligible</t>
  </si>
  <si>
    <t>µA</t>
  </si>
  <si>
    <t>Loop Stability in AAM</t>
  </si>
  <si>
    <t>kΩ</t>
  </si>
  <si>
    <t>Ω</t>
  </si>
  <si>
    <t>Voltage Above Reflected Output Voltage</t>
  </si>
  <si>
    <r>
      <t>N</t>
    </r>
    <r>
      <rPr>
        <vertAlign val="subscript"/>
        <sz val="12"/>
        <rFont val="Arial"/>
        <family val="2"/>
      </rPr>
      <t>PS_min</t>
    </r>
    <r>
      <rPr>
        <sz val="12"/>
        <rFont val="Arial"/>
        <family val="2"/>
      </rPr>
      <t xml:space="preserve"> =</t>
    </r>
  </si>
  <si>
    <r>
      <t>N</t>
    </r>
    <r>
      <rPr>
        <vertAlign val="subscript"/>
        <sz val="12"/>
        <rFont val="Arial"/>
        <family val="2"/>
      </rPr>
      <t>PS_max</t>
    </r>
    <r>
      <rPr>
        <sz val="12"/>
        <rFont val="Arial"/>
        <family val="2"/>
      </rPr>
      <t xml:space="preserve"> =</t>
    </r>
  </si>
  <si>
    <t xml:space="preserve">kΩ                </t>
  </si>
  <si>
    <r>
      <t>N</t>
    </r>
    <r>
      <rPr>
        <vertAlign val="subscript"/>
        <sz val="11"/>
        <rFont val="Arial"/>
        <family val="2"/>
      </rPr>
      <t xml:space="preserve">PS </t>
    </r>
    <r>
      <rPr>
        <sz val="11"/>
        <rFont val="Arial"/>
        <family val="2"/>
      </rPr>
      <t>=</t>
    </r>
  </si>
  <si>
    <r>
      <t>N</t>
    </r>
    <r>
      <rPr>
        <vertAlign val="subscript"/>
        <sz val="11"/>
        <rFont val="Arial"/>
        <family val="2"/>
      </rPr>
      <t>P</t>
    </r>
    <r>
      <rPr>
        <sz val="11"/>
        <rFont val="Arial"/>
        <family val="2"/>
      </rPr>
      <t xml:space="preserve"> =</t>
    </r>
  </si>
  <si>
    <r>
      <t>N</t>
    </r>
    <r>
      <rPr>
        <vertAlign val="subscript"/>
        <sz val="11"/>
        <rFont val="Arial"/>
        <family val="2"/>
      </rPr>
      <t>S_rec</t>
    </r>
    <r>
      <rPr>
        <sz val="11"/>
        <rFont val="Arial"/>
        <family val="2"/>
      </rPr>
      <t xml:space="preserve"> =</t>
    </r>
  </si>
  <si>
    <r>
      <t>N</t>
    </r>
    <r>
      <rPr>
        <vertAlign val="subscript"/>
        <sz val="11"/>
        <rFont val="Arial"/>
        <family val="2"/>
      </rPr>
      <t>S</t>
    </r>
    <r>
      <rPr>
        <sz val="11"/>
        <rFont val="Arial"/>
        <family val="2"/>
      </rPr>
      <t xml:space="preserve"> =</t>
    </r>
  </si>
  <si>
    <r>
      <t>N</t>
    </r>
    <r>
      <rPr>
        <vertAlign val="subscript"/>
        <sz val="11"/>
        <rFont val="Arial"/>
        <family val="2"/>
      </rPr>
      <t>A_min</t>
    </r>
    <r>
      <rPr>
        <sz val="11"/>
        <rFont val="Arial"/>
        <family val="2"/>
      </rPr>
      <t xml:space="preserve"> =</t>
    </r>
  </si>
  <si>
    <r>
      <t>N</t>
    </r>
    <r>
      <rPr>
        <vertAlign val="subscript"/>
        <sz val="11"/>
        <rFont val="Arial"/>
        <family val="2"/>
      </rPr>
      <t>A_max</t>
    </r>
    <r>
      <rPr>
        <sz val="11"/>
        <rFont val="Arial"/>
        <family val="2"/>
      </rPr>
      <t xml:space="preserve"> =</t>
    </r>
  </si>
  <si>
    <t>Auxiliary Winding Turns Used in Calculations</t>
  </si>
  <si>
    <r>
      <t>N</t>
    </r>
    <r>
      <rPr>
        <vertAlign val="subscript"/>
        <sz val="11"/>
        <rFont val="Arial"/>
        <family val="2"/>
      </rPr>
      <t>A</t>
    </r>
    <r>
      <rPr>
        <sz val="11"/>
        <rFont val="Arial"/>
        <family val="2"/>
      </rPr>
      <t xml:space="preserve"> =</t>
    </r>
  </si>
  <si>
    <r>
      <rPr>
        <b/>
        <sz val="11"/>
        <rFont val="Arial"/>
        <family val="2"/>
      </rPr>
      <t>Actual</t>
    </r>
    <r>
      <rPr>
        <sz val="11"/>
        <rFont val="Arial"/>
        <family val="2"/>
      </rPr>
      <t xml:space="preserve"> Magnetizing Inductance </t>
    </r>
  </si>
  <si>
    <r>
      <t>L</t>
    </r>
    <r>
      <rPr>
        <vertAlign val="subscript"/>
        <sz val="11"/>
        <rFont val="Arial"/>
        <family val="2"/>
      </rPr>
      <t>M</t>
    </r>
    <r>
      <rPr>
        <sz val="11"/>
        <rFont val="Arial"/>
        <family val="2"/>
      </rPr>
      <t xml:space="preserve"> =</t>
    </r>
  </si>
  <si>
    <r>
      <t>C</t>
    </r>
    <r>
      <rPr>
        <vertAlign val="subscript"/>
        <sz val="11"/>
        <rFont val="Arial"/>
        <family val="2"/>
      </rPr>
      <t>Tr</t>
    </r>
    <r>
      <rPr>
        <sz val="11"/>
        <rFont val="Arial"/>
        <family val="2"/>
      </rPr>
      <t xml:space="preserve"> =</t>
    </r>
  </si>
  <si>
    <r>
      <t>R</t>
    </r>
    <r>
      <rPr>
        <vertAlign val="subscript"/>
        <sz val="11"/>
        <rFont val="Arial"/>
        <family val="2"/>
      </rPr>
      <t>pri_dc</t>
    </r>
    <r>
      <rPr>
        <sz val="11"/>
        <rFont val="Arial"/>
        <family val="2"/>
      </rPr>
      <t xml:space="preserve"> =</t>
    </r>
  </si>
  <si>
    <r>
      <t>N</t>
    </r>
    <r>
      <rPr>
        <vertAlign val="subscript"/>
        <sz val="12"/>
        <rFont val="Arial"/>
        <family val="2"/>
      </rPr>
      <t>PS</t>
    </r>
    <r>
      <rPr>
        <sz val="12"/>
        <color theme="1"/>
        <rFont val="Arial"/>
        <family val="2"/>
      </rPr>
      <t/>
    </r>
  </si>
  <si>
    <r>
      <t>N</t>
    </r>
    <r>
      <rPr>
        <vertAlign val="subscript"/>
        <sz val="12"/>
        <rFont val="Arial"/>
        <family val="2"/>
      </rPr>
      <t>P</t>
    </r>
  </si>
  <si>
    <r>
      <t>N</t>
    </r>
    <r>
      <rPr>
        <vertAlign val="subscript"/>
        <sz val="12"/>
        <rFont val="Arial"/>
        <family val="2"/>
      </rPr>
      <t>S</t>
    </r>
  </si>
  <si>
    <r>
      <t>N</t>
    </r>
    <r>
      <rPr>
        <vertAlign val="subscript"/>
        <sz val="12"/>
        <rFont val="Arial"/>
        <family val="2"/>
      </rPr>
      <t>A</t>
    </r>
  </si>
  <si>
    <r>
      <t>Minimum L</t>
    </r>
    <r>
      <rPr>
        <vertAlign val="subscript"/>
        <sz val="11"/>
        <rFont val="Arial"/>
        <family val="2"/>
      </rPr>
      <t>DAMP</t>
    </r>
  </si>
  <si>
    <r>
      <t>L</t>
    </r>
    <r>
      <rPr>
        <vertAlign val="subscript"/>
        <sz val="11"/>
        <rFont val="Arial"/>
        <family val="2"/>
      </rPr>
      <t>DAMP</t>
    </r>
    <r>
      <rPr>
        <sz val="11"/>
        <rFont val="Arial"/>
        <family val="2"/>
      </rPr>
      <t xml:space="preserve"> Used in Calculations</t>
    </r>
  </si>
  <si>
    <r>
      <t>Minimum R</t>
    </r>
    <r>
      <rPr>
        <vertAlign val="subscript"/>
        <sz val="11"/>
        <rFont val="Arial"/>
        <family val="2"/>
      </rPr>
      <t>DAMP</t>
    </r>
  </si>
  <si>
    <r>
      <t>R</t>
    </r>
    <r>
      <rPr>
        <vertAlign val="subscript"/>
        <sz val="11"/>
        <rFont val="Arial"/>
        <family val="2"/>
      </rPr>
      <t>DAMP</t>
    </r>
    <r>
      <rPr>
        <sz val="11"/>
        <rFont val="Arial"/>
        <family val="2"/>
      </rPr>
      <t xml:space="preserve"> Used in Calculations</t>
    </r>
  </si>
  <si>
    <t xml:space="preserve">Ω            </t>
  </si>
  <si>
    <t>RDM Pin Coefficient</t>
  </si>
  <si>
    <t>MΩ</t>
  </si>
  <si>
    <t>Values</t>
  </si>
  <si>
    <t xml:space="preserve">Units </t>
  </si>
  <si>
    <t>This product is designed as an aid for customers of Texas Instruments.  No warranties, either expressed or implied, with respect to this software or its fitness for any particular purpose, are claimed by Texas Instruments or by the author.  The software is licensed solely on an "as is" basis.  The entire risk as to its quality and performance is with the customer.</t>
  </si>
  <si>
    <r>
      <t xml:space="preserve">All </t>
    </r>
    <r>
      <rPr>
        <b/>
        <sz val="14"/>
        <color theme="6" tint="-0.249977111117893"/>
        <rFont val="Arial"/>
        <family val="2"/>
      </rPr>
      <t>Green-Shaded</t>
    </r>
    <r>
      <rPr>
        <b/>
        <sz val="14"/>
        <color theme="1"/>
        <rFont val="Arial"/>
        <family val="2"/>
      </rPr>
      <t xml:space="preserve"> cells are USER INPUTS.</t>
    </r>
  </si>
  <si>
    <t>Target efficiency at maximum load, minimum line</t>
  </si>
  <si>
    <t>Power-level threshold to start OPP timer</t>
  </si>
  <si>
    <t>No-load frequency</t>
  </si>
  <si>
    <t>Input Cap and Output Cap Selection</t>
  </si>
  <si>
    <t>Typical VDD Turn-off Threshold</t>
  </si>
  <si>
    <t>VS Pin Over-Voltage Threshold</t>
  </si>
  <si>
    <t>VS Pin Negative-Clamp Level</t>
  </si>
  <si>
    <t>Line-Compensation Current Ratio</t>
  </si>
  <si>
    <t>Fault-Delay-Recovery Time</t>
  </si>
  <si>
    <t>Typical VDD Turn-on Threshold</t>
  </si>
  <si>
    <t>Transformer Parameters</t>
  </si>
  <si>
    <t>Minimum Primary-to-Secondary Turns Ratio</t>
  </si>
  <si>
    <t xml:space="preserve">Maximum Primary-to-Secondary Turns Ratio </t>
  </si>
  <si>
    <t>Primary-to-Secondary Turns Ratio Used in Calculations</t>
  </si>
  <si>
    <r>
      <rPr>
        <b/>
        <sz val="11"/>
        <rFont val="Arial"/>
        <family val="2"/>
      </rPr>
      <t>Minimum</t>
    </r>
    <r>
      <rPr>
        <sz val="11"/>
        <rFont val="Arial"/>
        <family val="2"/>
      </rPr>
      <t xml:space="preserve"> Auxiliary-Winding Turns</t>
    </r>
  </si>
  <si>
    <r>
      <rPr>
        <b/>
        <sz val="11"/>
        <rFont val="Arial"/>
        <family val="2"/>
      </rPr>
      <t>Maximum</t>
    </r>
    <r>
      <rPr>
        <sz val="11"/>
        <rFont val="Arial"/>
        <family val="2"/>
      </rPr>
      <t xml:space="preserve"> Auxiliary-Winding Turns</t>
    </r>
  </si>
  <si>
    <t>Maximum Duty-Cycle</t>
  </si>
  <si>
    <t>Time-Based Output Capacitance of QH</t>
  </si>
  <si>
    <t>Time-Based Output Capacitance of QL</t>
  </si>
  <si>
    <t>Ripple-Regulation in ABM</t>
  </si>
  <si>
    <t>Frequency Compensation Networks</t>
  </si>
  <si>
    <t>Voltage-Divider for Shunt Regulator</t>
  </si>
  <si>
    <t>ns</t>
  </si>
  <si>
    <t>Maximum Control FB Current (typ)</t>
  </si>
  <si>
    <t>VDD Supply Current, Wait-state</t>
  </si>
  <si>
    <t>Maximum Threshold on CS Pin</t>
  </si>
  <si>
    <t>Estimate spike voltage due to inductive ringing</t>
  </si>
  <si>
    <t>Highest RMS or DC input voltage, steady-state</t>
  </si>
  <si>
    <t>Burst threshold is normally set at high line</t>
  </si>
  <si>
    <t>Selected QH Part Number (for reference)</t>
  </si>
  <si>
    <t>Selected QL Part Number (for reference)</t>
  </si>
  <si>
    <t>Output Rectifier Part Number (for reference)</t>
  </si>
  <si>
    <t>Selected Part Number (for reference)</t>
  </si>
  <si>
    <t xml:space="preserve">pF  </t>
  </si>
  <si>
    <t>RMS or DC Brown-out voltage (result of Brown-in choice)</t>
  </si>
  <si>
    <r>
      <t>WHERE APPLICABLE, A RECOMMENDED VALUE IS CALCULATED THAT WILL BE THE BEST CHOICE TO MEET THE GIVEN SPECIFICATION(S).  
IT IS IN THE BEST INTEREST OF THE USER TO SPECIFY A STANDARD VALUE AS CLOSE AS POSSIBLE TO THE RECOMMENDED</t>
    </r>
    <r>
      <rPr>
        <sz val="11"/>
        <color rgb="FFFF00FF"/>
        <rFont val="Arial"/>
        <family val="2"/>
      </rPr>
      <t xml:space="preserve"> </t>
    </r>
    <r>
      <rPr>
        <sz val="11"/>
        <rFont val="Arial"/>
        <family val="2"/>
      </rPr>
      <t>VALUE.  
FOR ACCURATE RESULTS, THE USER MUST ENTER THE ACTUAL VALUE USED INTO THE APPROPRIATE CELL.</t>
    </r>
  </si>
  <si>
    <t>VCC current of driver without switching</t>
  </si>
  <si>
    <t>Half-Bridge Gate Driver Part Number (for reference)</t>
  </si>
  <si>
    <r>
      <t>Assume C</t>
    </r>
    <r>
      <rPr>
        <b/>
        <vertAlign val="subscript"/>
        <sz val="11"/>
        <color theme="1"/>
        <rFont val="Arial"/>
        <family val="2"/>
      </rPr>
      <t>CLAMP</t>
    </r>
    <r>
      <rPr>
        <b/>
        <sz val="11"/>
        <color theme="1"/>
        <rFont val="Arial"/>
        <family val="2"/>
      </rPr>
      <t xml:space="preserve"> &gt;&gt; C</t>
    </r>
    <r>
      <rPr>
        <b/>
        <vertAlign val="subscript"/>
        <sz val="11"/>
        <color theme="1"/>
        <rFont val="Arial"/>
        <family val="2"/>
      </rPr>
      <t xml:space="preserve">O1 </t>
    </r>
    <r>
      <rPr>
        <b/>
        <sz val="11"/>
        <color theme="1"/>
        <rFont val="Arial"/>
        <family val="2"/>
      </rPr>
      <t>/ N</t>
    </r>
    <r>
      <rPr>
        <b/>
        <vertAlign val="subscript"/>
        <sz val="11"/>
        <color theme="1"/>
        <rFont val="Arial"/>
        <family val="2"/>
      </rPr>
      <t>PS</t>
    </r>
    <r>
      <rPr>
        <b/>
        <vertAlign val="superscript"/>
        <sz val="11"/>
        <color theme="1"/>
        <rFont val="Arial"/>
        <family val="2"/>
      </rPr>
      <t>2</t>
    </r>
    <r>
      <rPr>
        <b/>
        <sz val="11"/>
        <color theme="1"/>
        <rFont val="Arial"/>
        <family val="2"/>
      </rPr>
      <t>, and clamp voltage is constant</t>
    </r>
  </si>
  <si>
    <r>
      <t>Higher Efficiency &lt;== Unstable V</t>
    </r>
    <r>
      <rPr>
        <vertAlign val="subscript"/>
        <sz val="11"/>
        <color theme="1"/>
        <rFont val="Arial"/>
        <family val="2"/>
      </rPr>
      <t xml:space="preserve">gs(SR) </t>
    </r>
    <r>
      <rPr>
        <sz val="11"/>
        <color theme="1"/>
        <rFont val="Arial"/>
        <family val="2"/>
      </rPr>
      <t>&lt;== Higher V</t>
    </r>
    <r>
      <rPr>
        <vertAlign val="subscript"/>
        <sz val="11"/>
        <color theme="1"/>
        <rFont val="Arial"/>
        <family val="2"/>
      </rPr>
      <t>Co1</t>
    </r>
    <r>
      <rPr>
        <sz val="11"/>
        <color theme="1"/>
        <rFont val="Arial"/>
        <family val="2"/>
      </rPr>
      <t xml:space="preserve"> ripple &lt;== Increase L</t>
    </r>
    <r>
      <rPr>
        <vertAlign val="subscript"/>
        <sz val="11"/>
        <color theme="1"/>
        <rFont val="Arial"/>
        <family val="2"/>
      </rPr>
      <t>DAMP</t>
    </r>
    <r>
      <rPr>
        <sz val="11"/>
        <color theme="1"/>
        <rFont val="Arial"/>
        <family val="2"/>
      </rPr>
      <t xml:space="preserve"> for weaker damping</t>
    </r>
  </si>
  <si>
    <r>
      <t>Increase C</t>
    </r>
    <r>
      <rPr>
        <vertAlign val="subscript"/>
        <sz val="11"/>
        <color theme="1"/>
        <rFont val="Arial"/>
        <family val="2"/>
      </rPr>
      <t>O1</t>
    </r>
  </si>
  <si>
    <t>ds recommendation</t>
  </si>
  <si>
    <t>Over-Power Threshold on CS Pin,  at Ivsl = -1.25mA</t>
  </si>
  <si>
    <r>
      <t>L</t>
    </r>
    <r>
      <rPr>
        <vertAlign val="subscript"/>
        <sz val="11"/>
        <rFont val="Arial"/>
        <family val="2"/>
      </rPr>
      <t xml:space="preserve">M_act </t>
    </r>
    <r>
      <rPr>
        <sz val="11"/>
        <rFont val="Arial"/>
        <family val="2"/>
      </rPr>
      <t>=</t>
    </r>
  </si>
  <si>
    <r>
      <rPr>
        <b/>
        <sz val="11"/>
        <rFont val="Arial"/>
        <family val="2"/>
      </rPr>
      <t>Actual</t>
    </r>
    <r>
      <rPr>
        <sz val="11"/>
        <rFont val="Arial"/>
        <family val="2"/>
      </rPr>
      <t xml:space="preserve"> Primary Leakage Inductance</t>
    </r>
  </si>
  <si>
    <t>Secondary Side Reflected to Primary Side</t>
  </si>
  <si>
    <t>Estimated Transformer Efficiency</t>
  </si>
  <si>
    <r>
      <rPr>
        <sz val="12"/>
        <rFont val="Arial"/>
        <family val="2"/>
      </rPr>
      <t>η</t>
    </r>
    <r>
      <rPr>
        <vertAlign val="subscript"/>
        <sz val="11"/>
        <rFont val="Arial"/>
        <family val="2"/>
      </rPr>
      <t>XFMR</t>
    </r>
    <r>
      <rPr>
        <sz val="11"/>
        <rFont val="Arial"/>
        <family val="2"/>
      </rPr>
      <t xml:space="preserve"> =</t>
    </r>
  </si>
  <si>
    <t>Transformer Primary Winding Capacitance</t>
  </si>
  <si>
    <t>DC Resistance of Primary Winding</t>
  </si>
  <si>
    <t>Derived from self-resonant frequency of primary winding</t>
  </si>
  <si>
    <t>Delay from RUN High to PWML High</t>
  </si>
  <si>
    <t>Regulated FB Pull-up Voltage</t>
  </si>
  <si>
    <t>Upper Threshold of Burst Frequency in ABM</t>
  </si>
  <si>
    <t>Lower Threshold of Burst Frequency in ABM</t>
  </si>
  <si>
    <t>Estimate maximum increase in clamp voltage during LPM</t>
  </si>
  <si>
    <t>Estimate portion of maximum switching period for ZVS resonance, at low-line</t>
  </si>
  <si>
    <t>Maximum Bias Resistor1 During SBP mode</t>
  </si>
  <si>
    <t>Maximum Bias Resistor1 During ABM mode</t>
  </si>
  <si>
    <t>Bias Resistor2 Used in Calculations</t>
  </si>
  <si>
    <t>Shunt Regulator Part Number (for reference)</t>
  </si>
  <si>
    <t>(This value not calculated at this time.)</t>
  </si>
  <si>
    <t>Calculated Resistance in Series with Source to SWS</t>
  </si>
  <si>
    <t>Output Voltage Reflected to Auxiliary Winding</t>
  </si>
  <si>
    <t>FB Pin Resistance Used in Calculations</t>
  </si>
  <si>
    <t>Turn-off Delay Time due to Coss of low-side MOSFET</t>
  </si>
  <si>
    <t>Turn-off Delay Time due to Coss of low-side MOSFET at min bulk</t>
  </si>
  <si>
    <t>Max Power Dissipation:</t>
  </si>
  <si>
    <t>Secondary-side Resonance in another tab</t>
  </si>
  <si>
    <r>
      <t>N</t>
    </r>
    <r>
      <rPr>
        <vertAlign val="subscript"/>
        <sz val="12"/>
        <rFont val="Arial"/>
        <family val="2"/>
      </rPr>
      <t>AS</t>
    </r>
    <r>
      <rPr>
        <sz val="12"/>
        <color theme="1"/>
        <rFont val="Arial"/>
        <family val="2"/>
      </rPr>
      <t/>
    </r>
  </si>
  <si>
    <t>OVP =</t>
  </si>
  <si>
    <t>OPP =</t>
  </si>
  <si>
    <t>BUR =</t>
  </si>
  <si>
    <t>SET =</t>
  </si>
  <si>
    <r>
      <t xml:space="preserve"> I</t>
    </r>
    <r>
      <rPr>
        <vertAlign val="subscript"/>
        <sz val="11"/>
        <color theme="1"/>
        <rFont val="Arial"/>
        <family val="2"/>
      </rPr>
      <t>ref_431_max</t>
    </r>
    <r>
      <rPr>
        <sz val="11"/>
        <color theme="1"/>
        <rFont val="Arial"/>
        <family val="2"/>
      </rPr>
      <t xml:space="preserve"> =</t>
    </r>
  </si>
  <si>
    <t>at rated reverse voltage</t>
  </si>
  <si>
    <t>Forward Rectified Current</t>
  </si>
  <si>
    <t>Forward Voltage</t>
  </si>
  <si>
    <t>Output Capacitance During High Voltage</t>
  </si>
  <si>
    <t>Time-Related Output Capacitance</t>
  </si>
  <si>
    <t>Output Capacitance</t>
  </si>
  <si>
    <t>Parasitic Inductance</t>
  </si>
  <si>
    <t>Maximum Input Capacitance</t>
  </si>
  <si>
    <t>Gate Threshold Voltage</t>
  </si>
  <si>
    <t>Minimum Cathode Current for Regulation</t>
  </si>
  <si>
    <t>Reference Voltage</t>
  </si>
  <si>
    <t>Collector-Emitter Saturation Voltage</t>
  </si>
  <si>
    <t>Cut-Off Frequency</t>
  </si>
  <si>
    <t>CTR During High Temperature</t>
  </si>
  <si>
    <t>Voltage Derating Coefficient for Rectifier</t>
  </si>
  <si>
    <t>MOSFET Rated Drain-to-Source Voltage</t>
  </si>
  <si>
    <t>Time-related output capacitance</t>
  </si>
  <si>
    <t>Output Capacitance at High Voltage</t>
  </si>
  <si>
    <t>Forward Voltage Drop of Output Rectifier</t>
  </si>
  <si>
    <t>Maximum Rectifier Current Rating</t>
  </si>
  <si>
    <t>Output Capacitance Used in Calculations</t>
  </si>
  <si>
    <t>Minimum Voltage Rating of Bulk Capacitor</t>
  </si>
  <si>
    <t>Input Bulk Capacitance Used in Calculations</t>
  </si>
  <si>
    <t>Quiescent Driver Bias Current</t>
  </si>
  <si>
    <t>High-Side Driver Delay</t>
  </si>
  <si>
    <t>Low-Side Driver Delay</t>
  </si>
  <si>
    <t>Actual MOSFET Rated Drain-to-Source Voltage</t>
  </si>
  <si>
    <t>Minimum Crossover Frequency</t>
  </si>
  <si>
    <t>Minimum Switching Frequency</t>
  </si>
  <si>
    <t>OPP-Threshold Output Current</t>
  </si>
  <si>
    <t>Full-Load Rated Output Current</t>
  </si>
  <si>
    <t>Rated Full-Load Output Power</t>
  </si>
  <si>
    <t>Minimum Overall Efficiency</t>
  </si>
  <si>
    <t>Minimum AC-Line Frequency</t>
  </si>
  <si>
    <t>Minimum Bulk Voltage Target</t>
  </si>
  <si>
    <t>Minimum Line Input Voltage</t>
  </si>
  <si>
    <t>Input Voltage for Burst Mode Setting</t>
  </si>
  <si>
    <t>Maximum Line Input Voltage</t>
  </si>
  <si>
    <t xml:space="preserve">Variables </t>
  </si>
  <si>
    <t>Estimated High-Line Stand-by Burst Frequency</t>
  </si>
  <si>
    <t>Shunt Regulator for Output Voltage</t>
  </si>
  <si>
    <t>Select standard rating with sufficient margin</t>
  </si>
  <si>
    <t>Drain Current Pulse Rating</t>
  </si>
  <si>
    <t>Time-Related Output Capacitance at Vbulk_min</t>
  </si>
  <si>
    <t xml:space="preserve">   High-side MOSFET (QH) Parameters:</t>
  </si>
  <si>
    <t xml:space="preserve">   Low-side MOSFET (QL) Parameters:</t>
  </si>
  <si>
    <t>High-Side Bootstrap Diode Forward Voltage</t>
  </si>
  <si>
    <t>High-Side Bootstrap Diode Parasitic Capacitance</t>
  </si>
  <si>
    <t xml:space="preserve">Minimum Required Drain-to-Source Voltage Rating </t>
  </si>
  <si>
    <t xml:space="preserve"> (QH can be different than QL)</t>
  </si>
  <si>
    <r>
      <t>Maximum RMS Current in R</t>
    </r>
    <r>
      <rPr>
        <vertAlign val="subscript"/>
        <sz val="11"/>
        <color theme="1"/>
        <rFont val="Arial"/>
        <family val="2"/>
      </rPr>
      <t>CS</t>
    </r>
    <r>
      <rPr>
        <sz val="11"/>
        <color theme="1"/>
        <rFont val="Arial"/>
        <family val="2"/>
      </rPr>
      <t xml:space="preserve"> Resistor</t>
    </r>
  </si>
  <si>
    <r>
      <t>Maximum Power Loss in R</t>
    </r>
    <r>
      <rPr>
        <vertAlign val="subscript"/>
        <sz val="11"/>
        <color theme="1"/>
        <rFont val="Arial"/>
        <family val="2"/>
      </rPr>
      <t>CS</t>
    </r>
    <r>
      <rPr>
        <sz val="11"/>
        <color theme="1"/>
        <rFont val="Arial"/>
        <family val="2"/>
      </rPr>
      <t/>
    </r>
  </si>
  <si>
    <r>
      <t>Current-Sense Resistor, R</t>
    </r>
    <r>
      <rPr>
        <b/>
        <i/>
        <vertAlign val="subscript"/>
        <sz val="12"/>
        <color theme="0"/>
        <rFont val="Arial"/>
        <family val="2"/>
      </rPr>
      <t>CS</t>
    </r>
  </si>
  <si>
    <r>
      <rPr>
        <b/>
        <sz val="11"/>
        <color theme="1"/>
        <rFont val="Arial"/>
        <family val="2"/>
      </rPr>
      <t>Actual</t>
    </r>
    <r>
      <rPr>
        <sz val="11"/>
        <color theme="1"/>
        <rFont val="Arial"/>
        <family val="2"/>
      </rPr>
      <t xml:space="preserve"> Current-Sense Resistor</t>
    </r>
  </si>
  <si>
    <t>Current-Sense Resistor Used in Calculations</t>
  </si>
  <si>
    <t>Actual Current-Sense Filter Delay</t>
  </si>
  <si>
    <r>
      <rPr>
        <b/>
        <sz val="11"/>
        <color theme="1"/>
        <rFont val="Arial"/>
        <family val="2"/>
      </rPr>
      <t>Maximum</t>
    </r>
    <r>
      <rPr>
        <sz val="11"/>
        <color theme="1"/>
        <rFont val="Arial"/>
        <family val="2"/>
      </rPr>
      <t xml:space="preserve"> Current-Sense Capacitance</t>
    </r>
  </si>
  <si>
    <t>Current-Sense Capacitance Used in Calculations</t>
  </si>
  <si>
    <r>
      <rPr>
        <b/>
        <sz val="11"/>
        <color theme="1"/>
        <rFont val="Arial"/>
        <family val="2"/>
      </rPr>
      <t>Actual</t>
    </r>
    <r>
      <rPr>
        <sz val="11"/>
        <color theme="1"/>
        <rFont val="Arial"/>
        <family val="2"/>
      </rPr>
      <t xml:space="preserve"> Current-Sense Capacitance</t>
    </r>
  </si>
  <si>
    <t>Bootstrap Diode Capacitance</t>
  </si>
  <si>
    <t xml:space="preserve">Total Equivalent Time-Based Capacitance of Switching Node </t>
  </si>
  <si>
    <t>Over-Power Threshold on CS Pin,  at Ivsl = 0µA</t>
  </si>
  <si>
    <t>±% tolerance NOT included</t>
  </si>
  <si>
    <t xml:space="preserve"> Need to fine tune, based on scope waveform</t>
  </si>
  <si>
    <r>
      <t>Part Number(s) for C</t>
    </r>
    <r>
      <rPr>
        <vertAlign val="subscript"/>
        <sz val="11"/>
        <rFont val="Arial"/>
        <family val="2"/>
      </rPr>
      <t>O1</t>
    </r>
    <r>
      <rPr>
        <sz val="11"/>
        <rFont val="Arial"/>
        <family val="2"/>
      </rPr>
      <t xml:space="preserve">  (for ref)</t>
    </r>
  </si>
  <si>
    <r>
      <t>V</t>
    </r>
    <r>
      <rPr>
        <b/>
        <i/>
        <vertAlign val="subscript"/>
        <sz val="12"/>
        <color theme="0"/>
        <rFont val="Arial"/>
        <family val="2"/>
      </rPr>
      <t>In_IVSL</t>
    </r>
    <r>
      <rPr>
        <b/>
        <i/>
        <sz val="12"/>
        <color theme="0"/>
        <rFont val="Arial"/>
        <family val="2"/>
      </rPr>
      <t xml:space="preserve"> Adjustment for Specific Start-up Voltage</t>
    </r>
  </si>
  <si>
    <t>SET value</t>
  </si>
  <si>
    <t>V input type</t>
  </si>
  <si>
    <t>(Minimum value)</t>
  </si>
  <si>
    <t>X7R is recommended</t>
  </si>
  <si>
    <t xml:space="preserve">Nominal recommended value includes adjustment for dc-bias effect </t>
  </si>
  <si>
    <t>Estimate Delay from Current-Sense Filtering</t>
  </si>
  <si>
    <t>Actual BUR Pin Voltage</t>
  </si>
  <si>
    <t>mΩ</t>
  </si>
  <si>
    <t>Maximum ESR:</t>
  </si>
  <si>
    <r>
      <t>R</t>
    </r>
    <r>
      <rPr>
        <b/>
        <vertAlign val="subscript"/>
        <sz val="12"/>
        <color rgb="FFFF0000"/>
        <rFont val="Arial"/>
        <family val="2"/>
      </rPr>
      <t>BLEED</t>
    </r>
  </si>
  <si>
    <r>
      <t>R</t>
    </r>
    <r>
      <rPr>
        <b/>
        <vertAlign val="subscript"/>
        <sz val="12"/>
        <color rgb="FFFF0000"/>
        <rFont val="Arial"/>
        <family val="2"/>
      </rPr>
      <t>BIAS2</t>
    </r>
  </si>
  <si>
    <r>
      <t>R</t>
    </r>
    <r>
      <rPr>
        <b/>
        <vertAlign val="subscript"/>
        <sz val="12"/>
        <color rgb="FFFF0000"/>
        <rFont val="Arial"/>
        <family val="2"/>
      </rPr>
      <t>BIAS1</t>
    </r>
  </si>
  <si>
    <r>
      <t>C</t>
    </r>
    <r>
      <rPr>
        <b/>
        <vertAlign val="subscript"/>
        <sz val="12"/>
        <color rgb="FFFF0000"/>
        <rFont val="Arial"/>
        <family val="2"/>
      </rPr>
      <t>CLAMP</t>
    </r>
  </si>
  <si>
    <r>
      <t>C</t>
    </r>
    <r>
      <rPr>
        <b/>
        <vertAlign val="subscript"/>
        <sz val="12"/>
        <color rgb="FFFF0000"/>
        <rFont val="Arial"/>
        <family val="2"/>
      </rPr>
      <t>BOOT</t>
    </r>
  </si>
  <si>
    <r>
      <t>C</t>
    </r>
    <r>
      <rPr>
        <b/>
        <vertAlign val="subscript"/>
        <sz val="12"/>
        <color rgb="FFFF0000"/>
        <rFont val="Arial"/>
        <family val="2"/>
      </rPr>
      <t>INT</t>
    </r>
  </si>
  <si>
    <t>SELECTED Values (Primary-Side Resonance)</t>
  </si>
  <si>
    <t xml:space="preserve">   Note:  Larger MLCC case sizes exhibit less DC-Bias effect.</t>
  </si>
  <si>
    <t xml:space="preserve"> Need to tune value based on waveforms, as below</t>
  </si>
  <si>
    <t>"Brown-in" Input Voltage Target</t>
  </si>
  <si>
    <t>Secondary Turns Used in Calculations</t>
  </si>
  <si>
    <t>Clamp-Cap Value Used in Calculations</t>
  </si>
  <si>
    <t>This block uses "VINPUT_Brownin"</t>
  </si>
  <si>
    <t>This block uses "VBulk_min_tgt"</t>
  </si>
  <si>
    <t>This block uses "VINPUT_max"</t>
  </si>
  <si>
    <t>This block uses "VINPUT_BUR"</t>
  </si>
  <si>
    <t>This block uses various "VINPUT_xxx"</t>
  </si>
  <si>
    <t>This block uses "VINPUT_Brownin+30"</t>
  </si>
  <si>
    <t xml:space="preserve">SR MOSFET Coss </t>
  </si>
  <si>
    <t xml:space="preserve">Auxiliary Diode Cj </t>
  </si>
  <si>
    <r>
      <t>R</t>
    </r>
    <r>
      <rPr>
        <vertAlign val="subscript"/>
        <sz val="11"/>
        <color theme="1"/>
        <rFont val="Arial"/>
        <family val="2"/>
      </rPr>
      <t>VS2</t>
    </r>
    <r>
      <rPr>
        <sz val="11"/>
        <color theme="1"/>
        <rFont val="Arial"/>
        <family val="2"/>
      </rPr>
      <t xml:space="preserve"> Used in Calculations</t>
    </r>
  </si>
  <si>
    <t>%</t>
  </si>
  <si>
    <t xml:space="preserve">kΩ   </t>
  </si>
  <si>
    <t>Lowest RMS or DC start-up voltage</t>
  </si>
  <si>
    <t>See graph at right &gt;&gt;&gt;</t>
  </si>
  <si>
    <r>
      <t xml:space="preserve">    Example graph of C</t>
    </r>
    <r>
      <rPr>
        <b/>
        <vertAlign val="subscript"/>
        <sz val="12"/>
        <color rgb="FFFF0000"/>
        <rFont val="Calibri"/>
        <family val="2"/>
        <scheme val="minor"/>
      </rPr>
      <t>OSS</t>
    </r>
    <r>
      <rPr>
        <b/>
        <sz val="12"/>
        <color rgb="FFFF0000"/>
        <rFont val="Calibri"/>
        <family val="2"/>
        <scheme val="minor"/>
      </rPr>
      <t xml:space="preserve"> variation with V</t>
    </r>
    <r>
      <rPr>
        <b/>
        <vertAlign val="subscript"/>
        <sz val="12"/>
        <color rgb="FFFF0000"/>
        <rFont val="Calibri"/>
        <family val="2"/>
        <scheme val="minor"/>
      </rPr>
      <t>DS</t>
    </r>
    <r>
      <rPr>
        <b/>
        <sz val="12"/>
        <color rgb="FFFF0000"/>
        <rFont val="Calibri"/>
        <family val="2"/>
        <scheme val="minor"/>
      </rPr>
      <t>.  Use actual MOSFET data.</t>
    </r>
  </si>
  <si>
    <t>Minimum "Boot-Strap" Capacitance</t>
  </si>
  <si>
    <t>Maximum "Boot-Strap" Capacitance</t>
  </si>
  <si>
    <t>On-Resistance of High-Side MOSFET (max)</t>
  </si>
  <si>
    <t>On-Resistance of Low-Side MOSFET (max)</t>
  </si>
  <si>
    <t>Threshold Voltage of Big-to-Small Coss Transition (high-side Fet)</t>
  </si>
  <si>
    <t>Threshold Voltage of Big-to-Small Coss Transition (low-side Fet)</t>
  </si>
  <si>
    <t>Threshold Voltage of Big-to-Small Coss Transition (SR-Fet)</t>
  </si>
  <si>
    <t>from datasheet listing</t>
  </si>
  <si>
    <t>Gate-Source Voltage Maximum Rating</t>
  </si>
  <si>
    <t>Bias Supply for Driver VDD</t>
  </si>
  <si>
    <r>
      <t>used to calc R</t>
    </r>
    <r>
      <rPr>
        <vertAlign val="subscript"/>
        <sz val="10"/>
        <color theme="1"/>
        <rFont val="Arial"/>
        <family val="2"/>
      </rPr>
      <t>CS_tgt</t>
    </r>
    <r>
      <rPr>
        <sz val="10"/>
        <color theme="1"/>
        <rFont val="Arial"/>
        <family val="2"/>
      </rPr>
      <t xml:space="preserve"> </t>
    </r>
  </si>
  <si>
    <r>
      <t>used to calc R</t>
    </r>
    <r>
      <rPr>
        <vertAlign val="subscript"/>
        <sz val="10"/>
        <color theme="1"/>
        <rFont val="Arial"/>
        <family val="2"/>
      </rPr>
      <t>OPP_tgt</t>
    </r>
    <r>
      <rPr>
        <sz val="10"/>
        <color theme="1"/>
        <rFont val="Arial"/>
        <family val="2"/>
      </rPr>
      <t xml:space="preserve"> </t>
    </r>
  </si>
  <si>
    <r>
      <t>I</t>
    </r>
    <r>
      <rPr>
        <vertAlign val="subscript"/>
        <sz val="11"/>
        <color theme="1"/>
        <rFont val="Arial"/>
        <family val="2"/>
      </rPr>
      <t xml:space="preserve">M_nega_min </t>
    </r>
    <r>
      <rPr>
        <sz val="11"/>
        <color theme="1"/>
        <rFont val="Arial"/>
        <family val="2"/>
      </rPr>
      <t>=</t>
    </r>
  </si>
  <si>
    <r>
      <t>f</t>
    </r>
    <r>
      <rPr>
        <vertAlign val="subscript"/>
        <sz val="11"/>
        <color theme="1"/>
        <rFont val="Arial"/>
        <family val="2"/>
      </rPr>
      <t xml:space="preserve">sw_min </t>
    </r>
    <r>
      <rPr>
        <sz val="11"/>
        <color theme="1"/>
        <rFont val="Arial"/>
        <family val="2"/>
      </rPr>
      <t>=</t>
    </r>
  </si>
  <si>
    <r>
      <t xml:space="preserve"> i</t>
    </r>
    <r>
      <rPr>
        <vertAlign val="subscript"/>
        <sz val="11"/>
        <color theme="1"/>
        <rFont val="Arial"/>
        <family val="2"/>
      </rPr>
      <t>pk_min</t>
    </r>
    <r>
      <rPr>
        <sz val="11"/>
        <color theme="1"/>
        <rFont val="Arial"/>
        <family val="2"/>
      </rPr>
      <t xml:space="preserve"> =</t>
    </r>
  </si>
  <si>
    <r>
      <t>I</t>
    </r>
    <r>
      <rPr>
        <vertAlign val="subscript"/>
        <sz val="11"/>
        <color theme="1"/>
        <rFont val="Arial"/>
        <family val="2"/>
      </rPr>
      <t xml:space="preserve">IN_min </t>
    </r>
    <r>
      <rPr>
        <sz val="11"/>
        <color theme="1"/>
        <rFont val="Arial"/>
        <family val="2"/>
      </rPr>
      <t>=</t>
    </r>
  </si>
  <si>
    <r>
      <t xml:space="preserve"> D</t>
    </r>
    <r>
      <rPr>
        <vertAlign val="subscript"/>
        <sz val="11"/>
        <color theme="1"/>
        <rFont val="Arial"/>
        <family val="2"/>
      </rPr>
      <t xml:space="preserve">min </t>
    </r>
    <r>
      <rPr>
        <sz val="11"/>
        <color theme="1"/>
        <rFont val="Arial"/>
        <family val="2"/>
      </rPr>
      <t>=</t>
    </r>
  </si>
  <si>
    <r>
      <t>K</t>
    </r>
    <r>
      <rPr>
        <vertAlign val="subscript"/>
        <sz val="11"/>
        <color theme="1"/>
        <rFont val="Arial"/>
        <family val="2"/>
      </rPr>
      <t>VC</t>
    </r>
    <r>
      <rPr>
        <sz val="11"/>
        <color theme="1"/>
        <rFont val="Arial"/>
        <family val="2"/>
      </rPr>
      <t xml:space="preserve"> =</t>
    </r>
  </si>
  <si>
    <r>
      <t>C</t>
    </r>
    <r>
      <rPr>
        <vertAlign val="subscript"/>
        <sz val="11"/>
        <color theme="1"/>
        <rFont val="Arial"/>
        <family val="2"/>
      </rPr>
      <t>OSS_QH_T_vmax</t>
    </r>
    <r>
      <rPr>
        <sz val="11"/>
        <color theme="1"/>
        <rFont val="Arial"/>
        <family val="2"/>
      </rPr>
      <t xml:space="preserve"> =</t>
    </r>
  </si>
  <si>
    <r>
      <t>C</t>
    </r>
    <r>
      <rPr>
        <vertAlign val="subscript"/>
        <sz val="11"/>
        <color theme="1"/>
        <rFont val="Arial"/>
        <family val="2"/>
      </rPr>
      <t>OSS_QL_T_vmax</t>
    </r>
    <r>
      <rPr>
        <sz val="11"/>
        <color theme="1"/>
        <rFont val="Arial"/>
        <family val="2"/>
      </rPr>
      <t xml:space="preserve"> =</t>
    </r>
  </si>
  <si>
    <r>
      <t>C</t>
    </r>
    <r>
      <rPr>
        <vertAlign val="subscript"/>
        <sz val="11"/>
        <color theme="1"/>
        <rFont val="Arial"/>
        <family val="2"/>
      </rPr>
      <t>Tr_vmax</t>
    </r>
    <r>
      <rPr>
        <sz val="11"/>
        <color theme="1"/>
        <rFont val="Arial"/>
        <family val="2"/>
      </rPr>
      <t xml:space="preserve"> =</t>
    </r>
  </si>
  <si>
    <r>
      <t>C</t>
    </r>
    <r>
      <rPr>
        <vertAlign val="subscript"/>
        <sz val="11"/>
        <color theme="1"/>
        <rFont val="Arial"/>
        <family val="2"/>
      </rPr>
      <t>BootD_T_vmax</t>
    </r>
    <r>
      <rPr>
        <sz val="11"/>
        <color theme="1"/>
        <rFont val="Arial"/>
        <family val="2"/>
      </rPr>
      <t xml:space="preserve"> =</t>
    </r>
  </si>
  <si>
    <r>
      <t>C</t>
    </r>
    <r>
      <rPr>
        <vertAlign val="subscript"/>
        <sz val="11"/>
        <color theme="1"/>
        <rFont val="Arial"/>
        <family val="2"/>
      </rPr>
      <t xml:space="preserve">OSS_Qs_vmax </t>
    </r>
    <r>
      <rPr>
        <sz val="11"/>
        <color theme="1"/>
        <rFont val="Arial"/>
        <family val="2"/>
      </rPr>
      <t>=</t>
    </r>
  </si>
  <si>
    <r>
      <t>C</t>
    </r>
    <r>
      <rPr>
        <vertAlign val="subscript"/>
        <sz val="11"/>
        <color theme="1"/>
        <rFont val="Arial"/>
        <family val="2"/>
      </rPr>
      <t xml:space="preserve">OSS_SR_T_vmax </t>
    </r>
    <r>
      <rPr>
        <sz val="11"/>
        <color theme="1"/>
        <rFont val="Arial"/>
        <family val="2"/>
      </rPr>
      <t>=</t>
    </r>
  </si>
  <si>
    <r>
      <t>C</t>
    </r>
    <r>
      <rPr>
        <vertAlign val="subscript"/>
        <sz val="11"/>
        <color theme="1"/>
        <rFont val="Arial"/>
        <family val="2"/>
      </rPr>
      <t xml:space="preserve">_Daux_vmax </t>
    </r>
    <r>
      <rPr>
        <sz val="11"/>
        <color theme="1"/>
        <rFont val="Arial"/>
        <family val="2"/>
      </rPr>
      <t>=</t>
    </r>
  </si>
  <si>
    <r>
      <t>C</t>
    </r>
    <r>
      <rPr>
        <vertAlign val="subscript"/>
        <sz val="11"/>
        <color theme="1"/>
        <rFont val="Arial"/>
        <family val="2"/>
      </rPr>
      <t xml:space="preserve">SWN_T_vmax </t>
    </r>
    <r>
      <rPr>
        <sz val="11"/>
        <color theme="1"/>
        <rFont val="Arial"/>
        <family val="2"/>
      </rPr>
      <t>=</t>
    </r>
  </si>
  <si>
    <r>
      <t>C</t>
    </r>
    <r>
      <rPr>
        <vertAlign val="subscript"/>
        <sz val="11"/>
        <color theme="1"/>
        <rFont val="Arial"/>
        <family val="2"/>
      </rPr>
      <t>OSS_QH_T_vbur</t>
    </r>
    <r>
      <rPr>
        <sz val="11"/>
        <color theme="1"/>
        <rFont val="Arial"/>
        <family val="2"/>
      </rPr>
      <t xml:space="preserve"> =</t>
    </r>
  </si>
  <si>
    <r>
      <t>C</t>
    </r>
    <r>
      <rPr>
        <vertAlign val="subscript"/>
        <sz val="11"/>
        <color theme="1"/>
        <rFont val="Arial"/>
        <family val="2"/>
      </rPr>
      <t>OSS_QL_T_vbur</t>
    </r>
    <r>
      <rPr>
        <sz val="11"/>
        <color theme="1"/>
        <rFont val="Arial"/>
        <family val="2"/>
      </rPr>
      <t xml:space="preserve"> =</t>
    </r>
  </si>
  <si>
    <r>
      <t>C</t>
    </r>
    <r>
      <rPr>
        <vertAlign val="subscript"/>
        <sz val="11"/>
        <color theme="1"/>
        <rFont val="Arial"/>
        <family val="2"/>
      </rPr>
      <t>Tr_vbur</t>
    </r>
    <r>
      <rPr>
        <sz val="11"/>
        <color theme="1"/>
        <rFont val="Arial"/>
        <family val="2"/>
      </rPr>
      <t xml:space="preserve"> =</t>
    </r>
  </si>
  <si>
    <r>
      <t>C</t>
    </r>
    <r>
      <rPr>
        <vertAlign val="subscript"/>
        <sz val="11"/>
        <color theme="1"/>
        <rFont val="Arial"/>
        <family val="2"/>
      </rPr>
      <t>BootD_T_vbur</t>
    </r>
    <r>
      <rPr>
        <sz val="11"/>
        <color theme="1"/>
        <rFont val="Arial"/>
        <family val="2"/>
      </rPr>
      <t xml:space="preserve"> =</t>
    </r>
  </si>
  <si>
    <r>
      <t>C</t>
    </r>
    <r>
      <rPr>
        <vertAlign val="subscript"/>
        <sz val="11"/>
        <color theme="1"/>
        <rFont val="Arial"/>
        <family val="2"/>
      </rPr>
      <t xml:space="preserve">OSS_Qs_vbur </t>
    </r>
    <r>
      <rPr>
        <sz val="11"/>
        <color theme="1"/>
        <rFont val="Arial"/>
        <family val="2"/>
      </rPr>
      <t>=</t>
    </r>
  </si>
  <si>
    <r>
      <t>C</t>
    </r>
    <r>
      <rPr>
        <vertAlign val="subscript"/>
        <sz val="11"/>
        <color theme="1"/>
        <rFont val="Arial"/>
        <family val="2"/>
      </rPr>
      <t xml:space="preserve">OSS_SR_vbur </t>
    </r>
    <r>
      <rPr>
        <sz val="11"/>
        <color theme="1"/>
        <rFont val="Arial"/>
        <family val="2"/>
      </rPr>
      <t>=</t>
    </r>
  </si>
  <si>
    <r>
      <t>C</t>
    </r>
    <r>
      <rPr>
        <vertAlign val="subscript"/>
        <sz val="11"/>
        <color theme="1"/>
        <rFont val="Arial"/>
        <family val="2"/>
      </rPr>
      <t xml:space="preserve">_Daux_vbur </t>
    </r>
    <r>
      <rPr>
        <sz val="11"/>
        <color theme="1"/>
        <rFont val="Arial"/>
        <family val="2"/>
      </rPr>
      <t>=</t>
    </r>
  </si>
  <si>
    <r>
      <t>C</t>
    </r>
    <r>
      <rPr>
        <vertAlign val="subscript"/>
        <sz val="11"/>
        <color theme="1"/>
        <rFont val="Arial"/>
        <family val="2"/>
      </rPr>
      <t xml:space="preserve">SWN_T_vbur </t>
    </r>
    <r>
      <rPr>
        <sz val="11"/>
        <color theme="1"/>
        <rFont val="Arial"/>
        <family val="2"/>
      </rPr>
      <t>=</t>
    </r>
  </si>
  <si>
    <r>
      <t>C</t>
    </r>
    <r>
      <rPr>
        <vertAlign val="subscript"/>
        <sz val="11"/>
        <color theme="1"/>
        <rFont val="Arial"/>
        <family val="2"/>
      </rPr>
      <t>OSS_QH_T_vbi_30</t>
    </r>
    <r>
      <rPr>
        <sz val="11"/>
        <color theme="1"/>
        <rFont val="Arial"/>
        <family val="2"/>
      </rPr>
      <t xml:space="preserve"> =</t>
    </r>
  </si>
  <si>
    <r>
      <t>C</t>
    </r>
    <r>
      <rPr>
        <vertAlign val="subscript"/>
        <sz val="11"/>
        <color theme="1"/>
        <rFont val="Arial"/>
        <family val="2"/>
      </rPr>
      <t>OSS_QL_T_vbi_30</t>
    </r>
    <r>
      <rPr>
        <sz val="11"/>
        <color theme="1"/>
        <rFont val="Arial"/>
        <family val="2"/>
      </rPr>
      <t xml:space="preserve"> =</t>
    </r>
  </si>
  <si>
    <r>
      <t>C</t>
    </r>
    <r>
      <rPr>
        <vertAlign val="subscript"/>
        <sz val="11"/>
        <color theme="1"/>
        <rFont val="Arial"/>
        <family val="2"/>
      </rPr>
      <t>Tr_vbi_30</t>
    </r>
    <r>
      <rPr>
        <sz val="11"/>
        <color theme="1"/>
        <rFont val="Arial"/>
        <family val="2"/>
      </rPr>
      <t xml:space="preserve"> =</t>
    </r>
  </si>
  <si>
    <r>
      <t>C</t>
    </r>
    <r>
      <rPr>
        <vertAlign val="subscript"/>
        <sz val="11"/>
        <color theme="1"/>
        <rFont val="Arial"/>
        <family val="2"/>
      </rPr>
      <t>BootD_T_vbi_30</t>
    </r>
    <r>
      <rPr>
        <sz val="11"/>
        <color theme="1"/>
        <rFont val="Arial"/>
        <family val="2"/>
      </rPr>
      <t xml:space="preserve"> =</t>
    </r>
  </si>
  <si>
    <r>
      <t>C</t>
    </r>
    <r>
      <rPr>
        <vertAlign val="subscript"/>
        <sz val="11"/>
        <color theme="1"/>
        <rFont val="Arial"/>
        <family val="2"/>
      </rPr>
      <t xml:space="preserve">OSS_Qs_vbi_30 </t>
    </r>
    <r>
      <rPr>
        <sz val="11"/>
        <color theme="1"/>
        <rFont val="Arial"/>
        <family val="2"/>
      </rPr>
      <t>=</t>
    </r>
  </si>
  <si>
    <r>
      <t>C</t>
    </r>
    <r>
      <rPr>
        <vertAlign val="subscript"/>
        <sz val="11"/>
        <color theme="1"/>
        <rFont val="Arial"/>
        <family val="2"/>
      </rPr>
      <t xml:space="preserve">OSS_SR_vbi_30 </t>
    </r>
    <r>
      <rPr>
        <sz val="11"/>
        <color theme="1"/>
        <rFont val="Arial"/>
        <family val="2"/>
      </rPr>
      <t>=</t>
    </r>
  </si>
  <si>
    <r>
      <t>C</t>
    </r>
    <r>
      <rPr>
        <vertAlign val="subscript"/>
        <sz val="11"/>
        <color theme="1"/>
        <rFont val="Arial"/>
        <family val="2"/>
      </rPr>
      <t xml:space="preserve">_Daux_vbi_30 </t>
    </r>
    <r>
      <rPr>
        <sz val="11"/>
        <color theme="1"/>
        <rFont val="Arial"/>
        <family val="2"/>
      </rPr>
      <t>=</t>
    </r>
  </si>
  <si>
    <r>
      <t>C</t>
    </r>
    <r>
      <rPr>
        <vertAlign val="subscript"/>
        <sz val="11"/>
        <color theme="1"/>
        <rFont val="Arial"/>
        <family val="2"/>
      </rPr>
      <t xml:space="preserve">SWN_T_vbi_30 </t>
    </r>
    <r>
      <rPr>
        <sz val="11"/>
        <color theme="1"/>
        <rFont val="Arial"/>
        <family val="2"/>
      </rPr>
      <t>=</t>
    </r>
  </si>
  <si>
    <r>
      <t>C</t>
    </r>
    <r>
      <rPr>
        <vertAlign val="subscript"/>
        <sz val="11"/>
        <color theme="1"/>
        <rFont val="Arial"/>
        <family val="2"/>
      </rPr>
      <t>OSS_QH_T_vbi</t>
    </r>
    <r>
      <rPr>
        <sz val="11"/>
        <color theme="1"/>
        <rFont val="Arial"/>
        <family val="2"/>
      </rPr>
      <t xml:space="preserve"> =</t>
    </r>
  </si>
  <si>
    <r>
      <t>C</t>
    </r>
    <r>
      <rPr>
        <vertAlign val="subscript"/>
        <sz val="11"/>
        <color theme="1"/>
        <rFont val="Arial"/>
        <family val="2"/>
      </rPr>
      <t>OSS_QL_T_vbi</t>
    </r>
    <r>
      <rPr>
        <sz val="11"/>
        <color theme="1"/>
        <rFont val="Arial"/>
        <family val="2"/>
      </rPr>
      <t xml:space="preserve"> =</t>
    </r>
  </si>
  <si>
    <r>
      <t>C</t>
    </r>
    <r>
      <rPr>
        <vertAlign val="subscript"/>
        <sz val="11"/>
        <color theme="1"/>
        <rFont val="Arial"/>
        <family val="2"/>
      </rPr>
      <t>Tr_vbi</t>
    </r>
    <r>
      <rPr>
        <sz val="11"/>
        <color theme="1"/>
        <rFont val="Arial"/>
        <family val="2"/>
      </rPr>
      <t xml:space="preserve"> =</t>
    </r>
  </si>
  <si>
    <r>
      <t>C</t>
    </r>
    <r>
      <rPr>
        <vertAlign val="subscript"/>
        <sz val="11"/>
        <color theme="1"/>
        <rFont val="Arial"/>
        <family val="2"/>
      </rPr>
      <t>BootD_T_vbi</t>
    </r>
    <r>
      <rPr>
        <sz val="11"/>
        <color theme="1"/>
        <rFont val="Arial"/>
        <family val="2"/>
      </rPr>
      <t xml:space="preserve"> =</t>
    </r>
  </si>
  <si>
    <r>
      <t>C</t>
    </r>
    <r>
      <rPr>
        <vertAlign val="subscript"/>
        <sz val="11"/>
        <color theme="1"/>
        <rFont val="Arial"/>
        <family val="2"/>
      </rPr>
      <t xml:space="preserve">OSS_Qs_vbi </t>
    </r>
    <r>
      <rPr>
        <sz val="11"/>
        <color theme="1"/>
        <rFont val="Arial"/>
        <family val="2"/>
      </rPr>
      <t>=</t>
    </r>
  </si>
  <si>
    <r>
      <t>C</t>
    </r>
    <r>
      <rPr>
        <vertAlign val="subscript"/>
        <sz val="11"/>
        <color theme="1"/>
        <rFont val="Arial"/>
        <family val="2"/>
      </rPr>
      <t xml:space="preserve">OSS_SR_vbi </t>
    </r>
    <r>
      <rPr>
        <sz val="11"/>
        <color theme="1"/>
        <rFont val="Arial"/>
        <family val="2"/>
      </rPr>
      <t>=</t>
    </r>
  </si>
  <si>
    <r>
      <t>C</t>
    </r>
    <r>
      <rPr>
        <vertAlign val="subscript"/>
        <sz val="11"/>
        <color theme="1"/>
        <rFont val="Arial"/>
        <family val="2"/>
      </rPr>
      <t xml:space="preserve">_Daux_vbi </t>
    </r>
    <r>
      <rPr>
        <sz val="11"/>
        <color theme="1"/>
        <rFont val="Arial"/>
        <family val="2"/>
      </rPr>
      <t>=</t>
    </r>
  </si>
  <si>
    <r>
      <t>C</t>
    </r>
    <r>
      <rPr>
        <vertAlign val="subscript"/>
        <sz val="11"/>
        <color theme="1"/>
        <rFont val="Arial"/>
        <family val="2"/>
      </rPr>
      <t xml:space="preserve">SWN_T_vbi </t>
    </r>
    <r>
      <rPr>
        <sz val="11"/>
        <color theme="1"/>
        <rFont val="Arial"/>
        <family val="2"/>
      </rPr>
      <t>=</t>
    </r>
  </si>
  <si>
    <r>
      <t>C</t>
    </r>
    <r>
      <rPr>
        <vertAlign val="subscript"/>
        <sz val="11"/>
        <color theme="1"/>
        <rFont val="Arial"/>
        <family val="2"/>
      </rPr>
      <t>OSS_QH_T_vmin</t>
    </r>
    <r>
      <rPr>
        <sz val="11"/>
        <color theme="1"/>
        <rFont val="Arial"/>
        <family val="2"/>
      </rPr>
      <t xml:space="preserve"> =</t>
    </r>
  </si>
  <si>
    <r>
      <t>C</t>
    </r>
    <r>
      <rPr>
        <vertAlign val="subscript"/>
        <sz val="11"/>
        <color theme="1"/>
        <rFont val="Arial"/>
        <family val="2"/>
      </rPr>
      <t>OSS_QL_T_vmin</t>
    </r>
    <r>
      <rPr>
        <sz val="11"/>
        <color theme="1"/>
        <rFont val="Arial"/>
        <family val="2"/>
      </rPr>
      <t xml:space="preserve"> =</t>
    </r>
  </si>
  <si>
    <r>
      <t>C</t>
    </r>
    <r>
      <rPr>
        <vertAlign val="subscript"/>
        <sz val="11"/>
        <color theme="1"/>
        <rFont val="Arial"/>
        <family val="2"/>
      </rPr>
      <t>Tr_vmin</t>
    </r>
    <r>
      <rPr>
        <sz val="11"/>
        <color theme="1"/>
        <rFont val="Arial"/>
        <family val="2"/>
      </rPr>
      <t xml:space="preserve"> =</t>
    </r>
  </si>
  <si>
    <r>
      <t>C</t>
    </r>
    <r>
      <rPr>
        <vertAlign val="subscript"/>
        <sz val="11"/>
        <color theme="1"/>
        <rFont val="Arial"/>
        <family val="2"/>
      </rPr>
      <t>BootD_T_vmin</t>
    </r>
    <r>
      <rPr>
        <sz val="11"/>
        <color theme="1"/>
        <rFont val="Arial"/>
        <family val="2"/>
      </rPr>
      <t xml:space="preserve"> =</t>
    </r>
  </si>
  <si>
    <r>
      <t>C</t>
    </r>
    <r>
      <rPr>
        <vertAlign val="subscript"/>
        <sz val="11"/>
        <color theme="1"/>
        <rFont val="Arial"/>
        <family val="2"/>
      </rPr>
      <t xml:space="preserve">OSS_Qs_vmin </t>
    </r>
    <r>
      <rPr>
        <sz val="11"/>
        <color theme="1"/>
        <rFont val="Arial"/>
        <family val="2"/>
      </rPr>
      <t>=</t>
    </r>
  </si>
  <si>
    <r>
      <t>C</t>
    </r>
    <r>
      <rPr>
        <vertAlign val="subscript"/>
        <sz val="11"/>
        <color theme="1"/>
        <rFont val="Arial"/>
        <family val="2"/>
      </rPr>
      <t xml:space="preserve">OSS_SR_vmin </t>
    </r>
    <r>
      <rPr>
        <sz val="11"/>
        <color theme="1"/>
        <rFont val="Arial"/>
        <family val="2"/>
      </rPr>
      <t>=</t>
    </r>
  </si>
  <si>
    <r>
      <t>C</t>
    </r>
    <r>
      <rPr>
        <vertAlign val="subscript"/>
        <sz val="11"/>
        <color theme="1"/>
        <rFont val="Arial"/>
        <family val="2"/>
      </rPr>
      <t xml:space="preserve">_Daux_vmin </t>
    </r>
    <r>
      <rPr>
        <sz val="11"/>
        <color theme="1"/>
        <rFont val="Arial"/>
        <family val="2"/>
      </rPr>
      <t>=</t>
    </r>
  </si>
  <si>
    <r>
      <t>C</t>
    </r>
    <r>
      <rPr>
        <vertAlign val="subscript"/>
        <sz val="11"/>
        <color theme="1"/>
        <rFont val="Arial"/>
        <family val="2"/>
      </rPr>
      <t xml:space="preserve">SWN_T_vmin </t>
    </r>
    <r>
      <rPr>
        <sz val="11"/>
        <color theme="1"/>
        <rFont val="Arial"/>
        <family val="2"/>
      </rPr>
      <t>=</t>
    </r>
  </si>
  <si>
    <r>
      <t>K</t>
    </r>
    <r>
      <rPr>
        <vertAlign val="subscript"/>
        <sz val="11"/>
        <color theme="1"/>
        <rFont val="Arial"/>
        <family val="2"/>
      </rPr>
      <t xml:space="preserve">VSL </t>
    </r>
    <r>
      <rPr>
        <sz val="11"/>
        <color theme="1"/>
        <rFont val="Arial"/>
        <family val="2"/>
      </rPr>
      <t>=</t>
    </r>
  </si>
  <si>
    <r>
      <t>V</t>
    </r>
    <r>
      <rPr>
        <vertAlign val="subscript"/>
        <sz val="11"/>
        <color theme="1"/>
        <rFont val="Arial"/>
        <family val="2"/>
      </rPr>
      <t>CST_OPP_adj_Rcs</t>
    </r>
    <r>
      <rPr>
        <sz val="11"/>
        <color theme="1"/>
        <rFont val="Arial"/>
        <family val="2"/>
      </rPr>
      <t xml:space="preserve"> =</t>
    </r>
  </si>
  <si>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In_max</t>
    </r>
    <r>
      <rPr>
        <sz val="11"/>
        <color theme="1"/>
        <rFont val="Arial"/>
        <family val="2"/>
      </rPr>
      <t xml:space="preserve">  </t>
    </r>
  </si>
  <si>
    <r>
      <t>V</t>
    </r>
    <r>
      <rPr>
        <vertAlign val="subscript"/>
        <sz val="11"/>
        <color theme="1"/>
        <rFont val="Arial"/>
        <family val="2"/>
      </rPr>
      <t>CST_OPP_adj_Ropp</t>
    </r>
    <r>
      <rPr>
        <sz val="11"/>
        <color theme="1"/>
        <rFont val="Arial"/>
        <family val="2"/>
      </rPr>
      <t xml:space="preserve"> =</t>
    </r>
  </si>
  <si>
    <r>
      <t>I</t>
    </r>
    <r>
      <rPr>
        <vertAlign val="subscript"/>
        <sz val="11"/>
        <color theme="1"/>
        <rFont val="Arial"/>
        <family val="2"/>
      </rPr>
      <t xml:space="preserve">M_nega_start </t>
    </r>
    <r>
      <rPr>
        <sz val="11"/>
        <color theme="1"/>
        <rFont val="Arial"/>
        <family val="2"/>
      </rPr>
      <t>=</t>
    </r>
  </si>
  <si>
    <r>
      <t>f</t>
    </r>
    <r>
      <rPr>
        <vertAlign val="subscript"/>
        <sz val="11"/>
        <color theme="1"/>
        <rFont val="Arial"/>
        <family val="2"/>
      </rPr>
      <t xml:space="preserve">sw_OPP_start </t>
    </r>
    <r>
      <rPr>
        <sz val="11"/>
        <color theme="1"/>
        <rFont val="Arial"/>
        <family val="2"/>
      </rPr>
      <t>=</t>
    </r>
  </si>
  <si>
    <r>
      <t xml:space="preserve"> i</t>
    </r>
    <r>
      <rPr>
        <vertAlign val="subscript"/>
        <sz val="11"/>
        <color theme="1"/>
        <rFont val="Arial"/>
        <family val="2"/>
      </rPr>
      <t>pk_OPP_start</t>
    </r>
    <r>
      <rPr>
        <sz val="11"/>
        <color theme="1"/>
        <rFont val="Arial"/>
        <family val="2"/>
      </rPr>
      <t xml:space="preserve"> =</t>
    </r>
  </si>
  <si>
    <r>
      <t>I</t>
    </r>
    <r>
      <rPr>
        <vertAlign val="subscript"/>
        <sz val="11"/>
        <color theme="1"/>
        <rFont val="Arial"/>
        <family val="2"/>
      </rPr>
      <t xml:space="preserve">IN_OPP_start </t>
    </r>
    <r>
      <rPr>
        <sz val="11"/>
        <color theme="1"/>
        <rFont val="Arial"/>
        <family val="2"/>
      </rPr>
      <t>=</t>
    </r>
  </si>
  <si>
    <r>
      <t xml:space="preserve"> D</t>
    </r>
    <r>
      <rPr>
        <vertAlign val="subscript"/>
        <sz val="11"/>
        <color theme="1"/>
        <rFont val="Arial"/>
        <family val="2"/>
      </rPr>
      <t xml:space="preserve">OPP_start </t>
    </r>
    <r>
      <rPr>
        <sz val="11"/>
        <color theme="1"/>
        <rFont val="Arial"/>
        <family val="2"/>
      </rPr>
      <t>=</t>
    </r>
  </si>
  <si>
    <r>
      <t>I</t>
    </r>
    <r>
      <rPr>
        <vertAlign val="subscript"/>
        <sz val="11"/>
        <color theme="1"/>
        <rFont val="Arial"/>
        <family val="2"/>
      </rPr>
      <t>VCC_sw</t>
    </r>
    <r>
      <rPr>
        <sz val="11"/>
        <color theme="1"/>
        <rFont val="Arial"/>
        <family val="2"/>
      </rPr>
      <t xml:space="preserve"> =</t>
    </r>
  </si>
  <si>
    <r>
      <t>Q</t>
    </r>
    <r>
      <rPr>
        <vertAlign val="subscript"/>
        <sz val="11"/>
        <color theme="1"/>
        <rFont val="Arial"/>
        <family val="2"/>
      </rPr>
      <t>g_Qh</t>
    </r>
    <r>
      <rPr>
        <sz val="11"/>
        <color theme="1"/>
        <rFont val="Arial"/>
        <family val="2"/>
      </rPr>
      <t xml:space="preserve"> =</t>
    </r>
  </si>
  <si>
    <r>
      <t>I</t>
    </r>
    <r>
      <rPr>
        <vertAlign val="subscript"/>
        <sz val="11"/>
        <color theme="1"/>
        <rFont val="Arial"/>
        <family val="2"/>
      </rPr>
      <t xml:space="preserve">M_nega_BUR_min </t>
    </r>
    <r>
      <rPr>
        <sz val="11"/>
        <color theme="1"/>
        <rFont val="Arial"/>
        <family val="2"/>
      </rPr>
      <t>=</t>
    </r>
  </si>
  <si>
    <r>
      <t>f</t>
    </r>
    <r>
      <rPr>
        <vertAlign val="subscript"/>
        <sz val="11"/>
        <color theme="1"/>
        <rFont val="Arial"/>
        <family val="2"/>
      </rPr>
      <t xml:space="preserve">sw_BUR_min </t>
    </r>
    <r>
      <rPr>
        <sz val="11"/>
        <color theme="1"/>
        <rFont val="Arial"/>
        <family val="2"/>
      </rPr>
      <t>=</t>
    </r>
  </si>
  <si>
    <r>
      <t xml:space="preserve"> i</t>
    </r>
    <r>
      <rPr>
        <vertAlign val="subscript"/>
        <sz val="11"/>
        <color theme="1"/>
        <rFont val="Arial"/>
        <family val="2"/>
      </rPr>
      <t>pk_BUR_min</t>
    </r>
    <r>
      <rPr>
        <sz val="11"/>
        <color theme="1"/>
        <rFont val="Arial"/>
        <family val="2"/>
      </rPr>
      <t xml:space="preserve"> =</t>
    </r>
  </si>
  <si>
    <r>
      <t xml:space="preserve"> D</t>
    </r>
    <r>
      <rPr>
        <vertAlign val="subscript"/>
        <sz val="11"/>
        <color theme="1"/>
        <rFont val="Arial"/>
        <family val="2"/>
      </rPr>
      <t xml:space="preserve">BUR_min </t>
    </r>
    <r>
      <rPr>
        <sz val="11"/>
        <color theme="1"/>
        <rFont val="Arial"/>
        <family val="2"/>
      </rPr>
      <t>=</t>
    </r>
  </si>
  <si>
    <r>
      <t>I</t>
    </r>
    <r>
      <rPr>
        <vertAlign val="subscript"/>
        <sz val="11"/>
        <color theme="1"/>
        <rFont val="Arial"/>
        <family val="2"/>
      </rPr>
      <t xml:space="preserve">IN_BUR_min </t>
    </r>
    <r>
      <rPr>
        <sz val="11"/>
        <color theme="1"/>
        <rFont val="Arial"/>
        <family val="2"/>
      </rPr>
      <t>=</t>
    </r>
  </si>
  <si>
    <r>
      <t>T</t>
    </r>
    <r>
      <rPr>
        <vertAlign val="subscript"/>
        <sz val="11"/>
        <color theme="1"/>
        <rFont val="Arial"/>
        <family val="2"/>
      </rPr>
      <t>rise_max</t>
    </r>
    <r>
      <rPr>
        <sz val="11"/>
        <color theme="1"/>
        <rFont val="Arial"/>
        <family val="2"/>
      </rPr>
      <t xml:space="preserve"> =</t>
    </r>
  </si>
  <si>
    <r>
      <t>I</t>
    </r>
    <r>
      <rPr>
        <vertAlign val="subscript"/>
        <sz val="11"/>
        <color theme="1"/>
        <rFont val="Arial"/>
        <family val="2"/>
      </rPr>
      <t xml:space="preserve">M_nega_BUR </t>
    </r>
    <r>
      <rPr>
        <sz val="11"/>
        <color theme="1"/>
        <rFont val="Arial"/>
        <family val="2"/>
      </rPr>
      <t>=</t>
    </r>
  </si>
  <si>
    <r>
      <t>f</t>
    </r>
    <r>
      <rPr>
        <vertAlign val="subscript"/>
        <sz val="11"/>
        <color theme="1"/>
        <rFont val="Arial"/>
        <family val="2"/>
      </rPr>
      <t xml:space="preserve">sw_BUR </t>
    </r>
    <r>
      <rPr>
        <sz val="11"/>
        <color theme="1"/>
        <rFont val="Arial"/>
        <family val="2"/>
      </rPr>
      <t>=</t>
    </r>
  </si>
  <si>
    <r>
      <t xml:space="preserve"> i</t>
    </r>
    <r>
      <rPr>
        <vertAlign val="subscript"/>
        <sz val="11"/>
        <color theme="1"/>
        <rFont val="Arial"/>
        <family val="2"/>
      </rPr>
      <t>pk_BUR</t>
    </r>
    <r>
      <rPr>
        <sz val="11"/>
        <color theme="1"/>
        <rFont val="Arial"/>
        <family val="2"/>
      </rPr>
      <t xml:space="preserve"> =</t>
    </r>
  </si>
  <si>
    <r>
      <t>Turn-off Delay Time due to Coss of low-side MOSFET at i</t>
    </r>
    <r>
      <rPr>
        <vertAlign val="subscript"/>
        <sz val="11"/>
        <color theme="1"/>
        <rFont val="Arial"/>
        <family val="2"/>
      </rPr>
      <t>pk_BUR</t>
    </r>
  </si>
  <si>
    <r>
      <t>T</t>
    </r>
    <r>
      <rPr>
        <vertAlign val="subscript"/>
        <sz val="11"/>
        <color theme="1"/>
        <rFont val="Arial"/>
        <family val="2"/>
      </rPr>
      <t>D_Ql_Coss_BUR</t>
    </r>
    <r>
      <rPr>
        <sz val="11"/>
        <color theme="1"/>
        <rFont val="Arial"/>
        <family val="2"/>
      </rPr>
      <t xml:space="preserve"> =</t>
    </r>
  </si>
  <si>
    <r>
      <t>Sum of Peak Current Loop Delay at i</t>
    </r>
    <r>
      <rPr>
        <vertAlign val="subscript"/>
        <sz val="11"/>
        <color theme="1"/>
        <rFont val="Arial"/>
        <family val="2"/>
      </rPr>
      <t>pk_BUR</t>
    </r>
  </si>
  <si>
    <r>
      <t>t</t>
    </r>
    <r>
      <rPr>
        <vertAlign val="subscript"/>
        <sz val="11"/>
        <color theme="1"/>
        <rFont val="Arial"/>
        <family val="2"/>
      </rPr>
      <t>D_CST_BUR</t>
    </r>
    <r>
      <rPr>
        <sz val="11"/>
        <color theme="1"/>
        <rFont val="Arial"/>
        <family val="2"/>
      </rPr>
      <t xml:space="preserve"> =</t>
    </r>
  </si>
  <si>
    <r>
      <t xml:space="preserve"> D</t>
    </r>
    <r>
      <rPr>
        <vertAlign val="subscript"/>
        <sz val="11"/>
        <color theme="1"/>
        <rFont val="Arial"/>
        <family val="2"/>
      </rPr>
      <t xml:space="preserve">BUR </t>
    </r>
    <r>
      <rPr>
        <sz val="11"/>
        <color theme="1"/>
        <rFont val="Arial"/>
        <family val="2"/>
      </rPr>
      <t>=</t>
    </r>
  </si>
  <si>
    <r>
      <t>I</t>
    </r>
    <r>
      <rPr>
        <vertAlign val="subscript"/>
        <sz val="11"/>
        <color theme="1"/>
        <rFont val="Arial"/>
        <family val="2"/>
      </rPr>
      <t xml:space="preserve">IN_BUR </t>
    </r>
    <r>
      <rPr>
        <sz val="11"/>
        <color theme="1"/>
        <rFont val="Arial"/>
        <family val="2"/>
      </rPr>
      <t>=</t>
    </r>
  </si>
  <si>
    <r>
      <t>i</t>
    </r>
    <r>
      <rPr>
        <vertAlign val="subscript"/>
        <sz val="11"/>
        <color theme="1"/>
        <rFont val="Arial"/>
        <family val="2"/>
      </rPr>
      <t>VSL_BUR</t>
    </r>
    <r>
      <rPr>
        <sz val="11"/>
        <color theme="1"/>
        <rFont val="Arial"/>
        <family val="2"/>
      </rPr>
      <t xml:space="preserve"> =</t>
    </r>
  </si>
  <si>
    <r>
      <t>T</t>
    </r>
    <r>
      <rPr>
        <vertAlign val="subscript"/>
        <sz val="11"/>
        <color theme="1"/>
        <rFont val="Arial"/>
        <family val="2"/>
      </rPr>
      <t>D_Ql_Coss_vmax</t>
    </r>
    <r>
      <rPr>
        <sz val="11"/>
        <color theme="1"/>
        <rFont val="Arial"/>
        <family val="2"/>
      </rPr>
      <t xml:space="preserve"> =</t>
    </r>
  </si>
  <si>
    <r>
      <t xml:space="preserve"> t</t>
    </r>
    <r>
      <rPr>
        <vertAlign val="subscript"/>
        <sz val="11"/>
        <color theme="1"/>
        <rFont val="Arial"/>
        <family val="2"/>
      </rPr>
      <t>D_CST_vmax</t>
    </r>
    <r>
      <rPr>
        <sz val="11"/>
        <color theme="1"/>
        <rFont val="Arial"/>
        <family val="2"/>
      </rPr>
      <t xml:space="preserve"> =</t>
    </r>
  </si>
  <si>
    <r>
      <t>I</t>
    </r>
    <r>
      <rPr>
        <vertAlign val="subscript"/>
        <sz val="11"/>
        <color theme="1"/>
        <rFont val="Arial"/>
        <family val="2"/>
      </rPr>
      <t xml:space="preserve">M_nega_max </t>
    </r>
    <r>
      <rPr>
        <sz val="11"/>
        <color theme="1"/>
        <rFont val="Arial"/>
        <family val="2"/>
      </rPr>
      <t>=</t>
    </r>
  </si>
  <si>
    <r>
      <t>f</t>
    </r>
    <r>
      <rPr>
        <vertAlign val="subscript"/>
        <sz val="11"/>
        <color theme="1"/>
        <rFont val="Arial"/>
        <family val="2"/>
      </rPr>
      <t xml:space="preserve">sw_OPP_max </t>
    </r>
    <r>
      <rPr>
        <sz val="11"/>
        <color theme="1"/>
        <rFont val="Arial"/>
        <family val="2"/>
      </rPr>
      <t>=</t>
    </r>
  </si>
  <si>
    <r>
      <t xml:space="preserve"> i</t>
    </r>
    <r>
      <rPr>
        <vertAlign val="subscript"/>
        <sz val="11"/>
        <color theme="1"/>
        <rFont val="Arial"/>
        <family val="2"/>
      </rPr>
      <t>pk_OPP_max</t>
    </r>
    <r>
      <rPr>
        <sz val="11"/>
        <color theme="1"/>
        <rFont val="Arial"/>
        <family val="2"/>
      </rPr>
      <t xml:space="preserve"> =</t>
    </r>
  </si>
  <si>
    <r>
      <t xml:space="preserve"> D</t>
    </r>
    <r>
      <rPr>
        <vertAlign val="subscript"/>
        <sz val="11"/>
        <color theme="1"/>
        <rFont val="Arial"/>
        <family val="2"/>
      </rPr>
      <t xml:space="preserve">OPP_max </t>
    </r>
    <r>
      <rPr>
        <sz val="11"/>
        <color theme="1"/>
        <rFont val="Arial"/>
        <family val="2"/>
      </rPr>
      <t>=</t>
    </r>
  </si>
  <si>
    <r>
      <t>I</t>
    </r>
    <r>
      <rPr>
        <vertAlign val="subscript"/>
        <sz val="11"/>
        <color theme="1"/>
        <rFont val="Arial"/>
        <family val="2"/>
      </rPr>
      <t xml:space="preserve">IN_OPP_max </t>
    </r>
    <r>
      <rPr>
        <sz val="11"/>
        <color theme="1"/>
        <rFont val="Arial"/>
        <family val="2"/>
      </rPr>
      <t>=</t>
    </r>
  </si>
  <si>
    <r>
      <t>V</t>
    </r>
    <r>
      <rPr>
        <vertAlign val="subscript"/>
        <sz val="11"/>
        <color theme="1"/>
        <rFont val="Arial"/>
        <family val="2"/>
      </rPr>
      <t xml:space="preserve">offset_CS_OPP </t>
    </r>
    <r>
      <rPr>
        <sz val="11"/>
        <color theme="1"/>
        <rFont val="Arial"/>
        <family val="2"/>
      </rPr>
      <t>=</t>
    </r>
  </si>
  <si>
    <r>
      <t>i</t>
    </r>
    <r>
      <rPr>
        <vertAlign val="subscript"/>
        <sz val="11"/>
        <color theme="1"/>
        <rFont val="Arial"/>
        <family val="2"/>
      </rPr>
      <t>VSL_max</t>
    </r>
    <r>
      <rPr>
        <sz val="11"/>
        <color theme="1"/>
        <rFont val="Arial"/>
        <family val="2"/>
      </rPr>
      <t xml:space="preserve"> =</t>
    </r>
  </si>
  <si>
    <r>
      <t>V</t>
    </r>
    <r>
      <rPr>
        <vertAlign val="subscript"/>
        <sz val="11"/>
        <color theme="1"/>
        <rFont val="Arial"/>
        <family val="2"/>
      </rPr>
      <t>R_pri_max</t>
    </r>
    <r>
      <rPr>
        <sz val="11"/>
        <color theme="1"/>
        <rFont val="Arial"/>
        <family val="2"/>
      </rPr>
      <t xml:space="preserve"> =</t>
    </r>
  </si>
  <si>
    <r>
      <t>V</t>
    </r>
    <r>
      <rPr>
        <vertAlign val="subscript"/>
        <sz val="11"/>
        <color theme="1"/>
        <rFont val="Arial"/>
        <family val="2"/>
      </rPr>
      <t>Lk_pri_max</t>
    </r>
    <r>
      <rPr>
        <sz val="11"/>
        <color theme="1"/>
        <rFont val="Arial"/>
        <family val="2"/>
      </rPr>
      <t xml:space="preserve"> =</t>
    </r>
  </si>
  <si>
    <r>
      <t>I</t>
    </r>
    <r>
      <rPr>
        <vertAlign val="subscript"/>
        <sz val="11"/>
        <color theme="1"/>
        <rFont val="Arial"/>
        <family val="2"/>
      </rPr>
      <t xml:space="preserve">M_nega_OPP_min </t>
    </r>
    <r>
      <rPr>
        <sz val="11"/>
        <color theme="1"/>
        <rFont val="Arial"/>
        <family val="2"/>
      </rPr>
      <t>=</t>
    </r>
  </si>
  <si>
    <r>
      <t xml:space="preserve"> i</t>
    </r>
    <r>
      <rPr>
        <vertAlign val="subscript"/>
        <sz val="11"/>
        <color theme="1"/>
        <rFont val="Arial"/>
        <family val="2"/>
      </rPr>
      <t>pk_OPP_min</t>
    </r>
    <r>
      <rPr>
        <sz val="11"/>
        <color theme="1"/>
        <rFont val="Arial"/>
        <family val="2"/>
      </rPr>
      <t xml:space="preserve"> =</t>
    </r>
  </si>
  <si>
    <r>
      <t>f</t>
    </r>
    <r>
      <rPr>
        <vertAlign val="subscript"/>
        <sz val="11"/>
        <color theme="1"/>
        <rFont val="Arial"/>
        <family val="2"/>
      </rPr>
      <t xml:space="preserve">sw_OPP_min </t>
    </r>
    <r>
      <rPr>
        <sz val="11"/>
        <color theme="1"/>
        <rFont val="Arial"/>
        <family val="2"/>
      </rPr>
      <t>=</t>
    </r>
  </si>
  <si>
    <r>
      <t>I</t>
    </r>
    <r>
      <rPr>
        <vertAlign val="subscript"/>
        <sz val="11"/>
        <color theme="1"/>
        <rFont val="Arial"/>
        <family val="2"/>
      </rPr>
      <t xml:space="preserve">IN_OPP_min </t>
    </r>
    <r>
      <rPr>
        <sz val="11"/>
        <color theme="1"/>
        <rFont val="Arial"/>
        <family val="2"/>
      </rPr>
      <t>=</t>
    </r>
  </si>
  <si>
    <r>
      <t xml:space="preserve"> D</t>
    </r>
    <r>
      <rPr>
        <vertAlign val="subscript"/>
        <sz val="11"/>
        <color theme="1"/>
        <rFont val="Arial"/>
        <family val="2"/>
      </rPr>
      <t xml:space="preserve">OPP_min </t>
    </r>
    <r>
      <rPr>
        <sz val="11"/>
        <color theme="1"/>
        <rFont val="Arial"/>
        <family val="2"/>
      </rPr>
      <t>=</t>
    </r>
  </si>
  <si>
    <r>
      <t>T</t>
    </r>
    <r>
      <rPr>
        <vertAlign val="subscript"/>
        <sz val="11"/>
        <color theme="1"/>
        <rFont val="Arial"/>
        <family val="2"/>
      </rPr>
      <t>_on_min</t>
    </r>
    <r>
      <rPr>
        <sz val="11"/>
        <color theme="1"/>
        <rFont val="Arial"/>
        <family val="2"/>
      </rPr>
      <t xml:space="preserve"> =</t>
    </r>
  </si>
  <si>
    <r>
      <t>T</t>
    </r>
    <r>
      <rPr>
        <vertAlign val="subscript"/>
        <sz val="11"/>
        <color theme="1"/>
        <rFont val="Arial"/>
        <family val="2"/>
      </rPr>
      <t>D_Ql_Coss_vmin</t>
    </r>
    <r>
      <rPr>
        <sz val="11"/>
        <color theme="1"/>
        <rFont val="Arial"/>
        <family val="2"/>
      </rPr>
      <t xml:space="preserve"> =</t>
    </r>
  </si>
  <si>
    <r>
      <t>C</t>
    </r>
    <r>
      <rPr>
        <vertAlign val="subscript"/>
        <sz val="11"/>
        <color theme="1"/>
        <rFont val="Arial"/>
        <family val="2"/>
      </rPr>
      <t>SW_0toVxl</t>
    </r>
    <r>
      <rPr>
        <sz val="11"/>
        <color theme="1"/>
        <rFont val="Arial"/>
        <family val="2"/>
      </rPr>
      <t xml:space="preserve"> =</t>
    </r>
  </si>
  <si>
    <r>
      <t>t</t>
    </r>
    <r>
      <rPr>
        <vertAlign val="subscript"/>
        <sz val="11"/>
        <color theme="1"/>
        <rFont val="Arial"/>
        <family val="2"/>
      </rPr>
      <t>D_CST_vmin</t>
    </r>
    <r>
      <rPr>
        <sz val="11"/>
        <color theme="1"/>
        <rFont val="Arial"/>
        <family val="2"/>
      </rPr>
      <t xml:space="preserve"> =</t>
    </r>
  </si>
  <si>
    <r>
      <t xml:space="preserve"> D</t>
    </r>
    <r>
      <rPr>
        <vertAlign val="subscript"/>
        <sz val="11"/>
        <color theme="1"/>
        <rFont val="Arial"/>
        <family val="2"/>
      </rPr>
      <t xml:space="preserve">OPP_run </t>
    </r>
    <r>
      <rPr>
        <sz val="11"/>
        <color theme="1"/>
        <rFont val="Arial"/>
        <family val="2"/>
      </rPr>
      <t>=</t>
    </r>
  </si>
  <si>
    <r>
      <t>I</t>
    </r>
    <r>
      <rPr>
        <vertAlign val="subscript"/>
        <sz val="11"/>
        <color theme="1"/>
        <rFont val="Arial"/>
        <family val="2"/>
      </rPr>
      <t xml:space="preserve">IN_OPP_run </t>
    </r>
    <r>
      <rPr>
        <sz val="11"/>
        <color theme="1"/>
        <rFont val="Arial"/>
        <family val="2"/>
      </rPr>
      <t>=</t>
    </r>
  </si>
  <si>
    <r>
      <t>I</t>
    </r>
    <r>
      <rPr>
        <vertAlign val="subscript"/>
        <sz val="11"/>
        <color theme="1"/>
        <rFont val="Arial"/>
        <family val="2"/>
      </rPr>
      <t xml:space="preserve">M_nega_run </t>
    </r>
    <r>
      <rPr>
        <sz val="11"/>
        <color theme="1"/>
        <rFont val="Arial"/>
        <family val="2"/>
      </rPr>
      <t>=</t>
    </r>
  </si>
  <si>
    <r>
      <t>f</t>
    </r>
    <r>
      <rPr>
        <vertAlign val="subscript"/>
        <sz val="11"/>
        <color theme="1"/>
        <rFont val="Arial"/>
        <family val="2"/>
      </rPr>
      <t xml:space="preserve">sw_OPP_run </t>
    </r>
    <r>
      <rPr>
        <sz val="11"/>
        <color theme="1"/>
        <rFont val="Arial"/>
        <family val="2"/>
      </rPr>
      <t>=</t>
    </r>
  </si>
  <si>
    <r>
      <t xml:space="preserve"> i</t>
    </r>
    <r>
      <rPr>
        <vertAlign val="subscript"/>
        <sz val="11"/>
        <color theme="1"/>
        <rFont val="Arial"/>
        <family val="2"/>
      </rPr>
      <t>pk_OPP_run</t>
    </r>
    <r>
      <rPr>
        <sz val="11"/>
        <color theme="1"/>
        <rFont val="Arial"/>
        <family val="2"/>
      </rPr>
      <t xml:space="preserve"> =</t>
    </r>
  </si>
  <si>
    <r>
      <t>V</t>
    </r>
    <r>
      <rPr>
        <vertAlign val="subscript"/>
        <sz val="11"/>
        <color theme="1"/>
        <rFont val="Arial"/>
        <family val="2"/>
      </rPr>
      <t xml:space="preserve">clamp_max_SR </t>
    </r>
    <r>
      <rPr>
        <sz val="11"/>
        <color theme="1"/>
        <rFont val="Arial"/>
        <family val="2"/>
      </rPr>
      <t>=</t>
    </r>
  </si>
  <si>
    <r>
      <t>V</t>
    </r>
    <r>
      <rPr>
        <vertAlign val="subscript"/>
        <sz val="11"/>
        <color theme="1"/>
        <rFont val="Arial"/>
        <family val="2"/>
      </rPr>
      <t xml:space="preserve">clamp_max_QH </t>
    </r>
    <r>
      <rPr>
        <sz val="11"/>
        <color theme="1"/>
        <rFont val="Arial"/>
        <family val="2"/>
      </rPr>
      <t>=</t>
    </r>
  </si>
  <si>
    <r>
      <t>V</t>
    </r>
    <r>
      <rPr>
        <vertAlign val="subscript"/>
        <sz val="11"/>
        <color theme="1"/>
        <rFont val="Arial"/>
        <family val="2"/>
      </rPr>
      <t xml:space="preserve">clamp_max </t>
    </r>
    <r>
      <rPr>
        <sz val="11"/>
        <color theme="1"/>
        <rFont val="Arial"/>
        <family val="2"/>
      </rPr>
      <t>=</t>
    </r>
  </si>
  <si>
    <r>
      <t>Recommended Minimum L</t>
    </r>
    <r>
      <rPr>
        <vertAlign val="subscript"/>
        <sz val="11"/>
        <color theme="1"/>
        <rFont val="Arial"/>
        <family val="2"/>
      </rPr>
      <t>O</t>
    </r>
    <r>
      <rPr>
        <sz val="11"/>
        <color theme="1"/>
        <rFont val="Arial"/>
        <family val="2"/>
      </rPr>
      <t xml:space="preserve"> </t>
    </r>
  </si>
  <si>
    <r>
      <t>L</t>
    </r>
    <r>
      <rPr>
        <vertAlign val="subscript"/>
        <sz val="11"/>
        <color theme="1"/>
        <rFont val="Arial"/>
        <family val="2"/>
      </rPr>
      <t>O</t>
    </r>
    <r>
      <rPr>
        <sz val="11"/>
        <color theme="1"/>
        <rFont val="Arial"/>
        <family val="2"/>
      </rPr>
      <t xml:space="preserve"> Used in Calculations</t>
    </r>
  </si>
  <si>
    <r>
      <t xml:space="preserve"> R</t>
    </r>
    <r>
      <rPr>
        <vertAlign val="subscript"/>
        <sz val="11"/>
        <rFont val="Calibri"/>
        <family val="2"/>
        <scheme val="minor"/>
      </rPr>
      <t>DAMP</t>
    </r>
    <r>
      <rPr>
        <sz val="7"/>
        <rFont val="Calibri"/>
        <family val="2"/>
        <scheme val="minor"/>
      </rPr>
      <t xml:space="preserve"> </t>
    </r>
    <r>
      <rPr>
        <sz val="11"/>
        <rFont val="Calibri"/>
        <family val="2"/>
      </rPr>
      <t>≥</t>
    </r>
    <r>
      <rPr>
        <sz val="11"/>
        <rFont val="Calibri"/>
        <family val="2"/>
        <scheme val="minor"/>
      </rPr>
      <t xml:space="preserve"> </t>
    </r>
    <r>
      <rPr>
        <sz val="16"/>
        <rFont val="Calibri"/>
        <family val="2"/>
        <scheme val="minor"/>
      </rPr>
      <t>√</t>
    </r>
    <r>
      <rPr>
        <sz val="11"/>
        <rFont val="Calibri"/>
        <family val="2"/>
        <scheme val="minor"/>
      </rPr>
      <t>(L</t>
    </r>
    <r>
      <rPr>
        <vertAlign val="subscript"/>
        <sz val="11"/>
        <rFont val="Calibri"/>
        <family val="2"/>
        <scheme val="minor"/>
      </rPr>
      <t>O</t>
    </r>
    <r>
      <rPr>
        <sz val="11"/>
        <rFont val="Calibri"/>
        <family val="2"/>
        <scheme val="minor"/>
      </rPr>
      <t>/C</t>
    </r>
    <r>
      <rPr>
        <vertAlign val="subscript"/>
        <sz val="11"/>
        <rFont val="Calibri"/>
        <family val="2"/>
        <scheme val="minor"/>
      </rPr>
      <t>O1</t>
    </r>
    <r>
      <rPr>
        <sz val="11"/>
        <rFont val="Calibri"/>
        <family val="2"/>
        <scheme val="minor"/>
      </rPr>
      <t xml:space="preserve">)   </t>
    </r>
  </si>
  <si>
    <r>
      <t>DC-Bias Reduction at Design V</t>
    </r>
    <r>
      <rPr>
        <vertAlign val="subscript"/>
        <sz val="11"/>
        <rFont val="Arial"/>
        <family val="2"/>
      </rPr>
      <t>O</t>
    </r>
  </si>
  <si>
    <t>Trade off stability with efficiency:</t>
  </si>
  <si>
    <r>
      <t>Decrease L</t>
    </r>
    <r>
      <rPr>
        <vertAlign val="subscript"/>
        <sz val="11"/>
        <color theme="1"/>
        <rFont val="Arial"/>
        <family val="2"/>
      </rPr>
      <t>DAMP</t>
    </r>
    <r>
      <rPr>
        <sz val="11"/>
        <color theme="1"/>
        <rFont val="Arial"/>
        <family val="2"/>
      </rPr>
      <t xml:space="preserve"> for stronger damping ==&gt; Lower V</t>
    </r>
    <r>
      <rPr>
        <vertAlign val="subscript"/>
        <sz val="11"/>
        <color theme="1"/>
        <rFont val="Arial"/>
        <family val="2"/>
      </rPr>
      <t>Co1</t>
    </r>
    <r>
      <rPr>
        <sz val="11"/>
        <color theme="1"/>
        <rFont val="Arial"/>
        <family val="2"/>
      </rPr>
      <t xml:space="preserve"> ripple ==&gt; Stable V</t>
    </r>
    <r>
      <rPr>
        <vertAlign val="subscript"/>
        <sz val="11"/>
        <color theme="1"/>
        <rFont val="Arial"/>
        <family val="2"/>
      </rPr>
      <t>gs(SR)</t>
    </r>
    <r>
      <rPr>
        <sz val="11"/>
        <color theme="1"/>
        <rFont val="Arial"/>
        <family val="2"/>
      </rPr>
      <t xml:space="preserve"> ==&gt; Lower efficiency (by 10ths of %)</t>
    </r>
  </si>
  <si>
    <r>
      <t xml:space="preserve"> K</t>
    </r>
    <r>
      <rPr>
        <vertAlign val="subscript"/>
        <sz val="11"/>
        <color theme="1"/>
        <rFont val="Arial"/>
        <family val="2"/>
      </rPr>
      <t>der_SR</t>
    </r>
    <r>
      <rPr>
        <sz val="11"/>
        <color theme="1"/>
        <rFont val="Arial"/>
        <family val="2"/>
      </rPr>
      <t xml:space="preserve"> =</t>
    </r>
  </si>
  <si>
    <r>
      <t xml:space="preserve"> V</t>
    </r>
    <r>
      <rPr>
        <vertAlign val="subscript"/>
        <sz val="11"/>
        <color theme="1"/>
        <rFont val="Arial"/>
        <family val="2"/>
      </rPr>
      <t>SR_rec</t>
    </r>
    <r>
      <rPr>
        <sz val="11"/>
        <color theme="1"/>
        <rFont val="Arial"/>
        <family val="2"/>
      </rPr>
      <t xml:space="preserve"> =</t>
    </r>
  </si>
  <si>
    <r>
      <t xml:space="preserve"> V</t>
    </r>
    <r>
      <rPr>
        <vertAlign val="subscript"/>
        <sz val="11"/>
        <color theme="1"/>
        <rFont val="Arial"/>
        <family val="2"/>
      </rPr>
      <t>SR_act</t>
    </r>
    <r>
      <rPr>
        <sz val="11"/>
        <color theme="1"/>
        <rFont val="Arial"/>
        <family val="2"/>
      </rPr>
      <t xml:space="preserve"> =</t>
    </r>
  </si>
  <si>
    <r>
      <t>C</t>
    </r>
    <r>
      <rPr>
        <vertAlign val="subscript"/>
        <sz val="11"/>
        <color theme="1"/>
        <rFont val="Arial"/>
        <family val="2"/>
      </rPr>
      <t xml:space="preserve">oss_SR_bg </t>
    </r>
    <r>
      <rPr>
        <sz val="11"/>
        <color theme="1"/>
        <rFont val="Arial"/>
        <family val="2"/>
      </rPr>
      <t>=</t>
    </r>
  </si>
  <si>
    <r>
      <t xml:space="preserve"> C</t>
    </r>
    <r>
      <rPr>
        <vertAlign val="subscript"/>
        <sz val="11"/>
        <color theme="1"/>
        <rFont val="Arial"/>
        <family val="2"/>
      </rPr>
      <t xml:space="preserve">oss_SR_sm </t>
    </r>
    <r>
      <rPr>
        <sz val="11"/>
        <color theme="1"/>
        <rFont val="Arial"/>
        <family val="2"/>
      </rPr>
      <t>=</t>
    </r>
  </si>
  <si>
    <r>
      <t xml:space="preserve"> V</t>
    </r>
    <r>
      <rPr>
        <vertAlign val="subscript"/>
        <sz val="11"/>
        <color theme="1"/>
        <rFont val="Arial"/>
        <family val="2"/>
      </rPr>
      <t>x_SR</t>
    </r>
    <r>
      <rPr>
        <sz val="11"/>
        <color theme="1"/>
        <rFont val="Arial"/>
        <family val="2"/>
      </rPr>
      <t xml:space="preserve"> =</t>
    </r>
  </si>
  <si>
    <r>
      <t xml:space="preserve">Recommended </t>
    </r>
    <r>
      <rPr>
        <b/>
        <sz val="11"/>
        <color theme="1"/>
        <rFont val="Arial"/>
        <family val="2"/>
      </rPr>
      <t>Minimum</t>
    </r>
    <r>
      <rPr>
        <sz val="11"/>
        <color theme="1"/>
        <rFont val="Arial"/>
        <family val="2"/>
      </rPr>
      <t xml:space="preserve"> Input Bulk Capacitance</t>
    </r>
  </si>
  <si>
    <r>
      <t>C</t>
    </r>
    <r>
      <rPr>
        <vertAlign val="subscript"/>
        <sz val="11"/>
        <color theme="1"/>
        <rFont val="Arial"/>
        <family val="2"/>
      </rPr>
      <t>BULK_rec</t>
    </r>
    <r>
      <rPr>
        <sz val="11"/>
        <color theme="1"/>
        <rFont val="Arial"/>
        <family val="2"/>
      </rPr>
      <t xml:space="preserve"> =</t>
    </r>
  </si>
  <si>
    <r>
      <t xml:space="preserve"> C</t>
    </r>
    <r>
      <rPr>
        <vertAlign val="subscript"/>
        <sz val="11"/>
        <color theme="1"/>
        <rFont val="Arial"/>
        <family val="2"/>
      </rPr>
      <t>BULK_act</t>
    </r>
    <r>
      <rPr>
        <sz val="11"/>
        <color theme="1"/>
        <rFont val="Arial"/>
        <family val="2"/>
      </rPr>
      <t xml:space="preserve"> =</t>
    </r>
  </si>
  <si>
    <r>
      <t xml:space="preserve"> C</t>
    </r>
    <r>
      <rPr>
        <vertAlign val="subscript"/>
        <sz val="11"/>
        <color theme="1"/>
        <rFont val="Arial"/>
        <family val="2"/>
      </rPr>
      <t>BULK</t>
    </r>
    <r>
      <rPr>
        <sz val="11"/>
        <color theme="1"/>
        <rFont val="Arial"/>
        <family val="2"/>
      </rPr>
      <t xml:space="preserve"> =</t>
    </r>
  </si>
  <si>
    <r>
      <t>ESR of Output Capacitor C</t>
    </r>
    <r>
      <rPr>
        <vertAlign val="subscript"/>
        <sz val="11"/>
        <color theme="1"/>
        <rFont val="Arial"/>
        <family val="2"/>
      </rPr>
      <t>OUT</t>
    </r>
    <r>
      <rPr>
        <sz val="11"/>
        <color rgb="FF0000FF"/>
        <rFont val="Arial"/>
        <family val="2"/>
      </rPr>
      <t/>
    </r>
  </si>
  <si>
    <r>
      <t xml:space="preserve"> R</t>
    </r>
    <r>
      <rPr>
        <vertAlign val="subscript"/>
        <sz val="11"/>
        <color theme="1"/>
        <rFont val="Arial"/>
        <family val="2"/>
      </rPr>
      <t>CO</t>
    </r>
    <r>
      <rPr>
        <sz val="11"/>
        <color theme="1"/>
        <rFont val="Arial"/>
        <family val="2"/>
      </rPr>
      <t xml:space="preserve"> =</t>
    </r>
  </si>
  <si>
    <r>
      <t>m</t>
    </r>
    <r>
      <rPr>
        <sz val="11"/>
        <color theme="1"/>
        <rFont val="Calibri"/>
        <family val="2"/>
      </rPr>
      <t>Ω</t>
    </r>
  </si>
  <si>
    <r>
      <t xml:space="preserve">Recommended </t>
    </r>
    <r>
      <rPr>
        <b/>
        <sz val="11"/>
        <color theme="1"/>
        <rFont val="Arial"/>
        <family val="2"/>
      </rPr>
      <t>Minimum</t>
    </r>
    <r>
      <rPr>
        <sz val="11"/>
        <color theme="1"/>
        <rFont val="Arial"/>
        <family val="2"/>
      </rPr>
      <t xml:space="preserve"> Output Capacitance</t>
    </r>
  </si>
  <si>
    <r>
      <t xml:space="preserve"> C</t>
    </r>
    <r>
      <rPr>
        <vertAlign val="subscript"/>
        <sz val="11"/>
        <color theme="1"/>
        <rFont val="Arial"/>
        <family val="2"/>
      </rPr>
      <t xml:space="preserve">OUT_rec </t>
    </r>
    <r>
      <rPr>
        <sz val="11"/>
        <color theme="1"/>
        <rFont val="Arial"/>
        <family val="2"/>
      </rPr>
      <t>=</t>
    </r>
  </si>
  <si>
    <r>
      <t xml:space="preserve"> C</t>
    </r>
    <r>
      <rPr>
        <vertAlign val="subscript"/>
        <sz val="11"/>
        <color theme="1"/>
        <rFont val="Arial"/>
        <family val="2"/>
      </rPr>
      <t>OUT_act</t>
    </r>
    <r>
      <rPr>
        <sz val="11"/>
        <color theme="1"/>
        <rFont val="Arial"/>
        <family val="2"/>
      </rPr>
      <t xml:space="preserve"> =</t>
    </r>
  </si>
  <si>
    <r>
      <t xml:space="preserve"> C</t>
    </r>
    <r>
      <rPr>
        <vertAlign val="subscript"/>
        <sz val="11"/>
        <color theme="1"/>
        <rFont val="Arial"/>
        <family val="2"/>
      </rPr>
      <t>OUT</t>
    </r>
    <r>
      <rPr>
        <sz val="11"/>
        <color theme="1"/>
        <rFont val="Arial"/>
        <family val="2"/>
      </rPr>
      <t xml:space="preserve"> =</t>
    </r>
  </si>
  <si>
    <r>
      <t>T</t>
    </r>
    <r>
      <rPr>
        <vertAlign val="subscript"/>
        <sz val="11"/>
        <color theme="1"/>
        <rFont val="Arial"/>
        <family val="2"/>
      </rPr>
      <t xml:space="preserve">D_LDr </t>
    </r>
    <r>
      <rPr>
        <sz val="11"/>
        <color theme="1"/>
        <rFont val="Arial"/>
        <family val="2"/>
      </rPr>
      <t>=</t>
    </r>
  </si>
  <si>
    <r>
      <t xml:space="preserve"> T</t>
    </r>
    <r>
      <rPr>
        <vertAlign val="subscript"/>
        <sz val="11"/>
        <color theme="1"/>
        <rFont val="Arial"/>
        <family val="2"/>
      </rPr>
      <t>D_HDr</t>
    </r>
    <r>
      <rPr>
        <sz val="11"/>
        <color theme="1"/>
        <rFont val="Arial"/>
        <family val="2"/>
      </rPr>
      <t xml:space="preserve"> =</t>
    </r>
  </si>
  <si>
    <r>
      <t>V</t>
    </r>
    <r>
      <rPr>
        <vertAlign val="subscript"/>
        <sz val="11"/>
        <color theme="1"/>
        <rFont val="Arial"/>
        <family val="2"/>
      </rPr>
      <t>f_BootD</t>
    </r>
    <r>
      <rPr>
        <sz val="11"/>
        <color theme="1"/>
        <rFont val="Arial"/>
        <family val="2"/>
      </rPr>
      <t xml:space="preserve"> =</t>
    </r>
  </si>
  <si>
    <r>
      <t xml:space="preserve"> C</t>
    </r>
    <r>
      <rPr>
        <vertAlign val="subscript"/>
        <sz val="11"/>
        <color theme="1"/>
        <rFont val="Arial"/>
        <family val="2"/>
      </rPr>
      <t xml:space="preserve">BootD_T </t>
    </r>
    <r>
      <rPr>
        <sz val="11"/>
        <color theme="1"/>
        <rFont val="Arial"/>
        <family val="2"/>
      </rPr>
      <t>=</t>
    </r>
  </si>
  <si>
    <r>
      <t xml:space="preserve"> I</t>
    </r>
    <r>
      <rPr>
        <vertAlign val="subscript"/>
        <sz val="11"/>
        <color theme="1"/>
        <rFont val="Arial"/>
        <family val="2"/>
      </rPr>
      <t xml:space="preserve">VCC_qcc </t>
    </r>
    <r>
      <rPr>
        <sz val="11"/>
        <color theme="1"/>
        <rFont val="Arial"/>
        <family val="2"/>
      </rPr>
      <t>=</t>
    </r>
  </si>
  <si>
    <r>
      <t xml:space="preserve"> V</t>
    </r>
    <r>
      <rPr>
        <vertAlign val="subscript"/>
        <sz val="11"/>
        <color theme="1"/>
        <rFont val="Arial"/>
        <family val="2"/>
      </rPr>
      <t>DS_rec</t>
    </r>
    <r>
      <rPr>
        <sz val="11"/>
        <color theme="1"/>
        <rFont val="Arial"/>
        <family val="2"/>
      </rPr>
      <t xml:space="preserve"> =</t>
    </r>
  </si>
  <si>
    <r>
      <t xml:space="preserve"> V</t>
    </r>
    <r>
      <rPr>
        <vertAlign val="subscript"/>
        <sz val="11"/>
        <color theme="1"/>
        <rFont val="Arial"/>
        <family val="2"/>
      </rPr>
      <t>DS_act</t>
    </r>
    <r>
      <rPr>
        <sz val="11"/>
        <color theme="1"/>
        <rFont val="Arial"/>
        <family val="2"/>
      </rPr>
      <t xml:space="preserve"> =</t>
    </r>
  </si>
  <si>
    <r>
      <t xml:space="preserve"> K</t>
    </r>
    <r>
      <rPr>
        <vertAlign val="subscript"/>
        <sz val="11"/>
        <color theme="1"/>
        <rFont val="Arial"/>
        <family val="2"/>
      </rPr>
      <t>TZ</t>
    </r>
    <r>
      <rPr>
        <sz val="11"/>
        <color theme="1"/>
        <rFont val="Arial"/>
        <family val="2"/>
      </rPr>
      <t xml:space="preserve"> =</t>
    </r>
  </si>
  <si>
    <r>
      <t>F</t>
    </r>
    <r>
      <rPr>
        <vertAlign val="superscript"/>
        <sz val="11"/>
        <color theme="1"/>
        <rFont val="Arial"/>
        <family val="2"/>
      </rPr>
      <t>-1</t>
    </r>
  </si>
  <si>
    <r>
      <t>R</t>
    </r>
    <r>
      <rPr>
        <vertAlign val="subscript"/>
        <sz val="11"/>
        <color theme="1"/>
        <rFont val="Arial"/>
        <family val="2"/>
      </rPr>
      <t xml:space="preserve">DSon_QH </t>
    </r>
    <r>
      <rPr>
        <sz val="11"/>
        <color theme="1"/>
        <rFont val="Arial"/>
        <family val="2"/>
      </rPr>
      <t>=</t>
    </r>
  </si>
  <si>
    <r>
      <t xml:space="preserve"> C</t>
    </r>
    <r>
      <rPr>
        <vertAlign val="subscript"/>
        <sz val="11"/>
        <color theme="1"/>
        <rFont val="Arial"/>
        <family val="2"/>
      </rPr>
      <t>OSS_QH_bg</t>
    </r>
    <r>
      <rPr>
        <sz val="11"/>
        <color theme="1"/>
        <rFont val="Arial"/>
        <family val="2"/>
      </rPr>
      <t xml:space="preserve"> =</t>
    </r>
  </si>
  <si>
    <r>
      <t xml:space="preserve"> C</t>
    </r>
    <r>
      <rPr>
        <vertAlign val="subscript"/>
        <sz val="11"/>
        <color theme="1"/>
        <rFont val="Arial"/>
        <family val="2"/>
      </rPr>
      <t xml:space="preserve">OSS_QH_sm </t>
    </r>
    <r>
      <rPr>
        <sz val="11"/>
        <color theme="1"/>
        <rFont val="Arial"/>
        <family val="2"/>
      </rPr>
      <t>=</t>
    </r>
  </si>
  <si>
    <r>
      <t xml:space="preserve"> V</t>
    </r>
    <r>
      <rPr>
        <vertAlign val="subscript"/>
        <sz val="11"/>
        <color theme="1"/>
        <rFont val="Arial"/>
        <family val="2"/>
      </rPr>
      <t>xh</t>
    </r>
    <r>
      <rPr>
        <sz val="11"/>
        <color theme="1"/>
        <rFont val="Arial"/>
        <family val="2"/>
      </rPr>
      <t xml:space="preserve"> =</t>
    </r>
  </si>
  <si>
    <r>
      <t xml:space="preserve"> I</t>
    </r>
    <r>
      <rPr>
        <vertAlign val="subscript"/>
        <sz val="11"/>
        <color theme="1"/>
        <rFont val="Arial"/>
        <family val="2"/>
      </rPr>
      <t>QH_max</t>
    </r>
    <r>
      <rPr>
        <sz val="11"/>
        <color theme="1"/>
        <rFont val="Arial"/>
        <family val="2"/>
      </rPr>
      <t xml:space="preserve"> =</t>
    </r>
  </si>
  <si>
    <r>
      <t>R</t>
    </r>
    <r>
      <rPr>
        <vertAlign val="subscript"/>
        <sz val="11"/>
        <color theme="1"/>
        <rFont val="Arial"/>
        <family val="2"/>
      </rPr>
      <t xml:space="preserve">DSon_QL </t>
    </r>
    <r>
      <rPr>
        <sz val="11"/>
        <color theme="1"/>
        <rFont val="Arial"/>
        <family val="2"/>
      </rPr>
      <t>=</t>
    </r>
  </si>
  <si>
    <r>
      <t>C</t>
    </r>
    <r>
      <rPr>
        <vertAlign val="subscript"/>
        <sz val="11"/>
        <color theme="1"/>
        <rFont val="Arial"/>
        <family val="2"/>
      </rPr>
      <t>OSS_QL_bg</t>
    </r>
    <r>
      <rPr>
        <sz val="11"/>
        <color theme="1"/>
        <rFont val="Arial"/>
        <family val="2"/>
      </rPr>
      <t xml:space="preserve"> =</t>
    </r>
  </si>
  <si>
    <r>
      <t xml:space="preserve"> C</t>
    </r>
    <r>
      <rPr>
        <vertAlign val="subscript"/>
        <sz val="11"/>
        <color theme="1"/>
        <rFont val="Arial"/>
        <family val="2"/>
      </rPr>
      <t xml:space="preserve">OSS_QL_sm </t>
    </r>
    <r>
      <rPr>
        <sz val="11"/>
        <color theme="1"/>
        <rFont val="Arial"/>
        <family val="2"/>
      </rPr>
      <t>=</t>
    </r>
  </si>
  <si>
    <r>
      <t xml:space="preserve"> V</t>
    </r>
    <r>
      <rPr>
        <vertAlign val="subscript"/>
        <sz val="11"/>
        <color theme="1"/>
        <rFont val="Arial"/>
        <family val="2"/>
      </rPr>
      <t>xl</t>
    </r>
    <r>
      <rPr>
        <sz val="11"/>
        <color theme="1"/>
        <rFont val="Arial"/>
        <family val="2"/>
      </rPr>
      <t xml:space="preserve"> =</t>
    </r>
  </si>
  <si>
    <r>
      <t>I</t>
    </r>
    <r>
      <rPr>
        <vertAlign val="subscript"/>
        <sz val="11"/>
        <color theme="1"/>
        <rFont val="Arial"/>
        <family val="2"/>
      </rPr>
      <t>QL_max</t>
    </r>
    <r>
      <rPr>
        <sz val="11"/>
        <color theme="1"/>
        <rFont val="Arial"/>
        <family val="2"/>
      </rPr>
      <t xml:space="preserve"> =</t>
    </r>
  </si>
  <si>
    <r>
      <t>V</t>
    </r>
    <r>
      <rPr>
        <vertAlign val="subscript"/>
        <sz val="11"/>
        <color theme="1"/>
        <rFont val="Arial"/>
        <family val="2"/>
      </rPr>
      <t>OUT</t>
    </r>
    <r>
      <rPr>
        <sz val="11"/>
        <color theme="1"/>
        <rFont val="Arial"/>
        <family val="2"/>
      </rPr>
      <t xml:space="preserve"> =</t>
    </r>
  </si>
  <si>
    <r>
      <t>P</t>
    </r>
    <r>
      <rPr>
        <vertAlign val="subscript"/>
        <sz val="11"/>
        <color theme="1"/>
        <rFont val="Arial"/>
        <family val="2"/>
      </rPr>
      <t>O_FL</t>
    </r>
    <r>
      <rPr>
        <sz val="11"/>
        <color theme="1"/>
        <rFont val="Arial"/>
        <family val="2"/>
      </rPr>
      <t xml:space="preserve"> =</t>
    </r>
  </si>
  <si>
    <r>
      <t>I</t>
    </r>
    <r>
      <rPr>
        <vertAlign val="subscript"/>
        <sz val="11"/>
        <color theme="1"/>
        <rFont val="Arial"/>
        <family val="2"/>
      </rPr>
      <t>OUT</t>
    </r>
    <r>
      <rPr>
        <sz val="11"/>
        <color theme="1"/>
        <rFont val="Arial"/>
        <family val="2"/>
      </rPr>
      <t xml:space="preserve"> =</t>
    </r>
  </si>
  <si>
    <r>
      <t xml:space="preserve"> I</t>
    </r>
    <r>
      <rPr>
        <vertAlign val="subscript"/>
        <sz val="11"/>
        <color theme="1"/>
        <rFont val="Arial"/>
        <family val="2"/>
      </rPr>
      <t>OUT_OPP</t>
    </r>
    <r>
      <rPr>
        <sz val="11"/>
        <color theme="1"/>
        <rFont val="Arial"/>
        <family val="2"/>
      </rPr>
      <t xml:space="preserve"> =</t>
    </r>
  </si>
  <si>
    <r>
      <t xml:space="preserve"> f</t>
    </r>
    <r>
      <rPr>
        <vertAlign val="subscript"/>
        <sz val="11"/>
        <color theme="1"/>
        <rFont val="Arial"/>
        <family val="2"/>
      </rPr>
      <t>cr_min</t>
    </r>
    <r>
      <rPr>
        <sz val="11"/>
        <color theme="1"/>
        <rFont val="Arial"/>
        <family val="2"/>
      </rPr>
      <t xml:space="preserve"> =</t>
    </r>
  </si>
  <si>
    <r>
      <t xml:space="preserve"> f</t>
    </r>
    <r>
      <rPr>
        <vertAlign val="subscript"/>
        <sz val="11"/>
        <color theme="1"/>
        <rFont val="Arial"/>
        <family val="2"/>
      </rPr>
      <t>BUR_standby</t>
    </r>
    <r>
      <rPr>
        <sz val="11"/>
        <color theme="1"/>
        <rFont val="Arial"/>
        <family val="2"/>
      </rPr>
      <t xml:space="preserve"> =</t>
    </r>
  </si>
  <si>
    <r>
      <t xml:space="preserve"> V</t>
    </r>
    <r>
      <rPr>
        <vertAlign val="subscript"/>
        <sz val="11"/>
        <color theme="1"/>
        <rFont val="Arial"/>
        <family val="2"/>
      </rPr>
      <t>In_type</t>
    </r>
    <r>
      <rPr>
        <sz val="11"/>
        <color theme="1"/>
        <rFont val="Arial"/>
        <family val="2"/>
      </rPr>
      <t xml:space="preserve"> =</t>
    </r>
  </si>
  <si>
    <r>
      <t xml:space="preserve"> V</t>
    </r>
    <r>
      <rPr>
        <vertAlign val="subscript"/>
        <sz val="11"/>
        <color theme="1"/>
        <rFont val="Arial"/>
        <family val="2"/>
      </rPr>
      <t>In_max</t>
    </r>
    <r>
      <rPr>
        <sz val="11"/>
        <color theme="1"/>
        <rFont val="Arial"/>
        <family val="2"/>
      </rPr>
      <t xml:space="preserve"> =</t>
    </r>
  </si>
  <si>
    <r>
      <t xml:space="preserve"> V</t>
    </r>
    <r>
      <rPr>
        <vertAlign val="subscript"/>
        <sz val="11"/>
        <color theme="1"/>
        <rFont val="Arial"/>
        <family val="2"/>
      </rPr>
      <t>In_BUR</t>
    </r>
    <r>
      <rPr>
        <sz val="11"/>
        <color theme="1"/>
        <rFont val="Arial"/>
        <family val="2"/>
      </rPr>
      <t xml:space="preserve"> =</t>
    </r>
  </si>
  <si>
    <r>
      <t>V</t>
    </r>
    <r>
      <rPr>
        <vertAlign val="subscript"/>
        <sz val="11"/>
        <color theme="1"/>
        <rFont val="Arial"/>
        <family val="2"/>
      </rPr>
      <t>In_min</t>
    </r>
    <r>
      <rPr>
        <sz val="11"/>
        <color theme="1"/>
        <rFont val="Arial"/>
        <family val="2"/>
      </rPr>
      <t xml:space="preserve"> =</t>
    </r>
  </si>
  <si>
    <r>
      <t>V</t>
    </r>
    <r>
      <rPr>
        <vertAlign val="subscript"/>
        <sz val="11"/>
        <color theme="1"/>
        <rFont val="Arial"/>
        <family val="2"/>
      </rPr>
      <t>In_Brownin</t>
    </r>
    <r>
      <rPr>
        <sz val="11"/>
        <color theme="1"/>
        <rFont val="Arial"/>
        <family val="2"/>
      </rPr>
      <t xml:space="preserve"> =    </t>
    </r>
  </si>
  <si>
    <t xml:space="preserve">"Brown-out" Input Voltage Result </t>
  </si>
  <si>
    <r>
      <t>V</t>
    </r>
    <r>
      <rPr>
        <vertAlign val="subscript"/>
        <sz val="11"/>
        <color theme="1"/>
        <rFont val="Arial"/>
        <family val="2"/>
      </rPr>
      <t>In_Brownout</t>
    </r>
    <r>
      <rPr>
        <sz val="11"/>
        <color theme="1"/>
        <rFont val="Arial"/>
        <family val="2"/>
      </rPr>
      <t xml:space="preserve"> = </t>
    </r>
  </si>
  <si>
    <r>
      <t>V</t>
    </r>
    <r>
      <rPr>
        <vertAlign val="subscript"/>
        <sz val="11"/>
        <color theme="1"/>
        <rFont val="Arial"/>
        <family val="2"/>
      </rPr>
      <t>Bulk_min_tgt</t>
    </r>
    <r>
      <rPr>
        <sz val="11"/>
        <color theme="1"/>
        <rFont val="Arial"/>
        <family val="2"/>
      </rPr>
      <t xml:space="preserve"> =</t>
    </r>
  </si>
  <si>
    <r>
      <t>Lowest instantaneous bulk voltage (to calculate C</t>
    </r>
    <r>
      <rPr>
        <vertAlign val="subscript"/>
        <sz val="11"/>
        <color theme="1"/>
        <rFont val="Arial"/>
        <family val="2"/>
      </rPr>
      <t>BULK</t>
    </r>
    <r>
      <rPr>
        <sz val="11"/>
        <color theme="1"/>
        <rFont val="Arial"/>
        <family val="2"/>
      </rPr>
      <t>)</t>
    </r>
  </si>
  <si>
    <r>
      <t>f</t>
    </r>
    <r>
      <rPr>
        <vertAlign val="subscript"/>
        <sz val="11"/>
        <color theme="1"/>
        <rFont val="Arial"/>
        <family val="2"/>
      </rPr>
      <t>LINE_min</t>
    </r>
    <r>
      <rPr>
        <sz val="11"/>
        <color theme="1"/>
        <rFont val="Arial"/>
        <family val="2"/>
      </rPr>
      <t xml:space="preserve"> =</t>
    </r>
  </si>
  <si>
    <t>VDD Supply Current, Run-state, Switching</t>
  </si>
  <si>
    <r>
      <t>V</t>
    </r>
    <r>
      <rPr>
        <vertAlign val="subscript"/>
        <sz val="11"/>
        <color theme="1"/>
        <rFont val="Arial"/>
        <family val="2"/>
      </rPr>
      <t>DD_off</t>
    </r>
    <r>
      <rPr>
        <sz val="11"/>
        <color theme="1"/>
        <rFont val="Arial"/>
        <family val="2"/>
      </rPr>
      <t xml:space="preserve"> =</t>
    </r>
  </si>
  <si>
    <r>
      <t>V</t>
    </r>
    <r>
      <rPr>
        <vertAlign val="subscript"/>
        <sz val="11"/>
        <color theme="1"/>
        <rFont val="Arial"/>
        <family val="2"/>
      </rPr>
      <t>DD_on</t>
    </r>
    <r>
      <rPr>
        <sz val="11"/>
        <color theme="1"/>
        <rFont val="Arial"/>
        <family val="2"/>
      </rPr>
      <t xml:space="preserve"> =</t>
    </r>
  </si>
  <si>
    <r>
      <t>V</t>
    </r>
    <r>
      <rPr>
        <vertAlign val="subscript"/>
        <sz val="11"/>
        <color theme="1"/>
        <rFont val="Arial"/>
        <family val="2"/>
      </rPr>
      <t>DD_max</t>
    </r>
    <r>
      <rPr>
        <sz val="11"/>
        <color theme="1"/>
        <rFont val="Arial"/>
        <family val="2"/>
      </rPr>
      <t xml:space="preserve"> =</t>
    </r>
  </si>
  <si>
    <r>
      <t>V</t>
    </r>
    <r>
      <rPr>
        <vertAlign val="subscript"/>
        <sz val="11"/>
        <color theme="1"/>
        <rFont val="Arial"/>
        <family val="2"/>
      </rPr>
      <t>DD_PCT</t>
    </r>
    <r>
      <rPr>
        <sz val="11"/>
        <color theme="1"/>
        <rFont val="Arial"/>
        <family val="2"/>
      </rPr>
      <t xml:space="preserve"> =</t>
    </r>
  </si>
  <si>
    <r>
      <t>V</t>
    </r>
    <r>
      <rPr>
        <vertAlign val="subscript"/>
        <sz val="11"/>
        <color theme="1"/>
        <rFont val="Arial"/>
        <family val="2"/>
      </rPr>
      <t xml:space="preserve">VS_OVP </t>
    </r>
    <r>
      <rPr>
        <sz val="11"/>
        <color theme="1"/>
        <rFont val="Arial"/>
        <family val="2"/>
      </rPr>
      <t>=</t>
    </r>
  </si>
  <si>
    <r>
      <t>t</t>
    </r>
    <r>
      <rPr>
        <vertAlign val="subscript"/>
        <sz val="11"/>
        <color theme="1"/>
        <rFont val="Arial"/>
        <family val="2"/>
      </rPr>
      <t>D_CS</t>
    </r>
    <r>
      <rPr>
        <sz val="11"/>
        <color theme="1"/>
        <rFont val="Arial"/>
        <family val="2"/>
      </rPr>
      <t xml:space="preserve"> =</t>
    </r>
  </si>
  <si>
    <r>
      <t xml:space="preserve"> V</t>
    </r>
    <r>
      <rPr>
        <vertAlign val="subscript"/>
        <sz val="11"/>
        <color theme="1"/>
        <rFont val="Arial"/>
        <family val="2"/>
      </rPr>
      <t>CST_max</t>
    </r>
    <r>
      <rPr>
        <sz val="11"/>
        <color theme="1"/>
        <rFont val="Arial"/>
        <family val="2"/>
      </rPr>
      <t xml:space="preserve"> =</t>
    </r>
  </si>
  <si>
    <r>
      <t xml:space="preserve"> V</t>
    </r>
    <r>
      <rPr>
        <vertAlign val="subscript"/>
        <sz val="11"/>
        <color theme="1"/>
        <rFont val="Arial"/>
        <family val="2"/>
      </rPr>
      <t>CST_OPP1</t>
    </r>
    <r>
      <rPr>
        <sz val="11"/>
        <color theme="1"/>
        <rFont val="Arial"/>
        <family val="2"/>
      </rPr>
      <t xml:space="preserve"> =</t>
    </r>
  </si>
  <si>
    <r>
      <t xml:space="preserve"> V</t>
    </r>
    <r>
      <rPr>
        <vertAlign val="subscript"/>
        <sz val="11"/>
        <color theme="1"/>
        <rFont val="Arial"/>
        <family val="2"/>
      </rPr>
      <t>CST_OPP4</t>
    </r>
    <r>
      <rPr>
        <sz val="11"/>
        <color theme="1"/>
        <rFont val="Arial"/>
        <family val="2"/>
      </rPr>
      <t xml:space="preserve"> =</t>
    </r>
  </si>
  <si>
    <r>
      <t>V</t>
    </r>
    <r>
      <rPr>
        <vertAlign val="subscript"/>
        <sz val="11"/>
        <color theme="1"/>
        <rFont val="Arial"/>
        <family val="2"/>
      </rPr>
      <t>s_clamp</t>
    </r>
    <r>
      <rPr>
        <sz val="11"/>
        <color theme="1"/>
        <rFont val="Arial"/>
        <family val="2"/>
      </rPr>
      <t xml:space="preserve"> =</t>
    </r>
  </si>
  <si>
    <r>
      <t>K</t>
    </r>
    <r>
      <rPr>
        <vertAlign val="subscript"/>
        <sz val="11"/>
        <color theme="1"/>
        <rFont val="Arial"/>
        <family val="2"/>
      </rPr>
      <t>LC</t>
    </r>
    <r>
      <rPr>
        <sz val="11"/>
        <color theme="1"/>
        <rFont val="Arial"/>
        <family val="2"/>
      </rPr>
      <t xml:space="preserve"> =</t>
    </r>
  </si>
  <si>
    <r>
      <t>K</t>
    </r>
    <r>
      <rPr>
        <vertAlign val="subscript"/>
        <sz val="11"/>
        <color theme="1"/>
        <rFont val="Arial"/>
        <family val="2"/>
      </rPr>
      <t>DM</t>
    </r>
    <r>
      <rPr>
        <sz val="11"/>
        <color theme="1"/>
        <rFont val="Arial"/>
        <family val="2"/>
      </rPr>
      <t xml:space="preserve"> =</t>
    </r>
  </si>
  <si>
    <r>
      <t>Ratio from V</t>
    </r>
    <r>
      <rPr>
        <vertAlign val="subscript"/>
        <sz val="11"/>
        <color theme="1"/>
        <rFont val="Arial"/>
        <family val="2"/>
      </rPr>
      <t>BUR</t>
    </r>
    <r>
      <rPr>
        <sz val="11"/>
        <color theme="1"/>
        <rFont val="Arial"/>
        <family val="2"/>
      </rPr>
      <t xml:space="preserve"> to V</t>
    </r>
    <r>
      <rPr>
        <vertAlign val="subscript"/>
        <sz val="11"/>
        <color theme="1"/>
        <rFont val="Arial"/>
        <family val="2"/>
      </rPr>
      <t>CST</t>
    </r>
    <r>
      <rPr>
        <sz val="11"/>
        <color theme="1"/>
        <rFont val="Arial"/>
        <family val="2"/>
      </rPr>
      <t/>
    </r>
  </si>
  <si>
    <r>
      <t>K</t>
    </r>
    <r>
      <rPr>
        <vertAlign val="subscript"/>
        <sz val="11"/>
        <color theme="1"/>
        <rFont val="Arial"/>
        <family val="2"/>
      </rPr>
      <t>BUR_CST</t>
    </r>
    <r>
      <rPr>
        <sz val="11"/>
        <color theme="1"/>
        <rFont val="Arial"/>
        <family val="2"/>
      </rPr>
      <t xml:space="preserve"> =</t>
    </r>
  </si>
  <si>
    <r>
      <t>I</t>
    </r>
    <r>
      <rPr>
        <vertAlign val="subscript"/>
        <sz val="11"/>
        <color theme="1"/>
        <rFont val="Arial"/>
        <family val="2"/>
      </rPr>
      <t>RUN_VDD</t>
    </r>
    <r>
      <rPr>
        <sz val="11"/>
        <color theme="1"/>
        <rFont val="Arial"/>
        <family val="2"/>
      </rPr>
      <t xml:space="preserve"> =</t>
    </r>
  </si>
  <si>
    <r>
      <t xml:space="preserve"> t</t>
    </r>
    <r>
      <rPr>
        <vertAlign val="subscript"/>
        <sz val="11"/>
        <color theme="1"/>
        <rFont val="Arial"/>
        <family val="2"/>
      </rPr>
      <t>D_RUN_PWML</t>
    </r>
    <r>
      <rPr>
        <sz val="11"/>
        <color theme="1"/>
        <rFont val="Arial"/>
        <family val="2"/>
      </rPr>
      <t xml:space="preserve"> =</t>
    </r>
  </si>
  <si>
    <r>
      <t>V</t>
    </r>
    <r>
      <rPr>
        <vertAlign val="subscript"/>
        <sz val="11"/>
        <color theme="1"/>
        <rFont val="Arial"/>
        <family val="2"/>
      </rPr>
      <t>FB_max</t>
    </r>
    <r>
      <rPr>
        <sz val="11"/>
        <color theme="1"/>
        <rFont val="Arial"/>
        <family val="2"/>
      </rPr>
      <t xml:space="preserve"> =</t>
    </r>
  </si>
  <si>
    <r>
      <t>R</t>
    </r>
    <r>
      <rPr>
        <vertAlign val="subscript"/>
        <sz val="11"/>
        <color theme="1"/>
        <rFont val="Arial"/>
        <family val="2"/>
      </rPr>
      <t>FB_int</t>
    </r>
    <r>
      <rPr>
        <sz val="11"/>
        <color theme="1"/>
        <rFont val="Arial"/>
        <family val="2"/>
      </rPr>
      <t xml:space="preserve"> =</t>
    </r>
  </si>
  <si>
    <r>
      <t>I</t>
    </r>
    <r>
      <rPr>
        <vertAlign val="subscript"/>
        <sz val="11"/>
        <color theme="1"/>
        <rFont val="Arial"/>
        <family val="2"/>
      </rPr>
      <t>FB_max</t>
    </r>
    <r>
      <rPr>
        <sz val="11"/>
        <color theme="1"/>
        <rFont val="Arial"/>
        <family val="2"/>
      </rPr>
      <t xml:space="preserve"> =</t>
    </r>
  </si>
  <si>
    <r>
      <rPr>
        <sz val="11"/>
        <color theme="1"/>
        <rFont val="Calibri"/>
        <family val="2"/>
      </rPr>
      <t>∆</t>
    </r>
    <r>
      <rPr>
        <sz val="11"/>
        <color theme="1"/>
        <rFont val="Arial"/>
        <family val="2"/>
      </rPr>
      <t>V</t>
    </r>
    <r>
      <rPr>
        <vertAlign val="subscript"/>
        <sz val="11"/>
        <color theme="1"/>
        <rFont val="Arial"/>
        <family val="2"/>
      </rPr>
      <t>O_ABM</t>
    </r>
    <r>
      <rPr>
        <sz val="11"/>
        <color theme="1"/>
        <rFont val="Arial"/>
        <family val="2"/>
      </rPr>
      <t xml:space="preserve"> =</t>
    </r>
  </si>
  <si>
    <r>
      <t>f</t>
    </r>
    <r>
      <rPr>
        <vertAlign val="subscript"/>
        <sz val="11"/>
        <color theme="1"/>
        <rFont val="Arial"/>
        <family val="2"/>
      </rPr>
      <t>BUR_UP</t>
    </r>
    <r>
      <rPr>
        <sz val="11"/>
        <color theme="1"/>
        <rFont val="Arial"/>
        <family val="2"/>
      </rPr>
      <t xml:space="preserve"> =</t>
    </r>
  </si>
  <si>
    <r>
      <t>f</t>
    </r>
    <r>
      <rPr>
        <vertAlign val="subscript"/>
        <sz val="11"/>
        <color theme="1"/>
        <rFont val="Arial"/>
        <family val="2"/>
      </rPr>
      <t>BUR_LR</t>
    </r>
    <r>
      <rPr>
        <sz val="11"/>
        <color theme="1"/>
        <rFont val="Arial"/>
        <family val="2"/>
      </rPr>
      <t xml:space="preserve"> =</t>
    </r>
  </si>
  <si>
    <r>
      <t>t</t>
    </r>
    <r>
      <rPr>
        <vertAlign val="subscript"/>
        <sz val="11"/>
        <color theme="1"/>
        <rFont val="Arial"/>
        <family val="2"/>
      </rPr>
      <t>FDR</t>
    </r>
    <r>
      <rPr>
        <sz val="11"/>
        <color theme="1"/>
        <rFont val="Arial"/>
        <family val="2"/>
      </rPr>
      <t xml:space="preserve"> =</t>
    </r>
  </si>
  <si>
    <r>
      <t>K</t>
    </r>
    <r>
      <rPr>
        <vertAlign val="subscript"/>
        <sz val="11"/>
        <color theme="1"/>
        <rFont val="Arial"/>
        <family val="2"/>
      </rPr>
      <t>RES</t>
    </r>
    <r>
      <rPr>
        <sz val="11"/>
        <color theme="1"/>
        <rFont val="Arial"/>
        <family val="2"/>
      </rPr>
      <t xml:space="preserve"> =</t>
    </r>
  </si>
  <si>
    <r>
      <t xml:space="preserve">Minimum </t>
    </r>
    <r>
      <rPr>
        <sz val="11"/>
        <color theme="1"/>
        <rFont val="Calibri"/>
        <family val="2"/>
      </rPr>
      <t>∆</t>
    </r>
    <r>
      <rPr>
        <sz val="11"/>
        <color theme="1"/>
        <rFont val="Arial"/>
        <family val="2"/>
      </rPr>
      <t>V for N</t>
    </r>
    <r>
      <rPr>
        <vertAlign val="subscript"/>
        <sz val="11"/>
        <color theme="1"/>
        <rFont val="Arial"/>
        <family val="2"/>
      </rPr>
      <t>A_min</t>
    </r>
    <r>
      <rPr>
        <sz val="11"/>
        <color theme="1"/>
        <rFont val="Arial"/>
        <family val="2"/>
      </rPr>
      <t xml:space="preserve"> Design Margin</t>
    </r>
  </si>
  <si>
    <r>
      <t>∆V</t>
    </r>
    <r>
      <rPr>
        <sz val="7"/>
        <color theme="1"/>
        <rFont val="Arial"/>
        <family val="2"/>
      </rPr>
      <t>_MIN</t>
    </r>
    <r>
      <rPr>
        <sz val="11"/>
        <color theme="1"/>
        <rFont val="Arial"/>
        <family val="2"/>
      </rPr>
      <t xml:space="preserve"> =</t>
    </r>
  </si>
  <si>
    <r>
      <t>ΔV</t>
    </r>
    <r>
      <rPr>
        <sz val="7"/>
        <color theme="1"/>
        <rFont val="Arial"/>
        <family val="2"/>
      </rPr>
      <t xml:space="preserve">SPIKE_SR </t>
    </r>
    <r>
      <rPr>
        <sz val="11"/>
        <color theme="1"/>
        <rFont val="Arial"/>
        <family val="2"/>
      </rPr>
      <t>=</t>
    </r>
  </si>
  <si>
    <t xml:space="preserve">Typically use 100mV or higher.          Refer to the figure at the right &gt;&gt;&gt;  </t>
  </si>
  <si>
    <t xml:space="preserve">ds specs </t>
  </si>
  <si>
    <t>(Recommended value rounded to nearest integer)</t>
  </si>
  <si>
    <r>
      <t>Choose integer turns: N</t>
    </r>
    <r>
      <rPr>
        <sz val="7"/>
        <rFont val="Arial"/>
        <family val="2"/>
      </rPr>
      <t xml:space="preserve">A_min </t>
    </r>
    <r>
      <rPr>
        <sz val="11"/>
        <rFont val="Arial"/>
        <family val="2"/>
      </rPr>
      <t>&lt; N</t>
    </r>
    <r>
      <rPr>
        <vertAlign val="subscript"/>
        <sz val="11"/>
        <rFont val="Arial"/>
        <family val="2"/>
      </rPr>
      <t>A</t>
    </r>
    <r>
      <rPr>
        <sz val="11"/>
        <rFont val="Arial"/>
        <family val="2"/>
      </rPr>
      <t xml:space="preserve"> &lt; N</t>
    </r>
    <r>
      <rPr>
        <sz val="7"/>
        <rFont val="Arial"/>
        <family val="2"/>
      </rPr>
      <t xml:space="preserve">A_max  </t>
    </r>
  </si>
  <si>
    <t>(at lowest bulk voltage)</t>
  </si>
  <si>
    <r>
      <t>C</t>
    </r>
    <r>
      <rPr>
        <vertAlign val="subscript"/>
        <sz val="11"/>
        <color theme="1"/>
        <rFont val="Arial"/>
        <family val="2"/>
      </rPr>
      <t>OSS_QH_T</t>
    </r>
    <r>
      <rPr>
        <sz val="11"/>
        <color theme="1"/>
        <rFont val="Arial"/>
        <family val="2"/>
      </rPr>
      <t xml:space="preserve"> =</t>
    </r>
  </si>
  <si>
    <r>
      <t>C</t>
    </r>
    <r>
      <rPr>
        <vertAlign val="subscript"/>
        <sz val="11"/>
        <color theme="1"/>
        <rFont val="Arial"/>
        <family val="2"/>
      </rPr>
      <t>OSS_QL_T</t>
    </r>
    <r>
      <rPr>
        <sz val="11"/>
        <color theme="1"/>
        <rFont val="Arial"/>
        <family val="2"/>
      </rPr>
      <t xml:space="preserve"> =</t>
    </r>
  </si>
  <si>
    <r>
      <t>C</t>
    </r>
    <r>
      <rPr>
        <vertAlign val="subscript"/>
        <sz val="11"/>
        <color theme="1"/>
        <rFont val="Arial"/>
        <family val="2"/>
      </rPr>
      <t>Tr</t>
    </r>
    <r>
      <rPr>
        <sz val="11"/>
        <color theme="1"/>
        <rFont val="Arial"/>
        <family val="2"/>
      </rPr>
      <t xml:space="preserve"> =</t>
    </r>
  </si>
  <si>
    <r>
      <t>C</t>
    </r>
    <r>
      <rPr>
        <vertAlign val="subscript"/>
        <sz val="11"/>
        <color theme="1"/>
        <rFont val="Arial"/>
        <family val="2"/>
      </rPr>
      <t>BootD_T</t>
    </r>
    <r>
      <rPr>
        <sz val="11"/>
        <color theme="1"/>
        <rFont val="Arial"/>
        <family val="2"/>
      </rPr>
      <t xml:space="preserve"> =</t>
    </r>
  </si>
  <si>
    <r>
      <t>C</t>
    </r>
    <r>
      <rPr>
        <vertAlign val="subscript"/>
        <sz val="11"/>
        <color theme="1"/>
        <rFont val="Arial"/>
        <family val="2"/>
      </rPr>
      <t xml:space="preserve">OSS_Qs </t>
    </r>
    <r>
      <rPr>
        <sz val="11"/>
        <color theme="1"/>
        <rFont val="Arial"/>
        <family val="2"/>
      </rPr>
      <t>=</t>
    </r>
  </si>
  <si>
    <r>
      <t>C</t>
    </r>
    <r>
      <rPr>
        <vertAlign val="subscript"/>
        <sz val="11"/>
        <color theme="1"/>
        <rFont val="Arial"/>
        <family val="2"/>
      </rPr>
      <t xml:space="preserve">SWN_T </t>
    </r>
    <r>
      <rPr>
        <sz val="11"/>
        <color theme="1"/>
        <rFont val="Arial"/>
        <family val="2"/>
      </rPr>
      <t>=</t>
    </r>
  </si>
  <si>
    <r>
      <t>V</t>
    </r>
    <r>
      <rPr>
        <vertAlign val="subscript"/>
        <sz val="11"/>
        <color theme="1"/>
        <rFont val="Arial"/>
        <family val="2"/>
      </rPr>
      <t>O</t>
    </r>
    <r>
      <rPr>
        <sz val="11"/>
        <color theme="1"/>
        <rFont val="Arial"/>
        <family val="2"/>
      </rPr>
      <t xml:space="preserve"> Reflected to Primary Winding</t>
    </r>
  </si>
  <si>
    <r>
      <t>V</t>
    </r>
    <r>
      <rPr>
        <vertAlign val="subscript"/>
        <sz val="11"/>
        <color theme="1"/>
        <rFont val="Arial"/>
        <family val="2"/>
      </rPr>
      <t>Rfl</t>
    </r>
    <r>
      <rPr>
        <sz val="11"/>
        <color theme="1"/>
        <rFont val="Arial"/>
        <family val="2"/>
      </rPr>
      <t xml:space="preserve"> =</t>
    </r>
  </si>
  <si>
    <r>
      <t>D</t>
    </r>
    <r>
      <rPr>
        <vertAlign val="subscript"/>
        <sz val="11"/>
        <color theme="1"/>
        <rFont val="Arial"/>
        <family val="2"/>
      </rPr>
      <t>_max</t>
    </r>
    <r>
      <rPr>
        <sz val="11"/>
        <color theme="1"/>
        <rFont val="Arial"/>
        <family val="2"/>
      </rPr>
      <t xml:space="preserve"> =</t>
    </r>
  </si>
  <si>
    <r>
      <rPr>
        <b/>
        <sz val="11"/>
        <color theme="1"/>
        <rFont val="Arial"/>
        <family val="2"/>
      </rPr>
      <t>Recommended</t>
    </r>
    <r>
      <rPr>
        <sz val="11"/>
        <color theme="1"/>
        <rFont val="Arial"/>
        <family val="2"/>
      </rPr>
      <t xml:space="preserve"> Primary Magnetizing Inductance </t>
    </r>
  </si>
  <si>
    <r>
      <t>L</t>
    </r>
    <r>
      <rPr>
        <vertAlign val="subscript"/>
        <sz val="11"/>
        <color theme="1"/>
        <rFont val="Arial"/>
        <family val="2"/>
      </rPr>
      <t>M_rec</t>
    </r>
    <r>
      <rPr>
        <sz val="11"/>
        <color theme="1"/>
        <rFont val="Arial"/>
        <family val="2"/>
      </rPr>
      <t xml:space="preserve"> =</t>
    </r>
  </si>
  <si>
    <t>Expected Clamp Cap DC-Bias Reduction, in negative percent</t>
  </si>
  <si>
    <r>
      <rPr>
        <b/>
        <sz val="11"/>
        <color theme="1"/>
        <rFont val="Arial"/>
        <family val="2"/>
      </rPr>
      <t>Recommended</t>
    </r>
    <r>
      <rPr>
        <sz val="11"/>
        <color theme="1"/>
        <rFont val="Arial"/>
        <family val="2"/>
      </rPr>
      <t xml:space="preserve"> Clamp Cap </t>
    </r>
    <r>
      <rPr>
        <b/>
        <sz val="11"/>
        <color theme="1"/>
        <rFont val="Arial"/>
        <family val="2"/>
      </rPr>
      <t xml:space="preserve">Initial </t>
    </r>
    <r>
      <rPr>
        <sz val="11"/>
        <color theme="1"/>
        <rFont val="Arial"/>
        <family val="2"/>
      </rPr>
      <t>Capacitance</t>
    </r>
  </si>
  <si>
    <r>
      <t>C</t>
    </r>
    <r>
      <rPr>
        <vertAlign val="subscript"/>
        <sz val="11"/>
        <color theme="1"/>
        <rFont val="Arial"/>
        <family val="2"/>
      </rPr>
      <t xml:space="preserve">clamp_rec </t>
    </r>
    <r>
      <rPr>
        <sz val="11"/>
        <color theme="1"/>
        <rFont val="Arial"/>
        <family val="2"/>
      </rPr>
      <t>=</t>
    </r>
  </si>
  <si>
    <r>
      <rPr>
        <b/>
        <sz val="11"/>
        <color theme="1"/>
        <rFont val="Arial"/>
        <family val="2"/>
      </rPr>
      <t xml:space="preserve">Actual </t>
    </r>
    <r>
      <rPr>
        <sz val="11"/>
        <color theme="1"/>
        <rFont val="Arial"/>
        <family val="2"/>
      </rPr>
      <t>Clamp Cap Nominal Capacitance Selected</t>
    </r>
  </si>
  <si>
    <r>
      <t>C</t>
    </r>
    <r>
      <rPr>
        <vertAlign val="subscript"/>
        <sz val="11"/>
        <color theme="1"/>
        <rFont val="Arial"/>
        <family val="2"/>
      </rPr>
      <t>clamp_act</t>
    </r>
    <r>
      <rPr>
        <sz val="11"/>
        <color theme="1"/>
        <rFont val="Arial"/>
        <family val="2"/>
      </rPr>
      <t xml:space="preserve"> =</t>
    </r>
  </si>
  <si>
    <r>
      <t xml:space="preserve">Select closest standard value </t>
    </r>
    <r>
      <rPr>
        <sz val="11"/>
        <color theme="1"/>
        <rFont val="Calibri"/>
        <family val="2"/>
      </rPr>
      <t>≥</t>
    </r>
    <r>
      <rPr>
        <sz val="11"/>
        <color theme="1"/>
        <rFont val="Arial"/>
        <family val="2"/>
      </rPr>
      <t xml:space="preserve"> recommended value</t>
    </r>
  </si>
  <si>
    <r>
      <rPr>
        <b/>
        <sz val="11"/>
        <color theme="1"/>
        <rFont val="Arial"/>
        <family val="2"/>
      </rPr>
      <t>Effective</t>
    </r>
    <r>
      <rPr>
        <sz val="11"/>
        <color theme="1"/>
        <rFont val="Arial"/>
        <family val="2"/>
      </rPr>
      <t xml:space="preserve"> Clamp</t>
    </r>
    <r>
      <rPr>
        <b/>
        <sz val="11"/>
        <color theme="1"/>
        <rFont val="Arial"/>
        <family val="2"/>
      </rPr>
      <t xml:space="preserve"> </t>
    </r>
    <r>
      <rPr>
        <sz val="11"/>
        <color theme="1"/>
        <rFont val="Arial"/>
        <family val="2"/>
      </rPr>
      <t>Capacitance under DC Bias</t>
    </r>
  </si>
  <si>
    <r>
      <t>C</t>
    </r>
    <r>
      <rPr>
        <vertAlign val="subscript"/>
        <sz val="11"/>
        <color theme="1"/>
        <rFont val="Arial"/>
        <family val="2"/>
      </rPr>
      <t xml:space="preserve">clamp_eff </t>
    </r>
    <r>
      <rPr>
        <sz val="11"/>
        <color theme="1"/>
        <rFont val="Arial"/>
        <family val="2"/>
      </rPr>
      <t>=</t>
    </r>
  </si>
  <si>
    <r>
      <t>C</t>
    </r>
    <r>
      <rPr>
        <vertAlign val="subscript"/>
        <sz val="11"/>
        <color theme="1"/>
        <rFont val="Arial"/>
        <family val="2"/>
      </rPr>
      <t>clamp</t>
    </r>
    <r>
      <rPr>
        <sz val="11"/>
        <color theme="1"/>
        <rFont val="Arial"/>
        <family val="2"/>
      </rPr>
      <t xml:space="preserve"> =</t>
    </r>
  </si>
  <si>
    <r>
      <t>R</t>
    </r>
    <r>
      <rPr>
        <vertAlign val="subscript"/>
        <sz val="11"/>
        <color theme="1"/>
        <rFont val="Arial"/>
        <family val="2"/>
      </rPr>
      <t>BLEED_rec</t>
    </r>
    <r>
      <rPr>
        <sz val="11"/>
        <color theme="1"/>
        <rFont val="Arial"/>
        <family val="2"/>
      </rPr>
      <t xml:space="preserve"> =</t>
    </r>
  </si>
  <si>
    <r>
      <t>R</t>
    </r>
    <r>
      <rPr>
        <vertAlign val="subscript"/>
        <sz val="11"/>
        <color theme="1"/>
        <rFont val="Arial"/>
        <family val="2"/>
      </rPr>
      <t>BLEED_act</t>
    </r>
    <r>
      <rPr>
        <sz val="11"/>
        <color theme="1"/>
        <rFont val="Arial"/>
        <family val="2"/>
      </rPr>
      <t xml:space="preserve"> =</t>
    </r>
  </si>
  <si>
    <r>
      <t>R</t>
    </r>
    <r>
      <rPr>
        <vertAlign val="subscript"/>
        <sz val="11"/>
        <color theme="1"/>
        <rFont val="Arial"/>
        <family val="2"/>
      </rPr>
      <t>BLEED</t>
    </r>
    <r>
      <rPr>
        <sz val="11"/>
        <color theme="1"/>
        <rFont val="Arial"/>
        <family val="2"/>
      </rPr>
      <t xml:space="preserve"> =</t>
    </r>
  </si>
  <si>
    <r>
      <t>T</t>
    </r>
    <r>
      <rPr>
        <vertAlign val="subscript"/>
        <sz val="11"/>
        <color theme="1"/>
        <rFont val="Arial"/>
        <family val="2"/>
      </rPr>
      <t>D_CS_filter</t>
    </r>
    <r>
      <rPr>
        <sz val="11"/>
        <color theme="1"/>
        <rFont val="Arial"/>
        <family val="2"/>
      </rPr>
      <t xml:space="preserve"> =</t>
    </r>
  </si>
  <si>
    <r>
      <t>R</t>
    </r>
    <r>
      <rPr>
        <vertAlign val="subscript"/>
        <sz val="11"/>
        <color theme="1"/>
        <rFont val="Arial"/>
        <family val="2"/>
      </rPr>
      <t xml:space="preserve">CS_rec </t>
    </r>
    <r>
      <rPr>
        <sz val="11"/>
        <color theme="1"/>
        <rFont val="Arial"/>
        <family val="2"/>
      </rPr>
      <t>=</t>
    </r>
  </si>
  <si>
    <r>
      <t>R</t>
    </r>
    <r>
      <rPr>
        <vertAlign val="subscript"/>
        <sz val="11"/>
        <color theme="1"/>
        <rFont val="Arial"/>
        <family val="2"/>
      </rPr>
      <t xml:space="preserve">CS_act </t>
    </r>
    <r>
      <rPr>
        <sz val="11"/>
        <color theme="1"/>
        <rFont val="Arial"/>
        <family val="2"/>
      </rPr>
      <t>=</t>
    </r>
  </si>
  <si>
    <r>
      <t>R</t>
    </r>
    <r>
      <rPr>
        <vertAlign val="subscript"/>
        <sz val="11"/>
        <color theme="1"/>
        <rFont val="Arial"/>
        <family val="2"/>
      </rPr>
      <t xml:space="preserve">CS </t>
    </r>
    <r>
      <rPr>
        <sz val="11"/>
        <color theme="1"/>
        <rFont val="Arial"/>
        <family val="2"/>
      </rPr>
      <t>=</t>
    </r>
  </si>
  <si>
    <r>
      <t>i</t>
    </r>
    <r>
      <rPr>
        <vertAlign val="subscript"/>
        <sz val="11"/>
        <color theme="1"/>
        <rFont val="Arial"/>
        <family val="2"/>
      </rPr>
      <t>QL_RMS</t>
    </r>
    <r>
      <rPr>
        <sz val="11"/>
        <color theme="1"/>
        <rFont val="Arial"/>
        <family val="2"/>
      </rPr>
      <t xml:space="preserve"> =</t>
    </r>
  </si>
  <si>
    <r>
      <t>P</t>
    </r>
    <r>
      <rPr>
        <vertAlign val="subscript"/>
        <sz val="11"/>
        <color theme="1"/>
        <rFont val="Arial"/>
        <family val="2"/>
      </rPr>
      <t>Rcs</t>
    </r>
    <r>
      <rPr>
        <sz val="11"/>
        <color theme="1"/>
        <rFont val="Arial"/>
        <family val="2"/>
      </rPr>
      <t xml:space="preserve"> =</t>
    </r>
  </si>
  <si>
    <t xml:space="preserve">Ω </t>
  </si>
  <si>
    <t xml:space="preserve">Ω                                                       </t>
  </si>
  <si>
    <r>
      <t>R</t>
    </r>
    <r>
      <rPr>
        <vertAlign val="subscript"/>
        <sz val="11"/>
        <color theme="1"/>
        <rFont val="Arial"/>
        <family val="2"/>
      </rPr>
      <t>DM_rec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</si>
  <si>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DM</t>
    </r>
    <r>
      <rPr>
        <sz val="11"/>
        <color theme="1"/>
        <rFont val="Arial"/>
        <family val="2"/>
      </rPr>
      <t xml:space="preserve"> Resistor</t>
    </r>
  </si>
  <si>
    <r>
      <t>R</t>
    </r>
    <r>
      <rPr>
        <vertAlign val="subscript"/>
        <sz val="11"/>
        <color theme="1"/>
        <rFont val="Arial"/>
        <family val="2"/>
      </rPr>
      <t>DM_act</t>
    </r>
    <r>
      <rPr>
        <sz val="11"/>
        <color theme="1"/>
        <rFont val="Arial"/>
        <family val="2"/>
      </rPr>
      <t xml:space="preserve"> =</t>
    </r>
  </si>
  <si>
    <r>
      <t>R</t>
    </r>
    <r>
      <rPr>
        <vertAlign val="subscript"/>
        <sz val="11"/>
        <color theme="1"/>
        <rFont val="Arial"/>
        <family val="2"/>
      </rPr>
      <t>DM</t>
    </r>
    <r>
      <rPr>
        <sz val="11"/>
        <color theme="1"/>
        <rFont val="Arial"/>
        <family val="2"/>
      </rPr>
      <t xml:space="preserve"> Resistor Used in Calculations</t>
    </r>
  </si>
  <si>
    <r>
      <t>R</t>
    </r>
    <r>
      <rPr>
        <vertAlign val="subscript"/>
        <sz val="11"/>
        <color theme="1"/>
        <rFont val="Arial"/>
        <family val="2"/>
      </rPr>
      <t>DM</t>
    </r>
    <r>
      <rPr>
        <sz val="11"/>
        <color theme="1"/>
        <rFont val="Arial"/>
        <family val="2"/>
      </rPr>
      <t xml:space="preserve"> =</t>
    </r>
  </si>
  <si>
    <r>
      <t>T</t>
    </r>
    <r>
      <rPr>
        <vertAlign val="subscript"/>
        <sz val="11"/>
        <color theme="1"/>
        <rFont val="Arial"/>
        <family val="2"/>
      </rPr>
      <t>Z_min</t>
    </r>
    <r>
      <rPr>
        <sz val="11"/>
        <color theme="1"/>
        <rFont val="Arial"/>
        <family val="2"/>
      </rPr>
      <t xml:space="preserve"> =</t>
    </r>
  </si>
  <si>
    <r>
      <t>R</t>
    </r>
    <r>
      <rPr>
        <vertAlign val="subscript"/>
        <sz val="11"/>
        <color theme="1"/>
        <rFont val="Arial"/>
        <family val="2"/>
      </rPr>
      <t>TZ_rec</t>
    </r>
    <r>
      <rPr>
        <sz val="11"/>
        <color theme="1"/>
        <rFont val="Arial"/>
        <family val="2"/>
      </rPr>
      <t xml:space="preserve"> =</t>
    </r>
  </si>
  <si>
    <r>
      <rPr>
        <b/>
        <sz val="11"/>
        <color theme="1"/>
        <rFont val="Arial"/>
        <family val="2"/>
      </rPr>
      <t xml:space="preserve">Actual </t>
    </r>
    <r>
      <rPr>
        <sz val="11"/>
        <color theme="1"/>
        <rFont val="Arial"/>
        <family val="2"/>
      </rPr>
      <t>RTZ Resistor</t>
    </r>
  </si>
  <si>
    <r>
      <t>R</t>
    </r>
    <r>
      <rPr>
        <vertAlign val="subscript"/>
        <sz val="11"/>
        <color theme="1"/>
        <rFont val="Arial"/>
        <family val="2"/>
      </rPr>
      <t>TZ_act</t>
    </r>
    <r>
      <rPr>
        <sz val="11"/>
        <color theme="1"/>
        <rFont val="Arial"/>
        <family val="2"/>
      </rPr>
      <t xml:space="preserve"> =</t>
    </r>
  </si>
  <si>
    <r>
      <t>R</t>
    </r>
    <r>
      <rPr>
        <vertAlign val="subscript"/>
        <sz val="11"/>
        <color theme="1"/>
        <rFont val="Arial"/>
        <family val="2"/>
      </rPr>
      <t>TZ</t>
    </r>
    <r>
      <rPr>
        <sz val="11"/>
        <color theme="1"/>
        <rFont val="Arial"/>
        <family val="2"/>
      </rPr>
      <t xml:space="preserve"> =</t>
    </r>
  </si>
  <si>
    <r>
      <t>V</t>
    </r>
    <r>
      <rPr>
        <vertAlign val="subscript"/>
        <sz val="11"/>
        <color theme="1"/>
        <rFont val="Arial"/>
        <family val="2"/>
      </rPr>
      <t>CST_BUR</t>
    </r>
    <r>
      <rPr>
        <sz val="11"/>
        <color theme="1"/>
        <rFont val="Arial"/>
        <family val="2"/>
      </rPr>
      <t xml:space="preserve"> =</t>
    </r>
  </si>
  <si>
    <r>
      <t>Equivalent BUR Voltage Target Based on V</t>
    </r>
    <r>
      <rPr>
        <vertAlign val="subscript"/>
        <sz val="11"/>
        <color theme="1"/>
        <rFont val="Arial"/>
        <family val="2"/>
      </rPr>
      <t>CST_BUR</t>
    </r>
  </si>
  <si>
    <r>
      <t>V</t>
    </r>
    <r>
      <rPr>
        <vertAlign val="subscript"/>
        <sz val="11"/>
        <color theme="1"/>
        <rFont val="Arial"/>
        <family val="2"/>
      </rPr>
      <t>BUR_tgt</t>
    </r>
    <r>
      <rPr>
        <sz val="11"/>
        <color theme="1"/>
        <rFont val="Arial"/>
        <family val="2"/>
      </rPr>
      <t xml:space="preserve"> =</t>
    </r>
  </si>
  <si>
    <r>
      <rPr>
        <b/>
        <sz val="11"/>
        <color theme="1"/>
        <rFont val="Arial"/>
        <family val="2"/>
      </rPr>
      <t xml:space="preserve">Recommended </t>
    </r>
    <r>
      <rPr>
        <sz val="11"/>
        <color theme="1"/>
        <rFont val="Arial"/>
        <family val="2"/>
      </rPr>
      <t>R</t>
    </r>
    <r>
      <rPr>
        <vertAlign val="subscript"/>
        <sz val="11"/>
        <color theme="1"/>
        <rFont val="Arial"/>
        <family val="2"/>
      </rPr>
      <t>BUR2_rec</t>
    </r>
    <r>
      <rPr>
        <sz val="11"/>
        <color theme="1"/>
        <rFont val="Arial"/>
        <family val="2"/>
      </rPr>
      <t xml:space="preserve"> Resistor</t>
    </r>
  </si>
  <si>
    <r>
      <t>R</t>
    </r>
    <r>
      <rPr>
        <vertAlign val="subscript"/>
        <sz val="11"/>
        <color theme="1"/>
        <rFont val="Arial"/>
        <family val="2"/>
      </rPr>
      <t>BUR2_rec</t>
    </r>
    <r>
      <rPr>
        <sz val="11"/>
        <color theme="1"/>
        <rFont val="Arial"/>
        <family val="2"/>
      </rPr>
      <t xml:space="preserve"> =</t>
    </r>
  </si>
  <si>
    <r>
      <rPr>
        <b/>
        <sz val="11"/>
        <color theme="1"/>
        <rFont val="Arial"/>
        <family val="2"/>
      </rPr>
      <t xml:space="preserve">Actual </t>
    </r>
    <r>
      <rPr>
        <sz val="11"/>
        <color theme="1"/>
        <rFont val="Arial"/>
        <family val="2"/>
      </rPr>
      <t>R</t>
    </r>
    <r>
      <rPr>
        <vertAlign val="subscript"/>
        <sz val="11"/>
        <color theme="1"/>
        <rFont val="Arial"/>
        <family val="2"/>
      </rPr>
      <t>BUR2_act</t>
    </r>
    <r>
      <rPr>
        <sz val="11"/>
        <color theme="1"/>
        <rFont val="Arial"/>
        <family val="2"/>
      </rPr>
      <t xml:space="preserve"> Resistor</t>
    </r>
  </si>
  <si>
    <r>
      <t>R</t>
    </r>
    <r>
      <rPr>
        <vertAlign val="subscript"/>
        <sz val="11"/>
        <color theme="1"/>
        <rFont val="Arial"/>
        <family val="2"/>
      </rPr>
      <t>BUR2_act</t>
    </r>
    <r>
      <rPr>
        <sz val="11"/>
        <color theme="1"/>
        <rFont val="Arial"/>
        <family val="2"/>
      </rPr>
      <t xml:space="preserve"> =</t>
    </r>
  </si>
  <si>
    <r>
      <t>R</t>
    </r>
    <r>
      <rPr>
        <vertAlign val="subscript"/>
        <sz val="11"/>
        <color theme="1"/>
        <rFont val="Arial"/>
        <family val="2"/>
      </rPr>
      <t>BUR2</t>
    </r>
    <r>
      <rPr>
        <sz val="11"/>
        <color theme="1"/>
        <rFont val="Arial"/>
        <family val="2"/>
      </rPr>
      <t xml:space="preserve"> Resistor Used in Calculations</t>
    </r>
  </si>
  <si>
    <r>
      <t>R</t>
    </r>
    <r>
      <rPr>
        <vertAlign val="subscript"/>
        <sz val="11"/>
        <color theme="1"/>
        <rFont val="Arial"/>
        <family val="2"/>
      </rPr>
      <t xml:space="preserve">BUR2 </t>
    </r>
    <r>
      <rPr>
        <sz val="11"/>
        <color theme="1"/>
        <rFont val="Arial"/>
        <family val="2"/>
      </rPr>
      <t>=</t>
    </r>
  </si>
  <si>
    <r>
      <rPr>
        <b/>
        <sz val="11"/>
        <color theme="1"/>
        <rFont val="Arial"/>
        <family val="2"/>
      </rPr>
      <t xml:space="preserve">Recommended </t>
    </r>
    <r>
      <rPr>
        <sz val="11"/>
        <color theme="1"/>
        <rFont val="Arial"/>
        <family val="2"/>
      </rPr>
      <t>R</t>
    </r>
    <r>
      <rPr>
        <vertAlign val="subscript"/>
        <sz val="11"/>
        <color theme="1"/>
        <rFont val="Arial"/>
        <family val="2"/>
      </rPr>
      <t>BUR1_rec</t>
    </r>
    <r>
      <rPr>
        <sz val="11"/>
        <color theme="1"/>
        <rFont val="Arial"/>
        <family val="2"/>
      </rPr>
      <t xml:space="preserve"> Resistor</t>
    </r>
  </si>
  <si>
    <r>
      <t>R</t>
    </r>
    <r>
      <rPr>
        <vertAlign val="subscript"/>
        <sz val="11"/>
        <color theme="1"/>
        <rFont val="Arial"/>
        <family val="2"/>
      </rPr>
      <t>BUR1_rec</t>
    </r>
    <r>
      <rPr>
        <sz val="11"/>
        <color theme="1"/>
        <rFont val="Arial"/>
        <family val="2"/>
      </rPr>
      <t xml:space="preserve"> =</t>
    </r>
  </si>
  <si>
    <r>
      <rPr>
        <b/>
        <sz val="11"/>
        <color theme="1"/>
        <rFont val="Arial"/>
        <family val="2"/>
      </rPr>
      <t xml:space="preserve">Actual </t>
    </r>
    <r>
      <rPr>
        <sz val="11"/>
        <color theme="1"/>
        <rFont val="Arial"/>
        <family val="2"/>
      </rPr>
      <t>R</t>
    </r>
    <r>
      <rPr>
        <vertAlign val="subscript"/>
        <sz val="11"/>
        <color theme="1"/>
        <rFont val="Arial"/>
        <family val="2"/>
      </rPr>
      <t>BUR1_act</t>
    </r>
    <r>
      <rPr>
        <sz val="11"/>
        <color theme="1"/>
        <rFont val="Arial"/>
        <family val="2"/>
      </rPr>
      <t xml:space="preserve"> Resistor</t>
    </r>
  </si>
  <si>
    <r>
      <t>R</t>
    </r>
    <r>
      <rPr>
        <vertAlign val="subscript"/>
        <sz val="11"/>
        <color theme="1"/>
        <rFont val="Arial"/>
        <family val="2"/>
      </rPr>
      <t>BUR1_act</t>
    </r>
    <r>
      <rPr>
        <sz val="11"/>
        <color theme="1"/>
        <rFont val="Arial"/>
        <family val="2"/>
      </rPr>
      <t xml:space="preserve"> =</t>
    </r>
  </si>
  <si>
    <r>
      <t>R</t>
    </r>
    <r>
      <rPr>
        <vertAlign val="subscript"/>
        <sz val="11"/>
        <color theme="1"/>
        <rFont val="Arial"/>
        <family val="2"/>
      </rPr>
      <t>BUR1</t>
    </r>
    <r>
      <rPr>
        <sz val="11"/>
        <color theme="1"/>
        <rFont val="Arial"/>
        <family val="2"/>
      </rPr>
      <t xml:space="preserve"> Resistor Used in Calculations</t>
    </r>
  </si>
  <si>
    <r>
      <t>R</t>
    </r>
    <r>
      <rPr>
        <vertAlign val="subscript"/>
        <sz val="11"/>
        <color theme="1"/>
        <rFont val="Arial"/>
        <family val="2"/>
      </rPr>
      <t xml:space="preserve">BUR1 </t>
    </r>
    <r>
      <rPr>
        <sz val="11"/>
        <color theme="1"/>
        <rFont val="Arial"/>
        <family val="2"/>
      </rPr>
      <t>=</t>
    </r>
  </si>
  <si>
    <r>
      <t>V</t>
    </r>
    <r>
      <rPr>
        <vertAlign val="subscript"/>
        <sz val="11"/>
        <color theme="1"/>
        <rFont val="Arial"/>
        <family val="2"/>
      </rPr>
      <t xml:space="preserve">BUR </t>
    </r>
    <r>
      <rPr>
        <sz val="11"/>
        <color theme="1"/>
        <rFont val="Arial"/>
        <family val="2"/>
      </rPr>
      <t>=</t>
    </r>
  </si>
  <si>
    <r>
      <t>C</t>
    </r>
    <r>
      <rPr>
        <vertAlign val="subscript"/>
        <sz val="11"/>
        <color theme="1"/>
        <rFont val="Arial"/>
        <family val="2"/>
      </rPr>
      <t>BUR_max</t>
    </r>
    <r>
      <rPr>
        <sz val="11"/>
        <color theme="1"/>
        <rFont val="Arial"/>
        <family val="2"/>
      </rPr>
      <t xml:space="preserve"> =</t>
    </r>
  </si>
  <si>
    <r>
      <rPr>
        <b/>
        <sz val="11"/>
        <color theme="1"/>
        <rFont val="Arial"/>
        <family val="2"/>
      </rPr>
      <t xml:space="preserve">Actual </t>
    </r>
    <r>
      <rPr>
        <sz val="11"/>
        <color theme="1"/>
        <rFont val="Arial"/>
        <family val="2"/>
      </rPr>
      <t>C</t>
    </r>
    <r>
      <rPr>
        <vertAlign val="subscript"/>
        <sz val="11"/>
        <color theme="1"/>
        <rFont val="Arial"/>
        <family val="2"/>
      </rPr>
      <t>BUR</t>
    </r>
    <r>
      <rPr>
        <sz val="11"/>
        <color theme="1"/>
        <rFont val="Arial"/>
        <family val="2"/>
      </rPr>
      <t xml:space="preserve"> Capacitance</t>
    </r>
  </si>
  <si>
    <r>
      <t>C</t>
    </r>
    <r>
      <rPr>
        <vertAlign val="subscript"/>
        <sz val="11"/>
        <color theme="1"/>
        <rFont val="Arial"/>
        <family val="2"/>
      </rPr>
      <t>BUR_act</t>
    </r>
    <r>
      <rPr>
        <sz val="11"/>
        <color theme="1"/>
        <rFont val="Arial"/>
        <family val="2"/>
      </rPr>
      <t xml:space="preserve"> =</t>
    </r>
  </si>
  <si>
    <r>
      <t>C</t>
    </r>
    <r>
      <rPr>
        <vertAlign val="subscript"/>
        <sz val="11"/>
        <color theme="1"/>
        <rFont val="Arial"/>
        <family val="2"/>
      </rPr>
      <t>BUR</t>
    </r>
    <r>
      <rPr>
        <sz val="11"/>
        <color theme="1"/>
        <rFont val="Arial"/>
        <family val="2"/>
      </rPr>
      <t xml:space="preserve"> Capacitance Used in Calculations</t>
    </r>
  </si>
  <si>
    <r>
      <t>C</t>
    </r>
    <r>
      <rPr>
        <vertAlign val="subscript"/>
        <sz val="11"/>
        <color theme="1"/>
        <rFont val="Arial"/>
        <family val="2"/>
      </rPr>
      <t xml:space="preserve">BUR </t>
    </r>
    <r>
      <rPr>
        <sz val="11"/>
        <color theme="1"/>
        <rFont val="Arial"/>
        <family val="2"/>
      </rPr>
      <t>=</t>
    </r>
  </si>
  <si>
    <r>
      <rPr>
        <b/>
        <sz val="11"/>
        <color theme="1"/>
        <rFont val="Arial"/>
        <family val="2"/>
      </rPr>
      <t>Recommended</t>
    </r>
    <r>
      <rPr>
        <sz val="11"/>
        <color theme="1"/>
        <rFont val="Arial"/>
        <family val="2"/>
      </rPr>
      <t xml:space="preserve"> Capacitance on SWS</t>
    </r>
  </si>
  <si>
    <r>
      <t>C</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</si>
  <si>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Capacitance</t>
    </r>
  </si>
  <si>
    <r>
      <t>C</t>
    </r>
    <r>
      <rPr>
        <vertAlign val="subscript"/>
        <sz val="11"/>
        <color theme="1"/>
        <rFont val="Arial"/>
        <family val="2"/>
      </rPr>
      <t xml:space="preserve">SWS_act </t>
    </r>
    <r>
      <rPr>
        <sz val="11"/>
        <color theme="1"/>
        <rFont val="Arial"/>
        <family val="2"/>
      </rPr>
      <t>=</t>
    </r>
  </si>
  <si>
    <r>
      <t>C</t>
    </r>
    <r>
      <rPr>
        <vertAlign val="subscript"/>
        <sz val="11"/>
        <color theme="1"/>
        <rFont val="Arial"/>
        <family val="2"/>
      </rPr>
      <t>SWS</t>
    </r>
    <r>
      <rPr>
        <sz val="11"/>
        <color theme="1"/>
        <rFont val="Arial"/>
        <family val="2"/>
      </rPr>
      <t xml:space="preserve"> =</t>
    </r>
  </si>
  <si>
    <r>
      <t>R</t>
    </r>
    <r>
      <rPr>
        <vertAlign val="subscript"/>
        <sz val="11"/>
        <color theme="1"/>
        <rFont val="Arial"/>
        <family val="2"/>
      </rPr>
      <t>SWS_rec</t>
    </r>
    <r>
      <rPr>
        <sz val="11"/>
        <color theme="1"/>
        <rFont val="Arial"/>
        <family val="2"/>
      </rPr>
      <t xml:space="preserve"> =</t>
    </r>
  </si>
  <si>
    <r>
      <rPr>
        <b/>
        <sz val="11"/>
        <color theme="1"/>
        <rFont val="Arial"/>
        <family val="2"/>
      </rPr>
      <t>Actual</t>
    </r>
    <r>
      <rPr>
        <sz val="11"/>
        <color theme="1"/>
        <rFont val="Arial"/>
        <family val="2"/>
      </rPr>
      <t xml:space="preserve"> Resistor</t>
    </r>
  </si>
  <si>
    <r>
      <t>R</t>
    </r>
    <r>
      <rPr>
        <vertAlign val="subscript"/>
        <sz val="11"/>
        <color theme="1"/>
        <rFont val="Arial"/>
        <family val="2"/>
      </rPr>
      <t>SWS_act</t>
    </r>
    <r>
      <rPr>
        <sz val="11"/>
        <color theme="1"/>
        <rFont val="Arial"/>
        <family val="2"/>
      </rPr>
      <t xml:space="preserve"> =</t>
    </r>
  </si>
  <si>
    <r>
      <t>R</t>
    </r>
    <r>
      <rPr>
        <vertAlign val="subscript"/>
        <sz val="11"/>
        <color theme="1"/>
        <rFont val="Arial"/>
        <family val="2"/>
      </rPr>
      <t>SWS</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</si>
  <si>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</si>
  <si>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</si>
  <si>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REF</t>
    </r>
    <r>
      <rPr>
        <sz val="11"/>
        <color theme="1"/>
        <rFont val="Arial"/>
        <family val="2"/>
      </rPr>
      <t xml:space="preserve"> Capacitance</t>
    </r>
  </si>
  <si>
    <r>
      <t>C</t>
    </r>
    <r>
      <rPr>
        <vertAlign val="subscript"/>
        <sz val="11"/>
        <color theme="1"/>
        <rFont val="Arial"/>
        <family val="2"/>
      </rPr>
      <t>REF_act</t>
    </r>
    <r>
      <rPr>
        <sz val="11"/>
        <color theme="1"/>
        <rFont val="Arial"/>
        <family val="2"/>
      </rPr>
      <t xml:space="preserve"> =</t>
    </r>
  </si>
  <si>
    <r>
      <t>C</t>
    </r>
    <r>
      <rPr>
        <vertAlign val="subscript"/>
        <sz val="11"/>
        <color theme="1"/>
        <rFont val="Arial"/>
        <family val="2"/>
      </rPr>
      <t>REF</t>
    </r>
    <r>
      <rPr>
        <sz val="11"/>
        <color theme="1"/>
        <rFont val="Arial"/>
        <family val="2"/>
      </rPr>
      <t xml:space="preserve"> Capacitance Used in Calculations</t>
    </r>
  </si>
  <si>
    <r>
      <t>C</t>
    </r>
    <r>
      <rPr>
        <vertAlign val="subscript"/>
        <sz val="11"/>
        <color theme="1"/>
        <rFont val="Arial"/>
        <family val="2"/>
      </rPr>
      <t>REF</t>
    </r>
    <r>
      <rPr>
        <sz val="11"/>
        <color theme="1"/>
        <rFont val="Arial"/>
        <family val="2"/>
      </rPr>
      <t xml:space="preserve"> =</t>
    </r>
  </si>
  <si>
    <r>
      <rPr>
        <b/>
        <sz val="11"/>
        <color theme="1"/>
        <rFont val="Arial"/>
        <family val="2"/>
      </rPr>
      <t>Minimum</t>
    </r>
    <r>
      <rPr>
        <sz val="11"/>
        <color theme="1"/>
        <rFont val="Arial"/>
        <family val="2"/>
      </rPr>
      <t xml:space="preserve"> C</t>
    </r>
    <r>
      <rPr>
        <vertAlign val="subscript"/>
        <sz val="11"/>
        <color theme="1"/>
        <rFont val="Arial"/>
        <family val="2"/>
      </rPr>
      <t>DD2</t>
    </r>
    <r>
      <rPr>
        <sz val="11"/>
        <color theme="1"/>
        <rFont val="Arial"/>
        <family val="2"/>
      </rPr>
      <t/>
    </r>
  </si>
  <si>
    <r>
      <t>C</t>
    </r>
    <r>
      <rPr>
        <vertAlign val="subscript"/>
        <sz val="11"/>
        <color theme="1"/>
        <rFont val="Arial"/>
        <family val="2"/>
      </rPr>
      <t xml:space="preserve">DD2_min </t>
    </r>
    <r>
      <rPr>
        <sz val="11"/>
        <color theme="1"/>
        <rFont val="Arial"/>
        <family val="2"/>
      </rPr>
      <t>=</t>
    </r>
  </si>
  <si>
    <r>
      <t>C</t>
    </r>
    <r>
      <rPr>
        <vertAlign val="subscript"/>
        <sz val="11"/>
        <color theme="1"/>
        <rFont val="Arial"/>
        <family val="2"/>
      </rPr>
      <t>DD2</t>
    </r>
    <r>
      <rPr>
        <sz val="11"/>
        <color theme="1"/>
        <rFont val="Arial"/>
        <family val="2"/>
      </rPr>
      <t xml:space="preserve"> Used in Calculations</t>
    </r>
  </si>
  <si>
    <r>
      <t>C</t>
    </r>
    <r>
      <rPr>
        <vertAlign val="subscript"/>
        <sz val="11"/>
        <color theme="1"/>
        <rFont val="Arial"/>
        <family val="2"/>
      </rPr>
      <t xml:space="preserve">DD2 </t>
    </r>
    <r>
      <rPr>
        <sz val="11"/>
        <color theme="1"/>
        <rFont val="Arial"/>
        <family val="2"/>
      </rPr>
      <t>=</t>
    </r>
  </si>
  <si>
    <r>
      <t>V</t>
    </r>
    <r>
      <rPr>
        <vertAlign val="subscript"/>
        <sz val="11"/>
        <color theme="1"/>
        <rFont val="Arial"/>
        <family val="2"/>
      </rPr>
      <t>DD</t>
    </r>
    <r>
      <rPr>
        <sz val="11"/>
        <color theme="1"/>
        <rFont val="Arial"/>
        <family val="2"/>
      </rPr>
      <t xml:space="preserve"> =</t>
    </r>
  </si>
  <si>
    <r>
      <t>V</t>
    </r>
    <r>
      <rPr>
        <vertAlign val="subscript"/>
        <sz val="11"/>
        <color theme="1"/>
        <rFont val="Arial"/>
        <family val="2"/>
      </rPr>
      <t>O</t>
    </r>
    <r>
      <rPr>
        <sz val="11"/>
        <color theme="1"/>
        <rFont val="Arial"/>
        <family val="2"/>
      </rPr>
      <t xml:space="preserve"> Rise Time to Regulation</t>
    </r>
  </si>
  <si>
    <r>
      <t>Reduction Factor, in Negative Percent, for C</t>
    </r>
    <r>
      <rPr>
        <vertAlign val="subscript"/>
        <sz val="11"/>
        <color theme="1"/>
        <rFont val="Arial"/>
        <family val="2"/>
      </rPr>
      <t>DD1</t>
    </r>
    <r>
      <rPr>
        <sz val="11"/>
        <color theme="1"/>
        <rFont val="Arial"/>
        <family val="2"/>
      </rPr>
      <t xml:space="preserve"> due to DC-Bias Effect</t>
    </r>
  </si>
  <si>
    <r>
      <t>D</t>
    </r>
    <r>
      <rPr>
        <vertAlign val="subscript"/>
        <sz val="11"/>
        <color theme="1"/>
        <rFont val="Arial"/>
        <family val="2"/>
      </rPr>
      <t xml:space="preserve">rea_CDD1 </t>
    </r>
    <r>
      <rPr>
        <sz val="11"/>
        <color theme="1"/>
        <rFont val="Arial"/>
        <family val="2"/>
      </rPr>
      <t>=</t>
    </r>
  </si>
  <si>
    <r>
      <rPr>
        <b/>
        <sz val="11"/>
        <color theme="1"/>
        <rFont val="Arial"/>
        <family val="2"/>
      </rPr>
      <t>Recommended</t>
    </r>
    <r>
      <rPr>
        <sz val="11"/>
        <color theme="1"/>
        <rFont val="Arial"/>
        <family val="2"/>
      </rPr>
      <t xml:space="preserve"> C</t>
    </r>
    <r>
      <rPr>
        <vertAlign val="subscript"/>
        <sz val="11"/>
        <color theme="1"/>
        <rFont val="Arial"/>
        <family val="2"/>
      </rPr>
      <t>DD1</t>
    </r>
    <r>
      <rPr>
        <sz val="11"/>
        <color theme="1"/>
        <rFont val="Arial"/>
        <family val="2"/>
      </rPr>
      <t xml:space="preserve"> Nominal Capacitance</t>
    </r>
  </si>
  <si>
    <r>
      <t>C</t>
    </r>
    <r>
      <rPr>
        <vertAlign val="subscript"/>
        <sz val="11"/>
        <color theme="1"/>
        <rFont val="Arial"/>
        <family val="2"/>
      </rPr>
      <t>DD1_rec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</si>
  <si>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DD1</t>
    </r>
    <r>
      <rPr>
        <sz val="11"/>
        <color theme="1"/>
        <rFont val="Arial"/>
        <family val="2"/>
      </rPr>
      <t xml:space="preserve"> Capacitance</t>
    </r>
  </si>
  <si>
    <r>
      <t>C</t>
    </r>
    <r>
      <rPr>
        <vertAlign val="subscript"/>
        <sz val="11"/>
        <color theme="1"/>
        <rFont val="Arial"/>
        <family val="2"/>
      </rPr>
      <t>DD1_act</t>
    </r>
    <r>
      <rPr>
        <sz val="11"/>
        <color theme="1"/>
        <rFont val="Arial"/>
        <family val="2"/>
      </rPr>
      <t xml:space="preserve"> =</t>
    </r>
  </si>
  <si>
    <r>
      <t xml:space="preserve">Select standard value </t>
    </r>
    <r>
      <rPr>
        <sz val="11"/>
        <color theme="1"/>
        <rFont val="Calibri"/>
        <family val="2"/>
      </rPr>
      <t>≥</t>
    </r>
    <r>
      <rPr>
        <sz val="11"/>
        <color theme="1"/>
        <rFont val="Arial"/>
        <family val="2"/>
      </rPr>
      <t xml:space="preserve"> recommended</t>
    </r>
  </si>
  <si>
    <r>
      <t>C</t>
    </r>
    <r>
      <rPr>
        <vertAlign val="subscript"/>
        <sz val="11"/>
        <color theme="1"/>
        <rFont val="Arial"/>
        <family val="2"/>
      </rPr>
      <t>DD1</t>
    </r>
    <r>
      <rPr>
        <sz val="11"/>
        <color theme="1"/>
        <rFont val="Arial"/>
        <family val="2"/>
      </rPr>
      <t xml:space="preserve"> Capacitance Used in Calculations</t>
    </r>
  </si>
  <si>
    <r>
      <t>C</t>
    </r>
    <r>
      <rPr>
        <vertAlign val="subscript"/>
        <sz val="11"/>
        <color theme="1"/>
        <rFont val="Arial"/>
        <family val="2"/>
      </rPr>
      <t>DD1</t>
    </r>
    <r>
      <rPr>
        <sz val="11"/>
        <color theme="1"/>
        <rFont val="Arial"/>
        <family val="2"/>
      </rPr>
      <t xml:space="preserve"> =</t>
    </r>
  </si>
  <si>
    <r>
      <rPr>
        <b/>
        <sz val="11"/>
        <color theme="1"/>
        <rFont val="Arial"/>
        <family val="2"/>
      </rPr>
      <t>Maximum</t>
    </r>
    <r>
      <rPr>
        <sz val="11"/>
        <color theme="1"/>
        <rFont val="Arial"/>
        <family val="2"/>
      </rPr>
      <t xml:space="preserve"> FB Pin Resistor</t>
    </r>
  </si>
  <si>
    <r>
      <t>R</t>
    </r>
    <r>
      <rPr>
        <vertAlign val="subscript"/>
        <sz val="11"/>
        <color theme="1"/>
        <rFont val="Arial"/>
        <family val="2"/>
      </rPr>
      <t>FB_max</t>
    </r>
    <r>
      <rPr>
        <sz val="11"/>
        <color theme="1"/>
        <rFont val="Arial"/>
        <family val="2"/>
      </rPr>
      <t xml:space="preserve"> =</t>
    </r>
  </si>
  <si>
    <r>
      <rPr>
        <b/>
        <sz val="11"/>
        <color theme="1"/>
        <rFont val="Arial"/>
        <family val="2"/>
      </rPr>
      <t>Actual</t>
    </r>
    <r>
      <rPr>
        <sz val="11"/>
        <color theme="1"/>
        <rFont val="Arial"/>
        <family val="2"/>
      </rPr>
      <t xml:space="preserve"> FB Pin Resistor</t>
    </r>
  </si>
  <si>
    <r>
      <t>R</t>
    </r>
    <r>
      <rPr>
        <vertAlign val="subscript"/>
        <sz val="11"/>
        <color theme="1"/>
        <rFont val="Arial"/>
        <family val="2"/>
      </rPr>
      <t>FB_act</t>
    </r>
    <r>
      <rPr>
        <sz val="11"/>
        <color theme="1"/>
        <rFont val="Arial"/>
        <family val="2"/>
      </rPr>
      <t xml:space="preserve"> =</t>
    </r>
  </si>
  <si>
    <r>
      <t>R</t>
    </r>
    <r>
      <rPr>
        <vertAlign val="subscript"/>
        <sz val="11"/>
        <color theme="1"/>
        <rFont val="Arial"/>
        <family val="2"/>
      </rPr>
      <t>FB</t>
    </r>
    <r>
      <rPr>
        <sz val="11"/>
        <color theme="1"/>
        <rFont val="Arial"/>
        <family val="2"/>
      </rPr>
      <t xml:space="preserve"> =</t>
    </r>
  </si>
  <si>
    <r>
      <t>Recommended C</t>
    </r>
    <r>
      <rPr>
        <vertAlign val="subscript"/>
        <sz val="11"/>
        <color theme="1"/>
        <rFont val="Arial"/>
        <family val="2"/>
      </rPr>
      <t>FB</t>
    </r>
    <r>
      <rPr>
        <sz val="11"/>
        <color theme="1"/>
        <rFont val="Arial"/>
        <family val="2"/>
      </rPr>
      <t/>
    </r>
  </si>
  <si>
    <r>
      <t>C</t>
    </r>
    <r>
      <rPr>
        <vertAlign val="subscript"/>
        <sz val="11"/>
        <color theme="1"/>
        <rFont val="Arial"/>
        <family val="2"/>
      </rPr>
      <t>FB</t>
    </r>
    <r>
      <rPr>
        <sz val="11"/>
        <color theme="1"/>
        <rFont val="Arial"/>
        <family val="2"/>
      </rPr>
      <t xml:space="preserve"> =</t>
    </r>
  </si>
  <si>
    <r>
      <t>R</t>
    </r>
    <r>
      <rPr>
        <vertAlign val="subscript"/>
        <sz val="11"/>
        <color theme="1"/>
        <rFont val="Arial"/>
        <family val="2"/>
      </rPr>
      <t xml:space="preserve">bias2_rec </t>
    </r>
    <r>
      <rPr>
        <sz val="11"/>
        <color theme="1"/>
        <rFont val="Arial"/>
        <family val="2"/>
      </rPr>
      <t>=</t>
    </r>
  </si>
  <si>
    <r>
      <rPr>
        <b/>
        <sz val="11"/>
        <color theme="1"/>
        <rFont val="Arial"/>
        <family val="2"/>
      </rPr>
      <t>Actual</t>
    </r>
    <r>
      <rPr>
        <sz val="11"/>
        <color theme="1"/>
        <rFont val="Arial"/>
        <family val="2"/>
      </rPr>
      <t xml:space="preserve"> Bias Resistor2</t>
    </r>
  </si>
  <si>
    <r>
      <t>R</t>
    </r>
    <r>
      <rPr>
        <vertAlign val="subscript"/>
        <sz val="11"/>
        <color theme="1"/>
        <rFont val="Arial"/>
        <family val="2"/>
      </rPr>
      <t xml:space="preserve">bias2_act </t>
    </r>
    <r>
      <rPr>
        <sz val="11"/>
        <color theme="1"/>
        <rFont val="Arial"/>
        <family val="2"/>
      </rPr>
      <t>=</t>
    </r>
  </si>
  <si>
    <r>
      <t>R</t>
    </r>
    <r>
      <rPr>
        <vertAlign val="subscript"/>
        <sz val="11"/>
        <color theme="1"/>
        <rFont val="Arial"/>
        <family val="2"/>
      </rPr>
      <t xml:space="preserve">bias2 </t>
    </r>
    <r>
      <rPr>
        <sz val="11"/>
        <color theme="1"/>
        <rFont val="Arial"/>
        <family val="2"/>
      </rPr>
      <t>=</t>
    </r>
  </si>
  <si>
    <r>
      <t>R</t>
    </r>
    <r>
      <rPr>
        <vertAlign val="subscript"/>
        <sz val="11"/>
        <color theme="1"/>
        <rFont val="Arial"/>
        <family val="2"/>
      </rPr>
      <t>bias1_max_SBP</t>
    </r>
    <r>
      <rPr>
        <sz val="11"/>
        <color theme="1"/>
        <rFont val="Arial"/>
        <family val="2"/>
      </rPr>
      <t xml:space="preserve"> =</t>
    </r>
  </si>
  <si>
    <r>
      <t>R</t>
    </r>
    <r>
      <rPr>
        <vertAlign val="subscript"/>
        <sz val="11"/>
        <color theme="1"/>
        <rFont val="Arial"/>
        <family val="2"/>
      </rPr>
      <t>bias1_max_ABM</t>
    </r>
    <r>
      <rPr>
        <sz val="11"/>
        <color theme="1"/>
        <rFont val="Arial"/>
        <family val="2"/>
      </rPr>
      <t xml:space="preserve"> =</t>
    </r>
  </si>
  <si>
    <r>
      <t>R</t>
    </r>
    <r>
      <rPr>
        <vertAlign val="subscript"/>
        <sz val="11"/>
        <color theme="1"/>
        <rFont val="Arial"/>
        <family val="2"/>
      </rPr>
      <t>bias1_max</t>
    </r>
    <r>
      <rPr>
        <sz val="11"/>
        <color theme="1"/>
        <rFont val="Arial"/>
        <family val="2"/>
      </rPr>
      <t xml:space="preserve"> =</t>
    </r>
  </si>
  <si>
    <r>
      <t>R</t>
    </r>
    <r>
      <rPr>
        <vertAlign val="subscript"/>
        <sz val="11"/>
        <color theme="1"/>
        <rFont val="Arial"/>
        <family val="2"/>
      </rPr>
      <t>bias1_min</t>
    </r>
    <r>
      <rPr>
        <sz val="11"/>
        <color theme="1"/>
        <rFont val="Arial"/>
        <family val="2"/>
      </rPr>
      <t xml:space="preserve"> =</t>
    </r>
  </si>
  <si>
    <r>
      <t>R</t>
    </r>
    <r>
      <rPr>
        <vertAlign val="subscript"/>
        <sz val="11"/>
        <color theme="1"/>
        <rFont val="Arial"/>
        <family val="2"/>
      </rPr>
      <t>bias1</t>
    </r>
    <r>
      <rPr>
        <sz val="11"/>
        <color theme="1"/>
        <rFont val="Arial"/>
        <family val="2"/>
      </rPr>
      <t xml:space="preserve"> Used in Calculations</t>
    </r>
  </si>
  <si>
    <r>
      <t>R</t>
    </r>
    <r>
      <rPr>
        <vertAlign val="subscript"/>
        <sz val="11"/>
        <color theme="1"/>
        <rFont val="Arial"/>
        <family val="2"/>
      </rPr>
      <t>bias1</t>
    </r>
    <r>
      <rPr>
        <sz val="11"/>
        <color theme="1"/>
        <rFont val="Arial"/>
        <family val="2"/>
      </rPr>
      <t xml:space="preserve"> =</t>
    </r>
  </si>
  <si>
    <r>
      <t>R</t>
    </r>
    <r>
      <rPr>
        <vertAlign val="subscript"/>
        <sz val="11"/>
        <color theme="1"/>
        <rFont val="Arial"/>
        <family val="2"/>
      </rPr>
      <t>vo2_rec_max</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</si>
  <si>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Vo2</t>
    </r>
    <r>
      <rPr>
        <sz val="11"/>
        <color theme="1"/>
        <rFont val="Arial"/>
        <family val="2"/>
      </rPr>
      <t xml:space="preserve"> Resistor</t>
    </r>
  </si>
  <si>
    <r>
      <t>R</t>
    </r>
    <r>
      <rPr>
        <vertAlign val="subscript"/>
        <sz val="11"/>
        <color theme="1"/>
        <rFont val="Arial"/>
        <family val="2"/>
      </rPr>
      <t xml:space="preserve">vo2_act </t>
    </r>
    <r>
      <rPr>
        <sz val="11"/>
        <color theme="1"/>
        <rFont val="Arial"/>
        <family val="2"/>
      </rPr>
      <t>=</t>
    </r>
  </si>
  <si>
    <r>
      <t>R</t>
    </r>
    <r>
      <rPr>
        <vertAlign val="subscript"/>
        <sz val="11"/>
        <color theme="1"/>
        <rFont val="Arial"/>
        <family val="2"/>
      </rPr>
      <t>Vo2</t>
    </r>
    <r>
      <rPr>
        <sz val="11"/>
        <color theme="1"/>
        <rFont val="Arial"/>
        <family val="2"/>
      </rPr>
      <t xml:space="preserve"> Resistor Used in Calculations</t>
    </r>
  </si>
  <si>
    <r>
      <t>R</t>
    </r>
    <r>
      <rPr>
        <vertAlign val="subscript"/>
        <sz val="11"/>
        <color theme="1"/>
        <rFont val="Arial"/>
        <family val="2"/>
      </rPr>
      <t>vo2</t>
    </r>
    <r>
      <rPr>
        <sz val="11"/>
        <color theme="1"/>
        <rFont val="Arial"/>
        <family val="2"/>
      </rPr>
      <t xml:space="preserve"> =</t>
    </r>
  </si>
  <si>
    <r>
      <t>R</t>
    </r>
    <r>
      <rPr>
        <vertAlign val="subscript"/>
        <sz val="11"/>
        <color theme="1"/>
        <rFont val="Arial"/>
        <family val="2"/>
      </rPr>
      <t>vo1_rec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</si>
  <si>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Vo1</t>
    </r>
    <r>
      <rPr>
        <sz val="11"/>
        <color theme="1"/>
        <rFont val="Arial"/>
        <family val="2"/>
      </rPr>
      <t xml:space="preserve"> Resistor</t>
    </r>
  </si>
  <si>
    <r>
      <t>R</t>
    </r>
    <r>
      <rPr>
        <vertAlign val="subscript"/>
        <sz val="11"/>
        <color theme="1"/>
        <rFont val="Arial"/>
        <family val="2"/>
      </rPr>
      <t>vo1_act</t>
    </r>
    <r>
      <rPr>
        <sz val="11"/>
        <color theme="1"/>
        <rFont val="Arial"/>
        <family val="2"/>
      </rPr>
      <t xml:space="preserve"> =</t>
    </r>
  </si>
  <si>
    <r>
      <t>R</t>
    </r>
    <r>
      <rPr>
        <vertAlign val="subscript"/>
        <sz val="11"/>
        <color theme="1"/>
        <rFont val="Arial"/>
        <family val="2"/>
      </rPr>
      <t>Vo1</t>
    </r>
    <r>
      <rPr>
        <sz val="11"/>
        <color theme="1"/>
        <rFont val="Arial"/>
        <family val="2"/>
      </rPr>
      <t xml:space="preserve"> Resistor Used in Calculations</t>
    </r>
  </si>
  <si>
    <r>
      <t>R</t>
    </r>
    <r>
      <rPr>
        <vertAlign val="subscript"/>
        <sz val="11"/>
        <color theme="1"/>
        <rFont val="Arial"/>
        <family val="2"/>
      </rPr>
      <t xml:space="preserve">vo1 </t>
    </r>
    <r>
      <rPr>
        <sz val="11"/>
        <color theme="1"/>
        <rFont val="Arial"/>
        <family val="2"/>
      </rPr>
      <t>=</t>
    </r>
  </si>
  <si>
    <r>
      <t>C</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</si>
  <si>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diff</t>
    </r>
  </si>
  <si>
    <r>
      <t>C</t>
    </r>
    <r>
      <rPr>
        <vertAlign val="subscript"/>
        <sz val="11"/>
        <color theme="1"/>
        <rFont val="Arial"/>
        <family val="2"/>
      </rPr>
      <t>diff_act</t>
    </r>
    <r>
      <rPr>
        <sz val="11"/>
        <color theme="1"/>
        <rFont val="Arial"/>
        <family val="2"/>
      </rPr>
      <t xml:space="preserve"> =</t>
    </r>
  </si>
  <si>
    <r>
      <t>C</t>
    </r>
    <r>
      <rPr>
        <vertAlign val="subscript"/>
        <sz val="11"/>
        <color theme="1"/>
        <rFont val="Arial"/>
        <family val="2"/>
      </rPr>
      <t xml:space="preserve">diff </t>
    </r>
    <r>
      <rPr>
        <sz val="11"/>
        <color theme="1"/>
        <rFont val="Arial"/>
        <family val="2"/>
      </rPr>
      <t>Used in Calculations</t>
    </r>
  </si>
  <si>
    <r>
      <t>C</t>
    </r>
    <r>
      <rPr>
        <vertAlign val="subscript"/>
        <sz val="11"/>
        <color theme="1"/>
        <rFont val="Arial"/>
        <family val="2"/>
      </rPr>
      <t>diff</t>
    </r>
    <r>
      <rPr>
        <sz val="11"/>
        <color theme="1"/>
        <rFont val="Arial"/>
        <family val="2"/>
      </rPr>
      <t xml:space="preserve"> =</t>
    </r>
  </si>
  <si>
    <r>
      <t>R</t>
    </r>
    <r>
      <rPr>
        <vertAlign val="subscript"/>
        <sz val="11"/>
        <color theme="1"/>
        <rFont val="Arial"/>
        <family val="2"/>
      </rPr>
      <t>diff_rec</t>
    </r>
    <r>
      <rPr>
        <sz val="11"/>
        <color theme="1"/>
        <rFont val="Arial"/>
        <family val="2"/>
      </rPr>
      <t xml:space="preserve"> =</t>
    </r>
  </si>
  <si>
    <r>
      <rPr>
        <b/>
        <sz val="11"/>
        <color theme="1"/>
        <rFont val="Arial"/>
        <family val="2"/>
      </rPr>
      <t>Actual</t>
    </r>
    <r>
      <rPr>
        <sz val="11"/>
        <color theme="1"/>
        <rFont val="Arial"/>
        <family val="2"/>
      </rPr>
      <t xml:space="preserve"> R</t>
    </r>
    <r>
      <rPr>
        <vertAlign val="subscript"/>
        <sz val="11"/>
        <color theme="1"/>
        <rFont val="Arial"/>
        <family val="2"/>
      </rPr>
      <t>diff</t>
    </r>
  </si>
  <si>
    <r>
      <t>R</t>
    </r>
    <r>
      <rPr>
        <vertAlign val="subscript"/>
        <sz val="11"/>
        <color theme="1"/>
        <rFont val="Arial"/>
        <family val="2"/>
      </rPr>
      <t>diff_act</t>
    </r>
    <r>
      <rPr>
        <sz val="11"/>
        <color theme="1"/>
        <rFont val="Arial"/>
        <family val="2"/>
      </rPr>
      <t xml:space="preserve"> =</t>
    </r>
  </si>
  <si>
    <r>
      <t>R</t>
    </r>
    <r>
      <rPr>
        <vertAlign val="subscript"/>
        <sz val="11"/>
        <color theme="1"/>
        <rFont val="Arial"/>
        <family val="2"/>
      </rPr>
      <t xml:space="preserve">diff </t>
    </r>
    <r>
      <rPr>
        <sz val="11"/>
        <color theme="1"/>
        <rFont val="Arial"/>
        <family val="2"/>
      </rPr>
      <t>Used in Calculations</t>
    </r>
  </si>
  <si>
    <r>
      <t>R</t>
    </r>
    <r>
      <rPr>
        <vertAlign val="subscript"/>
        <sz val="11"/>
        <color theme="1"/>
        <rFont val="Arial"/>
        <family val="2"/>
      </rPr>
      <t>diff</t>
    </r>
    <r>
      <rPr>
        <sz val="11"/>
        <color theme="1"/>
        <rFont val="Arial"/>
        <family val="2"/>
      </rPr>
      <t xml:space="preserve"> =</t>
    </r>
  </si>
  <si>
    <r>
      <t>C</t>
    </r>
    <r>
      <rPr>
        <vertAlign val="subscript"/>
        <sz val="11"/>
        <color theme="1"/>
        <rFont val="Arial"/>
        <family val="2"/>
      </rPr>
      <t>int_rec</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</si>
  <si>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int</t>
    </r>
  </si>
  <si>
    <r>
      <t>C</t>
    </r>
    <r>
      <rPr>
        <vertAlign val="subscript"/>
        <sz val="11"/>
        <color theme="1"/>
        <rFont val="Arial"/>
        <family val="2"/>
      </rPr>
      <t>int_act</t>
    </r>
    <r>
      <rPr>
        <sz val="11"/>
        <color theme="1"/>
        <rFont val="Arial"/>
        <family val="2"/>
      </rPr>
      <t xml:space="preserve"> =</t>
    </r>
  </si>
  <si>
    <r>
      <t>C</t>
    </r>
    <r>
      <rPr>
        <vertAlign val="subscript"/>
        <sz val="11"/>
        <color theme="1"/>
        <rFont val="Arial"/>
        <family val="2"/>
      </rPr>
      <t xml:space="preserve">int </t>
    </r>
    <r>
      <rPr>
        <sz val="11"/>
        <color theme="1"/>
        <rFont val="Arial"/>
        <family val="2"/>
      </rPr>
      <t>Used in Calculations</t>
    </r>
  </si>
  <si>
    <r>
      <t>C</t>
    </r>
    <r>
      <rPr>
        <vertAlign val="subscript"/>
        <sz val="11"/>
        <color theme="1"/>
        <rFont val="Arial"/>
        <family val="2"/>
      </rPr>
      <t>int</t>
    </r>
    <r>
      <rPr>
        <sz val="11"/>
        <color theme="1"/>
        <rFont val="Arial"/>
        <family val="2"/>
      </rPr>
      <t xml:space="preserve"> =</t>
    </r>
  </si>
  <si>
    <r>
      <t>R</t>
    </r>
    <r>
      <rPr>
        <vertAlign val="subscript"/>
        <sz val="11"/>
        <color theme="1"/>
        <rFont val="Arial"/>
        <family val="2"/>
      </rPr>
      <t xml:space="preserve">int </t>
    </r>
    <r>
      <rPr>
        <sz val="11"/>
        <color theme="1"/>
        <rFont val="Arial"/>
        <family val="2"/>
      </rPr>
      <t>Used in Calculations</t>
    </r>
  </si>
  <si>
    <r>
      <t>R</t>
    </r>
    <r>
      <rPr>
        <vertAlign val="subscript"/>
        <sz val="11"/>
        <color theme="1"/>
        <rFont val="Arial"/>
        <family val="2"/>
      </rPr>
      <t>int</t>
    </r>
    <r>
      <rPr>
        <sz val="11"/>
        <color theme="1"/>
        <rFont val="Arial"/>
        <family val="2"/>
      </rPr>
      <t xml:space="preserve"> =</t>
    </r>
  </si>
  <si>
    <t xml:space="preserve">AUX Power on Primary Side  </t>
  </si>
  <si>
    <r>
      <t xml:space="preserve">Resistor Divider of VS Pin  </t>
    </r>
    <r>
      <rPr>
        <b/>
        <i/>
        <sz val="12"/>
        <color rgb="FFFFFF00"/>
        <rFont val="Arial"/>
        <family val="2"/>
      </rPr>
      <t>(This calculation block not used.)</t>
    </r>
  </si>
  <si>
    <t>Transformer
Parameters</t>
  </si>
  <si>
    <t>Leakage Inductance:</t>
  </si>
  <si>
    <t>Primary-to-Secondary Turns Ratio:</t>
  </si>
  <si>
    <t>Auxillary-to-Secondary Turns Ratio:</t>
  </si>
  <si>
    <t>VS Line-Sense Run Current, Typical</t>
  </si>
  <si>
    <t>VS Line-Sense Run Current, Maximum</t>
  </si>
  <si>
    <t>VS Line-Sense Run Current, Minimum</t>
  </si>
  <si>
    <t>VS Line-Sense Stop Current, Maximum</t>
  </si>
  <si>
    <t>VS Line-Sense Stop Current, Typical</t>
  </si>
  <si>
    <t>VS Line-Sense Stop Current, Minimum</t>
  </si>
  <si>
    <t>UCC28782 Electrical Characteristics (from datasheet SLUSDK4)</t>
  </si>
  <si>
    <t>NV6115</t>
  </si>
  <si>
    <t>NV6117</t>
  </si>
  <si>
    <t>ISO7710F</t>
  </si>
  <si>
    <t>BSC093N15NS5</t>
  </si>
  <si>
    <t>TLP383GR</t>
  </si>
  <si>
    <r>
      <t xml:space="preserve">Secondary Resonance  </t>
    </r>
    <r>
      <rPr>
        <b/>
        <sz val="16"/>
        <color rgb="FFFF0000"/>
        <rFont val="Arial"/>
        <family val="2"/>
      </rPr>
      <t>(see diagram below)</t>
    </r>
  </si>
  <si>
    <r>
      <t>B.  L</t>
    </r>
    <r>
      <rPr>
        <b/>
        <vertAlign val="subscript"/>
        <sz val="11"/>
        <color rgb="FFFF0000"/>
        <rFont val="Arial"/>
        <family val="2"/>
      </rPr>
      <t>DAMP</t>
    </r>
    <r>
      <rPr>
        <b/>
        <sz val="11"/>
        <color rgb="FFFF0000"/>
        <rFont val="Arial"/>
        <family val="2"/>
      </rPr>
      <t xml:space="preserve"> Determination</t>
    </r>
  </si>
  <si>
    <r>
      <t>A.  C</t>
    </r>
    <r>
      <rPr>
        <b/>
        <vertAlign val="subscript"/>
        <sz val="11"/>
        <color rgb="FFFF0000"/>
        <rFont val="Arial"/>
        <family val="2"/>
      </rPr>
      <t>O1</t>
    </r>
    <r>
      <rPr>
        <b/>
        <sz val="11"/>
        <color rgb="FFFF0000"/>
        <rFont val="Arial"/>
        <family val="2"/>
      </rPr>
      <t xml:space="preserve">  Adjustment</t>
    </r>
  </si>
  <si>
    <t xml:space="preserve"> Capacitance change (negative) based on output voltage &gt;&gt;&gt;</t>
  </si>
  <si>
    <t>mV</t>
  </si>
  <si>
    <t xml:space="preserve"> device parameter</t>
  </si>
  <si>
    <r>
      <t>∆V</t>
    </r>
    <r>
      <rPr>
        <vertAlign val="subscript"/>
        <sz val="11"/>
        <color theme="1"/>
        <rFont val="Arial"/>
        <family val="2"/>
      </rPr>
      <t>BUR(AAM)</t>
    </r>
    <r>
      <rPr>
        <sz val="11"/>
        <color theme="1"/>
        <rFont val="Arial"/>
        <family val="2"/>
      </rPr>
      <t xml:space="preserve"> =</t>
    </r>
  </si>
  <si>
    <r>
      <t>I</t>
    </r>
    <r>
      <rPr>
        <vertAlign val="subscript"/>
        <sz val="11"/>
        <color theme="1"/>
        <rFont val="Arial"/>
        <family val="2"/>
      </rPr>
      <t>BUR(AAM)</t>
    </r>
    <r>
      <rPr>
        <sz val="11"/>
        <color theme="1"/>
        <rFont val="Arial"/>
        <family val="2"/>
      </rPr>
      <t xml:space="preserve"> =</t>
    </r>
  </si>
  <si>
    <r>
      <t>R</t>
    </r>
    <r>
      <rPr>
        <vertAlign val="subscript"/>
        <sz val="11"/>
        <color theme="1"/>
        <rFont val="Arial"/>
        <family val="2"/>
      </rPr>
      <t>BUR1</t>
    </r>
    <r>
      <rPr>
        <sz val="11"/>
        <color theme="1"/>
        <rFont val="Arial"/>
        <family val="2"/>
      </rPr>
      <t>||R</t>
    </r>
    <r>
      <rPr>
        <vertAlign val="subscript"/>
        <sz val="11"/>
        <color theme="1"/>
        <rFont val="Arial"/>
        <family val="2"/>
      </rPr>
      <t>BUR2</t>
    </r>
    <r>
      <rPr>
        <sz val="11"/>
        <color theme="1"/>
        <rFont val="Arial"/>
        <family val="2"/>
      </rPr>
      <t xml:space="preserve"> =</t>
    </r>
  </si>
  <si>
    <r>
      <t>I</t>
    </r>
    <r>
      <rPr>
        <vertAlign val="subscript"/>
        <sz val="11"/>
        <color theme="1"/>
        <rFont val="Arial"/>
        <family val="2"/>
      </rPr>
      <t>BUR(LPM)</t>
    </r>
    <r>
      <rPr>
        <sz val="11"/>
        <color theme="1"/>
        <rFont val="Arial"/>
        <family val="2"/>
      </rPr>
      <t xml:space="preserve"> =</t>
    </r>
  </si>
  <si>
    <r>
      <t>∆V</t>
    </r>
    <r>
      <rPr>
        <vertAlign val="subscript"/>
        <sz val="11"/>
        <color theme="1"/>
        <rFont val="Arial"/>
        <family val="2"/>
      </rPr>
      <t>BUR(LPM)</t>
    </r>
    <r>
      <rPr>
        <sz val="11"/>
        <color theme="1"/>
        <rFont val="Arial"/>
        <family val="2"/>
      </rPr>
      <t xml:space="preserve"> =</t>
    </r>
  </si>
  <si>
    <t>&lt; 0.1</t>
  </si>
  <si>
    <t>SOD 123</t>
  </si>
  <si>
    <t>Value</t>
  </si>
  <si>
    <t>≥ 22</t>
  </si>
  <si>
    <t>Schottky</t>
  </si>
  <si>
    <t>TVS</t>
  </si>
  <si>
    <t>nF</t>
  </si>
  <si>
    <t>Zener</t>
  </si>
  <si>
    <t>mW</t>
  </si>
  <si>
    <t>Ultrafast</t>
  </si>
  <si>
    <t>Primary Winding Turns:</t>
  </si>
  <si>
    <t>Secondary Winding Turns:</t>
  </si>
  <si>
    <t>Auxiliary Winding Turns:</t>
  </si>
  <si>
    <t>DCR of Auxiliary Winding:</t>
  </si>
  <si>
    <r>
      <t>R</t>
    </r>
    <r>
      <rPr>
        <vertAlign val="subscript"/>
        <sz val="12"/>
        <color theme="1"/>
        <rFont val="Arial"/>
        <family val="2"/>
      </rPr>
      <t>A</t>
    </r>
  </si>
  <si>
    <t>IPC Pin Setting</t>
  </si>
  <si>
    <r>
      <t>R</t>
    </r>
    <r>
      <rPr>
        <vertAlign val="subscript"/>
        <sz val="11"/>
        <color theme="1"/>
        <rFont val="Arial"/>
        <family val="2"/>
      </rPr>
      <t>IPC</t>
    </r>
    <r>
      <rPr>
        <sz val="11"/>
        <color theme="1"/>
        <rFont val="Arial"/>
        <family val="2"/>
      </rPr>
      <t xml:space="preserve"> Resistor Used in Calculations</t>
    </r>
  </si>
  <si>
    <r>
      <t>R</t>
    </r>
    <r>
      <rPr>
        <vertAlign val="subscript"/>
        <sz val="11"/>
        <color theme="1"/>
        <rFont val="Arial"/>
        <family val="2"/>
      </rPr>
      <t>IPC_rec</t>
    </r>
    <r>
      <rPr>
        <sz val="11"/>
        <color theme="1"/>
        <rFont val="Arial"/>
        <family val="2"/>
      </rPr>
      <t xml:space="preserve"> =</t>
    </r>
  </si>
  <si>
    <r>
      <t>R</t>
    </r>
    <r>
      <rPr>
        <vertAlign val="subscript"/>
        <sz val="11"/>
        <color theme="1"/>
        <rFont val="Arial"/>
        <family val="2"/>
      </rPr>
      <t>IPC_act</t>
    </r>
    <r>
      <rPr>
        <sz val="11"/>
        <color theme="1"/>
        <rFont val="Arial"/>
        <family val="2"/>
      </rPr>
      <t xml:space="preserve"> =</t>
    </r>
  </si>
  <si>
    <r>
      <t>R</t>
    </r>
    <r>
      <rPr>
        <vertAlign val="subscript"/>
        <sz val="11"/>
        <color theme="1"/>
        <rFont val="Arial"/>
        <family val="2"/>
      </rPr>
      <t>IPC</t>
    </r>
    <r>
      <rPr>
        <sz val="11"/>
        <color theme="1"/>
        <rFont val="Arial"/>
        <family val="2"/>
      </rPr>
      <t xml:space="preserve"> =</t>
    </r>
  </si>
  <si>
    <r>
      <rPr>
        <b/>
        <sz val="11"/>
        <color theme="1"/>
        <rFont val="Arial"/>
        <family val="2"/>
      </rPr>
      <t>Recommended</t>
    </r>
    <r>
      <rPr>
        <sz val="11"/>
        <color theme="1"/>
        <rFont val="Arial"/>
        <family val="2"/>
      </rPr>
      <t xml:space="preserve"> R</t>
    </r>
    <r>
      <rPr>
        <vertAlign val="subscript"/>
        <sz val="11"/>
        <color theme="1"/>
        <rFont val="Arial"/>
        <family val="2"/>
      </rPr>
      <t>IPC</t>
    </r>
    <r>
      <rPr>
        <sz val="11"/>
        <color theme="1"/>
        <rFont val="Arial"/>
        <family val="2"/>
      </rPr>
      <t xml:space="preserve"> Resistor to AGND</t>
    </r>
  </si>
  <si>
    <r>
      <rPr>
        <b/>
        <sz val="11"/>
        <color theme="1"/>
        <rFont val="Arial"/>
        <family val="2"/>
      </rPr>
      <t>Actual</t>
    </r>
    <r>
      <rPr>
        <sz val="11"/>
        <color theme="1"/>
        <rFont val="Arial"/>
        <family val="2"/>
      </rPr>
      <t xml:space="preserve"> R</t>
    </r>
    <r>
      <rPr>
        <vertAlign val="subscript"/>
        <sz val="11"/>
        <color theme="1"/>
        <rFont val="Arial"/>
        <family val="2"/>
      </rPr>
      <t>IPC</t>
    </r>
    <r>
      <rPr>
        <sz val="11"/>
        <color theme="1"/>
        <rFont val="Arial"/>
        <family val="2"/>
      </rPr>
      <t xml:space="preserve"> Resistor to AGND</t>
    </r>
  </si>
  <si>
    <t>(This value not calculated at this time.  Set to 0.)</t>
  </si>
  <si>
    <t>don't use TVS</t>
  </si>
  <si>
    <t>don't use Zener</t>
  </si>
  <si>
    <r>
      <t>R</t>
    </r>
    <r>
      <rPr>
        <b/>
        <vertAlign val="subscript"/>
        <sz val="12"/>
        <color rgb="FFFF0000"/>
        <rFont val="Arial"/>
        <family val="2"/>
      </rPr>
      <t>RDM</t>
    </r>
  </si>
  <si>
    <r>
      <t>R</t>
    </r>
    <r>
      <rPr>
        <b/>
        <vertAlign val="subscript"/>
        <sz val="12"/>
        <color rgb="FFFF0000"/>
        <rFont val="Arial"/>
        <family val="2"/>
      </rPr>
      <t>RTZ</t>
    </r>
  </si>
  <si>
    <r>
      <t>C</t>
    </r>
    <r>
      <rPr>
        <b/>
        <vertAlign val="subscript"/>
        <sz val="12"/>
        <color rgb="FFFF0000"/>
        <rFont val="Arial"/>
        <family val="2"/>
      </rPr>
      <t xml:space="preserve">OUT
</t>
    </r>
    <r>
      <rPr>
        <sz val="12"/>
        <color rgb="FFFF0000"/>
        <rFont val="Arial"/>
        <family val="2"/>
      </rPr>
      <t>(C</t>
    </r>
    <r>
      <rPr>
        <vertAlign val="subscript"/>
        <sz val="12"/>
        <color rgb="FFFF0000"/>
        <rFont val="Arial"/>
        <family val="2"/>
      </rPr>
      <t>OUT</t>
    </r>
    <r>
      <rPr>
        <sz val="12"/>
        <color rgb="FFFF0000"/>
        <rFont val="Arial"/>
        <family val="2"/>
      </rPr>
      <t xml:space="preserve"> = C</t>
    </r>
    <r>
      <rPr>
        <vertAlign val="subscript"/>
        <sz val="12"/>
        <color rgb="FFFF0000"/>
        <rFont val="Arial"/>
        <family val="2"/>
      </rPr>
      <t>O2</t>
    </r>
    <r>
      <rPr>
        <sz val="12"/>
        <color rgb="FFFF0000"/>
        <rFont val="Arial"/>
        <family val="2"/>
      </rPr>
      <t xml:space="preserve"> 
if Secondary-Resonance is used)</t>
    </r>
  </si>
  <si>
    <t>RLB &lt;</t>
  </si>
  <si>
    <t>VBIN(ON) =</t>
  </si>
  <si>
    <t>VBIN(OFF) =</t>
  </si>
  <si>
    <t>RBSW =</t>
  </si>
  <si>
    <t>IBSW =</t>
  </si>
  <si>
    <t>room temp</t>
  </si>
  <si>
    <r>
      <t>D</t>
    </r>
    <r>
      <rPr>
        <b/>
        <vertAlign val="subscript"/>
        <sz val="12"/>
        <color rgb="FF000000"/>
        <rFont val="Arial"/>
        <family val="2"/>
      </rPr>
      <t>XCD1</t>
    </r>
    <r>
      <rPr>
        <b/>
        <sz val="12"/>
        <color rgb="FF000000"/>
        <rFont val="Arial"/>
        <family val="2"/>
      </rPr>
      <t>, D</t>
    </r>
    <r>
      <rPr>
        <b/>
        <vertAlign val="subscript"/>
        <sz val="12"/>
        <color rgb="FF000000"/>
        <rFont val="Arial"/>
        <family val="2"/>
      </rPr>
      <t>XCD2</t>
    </r>
  </si>
  <si>
    <r>
      <t>R</t>
    </r>
    <r>
      <rPr>
        <b/>
        <vertAlign val="subscript"/>
        <sz val="12"/>
        <color rgb="FF000000"/>
        <rFont val="Arial"/>
        <family val="2"/>
      </rPr>
      <t>XCD1</t>
    </r>
    <r>
      <rPr>
        <b/>
        <sz val="12"/>
        <color rgb="FF000000"/>
        <rFont val="Arial"/>
        <family val="2"/>
      </rPr>
      <t>, R</t>
    </r>
    <r>
      <rPr>
        <b/>
        <vertAlign val="subscript"/>
        <sz val="12"/>
        <color rgb="FF000000"/>
        <rFont val="Arial"/>
        <family val="2"/>
      </rPr>
      <t>XCD2</t>
    </r>
  </si>
  <si>
    <r>
      <t>Q</t>
    </r>
    <r>
      <rPr>
        <b/>
        <vertAlign val="subscript"/>
        <sz val="12"/>
        <color rgb="FF000000"/>
        <rFont val="Arial"/>
        <family val="2"/>
      </rPr>
      <t>XCD</t>
    </r>
  </si>
  <si>
    <r>
      <t>L</t>
    </r>
    <r>
      <rPr>
        <b/>
        <vertAlign val="subscript"/>
        <sz val="12"/>
        <color theme="1"/>
        <rFont val="Arial"/>
        <family val="2"/>
      </rPr>
      <t>B</t>
    </r>
  </si>
  <si>
    <r>
      <t>D</t>
    </r>
    <r>
      <rPr>
        <b/>
        <vertAlign val="subscript"/>
        <sz val="12"/>
        <color rgb="FF000000"/>
        <rFont val="Arial"/>
        <family val="2"/>
      </rPr>
      <t>B</t>
    </r>
  </si>
  <si>
    <r>
      <t>C</t>
    </r>
    <r>
      <rPr>
        <b/>
        <vertAlign val="subscript"/>
        <sz val="12"/>
        <color rgb="FF000000"/>
        <rFont val="Arial"/>
        <family val="2"/>
      </rPr>
      <t>BIN</t>
    </r>
  </si>
  <si>
    <r>
      <t>D</t>
    </r>
    <r>
      <rPr>
        <b/>
        <vertAlign val="subscript"/>
        <sz val="12"/>
        <color rgb="FF000000"/>
        <rFont val="Arial"/>
        <family val="2"/>
      </rPr>
      <t>AUX</t>
    </r>
  </si>
  <si>
    <r>
      <t>D</t>
    </r>
    <r>
      <rPr>
        <b/>
        <vertAlign val="subscript"/>
        <sz val="12"/>
        <color rgb="FF000000"/>
        <rFont val="Arial"/>
        <family val="2"/>
      </rPr>
      <t>BIN</t>
    </r>
  </si>
  <si>
    <r>
      <t>C</t>
    </r>
    <r>
      <rPr>
        <b/>
        <vertAlign val="subscript"/>
        <sz val="12"/>
        <color rgb="FF000000"/>
        <rFont val="Arial"/>
        <family val="2"/>
      </rPr>
      <t>S13</t>
    </r>
  </si>
  <si>
    <r>
      <t>D</t>
    </r>
    <r>
      <rPr>
        <b/>
        <vertAlign val="subscript"/>
        <sz val="12"/>
        <color rgb="FF000000"/>
        <rFont val="Arial"/>
        <family val="2"/>
      </rPr>
      <t>P13</t>
    </r>
  </si>
  <si>
    <r>
      <t>D</t>
    </r>
    <r>
      <rPr>
        <b/>
        <vertAlign val="subscript"/>
        <sz val="12"/>
        <color rgb="FF000000"/>
        <rFont val="Arial"/>
        <family val="2"/>
      </rPr>
      <t>RUN</t>
    </r>
  </si>
  <si>
    <r>
      <t>C</t>
    </r>
    <r>
      <rPr>
        <b/>
        <vertAlign val="subscript"/>
        <sz val="12"/>
        <color rgb="FF000000"/>
        <rFont val="Arial"/>
        <family val="2"/>
      </rPr>
      <t>RUN</t>
    </r>
  </si>
  <si>
    <r>
      <t>D</t>
    </r>
    <r>
      <rPr>
        <b/>
        <vertAlign val="subscript"/>
        <sz val="12"/>
        <color rgb="FF000000"/>
        <rFont val="Arial"/>
        <family val="2"/>
      </rPr>
      <t>BOOT</t>
    </r>
  </si>
  <si>
    <t>&lt; 1.0</t>
  </si>
  <si>
    <t>1.216/1.2 convert at room temperature</t>
  </si>
  <si>
    <r>
      <t>4. The designer then can use the calculated R</t>
    </r>
    <r>
      <rPr>
        <vertAlign val="subscript"/>
        <sz val="11"/>
        <color theme="1"/>
        <rFont val="Arial"/>
        <family val="2"/>
      </rPr>
      <t>BUR1</t>
    </r>
    <r>
      <rPr>
        <sz val="11"/>
        <color theme="1"/>
        <rFont val="Arial"/>
        <family val="2"/>
      </rPr>
      <t xml:space="preserve"> and R</t>
    </r>
    <r>
      <rPr>
        <vertAlign val="subscript"/>
        <sz val="11"/>
        <color theme="1"/>
        <rFont val="Arial"/>
        <family val="2"/>
      </rPr>
      <t>BUR2</t>
    </r>
    <r>
      <rPr>
        <sz val="11"/>
        <color theme="1"/>
        <rFont val="Arial"/>
        <family val="2"/>
      </rPr>
      <t xml:space="preserve"> or change them to</t>
    </r>
  </si>
  <si>
    <t>mA</t>
  </si>
  <si>
    <t>P13 Sink-Current During Start-up</t>
  </si>
  <si>
    <t>P13 Voltage Regulation Level</t>
  </si>
  <si>
    <t>Decoupling Capacitors for Internal Regulators</t>
  </si>
  <si>
    <r>
      <t>V</t>
    </r>
    <r>
      <rPr>
        <vertAlign val="subscript"/>
        <sz val="11"/>
        <color theme="1"/>
        <rFont val="Arial"/>
        <family val="2"/>
      </rPr>
      <t>REF</t>
    </r>
    <r>
      <rPr>
        <sz val="11"/>
        <color theme="1"/>
        <rFont val="Arial"/>
        <family val="2"/>
      </rPr>
      <t xml:space="preserve"> =</t>
    </r>
  </si>
  <si>
    <t xml:space="preserve">   Comments</t>
  </si>
  <si>
    <t>Unit</t>
  </si>
  <si>
    <t xml:space="preserve"> user selection, ±1% standard value</t>
  </si>
  <si>
    <t xml:space="preserve">Name  </t>
  </si>
  <si>
    <r>
      <t>V</t>
    </r>
    <r>
      <rPr>
        <vertAlign val="subscript"/>
        <sz val="11"/>
        <color theme="1"/>
        <rFont val="Arial"/>
        <family val="2"/>
      </rPr>
      <t>Brownin</t>
    </r>
    <r>
      <rPr>
        <sz val="11"/>
        <color theme="1"/>
        <rFont val="Arial"/>
        <family val="2"/>
      </rPr>
      <t xml:space="preserve"> =</t>
    </r>
  </si>
  <si>
    <t xml:space="preserve"> user selection, target hysteresis at AAM &lt;=&gt; ABM boundary</t>
  </si>
  <si>
    <t>Nominal Value:</t>
  </si>
  <si>
    <t>Voltage:</t>
  </si>
  <si>
    <t>Current:</t>
  </si>
  <si>
    <t>Power:</t>
  </si>
  <si>
    <t>Minimum Peak Current:</t>
  </si>
  <si>
    <t>Inductance:</t>
  </si>
  <si>
    <r>
      <t>R</t>
    </r>
    <r>
      <rPr>
        <b/>
        <vertAlign val="subscript"/>
        <sz val="12"/>
        <color rgb="FFFF0000"/>
        <rFont val="Arial"/>
        <family val="2"/>
      </rPr>
      <t>IPC</t>
    </r>
  </si>
  <si>
    <r>
      <t>C</t>
    </r>
    <r>
      <rPr>
        <b/>
        <vertAlign val="subscript"/>
        <sz val="12"/>
        <color rgb="FFFF0000"/>
        <rFont val="Arial"/>
        <family val="2"/>
      </rPr>
      <t>P13</t>
    </r>
  </si>
  <si>
    <r>
      <t>Approximate Time for V</t>
    </r>
    <r>
      <rPr>
        <vertAlign val="subscript"/>
        <sz val="11"/>
        <color theme="1"/>
        <rFont val="Arial"/>
        <family val="2"/>
      </rPr>
      <t>P13</t>
    </r>
    <r>
      <rPr>
        <sz val="11"/>
        <color theme="1"/>
        <rFont val="Arial"/>
        <family val="2"/>
      </rPr>
      <t xml:space="preserve"> to Settle to Regulation After Start-Up</t>
    </r>
  </si>
  <si>
    <r>
      <rPr>
        <b/>
        <sz val="11"/>
        <color theme="1"/>
        <rFont val="Arial"/>
        <family val="2"/>
      </rPr>
      <t>Minimum</t>
    </r>
    <r>
      <rPr>
        <sz val="11"/>
        <color theme="1"/>
        <rFont val="Arial"/>
        <family val="2"/>
      </rPr>
      <t xml:space="preserve"> C</t>
    </r>
    <r>
      <rPr>
        <vertAlign val="subscript"/>
        <sz val="11"/>
        <color theme="1"/>
        <rFont val="Arial"/>
        <family val="2"/>
      </rPr>
      <t>P13</t>
    </r>
    <r>
      <rPr>
        <sz val="11"/>
        <color theme="1"/>
        <rFont val="Arial"/>
        <family val="2"/>
      </rPr>
      <t xml:space="preserve"> Capacitance</t>
    </r>
  </si>
  <si>
    <r>
      <t>C</t>
    </r>
    <r>
      <rPr>
        <vertAlign val="subscript"/>
        <sz val="11"/>
        <color theme="1"/>
        <rFont val="Arial"/>
        <family val="2"/>
      </rPr>
      <t>P13_min</t>
    </r>
    <r>
      <rPr>
        <sz val="11"/>
        <color theme="1"/>
        <rFont val="Arial"/>
        <family val="2"/>
      </rPr>
      <t xml:space="preserve"> =</t>
    </r>
  </si>
  <si>
    <r>
      <rPr>
        <b/>
        <sz val="11"/>
        <color theme="1"/>
        <rFont val="Arial"/>
        <family val="2"/>
      </rPr>
      <t>Actual</t>
    </r>
    <r>
      <rPr>
        <sz val="11"/>
        <color theme="1"/>
        <rFont val="Arial"/>
        <family val="2"/>
      </rPr>
      <t xml:space="preserve"> C</t>
    </r>
    <r>
      <rPr>
        <vertAlign val="subscript"/>
        <sz val="11"/>
        <color theme="1"/>
        <rFont val="Arial"/>
        <family val="2"/>
      </rPr>
      <t>P13</t>
    </r>
    <r>
      <rPr>
        <sz val="11"/>
        <color theme="1"/>
        <rFont val="Arial"/>
        <family val="2"/>
      </rPr>
      <t xml:space="preserve"> Capacitance</t>
    </r>
  </si>
  <si>
    <r>
      <t>C</t>
    </r>
    <r>
      <rPr>
        <vertAlign val="subscript"/>
        <sz val="11"/>
        <color theme="1"/>
        <rFont val="Arial"/>
        <family val="2"/>
      </rPr>
      <t>P13_act</t>
    </r>
    <r>
      <rPr>
        <sz val="11"/>
        <color theme="1"/>
        <rFont val="Arial"/>
        <family val="2"/>
      </rPr>
      <t xml:space="preserve"> =</t>
    </r>
  </si>
  <si>
    <r>
      <t>C</t>
    </r>
    <r>
      <rPr>
        <vertAlign val="subscript"/>
        <sz val="11"/>
        <color theme="1"/>
        <rFont val="Arial"/>
        <family val="2"/>
      </rPr>
      <t>P13</t>
    </r>
    <r>
      <rPr>
        <sz val="11"/>
        <color theme="1"/>
        <rFont val="Arial"/>
        <family val="2"/>
      </rPr>
      <t xml:space="preserve"> Capacitance Used in Calculations</t>
    </r>
  </si>
  <si>
    <r>
      <t>C</t>
    </r>
    <r>
      <rPr>
        <vertAlign val="subscript"/>
        <sz val="11"/>
        <color theme="1"/>
        <rFont val="Arial"/>
        <family val="2"/>
      </rPr>
      <t>P13</t>
    </r>
    <r>
      <rPr>
        <sz val="11"/>
        <color theme="1"/>
        <rFont val="Arial"/>
        <family val="2"/>
      </rPr>
      <t xml:space="preserve"> =</t>
    </r>
  </si>
  <si>
    <t>FB Internal Pull-up Resistance</t>
  </si>
  <si>
    <r>
      <t>V</t>
    </r>
    <r>
      <rPr>
        <vertAlign val="subscript"/>
        <sz val="11"/>
        <color theme="1"/>
        <rFont val="Arial"/>
        <family val="2"/>
      </rPr>
      <t>P13</t>
    </r>
    <r>
      <rPr>
        <sz val="11"/>
        <color theme="1"/>
        <rFont val="Arial"/>
        <family val="2"/>
      </rPr>
      <t xml:space="preserve"> =</t>
    </r>
  </si>
  <si>
    <r>
      <t xml:space="preserve"> I</t>
    </r>
    <r>
      <rPr>
        <vertAlign val="subscript"/>
        <sz val="11"/>
        <color theme="1"/>
        <rFont val="Arial"/>
        <family val="2"/>
      </rPr>
      <t>P13_START</t>
    </r>
    <r>
      <rPr>
        <sz val="11"/>
        <color theme="1"/>
        <rFont val="Arial"/>
        <family val="2"/>
      </rPr>
      <t xml:space="preserve"> =</t>
    </r>
  </si>
  <si>
    <r>
      <t>ΔV</t>
    </r>
    <r>
      <rPr>
        <sz val="7"/>
        <color theme="1"/>
        <rFont val="Arial"/>
        <family val="2"/>
      </rPr>
      <t xml:space="preserve">CLAMP </t>
    </r>
    <r>
      <rPr>
        <sz val="11"/>
        <color theme="1"/>
        <rFont val="Arial"/>
        <family val="2"/>
      </rPr>
      <t>=</t>
    </r>
  </si>
  <si>
    <r>
      <t>L</t>
    </r>
    <r>
      <rPr>
        <vertAlign val="subscript"/>
        <sz val="11"/>
        <rFont val="Arial"/>
        <family val="2"/>
      </rPr>
      <t xml:space="preserve">K_act </t>
    </r>
    <r>
      <rPr>
        <sz val="11"/>
        <rFont val="Arial"/>
        <family val="2"/>
      </rPr>
      <t>=</t>
    </r>
  </si>
  <si>
    <r>
      <t>D</t>
    </r>
    <r>
      <rPr>
        <vertAlign val="subscript"/>
        <sz val="11"/>
        <color theme="1"/>
        <rFont val="Arial"/>
        <family val="2"/>
      </rPr>
      <t xml:space="preserve">rea_clamp </t>
    </r>
    <r>
      <rPr>
        <sz val="11"/>
        <color theme="1"/>
        <rFont val="Arial"/>
        <family val="2"/>
      </rPr>
      <t>=</t>
    </r>
  </si>
  <si>
    <r>
      <t xml:space="preserve"> </t>
    </r>
    <r>
      <rPr>
        <sz val="12"/>
        <color theme="1"/>
        <rFont val="Arial"/>
        <family val="2"/>
      </rPr>
      <t>η</t>
    </r>
    <r>
      <rPr>
        <sz val="7"/>
        <color theme="1"/>
        <rFont val="Arial"/>
        <family val="2"/>
      </rPr>
      <t xml:space="preserve">_min </t>
    </r>
    <r>
      <rPr>
        <sz val="11"/>
        <color theme="1"/>
        <rFont val="Arial"/>
        <family val="2"/>
      </rPr>
      <t>=</t>
    </r>
  </si>
  <si>
    <r>
      <t>f</t>
    </r>
    <r>
      <rPr>
        <vertAlign val="subscript"/>
        <sz val="11"/>
        <color theme="1"/>
        <rFont val="Arial"/>
        <family val="2"/>
      </rPr>
      <t xml:space="preserve">SW_min </t>
    </r>
    <r>
      <rPr>
        <sz val="11"/>
        <color theme="1"/>
        <rFont val="Arial"/>
        <family val="2"/>
      </rPr>
      <t>=</t>
    </r>
  </si>
  <si>
    <r>
      <t>C</t>
    </r>
    <r>
      <rPr>
        <vertAlign val="subscript"/>
        <sz val="11"/>
        <color theme="1"/>
        <rFont val="Arial"/>
        <family val="2"/>
      </rPr>
      <t xml:space="preserve">oss_QH_T </t>
    </r>
    <r>
      <rPr>
        <sz val="11"/>
        <color theme="1"/>
        <rFont val="Arial"/>
        <family val="2"/>
      </rPr>
      <t>=</t>
    </r>
  </si>
  <si>
    <r>
      <t xml:space="preserve"> C</t>
    </r>
    <r>
      <rPr>
        <vertAlign val="subscript"/>
        <sz val="11"/>
        <color theme="1"/>
        <rFont val="Arial"/>
        <family val="2"/>
      </rPr>
      <t xml:space="preserve">oss_QL_T </t>
    </r>
    <r>
      <rPr>
        <sz val="11"/>
        <color theme="1"/>
        <rFont val="Arial"/>
        <family val="2"/>
      </rPr>
      <t>=</t>
    </r>
  </si>
  <si>
    <r>
      <t xml:space="preserve"> C</t>
    </r>
    <r>
      <rPr>
        <vertAlign val="subscript"/>
        <sz val="11"/>
        <color theme="1"/>
        <rFont val="Arial"/>
        <family val="2"/>
      </rPr>
      <t>OSS_SR_T</t>
    </r>
    <r>
      <rPr>
        <sz val="11"/>
        <color theme="1"/>
        <rFont val="Arial"/>
        <family val="2"/>
      </rPr>
      <t xml:space="preserve"> =</t>
    </r>
  </si>
  <si>
    <r>
      <t xml:space="preserve"> C</t>
    </r>
    <r>
      <rPr>
        <vertAlign val="subscript"/>
        <sz val="11"/>
        <color theme="1"/>
        <rFont val="Arial"/>
        <family val="2"/>
      </rPr>
      <t xml:space="preserve">OSS_SR_H </t>
    </r>
    <r>
      <rPr>
        <sz val="11"/>
        <color theme="1"/>
        <rFont val="Arial"/>
        <family val="2"/>
      </rPr>
      <t>=</t>
    </r>
  </si>
  <si>
    <r>
      <t xml:space="preserve"> V</t>
    </r>
    <r>
      <rPr>
        <vertAlign val="subscript"/>
        <sz val="11"/>
        <color theme="1"/>
        <rFont val="Arial"/>
        <family val="2"/>
      </rPr>
      <t xml:space="preserve">f_SR </t>
    </r>
    <r>
      <rPr>
        <sz val="11"/>
        <color theme="1"/>
        <rFont val="Arial"/>
        <family val="2"/>
      </rPr>
      <t>=</t>
    </r>
  </si>
  <si>
    <r>
      <t xml:space="preserve"> I</t>
    </r>
    <r>
      <rPr>
        <vertAlign val="subscript"/>
        <sz val="11"/>
        <color theme="1"/>
        <rFont val="Arial"/>
        <family val="2"/>
      </rPr>
      <t xml:space="preserve">D_SR_max </t>
    </r>
    <r>
      <rPr>
        <sz val="11"/>
        <color theme="1"/>
        <rFont val="Arial"/>
        <family val="2"/>
      </rPr>
      <t>=</t>
    </r>
  </si>
  <si>
    <r>
      <t xml:space="preserve"> V</t>
    </r>
    <r>
      <rPr>
        <vertAlign val="subscript"/>
        <sz val="11"/>
        <rFont val="Arial"/>
        <family val="2"/>
      </rPr>
      <t xml:space="preserve">CE_sat_opto </t>
    </r>
    <r>
      <rPr>
        <sz val="11"/>
        <rFont val="Arial"/>
        <family val="2"/>
      </rPr>
      <t>=</t>
    </r>
  </si>
  <si>
    <r>
      <t>V</t>
    </r>
    <r>
      <rPr>
        <vertAlign val="subscript"/>
        <sz val="11"/>
        <rFont val="Arial"/>
        <family val="2"/>
      </rPr>
      <t xml:space="preserve">D_LED </t>
    </r>
    <r>
      <rPr>
        <sz val="11"/>
        <rFont val="Arial"/>
        <family val="2"/>
      </rPr>
      <t>=</t>
    </r>
  </si>
  <si>
    <r>
      <t xml:space="preserve"> f</t>
    </r>
    <r>
      <rPr>
        <vertAlign val="subscript"/>
        <sz val="11"/>
        <rFont val="Arial"/>
        <family val="2"/>
      </rPr>
      <t xml:space="preserve">p_opto </t>
    </r>
    <r>
      <rPr>
        <sz val="11"/>
        <rFont val="Arial"/>
        <family val="2"/>
      </rPr>
      <t>=</t>
    </r>
  </si>
  <si>
    <r>
      <t>V</t>
    </r>
    <r>
      <rPr>
        <vertAlign val="subscript"/>
        <sz val="11"/>
        <rFont val="Arial"/>
        <family val="2"/>
      </rPr>
      <t xml:space="preserve">D_LED_off </t>
    </r>
    <r>
      <rPr>
        <sz val="11"/>
        <rFont val="Arial"/>
        <family val="2"/>
      </rPr>
      <t>=</t>
    </r>
  </si>
  <si>
    <r>
      <t xml:space="preserve"> K</t>
    </r>
    <r>
      <rPr>
        <vertAlign val="subscript"/>
        <sz val="11"/>
        <rFont val="Arial"/>
        <family val="2"/>
      </rPr>
      <t xml:space="preserve">CTR_Temp </t>
    </r>
    <r>
      <rPr>
        <sz val="11"/>
        <rFont val="Arial"/>
        <family val="2"/>
      </rPr>
      <t>=</t>
    </r>
  </si>
  <si>
    <r>
      <t xml:space="preserve"> I</t>
    </r>
    <r>
      <rPr>
        <vertAlign val="subscript"/>
        <sz val="11"/>
        <color theme="1"/>
        <rFont val="Arial"/>
        <family val="2"/>
      </rPr>
      <t xml:space="preserve">KA_min </t>
    </r>
    <r>
      <rPr>
        <sz val="11"/>
        <color theme="1"/>
        <rFont val="Arial"/>
        <family val="2"/>
      </rPr>
      <t>=</t>
    </r>
  </si>
  <si>
    <r>
      <t xml:space="preserve"> V</t>
    </r>
    <r>
      <rPr>
        <vertAlign val="subscript"/>
        <sz val="11"/>
        <color theme="1"/>
        <rFont val="Arial"/>
        <family val="2"/>
      </rPr>
      <t xml:space="preserve">ref_431 </t>
    </r>
    <r>
      <rPr>
        <sz val="11"/>
        <color theme="1"/>
        <rFont val="Arial"/>
        <family val="2"/>
      </rPr>
      <t>=</t>
    </r>
  </si>
  <si>
    <r>
      <t xml:space="preserve"> I</t>
    </r>
    <r>
      <rPr>
        <vertAlign val="subscript"/>
        <sz val="11"/>
        <rFont val="Arial"/>
        <family val="2"/>
      </rPr>
      <t xml:space="preserve">ref_431_typ </t>
    </r>
    <r>
      <rPr>
        <sz val="11"/>
        <rFont val="Arial"/>
        <family val="2"/>
      </rPr>
      <t>=</t>
    </r>
  </si>
  <si>
    <r>
      <t xml:space="preserve"> C</t>
    </r>
    <r>
      <rPr>
        <vertAlign val="subscript"/>
        <sz val="11"/>
        <color theme="1"/>
        <rFont val="Arial"/>
        <family val="2"/>
      </rPr>
      <t xml:space="preserve">OSS_Qs </t>
    </r>
    <r>
      <rPr>
        <sz val="11"/>
        <color theme="1"/>
        <rFont val="Arial"/>
        <family val="2"/>
      </rPr>
      <t>=</t>
    </r>
  </si>
  <si>
    <r>
      <t xml:space="preserve"> V</t>
    </r>
    <r>
      <rPr>
        <vertAlign val="subscript"/>
        <sz val="11"/>
        <color theme="1"/>
        <rFont val="Arial"/>
        <family val="2"/>
      </rPr>
      <t xml:space="preserve">gs_Qs </t>
    </r>
    <r>
      <rPr>
        <sz val="11"/>
        <color theme="1"/>
        <rFont val="Arial"/>
        <family val="2"/>
      </rPr>
      <t>=</t>
    </r>
  </si>
  <si>
    <r>
      <t xml:space="preserve"> L</t>
    </r>
    <r>
      <rPr>
        <vertAlign val="subscript"/>
        <sz val="11"/>
        <color theme="1"/>
        <rFont val="Arial"/>
        <family val="2"/>
      </rPr>
      <t xml:space="preserve">Qs </t>
    </r>
    <r>
      <rPr>
        <sz val="11"/>
        <color theme="1"/>
        <rFont val="Arial"/>
        <family val="2"/>
      </rPr>
      <t>=</t>
    </r>
  </si>
  <si>
    <r>
      <t xml:space="preserve"> C</t>
    </r>
    <r>
      <rPr>
        <vertAlign val="subscript"/>
        <sz val="11"/>
        <color theme="1"/>
        <rFont val="Arial"/>
        <family val="2"/>
      </rPr>
      <t xml:space="preserve">ISS_Qs </t>
    </r>
    <r>
      <rPr>
        <sz val="11"/>
        <color theme="1"/>
        <rFont val="Arial"/>
        <family val="2"/>
      </rPr>
      <t>=</t>
    </r>
  </si>
  <si>
    <r>
      <t xml:space="preserve"> V</t>
    </r>
    <r>
      <rPr>
        <vertAlign val="subscript"/>
        <sz val="11"/>
        <color theme="1"/>
        <rFont val="Arial"/>
        <family val="2"/>
      </rPr>
      <t xml:space="preserve">th_Qs </t>
    </r>
    <r>
      <rPr>
        <sz val="11"/>
        <color theme="1"/>
        <rFont val="Arial"/>
        <family val="2"/>
      </rPr>
      <t>=</t>
    </r>
  </si>
  <si>
    <r>
      <t xml:space="preserve"> C</t>
    </r>
    <r>
      <rPr>
        <vertAlign val="subscript"/>
        <sz val="11"/>
        <color theme="1"/>
        <rFont val="Arial"/>
        <family val="2"/>
      </rPr>
      <t xml:space="preserve">Daux_T </t>
    </r>
    <r>
      <rPr>
        <sz val="11"/>
        <color theme="1"/>
        <rFont val="Arial"/>
        <family val="2"/>
      </rPr>
      <t>=</t>
    </r>
  </si>
  <si>
    <r>
      <t xml:space="preserve"> C</t>
    </r>
    <r>
      <rPr>
        <vertAlign val="subscript"/>
        <sz val="11"/>
        <color theme="1"/>
        <rFont val="Arial"/>
        <family val="2"/>
      </rPr>
      <t xml:space="preserve">Daux_H </t>
    </r>
    <r>
      <rPr>
        <sz val="11"/>
        <color theme="1"/>
        <rFont val="Arial"/>
        <family val="2"/>
      </rPr>
      <t>=</t>
    </r>
  </si>
  <si>
    <r>
      <t xml:space="preserve"> V</t>
    </r>
    <r>
      <rPr>
        <vertAlign val="subscript"/>
        <sz val="11"/>
        <color theme="1"/>
        <rFont val="Arial"/>
        <family val="2"/>
      </rPr>
      <t xml:space="preserve">f_Daux </t>
    </r>
    <r>
      <rPr>
        <sz val="11"/>
        <color theme="1"/>
        <rFont val="Arial"/>
        <family val="2"/>
      </rPr>
      <t>=</t>
    </r>
  </si>
  <si>
    <r>
      <t xml:space="preserve"> I</t>
    </r>
    <r>
      <rPr>
        <vertAlign val="subscript"/>
        <sz val="11"/>
        <color theme="1"/>
        <rFont val="Arial"/>
        <family val="2"/>
      </rPr>
      <t xml:space="preserve">Daux_max </t>
    </r>
    <r>
      <rPr>
        <sz val="11"/>
        <color theme="1"/>
        <rFont val="Arial"/>
        <family val="2"/>
      </rPr>
      <t>=</t>
    </r>
  </si>
  <si>
    <t>Maximum Clamp Voltage on SR</t>
  </si>
  <si>
    <t>Maximum Clamp Voltage on QH</t>
  </si>
  <si>
    <t>Maximum Clamp Voltage</t>
  </si>
  <si>
    <t>Duty Cycle During OPP at Run Input</t>
  </si>
  <si>
    <t>OPP Input Current at Run Input</t>
  </si>
  <si>
    <t>Negative Magnetizing Inductor Current at Run</t>
  </si>
  <si>
    <t>Switching Frequency During OPP at Run</t>
  </si>
  <si>
    <t>Peak Current During OPP at Run Input</t>
  </si>
  <si>
    <t>Negative Magnetizing Inductor Current at Min</t>
  </si>
  <si>
    <t>Peak Current During OPP at Min Input</t>
  </si>
  <si>
    <t>Switching Frequency During OPP at Min</t>
  </si>
  <si>
    <t>OPP Input Current at Min Input</t>
  </si>
  <si>
    <t>Duty Cycle During OPP at Min Input</t>
  </si>
  <si>
    <t>Turn on Period During Minimum Input Voltage</t>
  </si>
  <si>
    <r>
      <t>Switching Node Capacitance from 0 to V</t>
    </r>
    <r>
      <rPr>
        <vertAlign val="subscript"/>
        <sz val="11"/>
        <color theme="1"/>
        <rFont val="Arial"/>
        <family val="2"/>
      </rPr>
      <t>Xl</t>
    </r>
    <r>
      <rPr>
        <sz val="11"/>
        <color theme="1"/>
        <rFont val="Arial"/>
        <family val="2"/>
      </rPr>
      <t/>
    </r>
  </si>
  <si>
    <t>Sum of Peak Current Loop Delay</t>
  </si>
  <si>
    <t>Negative Magnetizing Inductor Current at Max</t>
  </si>
  <si>
    <t>Switching Frequency During OPP at Max</t>
  </si>
  <si>
    <t>Peak Current During OPP at Max Input</t>
  </si>
  <si>
    <t>Duty Cycle During OPP at Max Input</t>
  </si>
  <si>
    <t>OPP Input Current at Max Input</t>
  </si>
  <si>
    <t>Offset Voltage on CS Pin During OPP at Max Input</t>
  </si>
  <si>
    <t>Line Sensing Current at Max Input</t>
  </si>
  <si>
    <t>Voltage on Primary Resistance</t>
  </si>
  <si>
    <r>
      <t xml:space="preserve">Voltage on </t>
    </r>
    <r>
      <rPr>
        <b/>
        <sz val="11"/>
        <color theme="1"/>
        <rFont val="Arial"/>
        <family val="2"/>
      </rPr>
      <t>Leakage</t>
    </r>
    <r>
      <rPr>
        <sz val="11"/>
        <color theme="1"/>
        <rFont val="Arial"/>
        <family val="2"/>
      </rPr>
      <t xml:space="preserve"> Inductance</t>
    </r>
  </si>
  <si>
    <t>Negative Magnetizing Inductor Current at BUR</t>
  </si>
  <si>
    <t>Rising Time</t>
  </si>
  <si>
    <t>Line Sensing Current at BUR</t>
  </si>
  <si>
    <t>OPP Input Current at BUR</t>
  </si>
  <si>
    <t>Duty Cycle During BUR</t>
  </si>
  <si>
    <t>Peak Current During BUR</t>
  </si>
  <si>
    <t>Switching Frequency During BUR</t>
  </si>
  <si>
    <t>Driver Charge</t>
  </si>
  <si>
    <t>Negative Magnetizing Inductor Current at BUR and Min Input</t>
  </si>
  <si>
    <t>Switching Frequency During BUR and Min Input</t>
  </si>
  <si>
    <t>Peak Current During BUR and Min Input</t>
  </si>
  <si>
    <t>Duty Cycle During BUR and Min Input</t>
  </si>
  <si>
    <t>OPP Input Current at BUR and Min Input</t>
  </si>
  <si>
    <t>Negative Magnetizing Inductor Current at Start</t>
  </si>
  <si>
    <t>Switching Frequency During OPP at Start</t>
  </si>
  <si>
    <t>Peak Current During OPP at Start</t>
  </si>
  <si>
    <t>OPP Input Current at Start</t>
  </si>
  <si>
    <t>Duty Cycle During OPP at Start</t>
  </si>
  <si>
    <t>Driver Require Current</t>
  </si>
  <si>
    <t>Switching Frequency During Min Input</t>
  </si>
  <si>
    <t>Peak Current During Min Input</t>
  </si>
  <si>
    <t>Input Current at Min Input</t>
  </si>
  <si>
    <t>Duty Cycle During Min Input</t>
  </si>
  <si>
    <r>
      <t>Coefficient for R</t>
    </r>
    <r>
      <rPr>
        <vertAlign val="subscript"/>
        <sz val="11"/>
        <color theme="1"/>
        <rFont val="Arial"/>
        <family val="2"/>
      </rPr>
      <t>bias1</t>
    </r>
    <r>
      <rPr>
        <sz val="11"/>
        <color theme="1"/>
        <rFont val="Arial"/>
        <family val="2"/>
      </rPr>
      <t/>
    </r>
  </si>
  <si>
    <r>
      <t>Suggested 10*C</t>
    </r>
    <r>
      <rPr>
        <vertAlign val="subscript"/>
        <sz val="11"/>
        <color theme="1"/>
        <rFont val="Arial"/>
        <family val="2"/>
      </rPr>
      <t>BOOT</t>
    </r>
  </si>
  <si>
    <r>
      <t>C</t>
    </r>
    <r>
      <rPr>
        <vertAlign val="subscript"/>
        <sz val="11"/>
        <color theme="1"/>
        <rFont val="Arial"/>
        <family val="2"/>
      </rPr>
      <t>BOOT_min</t>
    </r>
    <r>
      <rPr>
        <sz val="11"/>
        <color theme="1"/>
        <rFont val="Arial"/>
        <family val="2"/>
      </rPr>
      <t xml:space="preserve"> =</t>
    </r>
  </si>
  <si>
    <r>
      <t>C</t>
    </r>
    <r>
      <rPr>
        <vertAlign val="subscript"/>
        <sz val="11"/>
        <color theme="1"/>
        <rFont val="Arial"/>
        <family val="2"/>
      </rPr>
      <t>BOOT</t>
    </r>
    <r>
      <rPr>
        <sz val="11"/>
        <color theme="1"/>
        <rFont val="Arial"/>
        <family val="2"/>
      </rPr>
      <t xml:space="preserve"> =</t>
    </r>
  </si>
  <si>
    <r>
      <t>C</t>
    </r>
    <r>
      <rPr>
        <vertAlign val="subscript"/>
        <sz val="11"/>
        <color theme="1"/>
        <rFont val="Arial"/>
        <family val="2"/>
      </rPr>
      <t>BOOT_max</t>
    </r>
    <r>
      <rPr>
        <sz val="11"/>
        <color theme="1"/>
        <rFont val="Arial"/>
        <family val="2"/>
      </rPr>
      <t xml:space="preserve"> =</t>
    </r>
  </si>
  <si>
    <r>
      <t>C</t>
    </r>
    <r>
      <rPr>
        <vertAlign val="subscript"/>
        <sz val="11"/>
        <color theme="1"/>
        <rFont val="Arial"/>
        <family val="2"/>
      </rPr>
      <t xml:space="preserve">Reflect </t>
    </r>
    <r>
      <rPr>
        <sz val="11"/>
        <color theme="1"/>
        <rFont val="Arial"/>
        <family val="2"/>
      </rPr>
      <t>=</t>
    </r>
  </si>
  <si>
    <r>
      <t>DCR of Boost Inductor, R</t>
    </r>
    <r>
      <rPr>
        <vertAlign val="subscript"/>
        <sz val="12"/>
        <rFont val="Arial"/>
        <family val="2"/>
      </rPr>
      <t>LB</t>
    </r>
    <r>
      <rPr>
        <sz val="12"/>
        <rFont val="Arial"/>
        <family val="2"/>
      </rPr>
      <t>:</t>
    </r>
  </si>
  <si>
    <t>Why it calculates to &lt;1ohm: accounting for hot resistances</t>
  </si>
  <si>
    <t>Refering to "Schematic" tab, DCR of Boost Inductor</t>
  </si>
  <si>
    <t>REF Voltage</t>
  </si>
  <si>
    <r>
      <t>V</t>
    </r>
    <r>
      <rPr>
        <vertAlign val="subscript"/>
        <sz val="11"/>
        <color theme="1"/>
        <rFont val="Arial"/>
        <family val="2"/>
      </rPr>
      <t xml:space="preserve">BUR2 </t>
    </r>
    <r>
      <rPr>
        <sz val="11"/>
        <color theme="1"/>
        <rFont val="Arial"/>
        <family val="2"/>
      </rPr>
      <t>=</t>
    </r>
  </si>
  <si>
    <r>
      <t>R</t>
    </r>
    <r>
      <rPr>
        <vertAlign val="subscript"/>
        <sz val="11"/>
        <color theme="1"/>
        <rFont val="Arial"/>
        <family val="2"/>
      </rPr>
      <t>bur2</t>
    </r>
    <r>
      <rPr>
        <sz val="11"/>
        <color theme="1"/>
        <rFont val="Arial"/>
        <family val="2"/>
      </rPr>
      <t>/(R</t>
    </r>
    <r>
      <rPr>
        <vertAlign val="subscript"/>
        <sz val="11"/>
        <color theme="1"/>
        <rFont val="Arial"/>
        <family val="2"/>
      </rPr>
      <t>bur1</t>
    </r>
    <r>
      <rPr>
        <sz val="11"/>
        <color theme="1"/>
        <rFont val="Arial"/>
        <family val="2"/>
      </rPr>
      <t>+R</t>
    </r>
    <r>
      <rPr>
        <vertAlign val="subscript"/>
        <sz val="11"/>
        <color theme="1"/>
        <rFont val="Arial"/>
        <family val="2"/>
      </rPr>
      <t>bur2</t>
    </r>
    <r>
      <rPr>
        <sz val="11"/>
        <color theme="1"/>
        <rFont val="Arial"/>
        <family val="2"/>
      </rPr>
      <t>) =</t>
    </r>
  </si>
  <si>
    <r>
      <t xml:space="preserve"> recommended target value for R</t>
    </r>
    <r>
      <rPr>
        <vertAlign val="subscript"/>
        <sz val="11"/>
        <color theme="1"/>
        <rFont val="Arial"/>
        <family val="2"/>
      </rPr>
      <t>BUR2</t>
    </r>
  </si>
  <si>
    <r>
      <t xml:space="preserve"> recommended target value for R</t>
    </r>
    <r>
      <rPr>
        <vertAlign val="subscript"/>
        <sz val="11"/>
        <color theme="1"/>
        <rFont val="Arial"/>
        <family val="2"/>
      </rPr>
      <t>BUR1</t>
    </r>
  </si>
  <si>
    <r>
      <t xml:space="preserve"> hysteresis at ABM &lt;=&gt; LPM boundary, dependent on ∆V</t>
    </r>
    <r>
      <rPr>
        <vertAlign val="subscript"/>
        <sz val="11"/>
        <color theme="1"/>
        <rFont val="Arial"/>
        <family val="2"/>
      </rPr>
      <t>BUR(AAM)</t>
    </r>
    <r>
      <rPr>
        <sz val="11"/>
        <color theme="1"/>
        <rFont val="Arial"/>
        <family val="2"/>
      </rPr>
      <t xml:space="preserve"> </t>
    </r>
  </si>
  <si>
    <r>
      <t>3. After ∆V</t>
    </r>
    <r>
      <rPr>
        <vertAlign val="subscript"/>
        <sz val="11"/>
        <color theme="1"/>
        <rFont val="Arial"/>
        <family val="2"/>
      </rPr>
      <t>BUR(AAM)</t>
    </r>
    <r>
      <rPr>
        <sz val="11"/>
        <color theme="1"/>
        <rFont val="Arial"/>
        <family val="2"/>
      </rPr>
      <t xml:space="preserve"> is selected, the calculator determines R</t>
    </r>
    <r>
      <rPr>
        <vertAlign val="subscript"/>
        <sz val="11"/>
        <color theme="1"/>
        <rFont val="Arial"/>
        <family val="2"/>
      </rPr>
      <t>BUR1</t>
    </r>
    <r>
      <rPr>
        <sz val="11"/>
        <color theme="1"/>
        <rFont val="Arial"/>
        <family val="2"/>
      </rPr>
      <t xml:space="preserve"> and R</t>
    </r>
    <r>
      <rPr>
        <vertAlign val="subscript"/>
        <sz val="11"/>
        <color theme="1"/>
        <rFont val="Arial"/>
        <family val="2"/>
      </rPr>
      <t>BUR2</t>
    </r>
    <r>
      <rPr>
        <sz val="11"/>
        <color theme="1"/>
        <rFont val="Arial"/>
        <family val="2"/>
      </rPr>
      <t xml:space="preserve"> targets.</t>
    </r>
  </si>
  <si>
    <t xml:space="preserve">   Actual Brown-in (Start-up) Voltage, Maximum</t>
  </si>
  <si>
    <t xml:space="preserve">   Possible Brown-in voltage calculated with maximum parameters</t>
  </si>
  <si>
    <t xml:space="preserve">   Actual Brown-in (Start-up) Voltage, Minimum</t>
  </si>
  <si>
    <t xml:space="preserve">   Possible Brown-in voltage calculated with minimum parameters</t>
  </si>
  <si>
    <t xml:space="preserve">   Actual Brown-out (Shut-down) Voltage, Maximum</t>
  </si>
  <si>
    <t xml:space="preserve">   Possible Brown-out voltage calculated with maximum parameters</t>
  </si>
  <si>
    <t>Actual Brown-out (Shut-down) Voltage, Typical</t>
  </si>
  <si>
    <t>Brown-out voltage calculated with typical parameters</t>
  </si>
  <si>
    <t xml:space="preserve">   Actual Brown-out (Shut-down) Voltage, Minimum</t>
  </si>
  <si>
    <t xml:space="preserve">   Possible Brown-out voltage calculated with minimum parameters</t>
  </si>
  <si>
    <t>NTC Resistance Threshold on FLT pin to Trigger OTP Fault, Maximum</t>
  </si>
  <si>
    <t>NTC Resistance Threshold on FLT pin to Trigger OTP Fault, Typical</t>
  </si>
  <si>
    <t>NTC Resistance Threshold on FLT pin to Trigger OTP Fault, Minimum</t>
  </si>
  <si>
    <t>NTC Resistance Threshold on FLT pin to Clear OTP Fault, Maximum</t>
  </si>
  <si>
    <t>NTC Resistance Threshold on FLT pin to Clear OTP Fault, Typical</t>
  </si>
  <si>
    <t>NTC Resistance Threshold on FLT pin to Clear OTP Fault, Minimum</t>
  </si>
  <si>
    <r>
      <t>V</t>
    </r>
    <r>
      <rPr>
        <vertAlign val="subscript"/>
        <sz val="11"/>
        <color theme="1"/>
        <rFont val="Arial"/>
        <family val="2"/>
      </rPr>
      <t>O_typ</t>
    </r>
    <r>
      <rPr>
        <sz val="11"/>
        <color theme="1"/>
        <rFont val="Arial"/>
        <family val="2"/>
      </rPr>
      <t xml:space="preserve"> =</t>
    </r>
  </si>
  <si>
    <t>Over-Temperature Protection on FLT Pin    ====&gt;&gt;</t>
  </si>
  <si>
    <t>NTC Resistor Part Number (for reference)</t>
  </si>
  <si>
    <t xml:space="preserve">Percent Tolerance (±) of Nominal R25 Value </t>
  </si>
  <si>
    <t xml:space="preserve">Percent Tolerance (±) of Nominal B2585 Value </t>
  </si>
  <si>
    <t>Choose Target Shut-down Temperature in °C</t>
  </si>
  <si>
    <t>°C</t>
  </si>
  <si>
    <t>NTHS0603N01N1003F</t>
  </si>
  <si>
    <t>Approximate Temperature at which OTP Fault Resets (Clears)</t>
  </si>
  <si>
    <t>Temperature where NTC resistance = 23 kΩ</t>
  </si>
  <si>
    <t>Approximate Temperature at which OTP Fault Sets</t>
  </si>
  <si>
    <t>Nominal Temperature at which OTP Fault Sets</t>
  </si>
  <si>
    <t>Nominal Temperature at which OTP Fault Resets (Clears)</t>
  </si>
  <si>
    <t>Minimum Temperature at which OTP Fault Sets</t>
  </si>
  <si>
    <t>Minimum Temperature at which OTP Fault Resets (Clears)</t>
  </si>
  <si>
    <t>Maximum Temperature at which OTP Fault Sets</t>
  </si>
  <si>
    <t>Maximum Temperature at which OTP Fault Resets (Clears)</t>
  </si>
  <si>
    <t xml:space="preserve">   from NTC datasheet</t>
  </si>
  <si>
    <t xml:space="preserve"> </t>
  </si>
  <si>
    <t xml:space="preserve">SLURAZ0 </t>
  </si>
  <si>
    <t>Choose either AC or DC;              See graphs at right &gt;&gt;&gt;</t>
  </si>
  <si>
    <t>Lowest RMS or DC input voltage, steady-state</t>
  </si>
  <si>
    <t>For universal AC-line, enter 47;  Not used for DC input</t>
  </si>
  <si>
    <t>OPP level not included here, but in cell D32</t>
  </si>
  <si>
    <t>TI Literature Number</t>
  </si>
  <si>
    <t>Release Date</t>
  </si>
  <si>
    <t>May 2020</t>
  </si>
  <si>
    <t xml:space="preserve"> Original Release</t>
  </si>
  <si>
    <t xml:space="preserve"> Changes Made</t>
  </si>
  <si>
    <t>Version Suffix</t>
  </si>
  <si>
    <r>
      <t xml:space="preserve"> T</t>
    </r>
    <r>
      <rPr>
        <vertAlign val="subscript"/>
        <sz val="11"/>
        <color theme="1"/>
        <rFont val="Arial"/>
        <family val="2"/>
      </rPr>
      <t xml:space="preserve">OTP_tgt </t>
    </r>
    <r>
      <rPr>
        <sz val="11"/>
        <color theme="1"/>
        <rFont val="Arial"/>
        <family val="2"/>
      </rPr>
      <t>=</t>
    </r>
  </si>
  <si>
    <r>
      <t>Nominal 25</t>
    </r>
    <r>
      <rPr>
        <sz val="11"/>
        <color theme="1"/>
        <rFont val="Calibri"/>
        <family val="2"/>
      </rPr>
      <t>°</t>
    </r>
    <r>
      <rPr>
        <sz val="11"/>
        <color theme="1"/>
        <rFont val="Arial"/>
        <family val="2"/>
      </rPr>
      <t>C Resistance</t>
    </r>
  </si>
  <si>
    <r>
      <t xml:space="preserve"> R</t>
    </r>
    <r>
      <rPr>
        <vertAlign val="subscript"/>
        <sz val="11"/>
        <color theme="1"/>
        <rFont val="Arial"/>
        <family val="2"/>
      </rPr>
      <t xml:space="preserve">25 </t>
    </r>
    <r>
      <rPr>
        <sz val="11"/>
        <color theme="1"/>
        <rFont val="Arial"/>
        <family val="2"/>
      </rPr>
      <t>=</t>
    </r>
  </si>
  <si>
    <r>
      <t xml:space="preserve"> K</t>
    </r>
    <r>
      <rPr>
        <vertAlign val="subscript"/>
        <sz val="11"/>
        <color theme="1"/>
        <rFont val="Arial"/>
        <family val="2"/>
      </rPr>
      <t xml:space="preserve">Rtol </t>
    </r>
    <r>
      <rPr>
        <sz val="11"/>
        <color theme="1"/>
        <rFont val="Arial"/>
        <family val="2"/>
      </rPr>
      <t>=</t>
    </r>
  </si>
  <si>
    <r>
      <t>Nominal B</t>
    </r>
    <r>
      <rPr>
        <vertAlign val="subscript"/>
        <sz val="11"/>
        <color theme="1"/>
        <rFont val="Arial"/>
        <family val="2"/>
      </rPr>
      <t>25/85</t>
    </r>
    <r>
      <rPr>
        <sz val="11"/>
        <color theme="1"/>
        <rFont val="Arial"/>
        <family val="2"/>
      </rPr>
      <t xml:space="preserve"> Factor</t>
    </r>
  </si>
  <si>
    <r>
      <t xml:space="preserve"> B</t>
    </r>
    <r>
      <rPr>
        <vertAlign val="subscript"/>
        <sz val="11"/>
        <color theme="1"/>
        <rFont val="Arial"/>
        <family val="2"/>
      </rPr>
      <t xml:space="preserve">25/85 </t>
    </r>
    <r>
      <rPr>
        <sz val="11"/>
        <color theme="1"/>
        <rFont val="Arial"/>
        <family val="2"/>
      </rPr>
      <t>=</t>
    </r>
  </si>
  <si>
    <r>
      <t xml:space="preserve"> K</t>
    </r>
    <r>
      <rPr>
        <vertAlign val="subscript"/>
        <sz val="11"/>
        <color theme="1"/>
        <rFont val="Arial"/>
        <family val="2"/>
      </rPr>
      <t xml:space="preserve">Btol </t>
    </r>
    <r>
      <rPr>
        <sz val="11"/>
        <color theme="1"/>
        <rFont val="Arial"/>
        <family val="2"/>
      </rPr>
      <t>=</t>
    </r>
  </si>
  <si>
    <r>
      <t xml:space="preserve"> T</t>
    </r>
    <r>
      <rPr>
        <vertAlign val="subscript"/>
        <sz val="11"/>
        <color theme="1"/>
        <rFont val="Arial"/>
        <family val="2"/>
      </rPr>
      <t xml:space="preserve">OTP_set </t>
    </r>
    <r>
      <rPr>
        <sz val="11"/>
        <color theme="1"/>
        <rFont val="Arial"/>
        <family val="2"/>
      </rPr>
      <t>=</t>
    </r>
  </si>
  <si>
    <r>
      <t xml:space="preserve"> T</t>
    </r>
    <r>
      <rPr>
        <vertAlign val="subscript"/>
        <sz val="11"/>
        <color theme="1"/>
        <rFont val="Arial"/>
        <family val="2"/>
      </rPr>
      <t xml:space="preserve">OTP_rst </t>
    </r>
    <r>
      <rPr>
        <sz val="11"/>
        <color theme="1"/>
        <rFont val="Arial"/>
        <family val="2"/>
      </rPr>
      <t>=</t>
    </r>
  </si>
  <si>
    <t>Selected Thermistor Part Number (for reference)</t>
  </si>
  <si>
    <t>Primary-side Auxiliary Rectifier Diode</t>
  </si>
  <si>
    <t>Temperature where NTC resistance = 9.91 kΩ,
    compare to target in cell D128</t>
  </si>
  <si>
    <t>For SR, use 0 V</t>
  </si>
  <si>
    <t>Typical Reference Pin Bias Current</t>
  </si>
  <si>
    <t>Maximum Reference Pin Bias Current</t>
  </si>
  <si>
    <t>Diode Voltage @ Diode Current &lt; 1 µA</t>
  </si>
  <si>
    <t>Normal Forward Voltage @ Diode Current = 100 µA</t>
  </si>
  <si>
    <r>
      <t>Actual</t>
    </r>
    <r>
      <rPr>
        <b/>
        <sz val="11"/>
        <color theme="1"/>
        <rFont val="Arial"/>
        <family val="2"/>
      </rPr>
      <t xml:space="preserve"> </t>
    </r>
    <r>
      <rPr>
        <sz val="11"/>
        <color theme="1"/>
        <rFont val="Arial"/>
        <family val="2"/>
      </rPr>
      <t>Output Capacitance Used</t>
    </r>
  </si>
  <si>
    <t>Actual Input Bulk Capacitance Used</t>
  </si>
  <si>
    <r>
      <rPr>
        <sz val="11"/>
        <color theme="1"/>
        <rFont val="Calibri"/>
        <family val="2"/>
      </rPr>
      <t>±</t>
    </r>
    <r>
      <rPr>
        <sz val="11"/>
        <color theme="1"/>
        <rFont val="Arial"/>
        <family val="2"/>
      </rPr>
      <t xml:space="preserve">% tolerance NOT included.  </t>
    </r>
    <r>
      <rPr>
        <sz val="10"/>
        <color theme="1"/>
        <rFont val="Arial"/>
        <family val="2"/>
      </rPr>
      <t>Not valid for DC input; see cell F24.</t>
    </r>
  </si>
  <si>
    <t>% of datasheet rating, per customer policy</t>
  </si>
  <si>
    <t>Propagation Delay of CS-Comparator High to PWML Low</t>
  </si>
  <si>
    <t>Select the primary turns target; must be a whole number</t>
  </si>
  <si>
    <r>
      <t>N</t>
    </r>
    <r>
      <rPr>
        <sz val="7"/>
        <rFont val="Arial"/>
        <family val="2"/>
      </rPr>
      <t xml:space="preserve">PS_min </t>
    </r>
    <r>
      <rPr>
        <sz val="11"/>
        <rFont val="Arial"/>
        <family val="2"/>
      </rPr>
      <t>&lt; N</t>
    </r>
    <r>
      <rPr>
        <sz val="7"/>
        <rFont val="Arial"/>
        <family val="2"/>
      </rPr>
      <t xml:space="preserve">PS </t>
    </r>
    <r>
      <rPr>
        <sz val="11"/>
        <rFont val="Arial"/>
        <family val="2"/>
      </rPr>
      <t>&lt; N</t>
    </r>
    <r>
      <rPr>
        <sz val="7"/>
        <rFont val="Arial"/>
        <family val="2"/>
      </rPr>
      <t>PS_max</t>
    </r>
    <r>
      <rPr>
        <sz val="11"/>
        <rFont val="Arial"/>
        <family val="2"/>
      </rPr>
      <t xml:space="preserve">   (whole number not required, may be fractional)</t>
    </r>
  </si>
  <si>
    <t>Measurement from transformer sample, or intended target value</t>
  </si>
  <si>
    <r>
      <rPr>
        <b/>
        <sz val="11"/>
        <color theme="1"/>
        <rFont val="Arial"/>
        <family val="2"/>
      </rPr>
      <t>Recommended</t>
    </r>
    <r>
      <rPr>
        <sz val="11"/>
        <color theme="1"/>
        <rFont val="Arial"/>
        <family val="2"/>
      </rPr>
      <t xml:space="preserve"> Bleeder Resistance</t>
    </r>
  </si>
  <si>
    <r>
      <rPr>
        <b/>
        <sz val="11"/>
        <color theme="1"/>
        <rFont val="Arial"/>
        <family val="2"/>
      </rPr>
      <t xml:space="preserve">Actual </t>
    </r>
    <r>
      <rPr>
        <sz val="11"/>
        <color theme="1"/>
        <rFont val="Arial"/>
        <family val="2"/>
      </rPr>
      <t>Bleeder Resistance Selected</t>
    </r>
  </si>
  <si>
    <t>Bleeder Resistance Used in Calculations</t>
  </si>
  <si>
    <t xml:space="preserve"> NTC connected from FLT pin to AGND pin.</t>
  </si>
  <si>
    <r>
      <t xml:space="preserve"> T</t>
    </r>
    <r>
      <rPr>
        <vertAlign val="subscript"/>
        <sz val="11"/>
        <color theme="1"/>
        <rFont val="Arial"/>
        <family val="2"/>
      </rPr>
      <t xml:space="preserve">OTP_set_max </t>
    </r>
    <r>
      <rPr>
        <sz val="11"/>
        <color theme="1"/>
        <rFont val="Arial"/>
        <family val="2"/>
      </rPr>
      <t>=</t>
    </r>
  </si>
  <si>
    <r>
      <t xml:space="preserve"> T</t>
    </r>
    <r>
      <rPr>
        <vertAlign val="subscript"/>
        <sz val="11"/>
        <color theme="1"/>
        <rFont val="Arial"/>
        <family val="2"/>
      </rPr>
      <t xml:space="preserve">OTP_rst_max </t>
    </r>
    <r>
      <rPr>
        <sz val="11"/>
        <color theme="1"/>
        <rFont val="Arial"/>
        <family val="2"/>
      </rPr>
      <t>=</t>
    </r>
  </si>
  <si>
    <r>
      <t xml:space="preserve"> T</t>
    </r>
    <r>
      <rPr>
        <vertAlign val="subscript"/>
        <sz val="11"/>
        <color theme="1"/>
        <rFont val="Arial"/>
        <family val="2"/>
      </rPr>
      <t xml:space="preserve">OTP_set_nom </t>
    </r>
    <r>
      <rPr>
        <sz val="11"/>
        <color theme="1"/>
        <rFont val="Arial"/>
        <family val="2"/>
      </rPr>
      <t>=</t>
    </r>
  </si>
  <si>
    <r>
      <t xml:space="preserve"> T</t>
    </r>
    <r>
      <rPr>
        <vertAlign val="subscript"/>
        <sz val="11"/>
        <color theme="1"/>
        <rFont val="Arial"/>
        <family val="2"/>
      </rPr>
      <t xml:space="preserve">OTP_rst_nom </t>
    </r>
    <r>
      <rPr>
        <sz val="11"/>
        <color theme="1"/>
        <rFont val="Arial"/>
        <family val="2"/>
      </rPr>
      <t>=</t>
    </r>
  </si>
  <si>
    <r>
      <t xml:space="preserve"> T</t>
    </r>
    <r>
      <rPr>
        <vertAlign val="subscript"/>
        <sz val="11"/>
        <color theme="1"/>
        <rFont val="Arial"/>
        <family val="2"/>
      </rPr>
      <t xml:space="preserve">OTP_set_min </t>
    </r>
    <r>
      <rPr>
        <sz val="11"/>
        <color theme="1"/>
        <rFont val="Arial"/>
        <family val="2"/>
      </rPr>
      <t>=</t>
    </r>
  </si>
  <si>
    <r>
      <t xml:space="preserve"> T</t>
    </r>
    <r>
      <rPr>
        <vertAlign val="subscript"/>
        <sz val="11"/>
        <color theme="1"/>
        <rFont val="Arial"/>
        <family val="2"/>
      </rPr>
      <t xml:space="preserve">OTP_rst_min </t>
    </r>
    <r>
      <rPr>
        <sz val="11"/>
        <color theme="1"/>
        <rFont val="Arial"/>
        <family val="2"/>
      </rPr>
      <t>=</t>
    </r>
  </si>
  <si>
    <t xml:space="preserve"> OTP-Fault Set and Reset hysteresis range, when parameters are maximum</t>
  </si>
  <si>
    <t xml:space="preserve"> OTP-Fault Set and Reset hysteresis range, when parameters are nominal</t>
  </si>
  <si>
    <t xml:space="preserve"> OTP-Fault Set and Reset hysteresis range, when parameters are minimum</t>
  </si>
  <si>
    <t>~20 kΩ is recommended</t>
  </si>
  <si>
    <t>0.22 µF, X7R is recommended</t>
  </si>
  <si>
    <t>1 µF, X7R is recommended</t>
  </si>
  <si>
    <t>Actual Brown-in (Start-up) Voltage, Typical</t>
  </si>
  <si>
    <r>
      <t>R</t>
    </r>
    <r>
      <rPr>
        <vertAlign val="subscript"/>
        <sz val="11"/>
        <color theme="1"/>
        <rFont val="Arial"/>
        <family val="2"/>
      </rPr>
      <t>VS1</t>
    </r>
    <r>
      <rPr>
        <sz val="11"/>
        <color theme="1"/>
        <rFont val="Arial"/>
        <family val="2"/>
      </rPr>
      <t xml:space="preserve"> Used in Calculations</t>
    </r>
  </si>
  <si>
    <r>
      <t>R</t>
    </r>
    <r>
      <rPr>
        <vertAlign val="subscript"/>
        <sz val="11"/>
        <color theme="1"/>
        <rFont val="Arial"/>
        <family val="2"/>
      </rPr>
      <t>VS1</t>
    </r>
    <r>
      <rPr>
        <sz val="11"/>
        <color theme="1"/>
        <rFont val="Arial"/>
        <family val="2"/>
      </rPr>
      <t xml:space="preserve"> =</t>
    </r>
  </si>
  <si>
    <r>
      <t>V</t>
    </r>
    <r>
      <rPr>
        <vertAlign val="subscript"/>
        <sz val="11"/>
        <color theme="1"/>
        <rFont val="Arial"/>
        <family val="2"/>
      </rPr>
      <t>Brownin_max</t>
    </r>
    <r>
      <rPr>
        <sz val="11"/>
        <color theme="1"/>
        <rFont val="Arial"/>
        <family val="2"/>
      </rPr>
      <t xml:space="preserve"> =</t>
    </r>
  </si>
  <si>
    <r>
      <t>V</t>
    </r>
    <r>
      <rPr>
        <vertAlign val="subscript"/>
        <sz val="11"/>
        <color theme="1"/>
        <rFont val="Arial"/>
        <family val="2"/>
      </rPr>
      <t>Brownin_min</t>
    </r>
    <r>
      <rPr>
        <sz val="11"/>
        <color theme="1"/>
        <rFont val="Arial"/>
        <family val="2"/>
      </rPr>
      <t xml:space="preserve"> =</t>
    </r>
  </si>
  <si>
    <r>
      <t>V</t>
    </r>
    <r>
      <rPr>
        <vertAlign val="subscript"/>
        <sz val="11"/>
        <color theme="1"/>
        <rFont val="Arial"/>
        <family val="2"/>
      </rPr>
      <t>Brownout_max</t>
    </r>
    <r>
      <rPr>
        <sz val="11"/>
        <color theme="1"/>
        <rFont val="Arial"/>
        <family val="2"/>
      </rPr>
      <t xml:space="preserve"> =</t>
    </r>
  </si>
  <si>
    <r>
      <t>V</t>
    </r>
    <r>
      <rPr>
        <vertAlign val="subscript"/>
        <sz val="11"/>
        <color theme="1"/>
        <rFont val="Arial"/>
        <family val="2"/>
      </rPr>
      <t>Brownout</t>
    </r>
    <r>
      <rPr>
        <sz val="11"/>
        <color theme="1"/>
        <rFont val="Arial"/>
        <family val="2"/>
      </rPr>
      <t xml:space="preserve"> =</t>
    </r>
  </si>
  <si>
    <r>
      <t>V</t>
    </r>
    <r>
      <rPr>
        <vertAlign val="subscript"/>
        <sz val="11"/>
        <color theme="1"/>
        <rFont val="Arial"/>
        <family val="2"/>
      </rPr>
      <t>Brownout_min</t>
    </r>
    <r>
      <rPr>
        <sz val="11"/>
        <color theme="1"/>
        <rFont val="Arial"/>
        <family val="2"/>
      </rPr>
      <t xml:space="preserve"> =</t>
    </r>
  </si>
  <si>
    <r>
      <t>R</t>
    </r>
    <r>
      <rPr>
        <vertAlign val="subscript"/>
        <sz val="11"/>
        <color theme="1"/>
        <rFont val="Arial"/>
        <family val="2"/>
      </rPr>
      <t>VS2_rec</t>
    </r>
    <r>
      <rPr>
        <sz val="11"/>
        <color theme="1"/>
        <rFont val="Arial"/>
        <family val="2"/>
      </rPr>
      <t xml:space="preserve"> =</t>
    </r>
  </si>
  <si>
    <r>
      <t>R</t>
    </r>
    <r>
      <rPr>
        <vertAlign val="subscript"/>
        <sz val="11"/>
        <color theme="1"/>
        <rFont val="Arial"/>
        <family val="2"/>
      </rPr>
      <t>NTCTH_max</t>
    </r>
    <r>
      <rPr>
        <sz val="11"/>
        <color theme="1"/>
        <rFont val="Arial"/>
        <family val="2"/>
      </rPr>
      <t xml:space="preserve"> =</t>
    </r>
  </si>
  <si>
    <r>
      <t>R</t>
    </r>
    <r>
      <rPr>
        <vertAlign val="subscript"/>
        <sz val="11"/>
        <color theme="1"/>
        <rFont val="Arial"/>
        <family val="2"/>
      </rPr>
      <t>NTCTH</t>
    </r>
    <r>
      <rPr>
        <sz val="11"/>
        <color theme="1"/>
        <rFont val="Arial"/>
        <family val="2"/>
      </rPr>
      <t xml:space="preserve"> =</t>
    </r>
  </si>
  <si>
    <r>
      <t>R</t>
    </r>
    <r>
      <rPr>
        <vertAlign val="subscript"/>
        <sz val="11"/>
        <color theme="1"/>
        <rFont val="Arial"/>
        <family val="2"/>
      </rPr>
      <t>NTCTH_min</t>
    </r>
    <r>
      <rPr>
        <sz val="11"/>
        <color theme="1"/>
        <rFont val="Arial"/>
        <family val="2"/>
      </rPr>
      <t xml:space="preserve"> =</t>
    </r>
  </si>
  <si>
    <r>
      <t>R</t>
    </r>
    <r>
      <rPr>
        <vertAlign val="subscript"/>
        <sz val="11"/>
        <color theme="1"/>
        <rFont val="Arial"/>
        <family val="2"/>
      </rPr>
      <t>NTCR_max</t>
    </r>
    <r>
      <rPr>
        <sz val="11"/>
        <color theme="1"/>
        <rFont val="Arial"/>
        <family val="2"/>
      </rPr>
      <t xml:space="preserve"> =</t>
    </r>
  </si>
  <si>
    <r>
      <t>R</t>
    </r>
    <r>
      <rPr>
        <vertAlign val="subscript"/>
        <sz val="11"/>
        <color theme="1"/>
        <rFont val="Arial"/>
        <family val="2"/>
      </rPr>
      <t>NTCR</t>
    </r>
    <r>
      <rPr>
        <sz val="11"/>
        <color theme="1"/>
        <rFont val="Arial"/>
        <family val="2"/>
      </rPr>
      <t xml:space="preserve"> =</t>
    </r>
  </si>
  <si>
    <r>
      <t>R</t>
    </r>
    <r>
      <rPr>
        <vertAlign val="subscript"/>
        <sz val="11"/>
        <color theme="1"/>
        <rFont val="Arial"/>
        <family val="2"/>
      </rPr>
      <t>NTCR_min</t>
    </r>
    <r>
      <rPr>
        <sz val="11"/>
        <color theme="1"/>
        <rFont val="Arial"/>
        <family val="2"/>
      </rPr>
      <t xml:space="preserve"> =</t>
    </r>
  </si>
  <si>
    <r>
      <t>I</t>
    </r>
    <r>
      <rPr>
        <vertAlign val="subscript"/>
        <sz val="11"/>
        <color theme="1"/>
        <rFont val="Arial"/>
        <family val="2"/>
      </rPr>
      <t>VSL_run_max</t>
    </r>
    <r>
      <rPr>
        <sz val="11"/>
        <color theme="1"/>
        <rFont val="Arial"/>
        <family val="2"/>
      </rPr>
      <t xml:space="preserve"> =</t>
    </r>
  </si>
  <si>
    <r>
      <t>I</t>
    </r>
    <r>
      <rPr>
        <vertAlign val="subscript"/>
        <sz val="11"/>
        <color theme="1"/>
        <rFont val="Arial"/>
        <family val="2"/>
      </rPr>
      <t>VSL_run</t>
    </r>
    <r>
      <rPr>
        <sz val="11"/>
        <color theme="1"/>
        <rFont val="Arial"/>
        <family val="2"/>
      </rPr>
      <t xml:space="preserve"> =</t>
    </r>
  </si>
  <si>
    <r>
      <t>I</t>
    </r>
    <r>
      <rPr>
        <vertAlign val="subscript"/>
        <sz val="11"/>
        <color theme="1"/>
        <rFont val="Arial"/>
        <family val="2"/>
      </rPr>
      <t>VSL_run_min</t>
    </r>
    <r>
      <rPr>
        <sz val="11"/>
        <color theme="1"/>
        <rFont val="Arial"/>
        <family val="2"/>
      </rPr>
      <t xml:space="preserve"> = </t>
    </r>
  </si>
  <si>
    <r>
      <t>I</t>
    </r>
    <r>
      <rPr>
        <vertAlign val="subscript"/>
        <sz val="11"/>
        <color theme="1"/>
        <rFont val="Arial"/>
        <family val="2"/>
      </rPr>
      <t>VSL_stop_max</t>
    </r>
    <r>
      <rPr>
        <sz val="11"/>
        <color theme="1"/>
        <rFont val="Arial"/>
        <family val="2"/>
      </rPr>
      <t xml:space="preserve"> =</t>
    </r>
  </si>
  <si>
    <r>
      <t>I</t>
    </r>
    <r>
      <rPr>
        <vertAlign val="subscript"/>
        <sz val="11"/>
        <color theme="1"/>
        <rFont val="Arial"/>
        <family val="2"/>
      </rPr>
      <t>VSL_stop</t>
    </r>
    <r>
      <rPr>
        <sz val="11"/>
        <color theme="1"/>
        <rFont val="Arial"/>
        <family val="2"/>
      </rPr>
      <t xml:space="preserve"> =</t>
    </r>
  </si>
  <si>
    <r>
      <t>I</t>
    </r>
    <r>
      <rPr>
        <vertAlign val="subscript"/>
        <sz val="11"/>
        <color theme="1"/>
        <rFont val="Arial"/>
        <family val="2"/>
      </rPr>
      <t>VSL_stop_min</t>
    </r>
    <r>
      <rPr>
        <sz val="11"/>
        <color theme="1"/>
        <rFont val="Arial"/>
        <family val="2"/>
      </rPr>
      <t xml:space="preserve"> =</t>
    </r>
  </si>
  <si>
    <t xml:space="preserve"> actual BUR voltage at AAM &lt;=&gt; ABM boundary
 while in AAM approaching ABM  (compare to cell C17)</t>
  </si>
  <si>
    <t>Aluminum Polymer Electrolytic</t>
  </si>
  <si>
    <r>
      <t>Adjustment factor of "Vin" for I</t>
    </r>
    <r>
      <rPr>
        <vertAlign val="subscript"/>
        <sz val="11"/>
        <color theme="1"/>
        <rFont val="Arial"/>
        <family val="2"/>
      </rPr>
      <t>VSL</t>
    </r>
    <r>
      <rPr>
        <sz val="11"/>
        <color theme="1"/>
        <rFont val="Arial"/>
        <family val="2"/>
      </rPr>
      <t xml:space="preserve"> when start-up at other than V</t>
    </r>
    <r>
      <rPr>
        <vertAlign val="subscript"/>
        <sz val="11"/>
        <color theme="1"/>
        <rFont val="Arial"/>
        <family val="2"/>
      </rPr>
      <t>BULK</t>
    </r>
    <r>
      <rPr>
        <sz val="11"/>
        <color theme="1"/>
        <rFont val="Arial"/>
        <family val="2"/>
      </rPr>
      <t>=106V</t>
    </r>
  </si>
  <si>
    <t>depends on Brown-in selected</t>
  </si>
  <si>
    <t xml:space="preserve"> (may consist of multiple parallel capacitors)</t>
  </si>
  <si>
    <t xml:space="preserve"> Effective value under DC bias condition</t>
  </si>
  <si>
    <r>
      <t>2.  Increase C</t>
    </r>
    <r>
      <rPr>
        <vertAlign val="subscript"/>
        <sz val="11"/>
        <color theme="1"/>
        <rFont val="Arial"/>
        <family val="2"/>
      </rPr>
      <t>O1</t>
    </r>
    <r>
      <rPr>
        <sz val="11"/>
        <color theme="1"/>
        <rFont val="Arial"/>
        <family val="2"/>
      </rPr>
      <t xml:space="preserve"> to extend resonant current, improve efficiency (spreads width, reduces peak and rms values)</t>
    </r>
  </si>
  <si>
    <t>August 2020</t>
  </si>
  <si>
    <t>B</t>
  </si>
  <si>
    <t xml:space="preserve"> actual BUR hysteresis at AAM &lt;=&gt; ABM boundary  
 (compare to cell C18)</t>
  </si>
  <si>
    <r>
      <t xml:space="preserve"> actual BUR hysteresis at ABM &lt;=&gt; LPM boundary,
 dependent on ∆V</t>
    </r>
    <r>
      <rPr>
        <vertAlign val="subscript"/>
        <sz val="11"/>
        <color theme="1"/>
        <rFont val="Arial"/>
        <family val="2"/>
      </rPr>
      <t>BUR(AAM)</t>
    </r>
    <r>
      <rPr>
        <sz val="11"/>
        <color theme="1"/>
        <rFont val="Arial"/>
        <family val="2"/>
      </rPr>
      <t xml:space="preserve">  (compare to cell C19)</t>
    </r>
  </si>
  <si>
    <t>How to use this sheet:</t>
  </si>
  <si>
    <r>
      <t>2. ∆V</t>
    </r>
    <r>
      <rPr>
        <vertAlign val="subscript"/>
        <sz val="11"/>
        <color theme="1"/>
        <rFont val="Arial"/>
        <family val="2"/>
      </rPr>
      <t>BUR(AAM)</t>
    </r>
    <r>
      <rPr>
        <sz val="11"/>
        <color theme="1"/>
        <rFont val="Arial"/>
        <family val="2"/>
      </rPr>
      <t xml:space="preserve"> is recommended to be about 200 mV initially, if the designer </t>
    </r>
  </si>
  <si>
    <r>
      <t>5. The designer can try different combinations of R</t>
    </r>
    <r>
      <rPr>
        <vertAlign val="subscript"/>
        <sz val="11"/>
        <color theme="1"/>
        <rFont val="Arial"/>
        <family val="2"/>
      </rPr>
      <t>BUR1</t>
    </r>
    <r>
      <rPr>
        <sz val="11"/>
        <color theme="1"/>
        <rFont val="Arial"/>
        <family val="2"/>
      </rPr>
      <t xml:space="preserve"> and R</t>
    </r>
    <r>
      <rPr>
        <vertAlign val="subscript"/>
        <sz val="11"/>
        <color theme="1"/>
        <rFont val="Arial"/>
        <family val="2"/>
      </rPr>
      <t>BUR2</t>
    </r>
  </si>
  <si>
    <r>
      <t xml:space="preserve">    does not have an idea yet.  It is recommended that ∆V</t>
    </r>
    <r>
      <rPr>
        <vertAlign val="subscript"/>
        <sz val="11"/>
        <color theme="1"/>
        <rFont val="Arial"/>
        <family val="2"/>
      </rPr>
      <t>BUR(LPM)</t>
    </r>
    <r>
      <rPr>
        <sz val="11"/>
        <color theme="1"/>
        <rFont val="Arial"/>
        <family val="2"/>
      </rPr>
      <t xml:space="preserve"> &gt; 100 mV.</t>
    </r>
  </si>
  <si>
    <r>
      <t xml:space="preserve">    different values; the calculator will calculate resultant ∆V</t>
    </r>
    <r>
      <rPr>
        <vertAlign val="subscript"/>
        <sz val="11"/>
        <color theme="1"/>
        <rFont val="Arial"/>
        <family val="2"/>
      </rPr>
      <t>BUR(AAM)</t>
    </r>
    <r>
      <rPr>
        <sz val="11"/>
        <color theme="1"/>
        <rFont val="Arial"/>
        <family val="2"/>
      </rPr>
      <t>, ∆V</t>
    </r>
    <r>
      <rPr>
        <vertAlign val="subscript"/>
        <sz val="11"/>
        <color theme="1"/>
        <rFont val="Arial"/>
        <family val="2"/>
      </rPr>
      <t>BUR(LPM)</t>
    </r>
    <r>
      <rPr>
        <sz val="11"/>
        <color theme="1"/>
        <rFont val="Arial"/>
        <family val="2"/>
      </rPr>
      <t>.</t>
    </r>
  </si>
  <si>
    <r>
      <t xml:space="preserve">    to get balance among ∆V</t>
    </r>
    <r>
      <rPr>
        <vertAlign val="subscript"/>
        <sz val="11"/>
        <color theme="1"/>
        <rFont val="Arial"/>
        <family val="2"/>
      </rPr>
      <t>BUR(AAM)</t>
    </r>
    <r>
      <rPr>
        <sz val="11"/>
        <color theme="1"/>
        <rFont val="Arial"/>
        <family val="2"/>
      </rPr>
      <t>, ∆V</t>
    </r>
    <r>
      <rPr>
        <vertAlign val="subscript"/>
        <sz val="11"/>
        <color theme="1"/>
        <rFont val="Arial"/>
        <family val="2"/>
      </rPr>
      <t>BUR(LPM)</t>
    </r>
    <r>
      <rPr>
        <sz val="11"/>
        <color theme="1"/>
        <rFont val="Arial"/>
        <family val="2"/>
      </rPr>
      <t xml:space="preserve"> and V</t>
    </r>
    <r>
      <rPr>
        <vertAlign val="subscript"/>
        <sz val="11"/>
        <color theme="1"/>
        <rFont val="Arial"/>
        <family val="2"/>
      </rPr>
      <t>BUR</t>
    </r>
    <r>
      <rPr>
        <sz val="11"/>
        <color theme="1"/>
        <rFont val="Arial"/>
        <family val="2"/>
      </rPr>
      <t xml:space="preserve"> values.</t>
    </r>
  </si>
  <si>
    <r>
      <t xml:space="preserve"> divider ratio required to achieve V</t>
    </r>
    <r>
      <rPr>
        <vertAlign val="subscript"/>
        <sz val="11"/>
        <color theme="1"/>
        <rFont val="Arial"/>
        <family val="2"/>
      </rPr>
      <t>BUR_tgt</t>
    </r>
    <r>
      <rPr>
        <sz val="11"/>
        <color theme="1"/>
        <rFont val="Arial"/>
        <family val="2"/>
      </rPr>
      <t xml:space="preserve"> </t>
    </r>
  </si>
  <si>
    <r>
      <t xml:space="preserve"> parallel combination required to achieve ∆V</t>
    </r>
    <r>
      <rPr>
        <vertAlign val="subscript"/>
        <sz val="11"/>
        <color theme="1"/>
        <rFont val="Arial"/>
        <family val="2"/>
      </rPr>
      <t>BUR(AAM)</t>
    </r>
    <r>
      <rPr>
        <sz val="11"/>
        <color theme="1"/>
        <rFont val="Arial"/>
        <family val="2"/>
      </rPr>
      <t xml:space="preserve"> </t>
    </r>
  </si>
  <si>
    <t xml:space="preserve">Target to enter ABM </t>
  </si>
  <si>
    <t>CLEAR ALL USER-INPUT CELLS BEFORE STARTING A NEW DESIGN</t>
  </si>
  <si>
    <t>Enter nearest standard value, use ±1% tolerance or better</t>
  </si>
  <si>
    <t>Enter nearest standard value, use ±5% tolerance or better</t>
  </si>
  <si>
    <t>Note:  Larger case sizes and better dielectrics help to minimize DC-Bias effect.</t>
  </si>
  <si>
    <t>Initial capacitance is reduced by this percentage due to applied voltage      &gt;&gt;&gt;&gt;</t>
  </si>
  <si>
    <t>Estimated;  with no external load applied.</t>
  </si>
  <si>
    <r>
      <t>t</t>
    </r>
    <r>
      <rPr>
        <vertAlign val="subscript"/>
        <sz val="11"/>
        <color theme="1"/>
        <rFont val="Arial"/>
        <family val="2"/>
      </rPr>
      <t>P13</t>
    </r>
    <r>
      <rPr>
        <sz val="11"/>
        <color theme="1"/>
        <rFont val="Arial"/>
        <family val="2"/>
      </rPr>
      <t xml:space="preserve"> =</t>
    </r>
  </si>
  <si>
    <r>
      <t>t</t>
    </r>
    <r>
      <rPr>
        <vertAlign val="subscript"/>
        <sz val="11"/>
        <color theme="1"/>
        <rFont val="Arial"/>
        <family val="2"/>
      </rPr>
      <t>SS_max</t>
    </r>
    <r>
      <rPr>
        <sz val="11"/>
        <color theme="1"/>
        <rFont val="Arial"/>
        <family val="2"/>
      </rPr>
      <t xml:space="preserve"> =</t>
    </r>
  </si>
  <si>
    <t>Initial capacitance is reduced by this percentage due to applied voltage       &gt;&gt;&gt;&gt;</t>
  </si>
  <si>
    <r>
      <t>Depletion-mode V</t>
    </r>
    <r>
      <rPr>
        <b/>
        <vertAlign val="subscript"/>
        <sz val="11"/>
        <color theme="0"/>
        <rFont val="Arial"/>
        <family val="2"/>
      </rPr>
      <t>SW</t>
    </r>
    <r>
      <rPr>
        <b/>
        <sz val="11"/>
        <color theme="0"/>
        <rFont val="Arial"/>
        <family val="2"/>
      </rPr>
      <t>-Sensing MOSFET  (Q</t>
    </r>
    <r>
      <rPr>
        <b/>
        <vertAlign val="subscript"/>
        <sz val="11"/>
        <color theme="0"/>
        <rFont val="Arial"/>
        <family val="2"/>
      </rPr>
      <t>S</t>
    </r>
    <r>
      <rPr>
        <b/>
        <sz val="11"/>
        <color theme="0"/>
        <rFont val="Arial"/>
        <family val="2"/>
      </rPr>
      <t>)</t>
    </r>
  </si>
  <si>
    <t xml:space="preserve"> (QL can be different than QH)</t>
  </si>
  <si>
    <t>Primary Half-Bridge MOSFET Switches, QL, QH  (may be GaN or Si)</t>
  </si>
  <si>
    <t>Gate Driver or Isolator (primary-side half-bridge driver specifications)</t>
  </si>
  <si>
    <t>Select standard value, accounting for tolerance</t>
  </si>
  <si>
    <t>Maximum Allowable Output Voltage Drop During Transient</t>
  </si>
  <si>
    <r>
      <t xml:space="preserve">Select max </t>
    </r>
    <r>
      <rPr>
        <sz val="11"/>
        <color theme="1"/>
        <rFont val="Calibri"/>
        <family val="2"/>
      </rPr>
      <t>∆</t>
    </r>
    <r>
      <rPr>
        <sz val="11"/>
        <color theme="1"/>
        <rFont val="Arial"/>
        <family val="2"/>
      </rPr>
      <t>V</t>
    </r>
    <r>
      <rPr>
        <vertAlign val="subscript"/>
        <sz val="11"/>
        <color theme="1"/>
        <rFont val="Arial"/>
        <family val="2"/>
      </rPr>
      <t>O</t>
    </r>
    <r>
      <rPr>
        <sz val="11"/>
        <color theme="1"/>
        <rFont val="Arial"/>
        <family val="2"/>
      </rPr>
      <t xml:space="preserve"> based on 0% to 100% load step </t>
    </r>
  </si>
  <si>
    <r>
      <t xml:space="preserve"> V</t>
    </r>
    <r>
      <rPr>
        <vertAlign val="subscript"/>
        <sz val="11"/>
        <color theme="1"/>
        <rFont val="Arial"/>
        <family val="2"/>
      </rPr>
      <t>O_drop</t>
    </r>
    <r>
      <rPr>
        <sz val="11"/>
        <color theme="1"/>
        <rFont val="Arial"/>
        <family val="2"/>
      </rPr>
      <t xml:space="preserve"> =</t>
    </r>
  </si>
  <si>
    <t xml:space="preserve">At maximum voltage rating of output rectifier </t>
  </si>
  <si>
    <t>Secondary Rectifier, SR-FET or Diode     (Synchronous Rectifier (SR) MOSFET is assumed for highest efficiency.  Equivalent Diode parameters may be used.)</t>
  </si>
  <si>
    <r>
      <t xml:space="preserve">Enter value </t>
    </r>
    <r>
      <rPr>
        <sz val="11"/>
        <color theme="1"/>
        <rFont val="Calibri"/>
        <family val="2"/>
      </rPr>
      <t>≤</t>
    </r>
    <r>
      <rPr>
        <sz val="7.7"/>
        <color theme="1"/>
        <rFont val="Arial"/>
        <family val="2"/>
      </rPr>
      <t xml:space="preserve"> </t>
    </r>
    <r>
      <rPr>
        <sz val="11"/>
        <color theme="1"/>
        <rFont val="Arial"/>
        <family val="2"/>
      </rPr>
      <t>recommended (not too much less), use ±1% tolerance or better</t>
    </r>
  </si>
  <si>
    <t>X7R or better is recommended</t>
  </si>
  <si>
    <t>220 pF to 330pF, C0G is recommended</t>
  </si>
  <si>
    <t>Decimal, not percent</t>
  </si>
  <si>
    <r>
      <t>Actual OVP Level, in Percent of Output Voltage, V</t>
    </r>
    <r>
      <rPr>
        <vertAlign val="subscript"/>
        <sz val="11"/>
        <color theme="1"/>
        <rFont val="Arial"/>
        <family val="2"/>
      </rPr>
      <t>OUT</t>
    </r>
    <r>
      <rPr>
        <sz val="11"/>
        <color theme="1"/>
        <rFont val="Arial"/>
        <family val="2"/>
      </rPr>
      <t xml:space="preserve"> </t>
    </r>
  </si>
  <si>
    <t xml:space="preserve"> Choose inductor with minimal series resistance</t>
  </si>
  <si>
    <r>
      <t>V</t>
    </r>
    <r>
      <rPr>
        <vertAlign val="subscript"/>
        <sz val="11"/>
        <color theme="1"/>
        <rFont val="Arial"/>
        <family val="2"/>
      </rPr>
      <t xml:space="preserve">OUT_low </t>
    </r>
    <r>
      <rPr>
        <sz val="11"/>
        <color theme="1"/>
        <rFont val="Arial"/>
        <family val="2"/>
      </rPr>
      <t>=</t>
    </r>
  </si>
  <si>
    <t>Lowest normal output voltage</t>
  </si>
  <si>
    <t>In case of variable output voltage</t>
  </si>
  <si>
    <t xml:space="preserve"> 1.  Corrected source for 'Schematic and Values' cell D57 to refer to 'Calculations' cell D78.
 2.  Added sections for NTC Thermistor calculations, 'Input Here' rows 127-135 and 
         'Calculations' rows 27-32 and 222-232. 
 3.  Expanded section for Brown-in/Brown-out range calculations, 'Calculations' rows 89-94.
 4.  Added 'Secondary Resonance' row 9 and changed cell E10 to reflect effective value.
 5.  Changed recommendation in 'Calculations' cell F147.
 6.  Corrected minor typographical errors.
 7.  Made minor text clarifications and formatting improvements.
 8.  Added 'Revision History' sheet.</t>
  </si>
  <si>
    <t xml:space="preserve"> % of full load for ABM, from 'Begin Input Here' sheet, cell D34</t>
  </si>
  <si>
    <t>Selected value from 'BUR Pin' sheet, ±1%</t>
  </si>
  <si>
    <t>Recommended value from 'BUR Pin' sheet</t>
  </si>
  <si>
    <r>
      <t>Result should match target V</t>
    </r>
    <r>
      <rPr>
        <vertAlign val="subscript"/>
        <sz val="11"/>
        <color theme="1"/>
        <rFont val="Arial"/>
        <family val="2"/>
      </rPr>
      <t>OUT</t>
    </r>
    <r>
      <rPr>
        <sz val="11"/>
        <color theme="1"/>
        <rFont val="Arial"/>
        <family val="2"/>
      </rPr>
      <t xml:space="preserve"> closely (see 'Begin Input Here' sheet, cell D28)</t>
    </r>
  </si>
  <si>
    <t>To adjust values, select NTC parameters at 'Begin Input Here' cells D127-D135</t>
  </si>
  <si>
    <t>Verify with target at 'Begin Input Here' cell D29</t>
  </si>
  <si>
    <t>Verify with target at 'Begin Input Here' cell D20</t>
  </si>
  <si>
    <r>
      <rPr>
        <b/>
        <sz val="11"/>
        <color theme="1"/>
        <rFont val="Arial"/>
        <family val="2"/>
      </rPr>
      <t>Recommended</t>
    </r>
    <r>
      <rPr>
        <sz val="11"/>
        <color theme="1"/>
        <rFont val="Arial"/>
        <family val="2"/>
      </rPr>
      <t xml:space="preserve"> R</t>
    </r>
    <r>
      <rPr>
        <vertAlign val="subscript"/>
        <sz val="11"/>
        <color theme="1"/>
        <rFont val="Arial"/>
        <family val="2"/>
      </rPr>
      <t>VS1</t>
    </r>
    <r>
      <rPr>
        <sz val="11"/>
        <color theme="1"/>
        <rFont val="Arial"/>
        <family val="2"/>
      </rPr>
      <t xml:space="preserve"> Value</t>
    </r>
  </si>
  <si>
    <r>
      <rPr>
        <b/>
        <sz val="11"/>
        <color theme="1"/>
        <rFont val="Arial"/>
        <family val="2"/>
      </rPr>
      <t>Recommended</t>
    </r>
    <r>
      <rPr>
        <sz val="11"/>
        <color theme="1"/>
        <rFont val="Arial"/>
        <family val="2"/>
      </rPr>
      <t xml:space="preserve"> R</t>
    </r>
    <r>
      <rPr>
        <vertAlign val="subscript"/>
        <sz val="11"/>
        <color theme="1"/>
        <rFont val="Arial"/>
        <family val="2"/>
      </rPr>
      <t>VS2</t>
    </r>
    <r>
      <rPr>
        <sz val="11"/>
        <color theme="1"/>
        <rFont val="Arial"/>
        <family val="2"/>
      </rPr>
      <t xml:space="preserve"> Value</t>
    </r>
  </si>
  <si>
    <r>
      <rPr>
        <b/>
        <sz val="11"/>
        <color theme="1"/>
        <rFont val="Arial"/>
        <family val="2"/>
      </rPr>
      <t>Recommended</t>
    </r>
    <r>
      <rPr>
        <sz val="11"/>
        <color theme="1"/>
        <rFont val="Arial"/>
        <family val="2"/>
      </rPr>
      <t xml:space="preserve"> R</t>
    </r>
    <r>
      <rPr>
        <vertAlign val="subscript"/>
        <sz val="11"/>
        <color theme="1"/>
        <rFont val="Arial"/>
        <family val="2"/>
      </rPr>
      <t>DM</t>
    </r>
    <r>
      <rPr>
        <sz val="11"/>
        <color theme="1"/>
        <rFont val="Arial"/>
        <family val="2"/>
      </rPr>
      <t xml:space="preserve"> Resistor Value</t>
    </r>
  </si>
  <si>
    <r>
      <rPr>
        <b/>
        <sz val="11"/>
        <color theme="1"/>
        <rFont val="Arial"/>
        <family val="2"/>
      </rPr>
      <t xml:space="preserve">Recommended </t>
    </r>
    <r>
      <rPr>
        <sz val="11"/>
        <color theme="1"/>
        <rFont val="Arial"/>
        <family val="2"/>
      </rPr>
      <t>RTZ Resistor Value</t>
    </r>
  </si>
  <si>
    <r>
      <rPr>
        <b/>
        <sz val="11"/>
        <color theme="1"/>
        <rFont val="Arial"/>
        <family val="2"/>
      </rPr>
      <t xml:space="preserve">Maximum </t>
    </r>
    <r>
      <rPr>
        <sz val="11"/>
        <color theme="1"/>
        <rFont val="Arial"/>
        <family val="2"/>
      </rPr>
      <t>C</t>
    </r>
    <r>
      <rPr>
        <vertAlign val="subscript"/>
        <sz val="11"/>
        <color theme="1"/>
        <rFont val="Arial"/>
        <family val="2"/>
      </rPr>
      <t>BUR</t>
    </r>
    <r>
      <rPr>
        <sz val="11"/>
        <color theme="1"/>
        <rFont val="Arial"/>
        <family val="2"/>
      </rPr>
      <t xml:space="preserve"> Capacitance Value</t>
    </r>
  </si>
  <si>
    <r>
      <rPr>
        <b/>
        <sz val="11"/>
        <color theme="1"/>
        <rFont val="Arial"/>
        <family val="2"/>
      </rPr>
      <t>Recommended</t>
    </r>
    <r>
      <rPr>
        <sz val="11"/>
        <color theme="1"/>
        <rFont val="Arial"/>
        <family val="2"/>
      </rPr>
      <t xml:space="preserve"> Bias Resistor2 Value</t>
    </r>
  </si>
  <si>
    <r>
      <t>Maximum Value for R</t>
    </r>
    <r>
      <rPr>
        <vertAlign val="subscript"/>
        <sz val="11"/>
        <color theme="1"/>
        <rFont val="Arial"/>
        <family val="2"/>
      </rPr>
      <t>bias1</t>
    </r>
  </si>
  <si>
    <r>
      <t>Minimum Value for R</t>
    </r>
    <r>
      <rPr>
        <vertAlign val="subscript"/>
        <sz val="11"/>
        <color theme="1"/>
        <rFont val="Arial"/>
        <family val="2"/>
      </rPr>
      <t>bias1</t>
    </r>
  </si>
  <si>
    <r>
      <rPr>
        <b/>
        <sz val="11"/>
        <color theme="1"/>
        <rFont val="Arial"/>
        <family val="2"/>
      </rPr>
      <t>Recommended</t>
    </r>
    <r>
      <rPr>
        <sz val="11"/>
        <color theme="1"/>
        <rFont val="Arial"/>
        <family val="2"/>
      </rPr>
      <t xml:space="preserve"> Maximum R</t>
    </r>
    <r>
      <rPr>
        <vertAlign val="subscript"/>
        <sz val="11"/>
        <color theme="1"/>
        <rFont val="Arial"/>
        <family val="2"/>
      </rPr>
      <t>Vo2</t>
    </r>
    <r>
      <rPr>
        <sz val="11"/>
        <color theme="1"/>
        <rFont val="Arial"/>
        <family val="2"/>
      </rPr>
      <t xml:space="preserve">  Value</t>
    </r>
  </si>
  <si>
    <r>
      <rPr>
        <b/>
        <sz val="11"/>
        <color theme="1"/>
        <rFont val="Arial"/>
        <family val="2"/>
      </rPr>
      <t>Recommended</t>
    </r>
    <r>
      <rPr>
        <sz val="11"/>
        <color theme="1"/>
        <rFont val="Arial"/>
        <family val="2"/>
      </rPr>
      <t xml:space="preserve"> R</t>
    </r>
    <r>
      <rPr>
        <vertAlign val="subscript"/>
        <sz val="11"/>
        <color theme="1"/>
        <rFont val="Arial"/>
        <family val="2"/>
      </rPr>
      <t>Vo1</t>
    </r>
    <r>
      <rPr>
        <sz val="11"/>
        <color theme="1"/>
        <rFont val="Arial"/>
        <family val="2"/>
      </rPr>
      <t xml:space="preserve">  Value</t>
    </r>
  </si>
  <si>
    <r>
      <rPr>
        <b/>
        <sz val="11"/>
        <color theme="1"/>
        <rFont val="Arial"/>
        <family val="2"/>
      </rPr>
      <t>Recommended</t>
    </r>
    <r>
      <rPr>
        <sz val="11"/>
        <color theme="1"/>
        <rFont val="Arial"/>
        <family val="2"/>
      </rPr>
      <t xml:space="preserve"> R</t>
    </r>
    <r>
      <rPr>
        <vertAlign val="subscript"/>
        <sz val="11"/>
        <color theme="1"/>
        <rFont val="Arial"/>
        <family val="2"/>
      </rPr>
      <t>diff</t>
    </r>
    <r>
      <rPr>
        <sz val="11"/>
        <color theme="1"/>
        <rFont val="Arial"/>
        <family val="2"/>
      </rPr>
      <t xml:space="preserve"> Value</t>
    </r>
  </si>
  <si>
    <r>
      <rPr>
        <b/>
        <sz val="11"/>
        <color theme="1"/>
        <rFont val="Arial"/>
        <family val="2"/>
      </rPr>
      <t>Recommended</t>
    </r>
    <r>
      <rPr>
        <sz val="11"/>
        <color theme="1"/>
        <rFont val="Arial"/>
        <family val="2"/>
      </rPr>
      <t xml:space="preserve"> C</t>
    </r>
    <r>
      <rPr>
        <vertAlign val="subscript"/>
        <sz val="11"/>
        <color theme="1"/>
        <rFont val="Arial"/>
        <family val="2"/>
      </rPr>
      <t>int</t>
    </r>
    <r>
      <rPr>
        <sz val="11"/>
        <color theme="1"/>
        <rFont val="Arial"/>
        <family val="2"/>
      </rPr>
      <t xml:space="preserve"> Value</t>
    </r>
  </si>
  <si>
    <r>
      <rPr>
        <b/>
        <sz val="11"/>
        <color theme="1"/>
        <rFont val="Arial"/>
        <family val="2"/>
      </rPr>
      <t>Recommended</t>
    </r>
    <r>
      <rPr>
        <sz val="11"/>
        <color theme="1"/>
        <rFont val="Arial"/>
        <family val="2"/>
      </rPr>
      <t xml:space="preserve"> C</t>
    </r>
    <r>
      <rPr>
        <vertAlign val="subscript"/>
        <sz val="11"/>
        <color theme="1"/>
        <rFont val="Arial"/>
        <family val="2"/>
      </rPr>
      <t>diff</t>
    </r>
    <r>
      <rPr>
        <sz val="11"/>
        <color theme="1"/>
        <rFont val="Arial"/>
        <family val="2"/>
      </rPr>
      <t xml:space="preserve"> Value</t>
    </r>
  </si>
  <si>
    <r>
      <rPr>
        <b/>
        <sz val="11"/>
        <color theme="1"/>
        <rFont val="Arial"/>
        <family val="2"/>
      </rPr>
      <t>Recommended</t>
    </r>
    <r>
      <rPr>
        <sz val="11"/>
        <color theme="1"/>
        <rFont val="Arial"/>
        <family val="2"/>
      </rPr>
      <t xml:space="preserve"> Current-Sense Resistance </t>
    </r>
  </si>
  <si>
    <r>
      <t>Maximum voltage across R</t>
    </r>
    <r>
      <rPr>
        <vertAlign val="subscript"/>
        <sz val="11"/>
        <color theme="1"/>
        <rFont val="Arial"/>
        <family val="2"/>
      </rPr>
      <t>VS1</t>
    </r>
    <r>
      <rPr>
        <sz val="11"/>
        <color theme="1"/>
        <rFont val="Arial"/>
        <family val="2"/>
      </rPr>
      <t xml:space="preserve"> during QL on-time at maximum V</t>
    </r>
    <r>
      <rPr>
        <vertAlign val="subscript"/>
        <sz val="11"/>
        <color theme="1"/>
        <rFont val="Arial"/>
        <family val="2"/>
      </rPr>
      <t>in</t>
    </r>
    <r>
      <rPr>
        <sz val="11"/>
        <color theme="1"/>
        <rFont val="Arial"/>
        <family val="2"/>
      </rPr>
      <t xml:space="preserve"> </t>
    </r>
  </si>
  <si>
    <r>
      <t>V</t>
    </r>
    <r>
      <rPr>
        <vertAlign val="subscript"/>
        <sz val="11"/>
        <color theme="1"/>
        <rFont val="Arial"/>
        <family val="2"/>
      </rPr>
      <t>Rvs1_max</t>
    </r>
    <r>
      <rPr>
        <sz val="11"/>
        <color theme="1"/>
        <rFont val="Arial"/>
        <family val="2"/>
      </rPr>
      <t xml:space="preserve"> =</t>
    </r>
  </si>
  <si>
    <r>
      <t>Should be close to V</t>
    </r>
    <r>
      <rPr>
        <vertAlign val="subscript"/>
        <sz val="11"/>
        <color theme="1"/>
        <rFont val="Arial"/>
        <family val="2"/>
      </rPr>
      <t>BUR</t>
    </r>
    <r>
      <rPr>
        <sz val="11"/>
        <color theme="1"/>
        <rFont val="Arial"/>
        <family val="2"/>
      </rPr>
      <t xml:space="preserve"> target at cell D131</t>
    </r>
  </si>
  <si>
    <t>Between 499 Ω and 820 Ω is recommended for UCC28782</t>
  </si>
  <si>
    <t>ds section 8.3.13</t>
  </si>
  <si>
    <t>ds specs,   VDD boost circuit enabled</t>
  </si>
  <si>
    <r>
      <t>I</t>
    </r>
    <r>
      <rPr>
        <vertAlign val="subscript"/>
        <sz val="11"/>
        <color theme="1"/>
        <rFont val="Arial"/>
        <family val="2"/>
      </rPr>
      <t>WAIT_VDD</t>
    </r>
    <r>
      <rPr>
        <sz val="11"/>
        <color theme="1"/>
        <rFont val="Arial"/>
        <family val="2"/>
      </rPr>
      <t xml:space="preserve"> =</t>
    </r>
  </si>
  <si>
    <t>ds section 8.4.14.6</t>
  </si>
  <si>
    <t>Maximum VDD Bias-Supply Operating Voltage</t>
  </si>
  <si>
    <t xml:space="preserve"> BUR target from 'Calculations' sheet, cell D131</t>
  </si>
  <si>
    <t xml:space="preserve">Note: if PWML drives MOSFET directly, enter 0. </t>
  </si>
  <si>
    <t>Temperature where NTC resistance should = 9.91 kΩ</t>
  </si>
  <si>
    <t>NTC Thermistor for Temperature Sensing on FLT Pin      (these calculations not valid for temperature sensing on CS pin)</t>
  </si>
  <si>
    <r>
      <t>1. V</t>
    </r>
    <r>
      <rPr>
        <vertAlign val="subscript"/>
        <sz val="11"/>
        <color theme="1"/>
        <rFont val="Arial"/>
        <family val="2"/>
      </rPr>
      <t>BUR_tgt</t>
    </r>
    <r>
      <rPr>
        <sz val="11"/>
        <color theme="1"/>
        <rFont val="Arial"/>
        <family val="2"/>
      </rPr>
      <t xml:space="preserve"> is obtained first from 'Calculations D131', then the designer decides ∆V</t>
    </r>
    <r>
      <rPr>
        <vertAlign val="subscript"/>
        <sz val="11"/>
        <color theme="1"/>
        <rFont val="Arial"/>
        <family val="2"/>
      </rPr>
      <t>BUR(AAM)</t>
    </r>
    <r>
      <rPr>
        <sz val="11"/>
        <color theme="1"/>
        <rFont val="Arial"/>
        <family val="2"/>
      </rPr>
      <t>.</t>
    </r>
  </si>
  <si>
    <t xml:space="preserve">    Example graph of DC-bias reduction.  Use actual cap data, not this example.</t>
  </si>
  <si>
    <t xml:space="preserve">    Example graph of severe reduction.  Use actual cap data, not this example.</t>
  </si>
  <si>
    <r>
      <t xml:space="preserve"> V</t>
    </r>
    <r>
      <rPr>
        <vertAlign val="subscript"/>
        <sz val="11"/>
        <color theme="1"/>
        <rFont val="Arial"/>
        <family val="2"/>
      </rPr>
      <t xml:space="preserve">Cbulk_rated </t>
    </r>
    <r>
      <rPr>
        <sz val="11"/>
        <color theme="1"/>
        <rFont val="Arial"/>
        <family val="2"/>
      </rPr>
      <t>=</t>
    </r>
  </si>
  <si>
    <r>
      <t>Require R</t>
    </r>
    <r>
      <rPr>
        <vertAlign val="subscript"/>
        <sz val="11"/>
        <color theme="1"/>
        <rFont val="Calibri"/>
        <family val="2"/>
        <scheme val="minor"/>
      </rPr>
      <t>LB</t>
    </r>
    <r>
      <rPr>
        <sz val="11"/>
        <color theme="1"/>
        <rFont val="Calibri"/>
        <family val="2"/>
        <charset val="136"/>
        <scheme val="minor"/>
      </rPr>
      <t xml:space="preserve"> &lt; 1.216 when hot</t>
    </r>
  </si>
  <si>
    <t>(hysteresis)</t>
  </si>
  <si>
    <t>when Hot</t>
  </si>
  <si>
    <t>(threshold)</t>
  </si>
  <si>
    <r>
      <t>Margin added to V</t>
    </r>
    <r>
      <rPr>
        <vertAlign val="subscript"/>
        <sz val="11"/>
        <color theme="1"/>
        <rFont val="Arial"/>
        <family val="2"/>
      </rPr>
      <t>DD_off</t>
    </r>
    <r>
      <rPr>
        <sz val="11"/>
        <color theme="1"/>
        <rFont val="Arial"/>
        <family val="2"/>
      </rPr>
      <t xml:space="preserve"> threshold to calculate minimum AUX turns</t>
    </r>
  </si>
  <si>
    <t>Maximum Voltage Spike on Output Rectifier</t>
  </si>
  <si>
    <r>
      <t xml:space="preserve"> K</t>
    </r>
    <r>
      <rPr>
        <vertAlign val="subscript"/>
        <sz val="11"/>
        <color theme="1"/>
        <rFont val="Arial"/>
        <family val="2"/>
      </rPr>
      <t>der_HB</t>
    </r>
    <r>
      <rPr>
        <sz val="11"/>
        <color theme="1"/>
        <rFont val="Arial"/>
        <family val="2"/>
      </rPr>
      <t xml:space="preserve"> =</t>
    </r>
  </si>
  <si>
    <t>ZVS Timing Factor, based on SET Value</t>
  </si>
  <si>
    <t>Output Capacitance of MOSFET Big-C, below Vxh</t>
  </si>
  <si>
    <t>Output Capacitance of MOSFET Small-C, above Vxh</t>
  </si>
  <si>
    <t>Output Capacitance of MOSFET Small-C, above Vxl</t>
  </si>
  <si>
    <r>
      <t>Output Capacitance of MOSFET</t>
    </r>
    <r>
      <rPr>
        <b/>
        <sz val="11"/>
        <color theme="1"/>
        <rFont val="Arial"/>
        <family val="2"/>
      </rPr>
      <t xml:space="preserve"> </t>
    </r>
    <r>
      <rPr>
        <sz val="11"/>
        <color theme="1"/>
        <rFont val="Arial"/>
        <family val="2"/>
      </rPr>
      <t>Big-C,</t>
    </r>
    <r>
      <rPr>
        <b/>
        <sz val="11"/>
        <color theme="1"/>
        <rFont val="Arial"/>
        <family val="2"/>
      </rPr>
      <t xml:space="preserve"> </t>
    </r>
    <r>
      <rPr>
        <sz val="11"/>
        <color theme="1"/>
        <rFont val="Arial"/>
        <family val="2"/>
      </rPr>
      <t>below Vxl</t>
    </r>
  </si>
  <si>
    <r>
      <t>Output Capacitance of Selected MOSFET Big-C below V</t>
    </r>
    <r>
      <rPr>
        <vertAlign val="subscript"/>
        <sz val="11"/>
        <color theme="1"/>
        <rFont val="Arial"/>
        <family val="2"/>
      </rPr>
      <t>x_SR</t>
    </r>
  </si>
  <si>
    <r>
      <t>Output Capacitance of Selected MOSFET Small-C above V</t>
    </r>
    <r>
      <rPr>
        <vertAlign val="subscript"/>
        <sz val="11"/>
        <color theme="1"/>
        <rFont val="Arial"/>
        <family val="2"/>
      </rPr>
      <t>x_SR</t>
    </r>
  </si>
  <si>
    <t>May 2021</t>
  </si>
  <si>
    <t xml:space="preserve">  &lt;= This equation from Mathcad based on NV6250 will need updating someday.</t>
  </si>
  <si>
    <r>
      <t xml:space="preserve"> L</t>
    </r>
    <r>
      <rPr>
        <vertAlign val="subscript"/>
        <sz val="11"/>
        <color theme="1"/>
        <rFont val="Calibri"/>
        <family val="2"/>
        <scheme val="minor"/>
      </rPr>
      <t>O</t>
    </r>
    <r>
      <rPr>
        <sz val="11"/>
        <color theme="1"/>
        <rFont val="Calibri"/>
        <family val="2"/>
        <scheme val="minor"/>
      </rPr>
      <t xml:space="preserve"> &gt; L</t>
    </r>
    <r>
      <rPr>
        <vertAlign val="subscript"/>
        <sz val="11"/>
        <color theme="1"/>
        <rFont val="Calibri"/>
        <family val="2"/>
        <scheme val="minor"/>
      </rPr>
      <t>DAMP</t>
    </r>
    <r>
      <rPr>
        <sz val="7"/>
        <color theme="1"/>
        <rFont val="Calibri"/>
        <family val="2"/>
        <scheme val="minor"/>
      </rPr>
      <t xml:space="preserve"> </t>
    </r>
    <r>
      <rPr>
        <sz val="11"/>
        <color theme="1"/>
        <rFont val="Calibri"/>
        <family val="2"/>
        <scheme val="minor"/>
      </rPr>
      <t>&gt; 0.13*L</t>
    </r>
    <r>
      <rPr>
        <vertAlign val="subscript"/>
        <sz val="11"/>
        <color theme="1"/>
        <rFont val="Calibri"/>
        <family val="2"/>
        <scheme val="minor"/>
      </rPr>
      <t xml:space="preserve">O </t>
    </r>
  </si>
  <si>
    <r>
      <t xml:space="preserve"> Choose inductor with resistance </t>
    </r>
    <r>
      <rPr>
        <sz val="11"/>
        <color theme="1"/>
        <rFont val="Calibri"/>
        <family val="2"/>
      </rPr>
      <t>≥</t>
    </r>
    <r>
      <rPr>
        <sz val="11"/>
        <color theme="1"/>
        <rFont val="Arial"/>
        <family val="2"/>
      </rPr>
      <t xml:space="preserve"> R</t>
    </r>
    <r>
      <rPr>
        <vertAlign val="subscript"/>
        <sz val="11"/>
        <color theme="1"/>
        <rFont val="Arial"/>
        <family val="2"/>
      </rPr>
      <t>DAMP(min)</t>
    </r>
    <r>
      <rPr>
        <sz val="11"/>
        <color theme="1"/>
        <rFont val="Arial"/>
        <family val="2"/>
      </rPr>
      <t>, &lt; 5*R</t>
    </r>
    <r>
      <rPr>
        <vertAlign val="subscript"/>
        <sz val="11"/>
        <color theme="1"/>
        <rFont val="Arial"/>
        <family val="2"/>
      </rPr>
      <t>DAMP(min)</t>
    </r>
    <r>
      <rPr>
        <sz val="11"/>
        <color theme="1"/>
        <rFont val="Arial"/>
        <family val="2"/>
      </rPr>
      <t xml:space="preserve"> </t>
    </r>
  </si>
  <si>
    <r>
      <t>1.  Monitor transformer primary current I</t>
    </r>
    <r>
      <rPr>
        <vertAlign val="subscript"/>
        <sz val="11"/>
        <color theme="1"/>
        <rFont val="Arial"/>
        <family val="2"/>
      </rPr>
      <t>Lr</t>
    </r>
    <r>
      <rPr>
        <sz val="11"/>
        <color theme="1"/>
        <rFont val="Arial"/>
        <family val="2"/>
      </rPr>
      <t xml:space="preserve"> to fine tune C</t>
    </r>
    <r>
      <rPr>
        <vertAlign val="subscript"/>
        <sz val="11"/>
        <color theme="1"/>
        <rFont val="Arial"/>
        <family val="2"/>
      </rPr>
      <t>O1</t>
    </r>
    <r>
      <rPr>
        <sz val="11"/>
        <color theme="1"/>
        <rFont val="Arial"/>
        <family val="2"/>
      </rPr>
      <t xml:space="preserve"> value, during low line and Io_max</t>
    </r>
  </si>
  <si>
    <t>Maximum Current-Transfer Ratio @ Collector Current = 50 µA</t>
  </si>
  <si>
    <r>
      <t>CTR</t>
    </r>
    <r>
      <rPr>
        <vertAlign val="subscript"/>
        <sz val="11"/>
        <color theme="1"/>
        <rFont val="Arial"/>
        <family val="2"/>
      </rPr>
      <t xml:space="preserve">max </t>
    </r>
    <r>
      <rPr>
        <sz val="11"/>
        <color theme="1"/>
        <rFont val="Arial"/>
        <family val="2"/>
      </rPr>
      <t>=</t>
    </r>
  </si>
  <si>
    <t>Minimum Current-Transfer Ratio @ Collector Current = 50 µA</t>
  </si>
  <si>
    <r>
      <t xml:space="preserve"> CTR</t>
    </r>
    <r>
      <rPr>
        <vertAlign val="subscript"/>
        <sz val="11"/>
        <color theme="1"/>
        <rFont val="Arial"/>
        <family val="2"/>
      </rPr>
      <t xml:space="preserve">min </t>
    </r>
    <r>
      <rPr>
        <sz val="11"/>
        <color theme="1"/>
        <rFont val="Arial"/>
        <family val="2"/>
      </rPr>
      <t>=</t>
    </r>
  </si>
  <si>
    <t>Pulsed-current rating</t>
  </si>
  <si>
    <r>
      <t>Derating Coefficient for QL and QH V</t>
    </r>
    <r>
      <rPr>
        <vertAlign val="subscript"/>
        <sz val="11"/>
        <color theme="1"/>
        <rFont val="Arial"/>
        <family val="2"/>
      </rPr>
      <t>DS</t>
    </r>
    <r>
      <rPr>
        <sz val="11"/>
        <color theme="1"/>
        <rFont val="Arial"/>
        <family val="2"/>
      </rPr>
      <t xml:space="preserve"> ratings, in percent of V</t>
    </r>
    <r>
      <rPr>
        <vertAlign val="subscript"/>
        <sz val="11"/>
        <color theme="1"/>
        <rFont val="Arial"/>
        <family val="2"/>
      </rPr>
      <t>(BR)DSS</t>
    </r>
    <r>
      <rPr>
        <sz val="11"/>
        <color theme="1"/>
        <rFont val="Arial"/>
        <family val="2"/>
      </rPr>
      <t xml:space="preserve"> </t>
    </r>
  </si>
  <si>
    <t>Setting of SET Pin (connect to AGND or to REF)</t>
  </si>
  <si>
    <t>"0" for GaN (connect to AGND), "1" for Silicon (connect to REF)</t>
  </si>
  <si>
    <t>(controller internal parameter, based on SET connection)</t>
  </si>
  <si>
    <t>Nominal Output Voltage at Full Power</t>
  </si>
  <si>
    <r>
      <t>Output over-voltage protection (OVP) threshold, in percent of V</t>
    </r>
    <r>
      <rPr>
        <vertAlign val="subscript"/>
        <sz val="11"/>
        <color theme="1"/>
        <rFont val="Arial"/>
        <family val="2"/>
      </rPr>
      <t>OUT</t>
    </r>
    <r>
      <rPr>
        <sz val="11"/>
        <color theme="1"/>
        <rFont val="Arial"/>
        <family val="2"/>
      </rPr>
      <t xml:space="preserve">  </t>
    </r>
  </si>
  <si>
    <r>
      <t>Output over-power protection (OPP) threshold, in percent of P</t>
    </r>
    <r>
      <rPr>
        <vertAlign val="subscript"/>
        <sz val="11"/>
        <color theme="1"/>
        <rFont val="Arial"/>
        <family val="2"/>
      </rPr>
      <t>O_FL</t>
    </r>
    <r>
      <rPr>
        <sz val="11"/>
        <color theme="1"/>
        <rFont val="Arial"/>
        <family val="2"/>
      </rPr>
      <t xml:space="preserve"> </t>
    </r>
  </si>
  <si>
    <r>
      <t>Output load power level to enter Burst Mode, in percent of P</t>
    </r>
    <r>
      <rPr>
        <vertAlign val="subscript"/>
        <sz val="11"/>
        <color theme="1"/>
        <rFont val="Arial"/>
        <family val="2"/>
      </rPr>
      <t>O_FL</t>
    </r>
    <r>
      <rPr>
        <sz val="11"/>
        <color theme="1"/>
        <rFont val="Arial"/>
        <family val="2"/>
      </rPr>
      <t xml:space="preserve"> </t>
    </r>
  </si>
  <si>
    <r>
      <t>Burst voltage ripple of lowest V</t>
    </r>
    <r>
      <rPr>
        <vertAlign val="subscript"/>
        <sz val="11"/>
        <color theme="1"/>
        <rFont val="Arial"/>
        <family val="2"/>
      </rPr>
      <t>O</t>
    </r>
    <r>
      <rPr>
        <sz val="11"/>
        <color theme="1"/>
        <rFont val="Arial"/>
        <family val="2"/>
      </rPr>
      <t xml:space="preserve"> when in ABM</t>
    </r>
  </si>
  <si>
    <t>Resonant Duty-Cycle Factor in percent of maximum period</t>
  </si>
  <si>
    <r>
      <t>Note:  Choose R</t>
    </r>
    <r>
      <rPr>
        <vertAlign val="subscript"/>
        <sz val="11"/>
        <color theme="1"/>
        <rFont val="Arial"/>
        <family val="2"/>
      </rPr>
      <t>VS1</t>
    </r>
    <r>
      <rPr>
        <sz val="11"/>
        <color theme="1"/>
        <rFont val="Arial"/>
        <family val="2"/>
      </rPr>
      <t xml:space="preserve"> case-size based on appropriate "Limiting Element Voltage" rating, not on power dissipation. </t>
    </r>
  </si>
  <si>
    <r>
      <t>Prediction of R</t>
    </r>
    <r>
      <rPr>
        <vertAlign val="subscript"/>
        <sz val="11"/>
        <color theme="1"/>
        <rFont val="Arial"/>
        <family val="2"/>
      </rPr>
      <t>OPP</t>
    </r>
    <r>
      <rPr>
        <sz val="11"/>
        <color theme="1"/>
        <rFont val="Arial"/>
        <family val="2"/>
      </rPr>
      <t xml:space="preserve"> x C</t>
    </r>
    <r>
      <rPr>
        <vertAlign val="subscript"/>
        <sz val="11"/>
        <color theme="1"/>
        <rFont val="Arial"/>
        <family val="2"/>
      </rPr>
      <t>CS</t>
    </r>
    <r>
      <rPr>
        <sz val="11"/>
        <color theme="1"/>
        <rFont val="Arial"/>
        <family val="2"/>
      </rPr>
      <t>; compare to cell D116 and iterate as needed.</t>
    </r>
  </si>
  <si>
    <r>
      <rPr>
        <b/>
        <sz val="11"/>
        <color theme="1"/>
        <rFont val="Arial"/>
        <family val="2"/>
      </rPr>
      <t>Recommended</t>
    </r>
    <r>
      <rPr>
        <sz val="11"/>
        <color theme="1"/>
        <rFont val="Arial"/>
        <family val="2"/>
      </rPr>
      <t xml:space="preserve"> OPP Resistor Value</t>
    </r>
  </si>
  <si>
    <r>
      <t>R</t>
    </r>
    <r>
      <rPr>
        <vertAlign val="subscript"/>
        <sz val="11"/>
        <color theme="1"/>
        <rFont val="Arial"/>
        <family val="2"/>
      </rPr>
      <t>_OPP_rec</t>
    </r>
    <r>
      <rPr>
        <sz val="11"/>
        <color theme="1"/>
        <rFont val="Arial"/>
        <family val="2"/>
      </rPr>
      <t xml:space="preserve"> =</t>
    </r>
  </si>
  <si>
    <r>
      <t>Negative value for R</t>
    </r>
    <r>
      <rPr>
        <vertAlign val="subscript"/>
        <sz val="11"/>
        <color theme="1"/>
        <rFont val="Arial"/>
        <family val="2"/>
      </rPr>
      <t>_OPP_rec</t>
    </r>
    <r>
      <rPr>
        <sz val="11"/>
        <color theme="1"/>
        <rFont val="Arial"/>
        <family val="2"/>
      </rPr>
      <t xml:space="preserve"> indicates too much current-sense delay </t>
    </r>
  </si>
  <si>
    <t>C0G is recommended to keep stable value</t>
  </si>
  <si>
    <r>
      <rPr>
        <b/>
        <sz val="11"/>
        <color rgb="FFFF0000"/>
        <rFont val="Arial"/>
        <family val="2"/>
      </rPr>
      <t>Check against cell D102.</t>
    </r>
    <r>
      <rPr>
        <sz val="11"/>
        <color theme="1"/>
        <rFont val="Arial"/>
        <family val="2"/>
      </rPr>
      <t xml:space="preserve">  Iterate D102, D104, D111, D114 to converge close enough.</t>
    </r>
  </si>
  <si>
    <t>Target Threshold Voltage to enter ABM, at CS Input</t>
  </si>
  <si>
    <t>C0G or X7R is recommended to keep stable value</t>
  </si>
  <si>
    <t xml:space="preserve">     Rbias2 across photo-diode to supply shunt-regulator bias current when 
photo-diode current is cut off</t>
  </si>
  <si>
    <r>
      <t>If R</t>
    </r>
    <r>
      <rPr>
        <vertAlign val="subscript"/>
        <sz val="11"/>
        <color theme="1"/>
        <rFont val="Arial"/>
        <family val="2"/>
      </rPr>
      <t>bias1_min</t>
    </r>
    <r>
      <rPr>
        <sz val="11"/>
        <color theme="1"/>
        <rFont val="Arial"/>
        <family val="2"/>
      </rPr>
      <t xml:space="preserve"> &gt; R</t>
    </r>
    <r>
      <rPr>
        <vertAlign val="subscript"/>
        <sz val="11"/>
        <color theme="1"/>
        <rFont val="Arial"/>
        <family val="2"/>
      </rPr>
      <t>bias1_max</t>
    </r>
    <r>
      <rPr>
        <sz val="11"/>
        <color theme="1"/>
        <rFont val="Arial"/>
        <family val="2"/>
      </rPr>
      <t>, choose R</t>
    </r>
    <r>
      <rPr>
        <vertAlign val="subscript"/>
        <sz val="11"/>
        <color theme="1"/>
        <rFont val="Arial"/>
        <family val="2"/>
      </rPr>
      <t>bias1</t>
    </r>
    <r>
      <rPr>
        <sz val="11"/>
        <color theme="1"/>
        <rFont val="Arial"/>
        <family val="2"/>
      </rPr>
      <t xml:space="preserve"> ≤ R</t>
    </r>
    <r>
      <rPr>
        <vertAlign val="subscript"/>
        <sz val="11"/>
        <color theme="1"/>
        <rFont val="Arial"/>
        <family val="2"/>
      </rPr>
      <t>bias1_max</t>
    </r>
    <r>
      <rPr>
        <sz val="11"/>
        <color theme="1"/>
        <rFont val="Arial"/>
        <family val="2"/>
      </rPr>
      <t xml:space="preserve"> </t>
    </r>
  </si>
  <si>
    <t xml:space="preserve">SLURAZ0C </t>
  </si>
  <si>
    <t>VINPUT_Brownin</t>
  </si>
  <si>
    <t>VIN_min</t>
  </si>
  <si>
    <r>
      <t>Adjusted value of V</t>
    </r>
    <r>
      <rPr>
        <vertAlign val="subscript"/>
        <sz val="11"/>
        <color theme="1"/>
        <rFont val="Arial"/>
        <family val="2"/>
      </rPr>
      <t>CST_OPP</t>
    </r>
    <r>
      <rPr>
        <sz val="11"/>
        <color theme="1"/>
        <rFont val="Arial"/>
        <family val="2"/>
      </rPr>
      <t xml:space="preserve"> curve at V</t>
    </r>
    <r>
      <rPr>
        <vertAlign val="subscript"/>
        <sz val="11"/>
        <color theme="1"/>
        <rFont val="Arial"/>
        <family val="2"/>
      </rPr>
      <t>In_min</t>
    </r>
    <r>
      <rPr>
        <sz val="11"/>
        <color theme="1"/>
        <rFont val="Arial"/>
        <family val="2"/>
      </rPr>
      <t xml:space="preserve">  </t>
    </r>
  </si>
  <si>
    <r>
      <t xml:space="preserve"> D82 Changed eqn from V</t>
    </r>
    <r>
      <rPr>
        <b/>
        <vertAlign val="subscript"/>
        <sz val="11"/>
        <color rgb="FFFF66FF"/>
        <rFont val="Calibri"/>
        <family val="2"/>
        <scheme val="minor"/>
      </rPr>
      <t>BULK_min_tgt</t>
    </r>
    <r>
      <rPr>
        <b/>
        <sz val="11"/>
        <color rgb="FFFF66FF"/>
        <rFont val="Calibri"/>
        <family val="2"/>
        <scheme val="minor"/>
      </rPr>
      <t xml:space="preserve"> to V</t>
    </r>
    <r>
      <rPr>
        <b/>
        <vertAlign val="subscript"/>
        <sz val="11"/>
        <color rgb="FFFF66FF"/>
        <rFont val="Calibri"/>
        <family val="2"/>
        <scheme val="minor"/>
      </rPr>
      <t>IN_min</t>
    </r>
  </si>
  <si>
    <t>C</t>
  </si>
  <si>
    <r>
      <t xml:space="preserve"> 1.  Changed K</t>
    </r>
    <r>
      <rPr>
        <vertAlign val="subscript"/>
        <sz val="11"/>
        <color theme="1"/>
        <rFont val="Calibri"/>
        <family val="2"/>
        <scheme val="minor"/>
      </rPr>
      <t>DM</t>
    </r>
    <r>
      <rPr>
        <sz val="11"/>
        <color theme="1"/>
        <rFont val="Calibri"/>
        <family val="2"/>
        <scheme val="minor"/>
      </rPr>
      <t xml:space="preserve"> factor in 'Calculations' cell D20 from  5E+09  to  5.25E+09.
 2.  Updated several parameters of Characteristics table in 'Calculations' cells D7-D32.
 3.  Added calculation of voltage across R</t>
    </r>
    <r>
      <rPr>
        <vertAlign val="subscript"/>
        <sz val="11"/>
        <color theme="1"/>
        <rFont val="Calibri"/>
        <family val="2"/>
        <scheme val="minor"/>
      </rPr>
      <t>VS1</t>
    </r>
    <r>
      <rPr>
        <sz val="11"/>
        <color theme="1"/>
        <rFont val="Calibri"/>
        <family val="2"/>
        <scheme val="minor"/>
      </rPr>
      <t xml:space="preserve"> in 'Calculations' row 88.
 4.  Added error/boundaries checking and warnings in various places. 
 5.  Added input for lowest Vout value to calculate Rbias1 in 'Calculations' cell D188.
        Modified calculation of Rbias1_max in 'Calculations' cell D189.
        Added help note to 'Calculations' cell F192.   
 6.  Corrected cell-reference comment from D119 to D131 in 'BUR Pin' cell E17.
 7.  Corrected cell-reference comments from C17 to C18 &amp; C19 in 'BUR Pin' cells E29 and E30.
 8.  Expanded informational text for clarifications, numerous places; fixed more typos.
 9.  Changed sheet tab names and moved 'Schematic and Values' sheet.  </t>
    </r>
  </si>
  <si>
    <r>
      <rPr>
        <b/>
        <u/>
        <sz val="24"/>
        <color rgb="FFFFFFFF"/>
        <rFont val="Arial"/>
        <family val="2"/>
      </rPr>
      <t>UCC28782</t>
    </r>
    <r>
      <rPr>
        <b/>
        <sz val="24"/>
        <color indexed="9"/>
        <rFont val="Arial"/>
        <family val="2"/>
      </rPr>
      <t xml:space="preserve"> DESIGN CALCULATOR TOOL</t>
    </r>
  </si>
  <si>
    <r>
      <rPr>
        <b/>
        <u/>
        <sz val="16"/>
        <color theme="1"/>
        <rFont val="Arial"/>
        <family val="2"/>
      </rPr>
      <t>UCC28782</t>
    </r>
    <r>
      <rPr>
        <b/>
        <sz val="16"/>
        <color theme="1"/>
        <rFont val="Arial"/>
        <family val="2"/>
      </rPr>
      <t xml:space="preserve"> ACTIVE-CLAMP FLYBACK DESIGN CALCULATOR</t>
    </r>
  </si>
  <si>
    <r>
      <t>options to original  V</t>
    </r>
    <r>
      <rPr>
        <vertAlign val="subscript"/>
        <sz val="11"/>
        <color theme="1"/>
        <rFont val="Calibri"/>
        <family val="2"/>
        <scheme val="minor"/>
      </rPr>
      <t>Bulk_min_tgt</t>
    </r>
    <r>
      <rPr>
        <sz val="11"/>
        <color theme="1"/>
        <rFont val="Calibri"/>
        <family val="2"/>
        <charset val="136"/>
        <scheme val="minor"/>
      </rPr>
      <t>:</t>
    </r>
  </si>
  <si>
    <t>Boot-Strap Capacitance Used in Calculations</t>
  </si>
  <si>
    <t xml:space="preserve">For high-side driver.  X7R is recommended </t>
  </si>
  <si>
    <r>
      <t>Suggested 10*R</t>
    </r>
    <r>
      <rPr>
        <vertAlign val="subscript"/>
        <sz val="11"/>
        <color theme="1"/>
        <rFont val="Arial"/>
        <family val="2"/>
      </rPr>
      <t>CS</t>
    </r>
  </si>
  <si>
    <r>
      <t>Suggested R</t>
    </r>
    <r>
      <rPr>
        <vertAlign val="subscript"/>
        <sz val="11"/>
        <rFont val="Arial"/>
        <family val="2"/>
      </rPr>
      <t>BOOT</t>
    </r>
  </si>
  <si>
    <r>
      <t>R</t>
    </r>
    <r>
      <rPr>
        <vertAlign val="subscript"/>
        <sz val="11"/>
        <rFont val="Arial"/>
        <family val="2"/>
      </rPr>
      <t xml:space="preserve">BOOT </t>
    </r>
    <r>
      <rPr>
        <sz val="11"/>
        <rFont val="Arial"/>
        <family val="2"/>
      </rPr>
      <t>=</t>
    </r>
  </si>
  <si>
    <r>
      <t>R</t>
    </r>
    <r>
      <rPr>
        <vertAlign val="subscript"/>
        <sz val="11"/>
        <rFont val="Arial"/>
        <family val="2"/>
      </rPr>
      <t>BOOT</t>
    </r>
    <r>
      <rPr>
        <sz val="11"/>
        <rFont val="Arial"/>
        <family val="2"/>
      </rPr>
      <t xml:space="preserve"> Used in Calculations</t>
    </r>
  </si>
  <si>
    <t xml:space="preserve">   Note:  Larger case sizes and better dielectrics help to minimize DC-Bias effect.</t>
  </si>
  <si>
    <r>
      <t>R</t>
    </r>
    <r>
      <rPr>
        <b/>
        <vertAlign val="subscript"/>
        <sz val="12"/>
        <color rgb="FFFF0000"/>
        <rFont val="Arial"/>
        <family val="2"/>
      </rPr>
      <t>BOOT</t>
    </r>
  </si>
  <si>
    <t>Rev C:</t>
  </si>
  <si>
    <t>C3216JB1E336M160AC</t>
  </si>
  <si>
    <r>
      <t>Selected nominal value for C</t>
    </r>
    <r>
      <rPr>
        <vertAlign val="subscript"/>
        <sz val="11"/>
        <rFont val="Arial"/>
        <family val="2"/>
      </rPr>
      <t>O1</t>
    </r>
    <r>
      <rPr>
        <sz val="11"/>
        <rFont val="Arial"/>
        <family val="2"/>
      </rPr>
      <t xml:space="preserve"> </t>
    </r>
  </si>
  <si>
    <r>
      <t>Recommended C</t>
    </r>
    <r>
      <rPr>
        <vertAlign val="subscript"/>
        <sz val="11"/>
        <rFont val="Arial"/>
        <family val="2"/>
      </rPr>
      <t>O1</t>
    </r>
    <r>
      <rPr>
        <sz val="11"/>
        <rFont val="Arial"/>
        <family val="2"/>
      </rPr>
      <t xml:space="preserve"> at Design V</t>
    </r>
    <r>
      <rPr>
        <vertAlign val="subscript"/>
        <sz val="11"/>
        <rFont val="Arial"/>
        <family val="2"/>
      </rPr>
      <t>O</t>
    </r>
    <r>
      <rPr>
        <sz val="11"/>
        <rFont val="Arial"/>
        <family val="2"/>
      </rPr>
      <t xml:space="preserve">  </t>
    </r>
  </si>
  <si>
    <r>
      <t>Effective C</t>
    </r>
    <r>
      <rPr>
        <vertAlign val="subscript"/>
        <sz val="11"/>
        <rFont val="Arial"/>
        <family val="2"/>
      </rPr>
      <t>O1</t>
    </r>
    <r>
      <rPr>
        <sz val="11"/>
        <rFont val="Arial"/>
        <family val="2"/>
      </rPr>
      <t xml:space="preserve"> Used in Calculations</t>
    </r>
  </si>
  <si>
    <r>
      <t>Target Nominal Value for C</t>
    </r>
    <r>
      <rPr>
        <vertAlign val="subscript"/>
        <sz val="11"/>
        <rFont val="Arial"/>
        <family val="2"/>
      </rPr>
      <t>O1</t>
    </r>
    <r>
      <rPr>
        <sz val="11"/>
        <rFont val="Arial"/>
        <family val="2"/>
      </rPr>
      <t xml:space="preserve"> </t>
    </r>
  </si>
  <si>
    <t xml:space="preserve"> Accounts for DC-bias reduction</t>
  </si>
  <si>
    <r>
      <t xml:space="preserve"> 1.  Changed R</t>
    </r>
    <r>
      <rPr>
        <vertAlign val="subscript"/>
        <sz val="11"/>
        <color theme="1"/>
        <rFont val="Calibri"/>
        <family val="2"/>
        <scheme val="minor"/>
      </rPr>
      <t>DD2</t>
    </r>
    <r>
      <rPr>
        <sz val="11"/>
        <color theme="1"/>
        <rFont val="Calibri"/>
        <family val="2"/>
        <scheme val="minor"/>
      </rPr>
      <t xml:space="preserve"> calculation to</t>
    </r>
    <r>
      <rPr>
        <b/>
        <sz val="11"/>
        <color theme="1"/>
        <rFont val="Calibri"/>
        <family val="2"/>
        <scheme val="minor"/>
      </rPr>
      <t xml:space="preserve"> R</t>
    </r>
    <r>
      <rPr>
        <b/>
        <vertAlign val="subscript"/>
        <sz val="11"/>
        <color theme="1"/>
        <rFont val="Calibri"/>
        <family val="2"/>
        <scheme val="minor"/>
      </rPr>
      <t>BOOT</t>
    </r>
    <r>
      <rPr>
        <sz val="11"/>
        <color theme="1"/>
        <rFont val="Calibri"/>
        <family val="2"/>
        <scheme val="minor"/>
      </rPr>
      <t xml:space="preserve">, at 'Calculations' </t>
    </r>
    <r>
      <rPr>
        <b/>
        <sz val="11"/>
        <color theme="1"/>
        <rFont val="Calibri"/>
        <family val="2"/>
        <scheme val="minor"/>
      </rPr>
      <t>D163, D164</t>
    </r>
    <r>
      <rPr>
        <sz val="11"/>
        <color theme="1"/>
        <rFont val="Calibri"/>
        <family val="2"/>
        <scheme val="minor"/>
      </rPr>
      <t>.
 2.  Deleted 3 rows of unused R</t>
    </r>
    <r>
      <rPr>
        <vertAlign val="subscript"/>
        <sz val="11"/>
        <color theme="1"/>
        <rFont val="Calibri"/>
        <family val="2"/>
        <scheme val="minor"/>
      </rPr>
      <t>DD1</t>
    </r>
    <r>
      <rPr>
        <sz val="11"/>
        <color theme="1"/>
        <rFont val="Calibri"/>
        <family val="2"/>
        <scheme val="minor"/>
      </rPr>
      <t xml:space="preserve"> calculation after 'Calculations' </t>
    </r>
    <r>
      <rPr>
        <b/>
        <sz val="11"/>
        <rFont val="Calibri"/>
        <family val="2"/>
        <scheme val="minor"/>
      </rPr>
      <t>row 169</t>
    </r>
    <r>
      <rPr>
        <sz val="11"/>
        <color theme="1"/>
        <rFont val="Calibri"/>
        <family val="2"/>
        <scheme val="minor"/>
      </rPr>
      <t xml:space="preserve">.
 3.  Reduced numerical precision at 'Calculations' </t>
    </r>
    <r>
      <rPr>
        <b/>
        <sz val="11"/>
        <color theme="1"/>
        <rFont val="Calibri"/>
        <family val="2"/>
        <scheme val="minor"/>
      </rPr>
      <t>D169, D170</t>
    </r>
    <r>
      <rPr>
        <sz val="11"/>
        <color theme="1"/>
        <rFont val="Calibri"/>
        <family val="2"/>
        <scheme val="minor"/>
      </rPr>
      <t xml:space="preserve">.
 4.  Unlocked inadvertently-locked cell at 'Calculations' </t>
    </r>
    <r>
      <rPr>
        <b/>
        <sz val="11"/>
        <color theme="1"/>
        <rFont val="Calibri"/>
        <family val="2"/>
        <scheme val="minor"/>
      </rPr>
      <t>D188</t>
    </r>
    <r>
      <rPr>
        <sz val="11"/>
        <color theme="1"/>
        <rFont val="Calibri"/>
        <family val="2"/>
        <scheme val="minor"/>
      </rPr>
      <t xml:space="preserve">.
 5.  Added "Target Nominal Value for CO1" in 'Tune Secondary Resonance' </t>
    </r>
    <r>
      <rPr>
        <b/>
        <sz val="11"/>
        <color theme="1"/>
        <rFont val="Calibri"/>
        <family val="2"/>
        <scheme val="minor"/>
      </rPr>
      <t>row 9</t>
    </r>
    <r>
      <rPr>
        <sz val="11"/>
        <color theme="1"/>
        <rFont val="Calibri"/>
        <family val="2"/>
        <scheme val="minor"/>
      </rPr>
      <t>.
 6.  Correct units from "nF" to "</t>
    </r>
    <r>
      <rPr>
        <b/>
        <sz val="11"/>
        <color theme="1"/>
        <rFont val="Calibri"/>
        <family val="2"/>
        <scheme val="minor"/>
      </rPr>
      <t>µF</t>
    </r>
    <r>
      <rPr>
        <sz val="11"/>
        <color theme="1"/>
        <rFont val="Calibri"/>
        <family val="2"/>
        <scheme val="minor"/>
      </rPr>
      <t xml:space="preserve">" in 'Schematic and Values' </t>
    </r>
    <r>
      <rPr>
        <b/>
        <sz val="11"/>
        <color theme="1"/>
        <rFont val="Calibri"/>
        <family val="2"/>
        <scheme val="minor"/>
      </rPr>
      <t>E73</t>
    </r>
    <r>
      <rPr>
        <sz val="11"/>
        <color theme="1"/>
        <rFont val="Calibri"/>
        <family val="2"/>
        <scheme val="minor"/>
      </rPr>
      <t>.
 7.  Deleted redundant C</t>
    </r>
    <r>
      <rPr>
        <vertAlign val="subscript"/>
        <sz val="11"/>
        <color theme="1"/>
        <rFont val="Calibri"/>
        <family val="2"/>
        <scheme val="minor"/>
      </rPr>
      <t>P13</t>
    </r>
    <r>
      <rPr>
        <sz val="11"/>
        <color theme="1"/>
        <rFont val="Calibri"/>
        <family val="2"/>
        <scheme val="minor"/>
      </rPr>
      <t>, C</t>
    </r>
    <r>
      <rPr>
        <vertAlign val="subscript"/>
        <sz val="11"/>
        <color theme="1"/>
        <rFont val="Calibri"/>
        <family val="2"/>
        <scheme val="minor"/>
      </rPr>
      <t>BOOT</t>
    </r>
    <r>
      <rPr>
        <sz val="11"/>
        <color theme="1"/>
        <rFont val="Calibri"/>
        <family val="2"/>
        <scheme val="minor"/>
      </rPr>
      <t>, and R</t>
    </r>
    <r>
      <rPr>
        <vertAlign val="subscript"/>
        <sz val="11"/>
        <color theme="1"/>
        <rFont val="Calibri"/>
        <family val="2"/>
        <scheme val="minor"/>
      </rPr>
      <t>BOOT</t>
    </r>
    <r>
      <rPr>
        <sz val="11"/>
        <color theme="1"/>
        <rFont val="Calibri"/>
        <family val="2"/>
        <scheme val="minor"/>
      </rPr>
      <t xml:space="preserve"> rows in 'Schematic and Values'</t>
    </r>
    <r>
      <rPr>
        <b/>
        <sz val="11"/>
        <color theme="1"/>
        <rFont val="Calibri"/>
        <family val="2"/>
        <scheme val="minor"/>
      </rPr>
      <t xml:space="preserve"> rows 134, 148, 149</t>
    </r>
    <r>
      <rPr>
        <sz val="11"/>
        <color theme="1"/>
        <rFont val="Calibri"/>
        <family val="2"/>
        <scheme val="minor"/>
      </rPr>
      <t>.
 8.  Deleted unused R</t>
    </r>
    <r>
      <rPr>
        <vertAlign val="subscript"/>
        <sz val="11"/>
        <color theme="1"/>
        <rFont val="Calibri"/>
        <family val="2"/>
        <scheme val="minor"/>
      </rPr>
      <t>DD1</t>
    </r>
    <r>
      <rPr>
        <sz val="11"/>
        <color theme="1"/>
        <rFont val="Calibri"/>
        <family val="2"/>
        <scheme val="minor"/>
      </rPr>
      <t xml:space="preserve"> listing in 'Schematic and Values' </t>
    </r>
    <r>
      <rPr>
        <b/>
        <sz val="11"/>
        <color theme="1"/>
        <rFont val="Calibri"/>
        <family val="2"/>
        <scheme val="minor"/>
      </rPr>
      <t>row 33</t>
    </r>
    <r>
      <rPr>
        <sz val="11"/>
        <color theme="1"/>
        <rFont val="Calibri"/>
        <family val="2"/>
        <scheme val="minor"/>
      </rPr>
      <t>.</t>
    </r>
  </si>
  <si>
    <t>Target frequency at maximum load, minimum line.
Note: frequency at min load, max line may be 3~4 times higher.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</si>
</sst>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00"/>
  </numFmts>
  <fonts count="130">
    <font>
      <sz val="11"/>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24"/>
      <color indexed="9"/>
      <name val="Arial"/>
      <family val="2"/>
    </font>
    <font>
      <b/>
      <sz val="12"/>
      <name val="Arial"/>
      <family val="2"/>
    </font>
    <font>
      <sz val="11"/>
      <color theme="1"/>
      <name val="Arial"/>
      <family val="2"/>
    </font>
    <font>
      <b/>
      <sz val="12"/>
      <color theme="0"/>
      <name val="Arial"/>
      <family val="2"/>
    </font>
    <font>
      <b/>
      <i/>
      <sz val="11"/>
      <color rgb="FFFF0000"/>
      <name val="Arial"/>
      <family val="2"/>
    </font>
    <font>
      <vertAlign val="subscript"/>
      <sz val="11"/>
      <color theme="1"/>
      <name val="Arial"/>
      <family val="2"/>
    </font>
    <font>
      <b/>
      <sz val="14"/>
      <color rgb="FFFF0000"/>
      <name val="Arial"/>
      <family val="2"/>
    </font>
    <font>
      <b/>
      <i/>
      <sz val="12"/>
      <color theme="0"/>
      <name val="Arial"/>
      <family val="2"/>
    </font>
    <font>
      <b/>
      <sz val="11"/>
      <color theme="1"/>
      <name val="Arial"/>
      <family val="2"/>
    </font>
    <font>
      <b/>
      <sz val="16"/>
      <color theme="1"/>
      <name val="Arial"/>
      <family val="2"/>
    </font>
    <font>
      <b/>
      <i/>
      <sz val="16"/>
      <color theme="0"/>
      <name val="Arial"/>
      <family val="2"/>
    </font>
    <font>
      <sz val="11"/>
      <name val="Arial"/>
      <family val="2"/>
    </font>
    <font>
      <b/>
      <sz val="11"/>
      <color theme="0"/>
      <name val="Arial"/>
      <family val="2"/>
    </font>
    <font>
      <vertAlign val="subscript"/>
      <sz val="11"/>
      <name val="Arial"/>
      <family val="2"/>
    </font>
    <font>
      <b/>
      <i/>
      <vertAlign val="subscript"/>
      <sz val="12"/>
      <color theme="0"/>
      <name val="Arial"/>
      <family val="2"/>
    </font>
    <font>
      <b/>
      <sz val="14"/>
      <color theme="1"/>
      <name val="Arial"/>
      <family val="2"/>
    </font>
    <font>
      <sz val="12"/>
      <name val="Arial"/>
      <family val="2"/>
    </font>
    <font>
      <vertAlign val="subscript"/>
      <sz val="12"/>
      <name val="Arial"/>
      <family val="2"/>
    </font>
    <font>
      <sz val="9"/>
      <name val="Calibri"/>
      <family val="2"/>
      <charset val="136"/>
      <scheme val="minor"/>
    </font>
    <font>
      <sz val="11"/>
      <name val="Calibri"/>
      <family val="2"/>
      <charset val="136"/>
      <scheme val="minor"/>
    </font>
    <font>
      <i/>
      <sz val="11"/>
      <name val="Arial"/>
      <family val="2"/>
    </font>
    <font>
      <sz val="11"/>
      <color theme="1"/>
      <name val="Calibri"/>
      <family val="2"/>
    </font>
    <font>
      <b/>
      <sz val="11"/>
      <name val="Arial"/>
      <family val="2"/>
    </font>
    <font>
      <sz val="12"/>
      <color theme="1"/>
      <name val="Arial"/>
      <family val="2"/>
    </font>
    <font>
      <b/>
      <sz val="12"/>
      <color rgb="FFFF0000"/>
      <name val="Arial"/>
      <family val="2"/>
    </font>
    <font>
      <b/>
      <vertAlign val="subscript"/>
      <sz val="12"/>
      <color rgb="FFFF0000"/>
      <name val="Arial"/>
      <family val="2"/>
    </font>
    <font>
      <sz val="12"/>
      <color theme="1"/>
      <name val="Calibri"/>
      <family val="2"/>
    </font>
    <font>
      <b/>
      <vertAlign val="subscript"/>
      <sz val="11"/>
      <color theme="1"/>
      <name val="Arial"/>
      <family val="2"/>
    </font>
    <font>
      <b/>
      <vertAlign val="superscript"/>
      <sz val="11"/>
      <color theme="1"/>
      <name val="Arial"/>
      <family val="2"/>
    </font>
    <font>
      <b/>
      <sz val="11"/>
      <color rgb="FFFF0000"/>
      <name val="Arial"/>
      <family val="2"/>
    </font>
    <font>
      <b/>
      <sz val="16"/>
      <color rgb="FFFF0000"/>
      <name val="Arial"/>
      <family val="2"/>
    </font>
    <font>
      <b/>
      <sz val="22"/>
      <color rgb="FFFF0000"/>
      <name val="Arial"/>
      <family val="2"/>
    </font>
    <font>
      <sz val="11"/>
      <color rgb="FFFF0000"/>
      <name val="Arial"/>
      <family val="2"/>
    </font>
    <font>
      <b/>
      <sz val="11"/>
      <color rgb="FFFF00FF"/>
      <name val="Calibri"/>
      <family val="2"/>
      <scheme val="minor"/>
    </font>
    <font>
      <sz val="11"/>
      <color rgb="FFFF00FF"/>
      <name val="Arial"/>
      <family val="2"/>
    </font>
    <font>
      <b/>
      <sz val="11"/>
      <color rgb="FFFF0000"/>
      <name val="Calibri"/>
      <family val="2"/>
      <scheme val="minor"/>
    </font>
    <font>
      <b/>
      <sz val="11"/>
      <color rgb="FFFF00FF"/>
      <name val="Arial"/>
      <family val="2"/>
    </font>
    <font>
      <b/>
      <sz val="14"/>
      <color rgb="FFFF0000"/>
      <name val="Calibri"/>
      <family val="2"/>
      <scheme val="minor"/>
    </font>
    <font>
      <b/>
      <i/>
      <sz val="11"/>
      <color rgb="FF0000FF"/>
      <name val="Arial"/>
      <family val="2"/>
    </font>
    <font>
      <b/>
      <sz val="11"/>
      <color rgb="FF0000FF"/>
      <name val="Wingdings 2"/>
      <family val="1"/>
      <charset val="2"/>
    </font>
    <font>
      <sz val="11"/>
      <color rgb="FF0000FF"/>
      <name val="Calibri"/>
      <family val="2"/>
      <scheme val="minor"/>
    </font>
    <font>
      <sz val="7"/>
      <name val="Arial"/>
      <family val="2"/>
    </font>
    <font>
      <sz val="11"/>
      <name val="Calibri"/>
      <family val="2"/>
    </font>
    <font>
      <b/>
      <i/>
      <sz val="11"/>
      <name val="Arial"/>
      <family val="2"/>
    </font>
    <font>
      <b/>
      <sz val="11"/>
      <name val="Calibri"/>
      <family val="2"/>
      <scheme val="minor"/>
    </font>
    <font>
      <sz val="11"/>
      <name val="Calibri"/>
      <family val="2"/>
      <scheme val="minor"/>
    </font>
    <font>
      <sz val="7"/>
      <name val="Calibri"/>
      <family val="2"/>
      <scheme val="minor"/>
    </font>
    <font>
      <sz val="11"/>
      <color rgb="FFFF0000"/>
      <name val="Calibri"/>
      <family val="2"/>
      <charset val="136"/>
      <scheme val="minor"/>
    </font>
    <font>
      <b/>
      <sz val="12"/>
      <color rgb="FFFF0000"/>
      <name val="Calibri"/>
      <family val="2"/>
      <scheme val="minor"/>
    </font>
    <font>
      <b/>
      <sz val="12"/>
      <color rgb="FFFF66FF"/>
      <name val="Arial"/>
      <family val="2"/>
    </font>
    <font>
      <sz val="11"/>
      <color rgb="FFFF66FF"/>
      <name val="Calibri"/>
      <family val="2"/>
      <charset val="136"/>
      <scheme val="minor"/>
    </font>
    <font>
      <b/>
      <sz val="12"/>
      <color rgb="FFFF66FF"/>
      <name val="Calibri"/>
      <family val="2"/>
      <scheme val="minor"/>
    </font>
    <font>
      <sz val="12"/>
      <color theme="1"/>
      <name val="Calibri"/>
      <family val="2"/>
      <charset val="136"/>
      <scheme val="minor"/>
    </font>
    <font>
      <b/>
      <sz val="14"/>
      <color theme="6" tint="-0.249977111117893"/>
      <name val="Arial"/>
      <family val="2"/>
    </font>
    <font>
      <b/>
      <vertAlign val="subscript"/>
      <sz val="11"/>
      <color theme="0"/>
      <name val="Arial"/>
      <family val="2"/>
    </font>
    <font>
      <sz val="11"/>
      <color rgb="FFFF66FF"/>
      <name val="Calibri"/>
      <family val="2"/>
      <scheme val="minor"/>
    </font>
    <font>
      <b/>
      <i/>
      <sz val="12"/>
      <color rgb="FFFF66FF"/>
      <name val="Arial"/>
      <family val="2"/>
    </font>
    <font>
      <i/>
      <sz val="11"/>
      <color rgb="FFFF0000"/>
      <name val="Arial"/>
      <family val="2"/>
    </font>
    <font>
      <sz val="11"/>
      <color rgb="FF0000FF"/>
      <name val="Arial"/>
      <family val="2"/>
    </font>
    <font>
      <sz val="11"/>
      <color rgb="FF0000FF"/>
      <name val="Calibri"/>
      <family val="2"/>
      <charset val="136"/>
      <scheme val="minor"/>
    </font>
    <font>
      <vertAlign val="subscript"/>
      <sz val="11"/>
      <name val="Calibri"/>
      <family val="2"/>
      <scheme val="minor"/>
    </font>
    <font>
      <sz val="16"/>
      <name val="Calibri"/>
      <family val="2"/>
      <scheme val="minor"/>
    </font>
    <font>
      <b/>
      <vertAlign val="subscript"/>
      <sz val="11"/>
      <color rgb="FFFF0000"/>
      <name val="Arial"/>
      <family val="2"/>
    </font>
    <font>
      <b/>
      <sz val="14"/>
      <color rgb="FF0000FF"/>
      <name val="Calibri"/>
      <family val="2"/>
      <scheme val="minor"/>
    </font>
    <font>
      <sz val="7.7"/>
      <color theme="1"/>
      <name val="Arial"/>
      <family val="2"/>
    </font>
    <font>
      <b/>
      <sz val="12"/>
      <color theme="1"/>
      <name val="Calibri"/>
      <family val="2"/>
      <scheme val="minor"/>
    </font>
    <font>
      <b/>
      <sz val="11"/>
      <color theme="0"/>
      <name val="Calibri"/>
      <family val="2"/>
      <charset val="136"/>
      <scheme val="minor"/>
    </font>
    <font>
      <sz val="12"/>
      <color rgb="FFFF0000"/>
      <name val="Arial"/>
      <family val="2"/>
    </font>
    <font>
      <vertAlign val="subscript"/>
      <sz val="12"/>
      <color rgb="FFFF0000"/>
      <name val="Arial"/>
      <family val="2"/>
    </font>
    <font>
      <b/>
      <i/>
      <sz val="12"/>
      <color rgb="FFFFFF00"/>
      <name val="Arial"/>
      <family val="2"/>
    </font>
    <font>
      <b/>
      <vertAlign val="subscript"/>
      <sz val="12"/>
      <color rgb="FFFF0000"/>
      <name val="Calibri"/>
      <family val="2"/>
      <scheme val="minor"/>
    </font>
    <font>
      <sz val="11"/>
      <color theme="1"/>
      <name val="Calibri"/>
      <family val="2"/>
      <charset val="136"/>
      <scheme val="minor"/>
    </font>
    <font>
      <sz val="11"/>
      <color rgb="FFFF0000"/>
      <name val="Calibri"/>
      <family val="2"/>
      <scheme val="minor"/>
    </font>
    <font>
      <sz val="10"/>
      <color theme="1"/>
      <name val="Arial"/>
      <family val="2"/>
    </font>
    <font>
      <vertAlign val="subscript"/>
      <sz val="10"/>
      <color theme="1"/>
      <name val="Arial"/>
      <family val="2"/>
    </font>
    <font>
      <sz val="11"/>
      <color rgb="FFFF00FF"/>
      <name val="Calibri"/>
      <family val="2"/>
      <scheme val="minor"/>
    </font>
    <font>
      <sz val="16"/>
      <color rgb="FFFF00FF"/>
      <name val="Calibri"/>
      <family val="2"/>
      <scheme val="minor"/>
    </font>
    <font>
      <sz val="14"/>
      <color rgb="FFFF00FF"/>
      <name val="Calibri"/>
      <family val="2"/>
      <scheme val="minor"/>
    </font>
    <font>
      <sz val="14"/>
      <color theme="1"/>
      <name val="Calibri"/>
      <family val="2"/>
      <charset val="136"/>
      <scheme val="minor"/>
    </font>
    <font>
      <vertAlign val="superscript"/>
      <sz val="11"/>
      <color theme="1"/>
      <name val="Arial"/>
      <family val="2"/>
    </font>
    <font>
      <b/>
      <i/>
      <sz val="11"/>
      <color theme="1"/>
      <name val="Arial"/>
      <family val="2"/>
    </font>
    <font>
      <sz val="7"/>
      <color theme="1"/>
      <name val="Arial"/>
      <family val="2"/>
    </font>
    <font>
      <sz val="16"/>
      <color theme="1"/>
      <name val="Calibri"/>
      <family val="2"/>
      <charset val="136"/>
      <scheme val="minor"/>
    </font>
    <font>
      <sz val="12"/>
      <color theme="1"/>
      <name val="Calibri"/>
      <family val="2"/>
      <scheme val="minor"/>
    </font>
    <font>
      <sz val="11"/>
      <color theme="1"/>
      <name val="Wingdings 2"/>
      <family val="1"/>
      <charset val="2"/>
    </font>
    <font>
      <b/>
      <sz val="12"/>
      <color rgb="FFFF00FF"/>
      <name val="Arial"/>
      <family val="2"/>
    </font>
    <font>
      <b/>
      <sz val="16"/>
      <color rgb="FFFF00FF"/>
      <name val="Calibri"/>
      <family val="2"/>
      <scheme val="minor"/>
    </font>
    <font>
      <b/>
      <sz val="12"/>
      <color rgb="FFFF00FF"/>
      <name val="Calibri"/>
      <family val="2"/>
      <scheme val="minor"/>
    </font>
    <font>
      <b/>
      <sz val="14"/>
      <color rgb="FFFF00FF"/>
      <name val="Arial"/>
      <family val="2"/>
    </font>
    <font>
      <b/>
      <sz val="14"/>
      <color rgb="FF00B050"/>
      <name val="Calibri"/>
      <family val="2"/>
      <scheme val="minor"/>
    </font>
    <font>
      <sz val="12"/>
      <color rgb="FFFF00FF"/>
      <name val="Arial"/>
      <family val="2"/>
    </font>
    <font>
      <vertAlign val="subscript"/>
      <sz val="12"/>
      <color theme="1"/>
      <name val="Arial"/>
      <family val="2"/>
    </font>
    <font>
      <sz val="16"/>
      <color rgb="FFFF00FF"/>
      <name val="Arial"/>
      <family val="2"/>
    </font>
    <font>
      <b/>
      <sz val="12"/>
      <color rgb="FF000000"/>
      <name val="Arial"/>
      <family val="2"/>
    </font>
    <font>
      <b/>
      <vertAlign val="subscript"/>
      <sz val="12"/>
      <color rgb="FF000000"/>
      <name val="Arial"/>
      <family val="2"/>
    </font>
    <font>
      <b/>
      <sz val="12"/>
      <color theme="1"/>
      <name val="Arial"/>
      <family val="2"/>
    </font>
    <font>
      <b/>
      <vertAlign val="subscript"/>
      <sz val="12"/>
      <color theme="1"/>
      <name val="Arial"/>
      <family val="2"/>
    </font>
    <font>
      <b/>
      <sz val="16"/>
      <color rgb="FFFF00FF"/>
      <name val="Arial"/>
      <family val="2"/>
    </font>
    <font>
      <b/>
      <sz val="12"/>
      <color rgb="FF00B050"/>
      <name val="Arial"/>
      <family val="2"/>
    </font>
    <font>
      <b/>
      <sz val="11"/>
      <color rgb="FF00B050"/>
      <name val="Arial"/>
      <family val="2"/>
    </font>
    <font>
      <sz val="14"/>
      <color rgb="FFFF00FF"/>
      <name val="Arial"/>
      <family val="2"/>
    </font>
    <font>
      <sz val="12"/>
      <color rgb="FF000000"/>
      <name val="Arial"/>
      <family val="2"/>
    </font>
    <font>
      <vertAlign val="subscript"/>
      <sz val="11"/>
      <color theme="1"/>
      <name val="Calibri"/>
      <family val="2"/>
      <scheme val="minor"/>
    </font>
    <font>
      <sz val="11"/>
      <color rgb="FFFF00FF"/>
      <name val="Calibri"/>
      <family val="2"/>
      <charset val="136"/>
      <scheme val="minor"/>
    </font>
    <font>
      <b/>
      <sz val="11"/>
      <color theme="1"/>
      <name val="Calibri"/>
      <family val="2"/>
      <scheme val="minor"/>
    </font>
    <font>
      <sz val="11"/>
      <color rgb="FF1F497D"/>
      <name val="Calibri"/>
      <family val="2"/>
      <scheme val="minor"/>
    </font>
    <font>
      <b/>
      <sz val="7"/>
      <color rgb="FFFF00FF"/>
      <name val="Arial"/>
      <family val="2"/>
    </font>
    <font>
      <sz val="7"/>
      <color theme="1"/>
      <name val="Calibri"/>
      <family val="2"/>
      <charset val="136"/>
      <scheme val="minor"/>
    </font>
    <font>
      <sz val="10.5"/>
      <color rgb="FFFF00FF"/>
      <name val="Calibri"/>
      <family val="2"/>
      <scheme val="minor"/>
    </font>
    <font>
      <b/>
      <sz val="8"/>
      <color rgb="FFFF00FF"/>
      <name val="Arial"/>
      <family val="2"/>
    </font>
    <font>
      <sz val="7"/>
      <color theme="1"/>
      <name val="Calibri"/>
      <family val="2"/>
      <scheme val="minor"/>
    </font>
    <font>
      <b/>
      <sz val="11"/>
      <color rgb="FFFF66FF"/>
      <name val="Calibri"/>
      <family val="2"/>
      <scheme val="minor"/>
    </font>
    <font>
      <b/>
      <vertAlign val="subscript"/>
      <sz val="11"/>
      <color rgb="FFFF66FF"/>
      <name val="Calibri"/>
      <family val="2"/>
      <scheme val="minor"/>
    </font>
    <font>
      <b/>
      <u/>
      <sz val="24"/>
      <color rgb="FFFFFFFF"/>
      <name val="Arial"/>
      <family val="2"/>
    </font>
    <font>
      <b/>
      <u/>
      <sz val="16"/>
      <color theme="1"/>
      <name val="Arial"/>
      <family val="2"/>
    </font>
    <font>
      <b/>
      <vertAlign val="subscript"/>
      <sz val="11"/>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00CCFF"/>
        <bgColor indexed="64"/>
      </patternFill>
    </fill>
    <fill>
      <patternFill patternType="solid">
        <fgColor rgb="FFFFFFFF"/>
        <bgColor indexed="64"/>
      </patternFill>
    </fill>
    <fill>
      <patternFill patternType="solid">
        <fgColor rgb="FFFF66FF"/>
        <bgColor indexed="64"/>
      </patternFill>
    </fill>
  </fills>
  <borders count="7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medium">
        <color rgb="FFFF00FF"/>
      </left>
      <right/>
      <top style="medium">
        <color rgb="FFFF00FF"/>
      </top>
      <bottom/>
      <diagonal/>
    </border>
    <border>
      <left/>
      <right/>
      <top style="medium">
        <color rgb="FFFF00FF"/>
      </top>
      <bottom/>
      <diagonal/>
    </border>
    <border>
      <left/>
      <right style="medium">
        <color rgb="FFFF00FF"/>
      </right>
      <top style="medium">
        <color rgb="FFFF00FF"/>
      </top>
      <bottom/>
      <diagonal/>
    </border>
    <border>
      <left style="medium">
        <color rgb="FFFF00FF"/>
      </left>
      <right/>
      <top/>
      <bottom/>
      <diagonal/>
    </border>
    <border>
      <left/>
      <right style="medium">
        <color rgb="FFFF00FF"/>
      </right>
      <top/>
      <bottom/>
      <diagonal/>
    </border>
    <border>
      <left style="medium">
        <color rgb="FFFF00FF"/>
      </left>
      <right/>
      <top/>
      <bottom style="medium">
        <color rgb="FFFF00FF"/>
      </bottom>
      <diagonal/>
    </border>
    <border>
      <left/>
      <right/>
      <top/>
      <bottom style="medium">
        <color rgb="FFFF00FF"/>
      </bottom>
      <diagonal/>
    </border>
    <border>
      <left/>
      <right style="medium">
        <color rgb="FFFF00FF"/>
      </right>
      <top/>
      <bottom style="medium">
        <color rgb="FFFF00FF"/>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s>
  <cellStyleXfs count="52">
    <xf numFmtId="0" fontId="0" fillId="0" borderId="0">
      <alignment vertical="center"/>
    </xf>
    <xf numFmtId="0" fontId="13" fillId="0" borderId="0"/>
    <xf numFmtId="0" fontId="12" fillId="0" borderId="0"/>
    <xf numFmtId="0" fontId="11" fillId="0" borderId="0"/>
    <xf numFmtId="0" fontId="10"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5"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773">
    <xf numFmtId="0" fontId="0" fillId="0" borderId="0" xfId="0">
      <alignment vertical="center"/>
    </xf>
    <xf numFmtId="0" fontId="16" fillId="4" borderId="11" xfId="1" applyFont="1" applyFill="1" applyBorder="1" applyAlignment="1" applyProtection="1">
      <alignment horizontal="center" vertical="center"/>
      <protection locked="0"/>
    </xf>
    <xf numFmtId="0" fontId="16" fillId="2" borderId="8" xfId="1" applyFont="1" applyFill="1" applyBorder="1" applyAlignment="1">
      <alignment vertical="center"/>
    </xf>
    <xf numFmtId="0" fontId="16" fillId="2" borderId="10" xfId="1" applyFont="1" applyFill="1" applyBorder="1" applyAlignment="1">
      <alignment vertical="center"/>
    </xf>
    <xf numFmtId="164" fontId="16" fillId="4" borderId="5" xfId="1" applyNumberFormat="1" applyFont="1" applyFill="1" applyBorder="1" applyAlignment="1" applyProtection="1">
      <alignment horizontal="center" vertical="center"/>
      <protection locked="0"/>
    </xf>
    <xf numFmtId="0" fontId="16" fillId="2" borderId="19" xfId="1" applyFont="1" applyFill="1" applyBorder="1" applyAlignment="1">
      <alignment vertical="center"/>
    </xf>
    <xf numFmtId="0" fontId="16" fillId="2" borderId="22" xfId="1" applyFont="1" applyFill="1" applyBorder="1" applyAlignment="1">
      <alignment vertical="center"/>
    </xf>
    <xf numFmtId="0" fontId="16" fillId="2" borderId="23" xfId="1" applyFont="1" applyFill="1" applyBorder="1" applyAlignment="1">
      <alignment vertical="center"/>
    </xf>
    <xf numFmtId="0" fontId="16" fillId="0" borderId="19" xfId="1" applyFont="1" applyBorder="1" applyAlignment="1">
      <alignment horizontal="center" vertical="center"/>
    </xf>
    <xf numFmtId="0" fontId="16" fillId="2" borderId="26" xfId="1" applyFont="1" applyFill="1" applyBorder="1" applyAlignment="1">
      <alignment vertical="center"/>
    </xf>
    <xf numFmtId="0" fontId="16" fillId="2" borderId="36" xfId="1" applyFont="1" applyFill="1" applyBorder="1" applyAlignment="1">
      <alignment vertical="center"/>
    </xf>
    <xf numFmtId="0" fontId="0" fillId="2" borderId="0" xfId="0" applyFill="1">
      <alignment vertical="center"/>
    </xf>
    <xf numFmtId="0" fontId="33" fillId="2" borderId="0" xfId="0" applyFont="1" applyFill="1">
      <alignment vertical="center"/>
    </xf>
    <xf numFmtId="0" fontId="16" fillId="2" borderId="5" xfId="1" applyFont="1" applyFill="1" applyBorder="1" applyAlignment="1">
      <alignment horizontal="right" vertical="center"/>
    </xf>
    <xf numFmtId="0" fontId="16" fillId="2" borderId="28" xfId="1" applyFont="1" applyFill="1" applyBorder="1" applyAlignment="1">
      <alignment horizontal="right" vertical="center"/>
    </xf>
    <xf numFmtId="0" fontId="16" fillId="2" borderId="11" xfId="1" applyFont="1" applyFill="1" applyBorder="1" applyAlignment="1">
      <alignment horizontal="right" vertical="center"/>
    </xf>
    <xf numFmtId="0" fontId="21" fillId="3" borderId="38" xfId="1" applyFont="1" applyFill="1" applyBorder="1" applyAlignment="1">
      <alignment horizontal="right" vertical="center"/>
    </xf>
    <xf numFmtId="0" fontId="16" fillId="2" borderId="22" xfId="2" applyFont="1" applyFill="1"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164" fontId="25" fillId="4" borderId="5" xfId="1" applyNumberFormat="1" applyFont="1" applyFill="1" applyBorder="1" applyAlignment="1" applyProtection="1">
      <alignment horizontal="center" vertical="center"/>
      <protection locked="0"/>
    </xf>
    <xf numFmtId="0" fontId="47" fillId="0" borderId="0" xfId="0" applyFont="1">
      <alignment vertical="center"/>
    </xf>
    <xf numFmtId="0" fontId="25" fillId="4" borderId="5" xfId="1" applyFont="1" applyFill="1" applyBorder="1" applyAlignment="1" applyProtection="1">
      <alignment horizontal="center" vertical="center"/>
      <protection locked="0"/>
    </xf>
    <xf numFmtId="0" fontId="25" fillId="4" borderId="11" xfId="1" applyFont="1" applyFill="1" applyBorder="1" applyAlignment="1" applyProtection="1">
      <alignment horizontal="center" vertical="center"/>
      <protection locked="0"/>
    </xf>
    <xf numFmtId="164" fontId="25" fillId="4" borderId="11" xfId="1" applyNumberFormat="1" applyFont="1" applyFill="1" applyBorder="1" applyAlignment="1" applyProtection="1">
      <alignment horizontal="center" vertical="center"/>
      <protection locked="0"/>
    </xf>
    <xf numFmtId="164" fontId="16" fillId="4" borderId="21" xfId="1" applyNumberFormat="1" applyFont="1" applyFill="1" applyBorder="1" applyAlignment="1" applyProtection="1">
      <alignment horizontal="center" vertical="center"/>
      <protection locked="0"/>
    </xf>
    <xf numFmtId="0" fontId="66" fillId="0" borderId="0" xfId="0" applyFont="1">
      <alignment vertical="center"/>
    </xf>
    <xf numFmtId="1" fontId="16" fillId="4" borderId="5" xfId="1" applyNumberFormat="1" applyFont="1" applyFill="1" applyBorder="1" applyAlignment="1" applyProtection="1">
      <alignment horizontal="center" vertical="center"/>
      <protection locked="0"/>
    </xf>
    <xf numFmtId="2" fontId="25" fillId="4" borderId="5" xfId="1" applyNumberFormat="1" applyFont="1" applyFill="1" applyBorder="1" applyAlignment="1" applyProtection="1">
      <alignment horizontal="center" vertical="center"/>
      <protection locked="0"/>
    </xf>
    <xf numFmtId="165" fontId="25" fillId="4" borderId="5" xfId="1" applyNumberFormat="1" applyFont="1" applyFill="1" applyBorder="1" applyAlignment="1" applyProtection="1">
      <alignment horizontal="center" vertical="center"/>
      <protection locked="0"/>
    </xf>
    <xf numFmtId="1" fontId="25" fillId="4" borderId="5" xfId="1" applyNumberFormat="1" applyFont="1" applyFill="1" applyBorder="1" applyAlignment="1" applyProtection="1">
      <alignment horizontal="center" vertical="center"/>
      <protection locked="0"/>
    </xf>
    <xf numFmtId="0" fontId="64" fillId="0" borderId="0" xfId="0" applyFont="1">
      <alignment vertical="center"/>
    </xf>
    <xf numFmtId="164" fontId="25" fillId="4" borderId="19" xfId="1" applyNumberFormat="1" applyFont="1" applyFill="1" applyBorder="1" applyAlignment="1" applyProtection="1">
      <alignment horizontal="center" vertical="center"/>
      <protection locked="0"/>
    </xf>
    <xf numFmtId="0" fontId="21" fillId="3" borderId="37" xfId="1" applyFont="1" applyFill="1" applyBorder="1" applyAlignment="1">
      <alignment vertical="center"/>
    </xf>
    <xf numFmtId="0" fontId="21" fillId="3" borderId="38" xfId="1" applyFont="1" applyFill="1" applyBorder="1" applyAlignment="1">
      <alignment vertical="center"/>
    </xf>
    <xf numFmtId="0" fontId="21" fillId="3" borderId="39" xfId="1" applyFont="1" applyFill="1" applyBorder="1" applyAlignment="1">
      <alignment vertical="center"/>
    </xf>
    <xf numFmtId="0" fontId="16" fillId="4" borderId="28" xfId="1" applyFont="1" applyFill="1" applyBorder="1" applyAlignment="1" applyProtection="1">
      <alignment horizontal="center" vertical="center"/>
      <protection locked="0"/>
    </xf>
    <xf numFmtId="0" fontId="16" fillId="4" borderId="19" xfId="1" applyFont="1" applyFill="1" applyBorder="1" applyAlignment="1" applyProtection="1">
      <alignment horizontal="center" vertical="center"/>
      <protection locked="0"/>
    </xf>
    <xf numFmtId="0" fontId="16" fillId="2" borderId="19" xfId="1" applyFont="1" applyFill="1" applyBorder="1" applyAlignment="1">
      <alignment horizontal="left" vertical="center"/>
    </xf>
    <xf numFmtId="0" fontId="16" fillId="2" borderId="23" xfId="1" applyFont="1" applyFill="1" applyBorder="1" applyAlignment="1">
      <alignment horizontal="left" vertical="center"/>
    </xf>
    <xf numFmtId="0" fontId="25" fillId="2" borderId="5" xfId="1" applyFont="1" applyFill="1" applyBorder="1" applyAlignment="1">
      <alignment horizontal="left" vertical="center"/>
    </xf>
    <xf numFmtId="0" fontId="16" fillId="2" borderId="5" xfId="1" applyFont="1" applyFill="1" applyBorder="1" applyAlignment="1">
      <alignment horizontal="left" vertical="center"/>
    </xf>
    <xf numFmtId="0" fontId="16" fillId="2" borderId="11" xfId="1" applyFont="1" applyFill="1" applyBorder="1" applyAlignment="1">
      <alignment horizontal="left" vertical="center"/>
    </xf>
    <xf numFmtId="0" fontId="21" fillId="3" borderId="37" xfId="1" applyFont="1" applyFill="1" applyBorder="1" applyAlignment="1">
      <alignment horizontal="left" vertical="center"/>
    </xf>
    <xf numFmtId="0" fontId="21" fillId="3" borderId="38" xfId="1" applyFont="1" applyFill="1" applyBorder="1" applyAlignment="1">
      <alignment horizontal="left" vertical="center"/>
    </xf>
    <xf numFmtId="0" fontId="21" fillId="3" borderId="39" xfId="1" applyFont="1" applyFill="1" applyBorder="1" applyAlignment="1">
      <alignment horizontal="left" vertical="center"/>
    </xf>
    <xf numFmtId="164" fontId="48" fillId="0" borderId="0" xfId="1" applyNumberFormat="1" applyFont="1" applyAlignment="1">
      <alignment vertical="center"/>
    </xf>
    <xf numFmtId="0" fontId="73" fillId="0" borderId="0" xfId="0" applyFont="1">
      <alignment vertical="center"/>
    </xf>
    <xf numFmtId="1" fontId="16" fillId="0" borderId="5" xfId="1" applyNumberFormat="1" applyFont="1" applyBorder="1" applyAlignment="1">
      <alignment horizontal="center" vertical="center"/>
    </xf>
    <xf numFmtId="0" fontId="16" fillId="0" borderId="5" xfId="1" applyFont="1" applyBorder="1" applyAlignment="1">
      <alignment horizontal="center" vertical="center"/>
    </xf>
    <xf numFmtId="1" fontId="16" fillId="0" borderId="21" xfId="1" applyNumberFormat="1" applyFont="1" applyBorder="1" applyAlignment="1">
      <alignment horizontal="center" vertical="center"/>
    </xf>
    <xf numFmtId="1" fontId="16" fillId="0" borderId="11" xfId="1" applyNumberFormat="1" applyFont="1" applyBorder="1" applyAlignment="1">
      <alignment horizontal="center" vertical="center"/>
    </xf>
    <xf numFmtId="0" fontId="8" fillId="0" borderId="0" xfId="0" applyFont="1">
      <alignment vertical="center"/>
    </xf>
    <xf numFmtId="0" fontId="86" fillId="0" borderId="0" xfId="0" applyFont="1">
      <alignment vertical="center"/>
    </xf>
    <xf numFmtId="0" fontId="54" fillId="0" borderId="0" xfId="0" applyFont="1">
      <alignment vertical="center"/>
    </xf>
    <xf numFmtId="0" fontId="89" fillId="0" borderId="0" xfId="0" applyFont="1">
      <alignment vertical="center"/>
    </xf>
    <xf numFmtId="0" fontId="90" fillId="0" borderId="0" xfId="0" applyFont="1">
      <alignment vertical="center"/>
    </xf>
    <xf numFmtId="0" fontId="91" fillId="0" borderId="0" xfId="0" applyFont="1">
      <alignment vertical="center"/>
    </xf>
    <xf numFmtId="0" fontId="69" fillId="0" borderId="0" xfId="0" applyFont="1">
      <alignment vertical="center"/>
    </xf>
    <xf numFmtId="2" fontId="16" fillId="4" borderId="5" xfId="1" applyNumberFormat="1" applyFont="1" applyFill="1" applyBorder="1" applyAlignment="1" applyProtection="1">
      <alignment horizontal="center" vertical="center"/>
      <protection locked="0"/>
    </xf>
    <xf numFmtId="2" fontId="16" fillId="4" borderId="19" xfId="1" applyNumberFormat="1" applyFont="1" applyFill="1" applyBorder="1" applyAlignment="1" applyProtection="1">
      <alignment horizontal="center" vertical="center"/>
      <protection locked="0"/>
    </xf>
    <xf numFmtId="0" fontId="16" fillId="4" borderId="5" xfId="1" applyFont="1" applyFill="1" applyBorder="1" applyAlignment="1" applyProtection="1">
      <alignment horizontal="center" vertical="center"/>
      <protection locked="0"/>
    </xf>
    <xf numFmtId="164" fontId="16" fillId="4" borderId="19" xfId="1" applyNumberFormat="1" applyFont="1" applyFill="1" applyBorder="1" applyAlignment="1" applyProtection="1">
      <alignment horizontal="center" vertical="center"/>
      <protection locked="0"/>
    </xf>
    <xf numFmtId="165" fontId="16" fillId="4" borderId="5" xfId="1" applyNumberFormat="1" applyFont="1" applyFill="1" applyBorder="1" applyAlignment="1" applyProtection="1">
      <alignment horizontal="center" vertical="center"/>
      <protection locked="0"/>
    </xf>
    <xf numFmtId="0" fontId="16" fillId="4" borderId="30" xfId="1" applyFont="1" applyFill="1" applyBorder="1" applyAlignment="1" applyProtection="1">
      <alignment horizontal="center" vertical="center"/>
      <protection locked="0"/>
    </xf>
    <xf numFmtId="0" fontId="16" fillId="4" borderId="43" xfId="1" applyFont="1" applyFill="1" applyBorder="1" applyAlignment="1" applyProtection="1">
      <alignment horizontal="center" vertical="center"/>
      <protection locked="0"/>
    </xf>
    <xf numFmtId="0" fontId="16" fillId="4" borderId="22" xfId="1" applyFont="1" applyFill="1" applyBorder="1" applyAlignment="1" applyProtection="1">
      <alignment horizontal="center" vertical="center"/>
      <protection locked="0"/>
    </xf>
    <xf numFmtId="11" fontId="0" fillId="0" borderId="0" xfId="0" applyNumberFormat="1">
      <alignment vertical="center"/>
    </xf>
    <xf numFmtId="0" fontId="96" fillId="0" borderId="0" xfId="0" applyFont="1">
      <alignment vertical="center"/>
    </xf>
    <xf numFmtId="0" fontId="97" fillId="0" borderId="0" xfId="0" applyFont="1">
      <alignment vertical="center"/>
    </xf>
    <xf numFmtId="0" fontId="16" fillId="2" borderId="8" xfId="1" applyFont="1" applyFill="1" applyBorder="1" applyAlignment="1">
      <alignment vertical="center" wrapText="1"/>
    </xf>
    <xf numFmtId="0" fontId="16" fillId="2" borderId="21" xfId="1" applyFont="1" applyFill="1" applyBorder="1" applyAlignment="1">
      <alignment horizontal="left" vertical="center"/>
    </xf>
    <xf numFmtId="0" fontId="16" fillId="2" borderId="24" xfId="1" applyFont="1" applyFill="1" applyBorder="1" applyAlignment="1">
      <alignment horizontal="left" vertical="center"/>
    </xf>
    <xf numFmtId="0" fontId="16" fillId="4" borderId="21" xfId="1" applyFont="1" applyFill="1" applyBorder="1" applyAlignment="1" applyProtection="1">
      <alignment horizontal="center" vertical="center"/>
      <protection locked="0"/>
    </xf>
    <xf numFmtId="0" fontId="16" fillId="2" borderId="36" xfId="1" applyFont="1" applyFill="1" applyBorder="1" applyAlignment="1">
      <alignment vertical="center" wrapText="1"/>
    </xf>
    <xf numFmtId="0" fontId="16" fillId="0" borderId="0" xfId="0" applyFont="1">
      <alignment vertical="center"/>
    </xf>
    <xf numFmtId="1" fontId="25" fillId="2" borderId="5" xfId="1" applyNumberFormat="1" applyFont="1" applyFill="1" applyBorder="1" applyAlignment="1" applyProtection="1">
      <alignment horizontal="center" vertical="center"/>
      <protection hidden="1"/>
    </xf>
    <xf numFmtId="0" fontId="16" fillId="0" borderId="5" xfId="1" applyFont="1" applyBorder="1" applyAlignment="1">
      <alignment horizontal="right" vertical="center"/>
    </xf>
    <xf numFmtId="0" fontId="16" fillId="2" borderId="26" xfId="1" applyFont="1" applyFill="1" applyBorder="1" applyAlignment="1">
      <alignment horizontal="left" vertical="center"/>
    </xf>
    <xf numFmtId="0" fontId="16" fillId="2" borderId="22" xfId="1" applyFont="1" applyFill="1" applyBorder="1" applyAlignment="1">
      <alignment horizontal="left" vertical="center"/>
    </xf>
    <xf numFmtId="0" fontId="16" fillId="2" borderId="19" xfId="2" applyFont="1" applyFill="1" applyBorder="1" applyAlignment="1">
      <alignment horizontal="left" vertical="center"/>
    </xf>
    <xf numFmtId="0" fontId="16" fillId="2" borderId="23" xfId="2" applyFont="1" applyFill="1" applyBorder="1" applyAlignment="1">
      <alignment horizontal="left" vertical="center"/>
    </xf>
    <xf numFmtId="0" fontId="22" fillId="2" borderId="23" xfId="2" applyFont="1" applyFill="1" applyBorder="1" applyAlignment="1">
      <alignment horizontal="left" vertical="center"/>
    </xf>
    <xf numFmtId="0" fontId="22" fillId="2" borderId="26" xfId="2" applyFont="1" applyFill="1" applyBorder="1" applyAlignment="1">
      <alignment horizontal="left" vertical="center"/>
    </xf>
    <xf numFmtId="165" fontId="16" fillId="4" borderId="30" xfId="1" applyNumberFormat="1" applyFont="1" applyFill="1" applyBorder="1" applyAlignment="1" applyProtection="1">
      <alignment horizontal="center" vertical="center"/>
      <protection locked="0"/>
    </xf>
    <xf numFmtId="0" fontId="16" fillId="2" borderId="10" xfId="1" applyFont="1" applyFill="1" applyBorder="1" applyAlignment="1">
      <alignment vertical="center" wrapText="1"/>
    </xf>
    <xf numFmtId="0" fontId="7" fillId="0" borderId="0" xfId="0" applyFont="1">
      <alignment vertical="center"/>
    </xf>
    <xf numFmtId="0" fontId="22" fillId="0" borderId="0" xfId="0" applyFont="1">
      <alignment vertical="center"/>
    </xf>
    <xf numFmtId="0" fontId="92" fillId="0" borderId="0" xfId="0" applyFont="1" applyAlignment="1">
      <alignment horizontal="right" vertical="center"/>
    </xf>
    <xf numFmtId="164" fontId="16" fillId="2" borderId="28" xfId="1" applyNumberFormat="1" applyFont="1" applyFill="1" applyBorder="1" applyAlignment="1">
      <alignment vertical="center"/>
    </xf>
    <xf numFmtId="164" fontId="16" fillId="2" borderId="11" xfId="1" applyNumberFormat="1" applyFont="1" applyFill="1" applyBorder="1" applyAlignment="1">
      <alignment vertical="center"/>
    </xf>
    <xf numFmtId="0" fontId="0" fillId="2" borderId="0" xfId="0" applyFill="1" applyAlignment="1">
      <alignment horizontal="right" vertical="center"/>
    </xf>
    <xf numFmtId="0" fontId="70" fillId="3" borderId="38" xfId="1" applyFont="1" applyFill="1" applyBorder="1" applyAlignment="1">
      <alignment horizontal="right" vertical="center"/>
    </xf>
    <xf numFmtId="164" fontId="16" fillId="2" borderId="5" xfId="1" applyNumberFormat="1" applyFont="1" applyFill="1" applyBorder="1" applyAlignment="1">
      <alignment vertical="center"/>
    </xf>
    <xf numFmtId="0" fontId="87" fillId="2" borderId="23" xfId="1" applyFont="1" applyFill="1" applyBorder="1" applyAlignment="1">
      <alignment horizontal="left" vertical="center"/>
    </xf>
    <xf numFmtId="0" fontId="16" fillId="2" borderId="45" xfId="1" applyFont="1" applyFill="1" applyBorder="1" applyAlignment="1">
      <alignment vertical="center"/>
    </xf>
    <xf numFmtId="0" fontId="16" fillId="2" borderId="30" xfId="1" applyFont="1" applyFill="1" applyBorder="1" applyAlignment="1">
      <alignment horizontal="right" vertical="center"/>
    </xf>
    <xf numFmtId="164" fontId="16" fillId="2" borderId="30" xfId="1" applyNumberFormat="1" applyFont="1" applyFill="1" applyBorder="1" applyAlignment="1">
      <alignment vertical="center"/>
    </xf>
    <xf numFmtId="0" fontId="16" fillId="2" borderId="30" xfId="1" applyFont="1" applyFill="1" applyBorder="1" applyAlignment="1">
      <alignment horizontal="left" vertical="center"/>
    </xf>
    <xf numFmtId="164" fontId="16" fillId="0" borderId="5" xfId="1" applyNumberFormat="1" applyFont="1" applyBorder="1" applyAlignment="1">
      <alignment vertical="center"/>
    </xf>
    <xf numFmtId="0" fontId="16" fillId="0" borderId="5" xfId="1" applyFont="1" applyBorder="1" applyAlignment="1">
      <alignment horizontal="left" vertical="center"/>
    </xf>
    <xf numFmtId="0" fontId="87" fillId="0" borderId="23" xfId="1" applyFont="1" applyBorder="1" applyAlignment="1">
      <alignment horizontal="left" vertical="center"/>
    </xf>
    <xf numFmtId="0" fontId="87" fillId="0" borderId="24" xfId="1" applyFont="1" applyBorder="1" applyAlignment="1">
      <alignment horizontal="left" vertical="center"/>
    </xf>
    <xf numFmtId="0" fontId="87" fillId="2" borderId="26" xfId="1" applyFont="1" applyFill="1" applyBorder="1" applyAlignment="1">
      <alignment horizontal="left" vertical="center"/>
    </xf>
    <xf numFmtId="0" fontId="16" fillId="0" borderId="19" xfId="1" applyFont="1" applyBorder="1" applyAlignment="1">
      <alignment horizontal="left" vertical="center"/>
    </xf>
    <xf numFmtId="0" fontId="87" fillId="2" borderId="23" xfId="2" applyFont="1" applyFill="1" applyBorder="1" applyAlignment="1">
      <alignment horizontal="left" vertical="center"/>
    </xf>
    <xf numFmtId="0" fontId="37" fillId="0" borderId="9" xfId="1" applyFont="1" applyBorder="1" applyAlignment="1">
      <alignment horizontal="left" vertical="center"/>
    </xf>
    <xf numFmtId="164" fontId="16" fillId="0" borderId="30" xfId="1" applyNumberFormat="1" applyFont="1" applyBorder="1" applyAlignment="1">
      <alignment vertical="center"/>
    </xf>
    <xf numFmtId="0" fontId="16" fillId="0" borderId="41" xfId="1" applyFont="1" applyBorder="1" applyAlignment="1">
      <alignment horizontal="left" vertical="center"/>
    </xf>
    <xf numFmtId="0" fontId="37" fillId="2" borderId="23" xfId="2" applyFont="1" applyFill="1" applyBorder="1" applyAlignment="1">
      <alignment horizontal="left" vertical="center"/>
    </xf>
    <xf numFmtId="0" fontId="87" fillId="2" borderId="26" xfId="2" applyFont="1" applyFill="1" applyBorder="1" applyAlignment="1">
      <alignment horizontal="left" vertical="center"/>
    </xf>
    <xf numFmtId="0" fontId="21" fillId="3" borderId="7" xfId="1" applyFont="1" applyFill="1" applyBorder="1" applyAlignment="1">
      <alignment horizontal="left" vertical="center"/>
    </xf>
    <xf numFmtId="0" fontId="21" fillId="3" borderId="2" xfId="1" applyFont="1" applyFill="1" applyBorder="1" applyAlignment="1">
      <alignment horizontal="left" vertical="center"/>
    </xf>
    <xf numFmtId="0" fontId="87" fillId="2" borderId="42" xfId="1" applyFont="1" applyFill="1" applyBorder="1" applyAlignment="1">
      <alignment horizontal="left" vertical="center"/>
    </xf>
    <xf numFmtId="0" fontId="16" fillId="2" borderId="41" xfId="1" applyFont="1" applyFill="1" applyBorder="1" applyAlignment="1">
      <alignment horizontal="left" vertical="center"/>
    </xf>
    <xf numFmtId="0" fontId="83" fillId="3" borderId="38" xfId="1" applyFont="1" applyFill="1" applyBorder="1" applyAlignment="1">
      <alignment horizontal="right" vertical="center"/>
    </xf>
    <xf numFmtId="0" fontId="80" fillId="8" borderId="55" xfId="0" applyFont="1" applyFill="1" applyBorder="1" applyAlignment="1">
      <alignment horizontal="center" vertical="center"/>
    </xf>
    <xf numFmtId="0" fontId="0" fillId="9" borderId="55" xfId="0" applyFill="1" applyBorder="1" applyAlignment="1">
      <alignment horizontal="center" vertical="center"/>
    </xf>
    <xf numFmtId="0" fontId="0" fillId="0" borderId="55" xfId="0" applyBorder="1" applyAlignment="1">
      <alignment horizontal="center" vertical="center"/>
    </xf>
    <xf numFmtId="0" fontId="53" fillId="0" borderId="0" xfId="0" applyFont="1">
      <alignment vertical="center"/>
    </xf>
    <xf numFmtId="0" fontId="46" fillId="0" borderId="0" xfId="0" applyFont="1">
      <alignment vertical="center"/>
    </xf>
    <xf numFmtId="0" fontId="45" fillId="0" borderId="0" xfId="0" applyFont="1">
      <alignment vertical="center"/>
    </xf>
    <xf numFmtId="0" fontId="49" fillId="0" borderId="0" xfId="0" applyFont="1">
      <alignment vertical="center"/>
    </xf>
    <xf numFmtId="0" fontId="22" fillId="0" borderId="49" xfId="0" applyFont="1" applyBorder="1">
      <alignment vertical="center"/>
    </xf>
    <xf numFmtId="0" fontId="47" fillId="0" borderId="0" xfId="0" applyFont="1" applyAlignment="1">
      <alignment horizontal="left" vertical="center"/>
    </xf>
    <xf numFmtId="0" fontId="33" fillId="2" borderId="0" xfId="0" applyFont="1" applyFill="1" applyAlignment="1">
      <alignment horizontal="left" vertical="center"/>
    </xf>
    <xf numFmtId="0" fontId="0" fillId="2" borderId="0" xfId="0" applyFill="1" applyAlignment="1">
      <alignment horizontal="center" vertical="center"/>
    </xf>
    <xf numFmtId="0" fontId="58" fillId="2" borderId="0" xfId="0" applyFont="1" applyFill="1" applyAlignment="1">
      <alignment horizontal="left" vertical="center"/>
    </xf>
    <xf numFmtId="0" fontId="33" fillId="2" borderId="0" xfId="0" applyFont="1" applyFill="1" applyAlignment="1">
      <alignment horizontal="center" vertical="center"/>
    </xf>
    <xf numFmtId="0" fontId="16" fillId="0" borderId="0" xfId="0" applyFont="1" applyAlignment="1">
      <alignment horizontal="left" vertical="center"/>
    </xf>
    <xf numFmtId="0" fontId="43" fillId="0" borderId="0" xfId="0" applyFont="1">
      <alignment vertical="center"/>
    </xf>
    <xf numFmtId="0" fontId="61" fillId="0" borderId="0" xfId="0" applyFont="1">
      <alignment vertical="center"/>
    </xf>
    <xf numFmtId="0" fontId="50" fillId="0" borderId="0" xfId="0" applyFont="1">
      <alignment vertical="center"/>
    </xf>
    <xf numFmtId="0" fontId="51" fillId="0" borderId="0" xfId="0" applyFont="1">
      <alignment vertical="center"/>
    </xf>
    <xf numFmtId="0" fontId="77" fillId="0" borderId="0" xfId="0" applyFont="1">
      <alignment vertical="center"/>
    </xf>
    <xf numFmtId="0" fontId="0" fillId="0" borderId="0" xfId="0" applyProtection="1">
      <alignment vertical="center"/>
      <protection hidden="1"/>
    </xf>
    <xf numFmtId="0" fontId="16" fillId="2" borderId="0" xfId="1" applyFont="1" applyFill="1" applyAlignment="1" applyProtection="1">
      <alignment vertical="center"/>
      <protection hidden="1"/>
    </xf>
    <xf numFmtId="0" fontId="63" fillId="2" borderId="0" xfId="1" applyFont="1" applyFill="1" applyAlignment="1" applyProtection="1">
      <alignment horizontal="center" vertical="center"/>
      <protection hidden="1"/>
    </xf>
    <xf numFmtId="0" fontId="16" fillId="2" borderId="0" xfId="1" applyFont="1" applyFill="1" applyAlignment="1" applyProtection="1">
      <alignment horizontal="center" vertical="center"/>
      <protection hidden="1"/>
    </xf>
    <xf numFmtId="0" fontId="34" fillId="2" borderId="0" xfId="1" applyFont="1" applyFill="1" applyAlignment="1" applyProtection="1">
      <alignment horizontal="left" vertical="center" wrapText="1"/>
      <protection hidden="1"/>
    </xf>
    <xf numFmtId="0" fontId="18" fillId="2" borderId="0" xfId="1" applyFont="1" applyFill="1" applyAlignment="1" applyProtection="1">
      <alignment horizontal="left" vertical="center" wrapText="1"/>
      <protection hidden="1"/>
    </xf>
    <xf numFmtId="0" fontId="0" fillId="2" borderId="0" xfId="0" applyFill="1" applyProtection="1">
      <alignment vertical="center"/>
      <protection hidden="1"/>
    </xf>
    <xf numFmtId="0" fontId="33" fillId="2" borderId="0" xfId="0" applyFont="1" applyFill="1" applyProtection="1">
      <alignment vertical="center"/>
      <protection hidden="1"/>
    </xf>
    <xf numFmtId="0" fontId="16" fillId="2" borderId="8" xfId="1" applyFont="1" applyFill="1" applyBorder="1" applyAlignment="1" applyProtection="1">
      <alignment vertical="center"/>
      <protection hidden="1"/>
    </xf>
    <xf numFmtId="0" fontId="16" fillId="2" borderId="5" xfId="1" applyFont="1" applyFill="1" applyBorder="1" applyAlignment="1" applyProtection="1">
      <alignment horizontal="right" vertical="center"/>
      <protection hidden="1"/>
    </xf>
    <xf numFmtId="0" fontId="16" fillId="2" borderId="19" xfId="1" applyFont="1" applyFill="1" applyBorder="1" applyAlignment="1" applyProtection="1">
      <alignment vertical="center"/>
      <protection hidden="1"/>
    </xf>
    <xf numFmtId="0" fontId="16" fillId="2" borderId="23" xfId="1" applyFont="1" applyFill="1" applyBorder="1" applyAlignment="1" applyProtection="1">
      <alignment vertical="center"/>
      <protection hidden="1"/>
    </xf>
    <xf numFmtId="1" fontId="16" fillId="7" borderId="5" xfId="1" applyNumberFormat="1" applyFont="1" applyFill="1" applyBorder="1" applyAlignment="1" applyProtection="1">
      <alignment horizontal="center" vertical="center"/>
      <protection hidden="1"/>
    </xf>
    <xf numFmtId="0" fontId="16" fillId="2" borderId="8" xfId="1" applyFont="1" applyFill="1" applyBorder="1" applyAlignment="1" applyProtection="1">
      <alignment vertical="center" wrapText="1"/>
      <protection hidden="1"/>
    </xf>
    <xf numFmtId="0" fontId="16" fillId="2" borderId="23" xfId="1" applyFont="1" applyFill="1" applyBorder="1" applyAlignment="1" applyProtection="1">
      <alignment horizontal="left" vertical="center"/>
      <protection hidden="1"/>
    </xf>
    <xf numFmtId="0" fontId="16" fillId="7" borderId="19" xfId="1" applyFont="1" applyFill="1" applyBorder="1" applyAlignment="1" applyProtection="1">
      <alignment horizontal="center" vertical="center"/>
      <protection hidden="1"/>
    </xf>
    <xf numFmtId="0" fontId="16" fillId="2" borderId="36" xfId="1" applyFont="1" applyFill="1" applyBorder="1" applyAlignment="1" applyProtection="1">
      <alignment vertical="center"/>
      <protection hidden="1"/>
    </xf>
    <xf numFmtId="0" fontId="16" fillId="2" borderId="28" xfId="1" applyFont="1" applyFill="1" applyBorder="1" applyAlignment="1" applyProtection="1">
      <alignment horizontal="right" vertical="center"/>
      <protection hidden="1"/>
    </xf>
    <xf numFmtId="0" fontId="16" fillId="7" borderId="21" xfId="1" applyFont="1" applyFill="1" applyBorder="1" applyAlignment="1" applyProtection="1">
      <alignment horizontal="center" vertical="center"/>
      <protection hidden="1"/>
    </xf>
    <xf numFmtId="0" fontId="16" fillId="2" borderId="21" xfId="1" applyFont="1" applyFill="1" applyBorder="1" applyAlignment="1" applyProtection="1">
      <alignment horizontal="left" vertical="center"/>
      <protection hidden="1"/>
    </xf>
    <xf numFmtId="0" fontId="16" fillId="2" borderId="24" xfId="1" applyFont="1" applyFill="1" applyBorder="1" applyAlignment="1" applyProtection="1">
      <alignment horizontal="left" vertical="center"/>
      <protection hidden="1"/>
    </xf>
    <xf numFmtId="11" fontId="16" fillId="7" borderId="21" xfId="1" applyNumberFormat="1" applyFont="1" applyFill="1" applyBorder="1" applyAlignment="1" applyProtection="1">
      <alignment horizontal="center" vertical="center"/>
      <protection hidden="1"/>
    </xf>
    <xf numFmtId="0" fontId="16" fillId="2" borderId="19" xfId="1" applyFont="1" applyFill="1" applyBorder="1" applyAlignment="1" applyProtection="1">
      <alignment vertical="center" wrapText="1"/>
      <protection hidden="1"/>
    </xf>
    <xf numFmtId="0" fontId="16" fillId="0" borderId="0" xfId="0" applyFont="1" applyProtection="1">
      <alignment vertical="center"/>
      <protection hidden="1"/>
    </xf>
    <xf numFmtId="0" fontId="16" fillId="2" borderId="19" xfId="2" applyFont="1" applyFill="1" applyBorder="1" applyAlignment="1" applyProtection="1">
      <alignment vertical="center"/>
      <protection hidden="1"/>
    </xf>
    <xf numFmtId="0" fontId="16" fillId="4" borderId="36" xfId="1" applyFont="1" applyFill="1" applyBorder="1" applyAlignment="1" applyProtection="1">
      <alignment vertical="center"/>
      <protection hidden="1"/>
    </xf>
    <xf numFmtId="0" fontId="16" fillId="4" borderId="28" xfId="1" applyFont="1" applyFill="1" applyBorder="1" applyAlignment="1" applyProtection="1">
      <alignment horizontal="right" vertical="center"/>
      <protection hidden="1"/>
    </xf>
    <xf numFmtId="0" fontId="16" fillId="4" borderId="21" xfId="1" applyFont="1" applyFill="1" applyBorder="1" applyAlignment="1" applyProtection="1">
      <alignment vertical="center" wrapText="1"/>
      <protection hidden="1"/>
    </xf>
    <xf numFmtId="0" fontId="16" fillId="4" borderId="24" xfId="1" applyFont="1" applyFill="1" applyBorder="1" applyAlignment="1" applyProtection="1">
      <alignment horizontal="left" vertical="center"/>
      <protection hidden="1"/>
    </xf>
    <xf numFmtId="0" fontId="16" fillId="2" borderId="36" xfId="1" applyFont="1" applyFill="1" applyBorder="1" applyAlignment="1" applyProtection="1">
      <alignment vertical="center" wrapText="1"/>
      <protection hidden="1"/>
    </xf>
    <xf numFmtId="0" fontId="16" fillId="2" borderId="21" xfId="1" applyFont="1" applyFill="1" applyBorder="1" applyAlignment="1" applyProtection="1">
      <alignment vertical="center" wrapText="1"/>
      <protection hidden="1"/>
    </xf>
    <xf numFmtId="0" fontId="16" fillId="4" borderId="36" xfId="1" applyFont="1" applyFill="1" applyBorder="1" applyAlignment="1" applyProtection="1">
      <alignment vertical="center" wrapText="1"/>
      <protection hidden="1"/>
    </xf>
    <xf numFmtId="0" fontId="16" fillId="4" borderId="21" xfId="1" applyFont="1" applyFill="1" applyBorder="1" applyAlignment="1" applyProtection="1">
      <alignment horizontal="left" vertical="center"/>
      <protection hidden="1"/>
    </xf>
    <xf numFmtId="0" fontId="16" fillId="4" borderId="8" xfId="1" applyFont="1" applyFill="1" applyBorder="1" applyAlignment="1" applyProtection="1">
      <alignment vertical="center" wrapText="1"/>
      <protection hidden="1"/>
    </xf>
    <xf numFmtId="0" fontId="16" fillId="4" borderId="5" xfId="1" applyFont="1" applyFill="1" applyBorder="1" applyAlignment="1" applyProtection="1">
      <alignment horizontal="right" vertical="center"/>
      <protection hidden="1"/>
    </xf>
    <xf numFmtId="0" fontId="16" fillId="4" borderId="6" xfId="1" applyFont="1" applyFill="1" applyBorder="1" applyAlignment="1" applyProtection="1">
      <alignment horizontal="left" vertical="center"/>
      <protection hidden="1"/>
    </xf>
    <xf numFmtId="0" fontId="16" fillId="4" borderId="23" xfId="1" applyFont="1" applyFill="1" applyBorder="1" applyAlignment="1" applyProtection="1">
      <alignment horizontal="left" vertical="center"/>
      <protection hidden="1"/>
    </xf>
    <xf numFmtId="0" fontId="16" fillId="4" borderId="10" xfId="1" applyFont="1" applyFill="1" applyBorder="1" applyAlignment="1" applyProtection="1">
      <alignment vertical="center"/>
      <protection hidden="1"/>
    </xf>
    <xf numFmtId="0" fontId="16" fillId="4" borderId="11" xfId="1" applyFont="1" applyFill="1" applyBorder="1" applyAlignment="1" applyProtection="1">
      <alignment horizontal="right" vertical="center"/>
      <protection hidden="1"/>
    </xf>
    <xf numFmtId="0" fontId="16" fillId="4" borderId="25" xfId="1" applyFont="1" applyFill="1" applyBorder="1" applyAlignment="1" applyProtection="1">
      <alignment horizontal="left" vertical="center"/>
      <protection hidden="1"/>
    </xf>
    <xf numFmtId="0" fontId="16" fillId="4" borderId="26" xfId="1" applyFont="1" applyFill="1" applyBorder="1" applyAlignment="1" applyProtection="1">
      <alignment horizontal="left" vertical="center"/>
      <protection hidden="1"/>
    </xf>
    <xf numFmtId="0" fontId="0" fillId="0" borderId="0" xfId="0" applyAlignment="1" applyProtection="1">
      <alignment horizontal="right" vertical="center"/>
      <protection hidden="1"/>
    </xf>
    <xf numFmtId="0" fontId="71" fillId="2" borderId="0" xfId="1" applyFont="1" applyFill="1" applyAlignment="1" applyProtection="1">
      <alignment horizontal="left" vertical="center" wrapText="1"/>
      <protection hidden="1"/>
    </xf>
    <xf numFmtId="0" fontId="25" fillId="2" borderId="8" xfId="1" applyFont="1" applyFill="1" applyBorder="1" applyAlignment="1" applyProtection="1">
      <alignment vertical="center"/>
      <protection hidden="1"/>
    </xf>
    <xf numFmtId="0" fontId="30" fillId="2" borderId="30" xfId="1" applyFont="1" applyFill="1" applyBorder="1" applyAlignment="1" applyProtection="1">
      <alignment horizontal="right" vertical="center"/>
      <protection hidden="1"/>
    </xf>
    <xf numFmtId="164" fontId="25" fillId="2" borderId="5" xfId="1" applyNumberFormat="1" applyFont="1" applyFill="1" applyBorder="1" applyAlignment="1" applyProtection="1">
      <alignment horizontal="center" vertical="center"/>
      <protection hidden="1"/>
    </xf>
    <xf numFmtId="0" fontId="7" fillId="0" borderId="0" xfId="0" applyFont="1" applyProtection="1">
      <alignment vertical="center"/>
      <protection hidden="1"/>
    </xf>
    <xf numFmtId="0" fontId="0" fillId="0" borderId="0" xfId="0" quotePrefix="1" applyProtection="1">
      <alignment vertical="center"/>
      <protection hidden="1"/>
    </xf>
    <xf numFmtId="0" fontId="25" fillId="2" borderId="5" xfId="1" applyFont="1" applyFill="1" applyBorder="1" applyAlignment="1" applyProtection="1">
      <alignment horizontal="right" vertical="center"/>
      <protection hidden="1"/>
    </xf>
    <xf numFmtId="0" fontId="25" fillId="4" borderId="8" xfId="1" applyFont="1" applyFill="1" applyBorder="1" applyAlignment="1" applyProtection="1">
      <alignment vertical="center"/>
      <protection hidden="1"/>
    </xf>
    <xf numFmtId="0" fontId="25" fillId="4" borderId="5" xfId="1" applyFont="1" applyFill="1" applyBorder="1" applyAlignment="1" applyProtection="1">
      <alignment horizontal="right" vertical="center"/>
      <protection hidden="1"/>
    </xf>
    <xf numFmtId="0" fontId="0" fillId="4" borderId="19" xfId="0" applyFill="1" applyBorder="1" applyProtection="1">
      <alignment vertical="center"/>
      <protection hidden="1"/>
    </xf>
    <xf numFmtId="0" fontId="25" fillId="4" borderId="23" xfId="1" applyFont="1" applyFill="1" applyBorder="1" applyAlignment="1" applyProtection="1">
      <alignment horizontal="left" vertical="center"/>
      <protection hidden="1"/>
    </xf>
    <xf numFmtId="0" fontId="25" fillId="4" borderId="41" xfId="1" applyFont="1" applyFill="1" applyBorder="1" applyAlignment="1" applyProtection="1">
      <alignment horizontal="center" vertical="center"/>
      <protection hidden="1"/>
    </xf>
    <xf numFmtId="0" fontId="25" fillId="4" borderId="42" xfId="1" applyFont="1" applyFill="1" applyBorder="1" applyAlignment="1" applyProtection="1">
      <alignment horizontal="left" vertical="center"/>
      <protection hidden="1"/>
    </xf>
    <xf numFmtId="165" fontId="25" fillId="2" borderId="5" xfId="1" applyNumberFormat="1" applyFont="1" applyFill="1" applyBorder="1" applyAlignment="1" applyProtection="1">
      <alignment horizontal="center" vertical="center"/>
      <protection hidden="1"/>
    </xf>
    <xf numFmtId="0" fontId="25" fillId="2" borderId="19" xfId="1" applyFont="1" applyFill="1" applyBorder="1" applyAlignment="1" applyProtection="1">
      <alignment horizontal="center" vertical="center"/>
      <protection hidden="1"/>
    </xf>
    <xf numFmtId="0" fontId="25" fillId="2" borderId="23" xfId="1" applyFont="1" applyFill="1" applyBorder="1" applyAlignment="1" applyProtection="1">
      <alignment horizontal="left" vertical="center"/>
      <protection hidden="1"/>
    </xf>
    <xf numFmtId="0" fontId="37" fillId="4" borderId="19" xfId="1" applyFont="1" applyFill="1" applyBorder="1" applyAlignment="1" applyProtection="1">
      <alignment horizontal="left" vertical="center"/>
      <protection hidden="1"/>
    </xf>
    <xf numFmtId="1" fontId="16" fillId="2" borderId="5" xfId="1" applyNumberFormat="1" applyFont="1" applyFill="1" applyBorder="1" applyAlignment="1" applyProtection="1">
      <alignment horizontal="center" vertical="center"/>
      <protection hidden="1"/>
    </xf>
    <xf numFmtId="0" fontId="16" fillId="2" borderId="19" xfId="1" applyFont="1" applyFill="1" applyBorder="1" applyAlignment="1" applyProtection="1">
      <alignment horizontal="left" vertical="center"/>
      <protection hidden="1"/>
    </xf>
    <xf numFmtId="0" fontId="16" fillId="0" borderId="5" xfId="1" applyFont="1" applyBorder="1" applyAlignment="1" applyProtection="1">
      <alignment horizontal="right" vertical="center"/>
      <protection hidden="1"/>
    </xf>
    <xf numFmtId="164" fontId="16" fillId="0" borderId="5" xfId="1" applyNumberFormat="1" applyFont="1" applyBorder="1" applyAlignment="1" applyProtection="1">
      <alignment horizontal="center" vertical="center"/>
      <protection hidden="1"/>
    </xf>
    <xf numFmtId="0" fontId="7" fillId="0" borderId="0" xfId="0" applyFont="1" applyAlignment="1" applyProtection="1">
      <alignment horizontal="right" vertical="center"/>
      <protection hidden="1"/>
    </xf>
    <xf numFmtId="0" fontId="7" fillId="0" borderId="0" xfId="0" quotePrefix="1" applyFont="1" applyProtection="1">
      <alignment vertical="center"/>
      <protection hidden="1"/>
    </xf>
    <xf numFmtId="0" fontId="25" fillId="4" borderId="36" xfId="1" applyFont="1" applyFill="1" applyBorder="1" applyAlignment="1" applyProtection="1">
      <alignment vertical="center"/>
      <protection hidden="1"/>
    </xf>
    <xf numFmtId="164" fontId="25" fillId="4" borderId="5" xfId="1" applyNumberFormat="1" applyFont="1" applyFill="1" applyBorder="1" applyAlignment="1" applyProtection="1">
      <alignment horizontal="right" vertical="center"/>
      <protection hidden="1"/>
    </xf>
    <xf numFmtId="0" fontId="25" fillId="4" borderId="19" xfId="1" applyFont="1" applyFill="1" applyBorder="1" applyAlignment="1" applyProtection="1">
      <alignment vertical="center" wrapText="1"/>
      <protection hidden="1"/>
    </xf>
    <xf numFmtId="0" fontId="25" fillId="4" borderId="23" xfId="1" applyFont="1" applyFill="1" applyBorder="1" applyAlignment="1" applyProtection="1">
      <alignment vertical="center"/>
      <protection hidden="1"/>
    </xf>
    <xf numFmtId="0" fontId="25" fillId="2" borderId="19" xfId="1" applyFont="1" applyFill="1" applyBorder="1" applyAlignment="1" applyProtection="1">
      <alignment vertical="center" wrapText="1"/>
      <protection hidden="1"/>
    </xf>
    <xf numFmtId="0" fontId="25" fillId="2" borderId="23" xfId="1" applyFont="1" applyFill="1" applyBorder="1" applyAlignment="1" applyProtection="1">
      <alignment vertical="center"/>
      <protection hidden="1"/>
    </xf>
    <xf numFmtId="0" fontId="25" fillId="4" borderId="19" xfId="1" applyFont="1" applyFill="1" applyBorder="1" applyAlignment="1" applyProtection="1">
      <alignment vertical="center"/>
      <protection hidden="1"/>
    </xf>
    <xf numFmtId="0" fontId="25" fillId="4" borderId="10" xfId="1" applyFont="1" applyFill="1" applyBorder="1" applyAlignment="1" applyProtection="1">
      <alignment vertical="center"/>
      <protection hidden="1"/>
    </xf>
    <xf numFmtId="0" fontId="25" fillId="4" borderId="11" xfId="1" applyFont="1" applyFill="1" applyBorder="1" applyAlignment="1" applyProtection="1">
      <alignment horizontal="right" vertical="center"/>
      <protection hidden="1"/>
    </xf>
    <xf numFmtId="0" fontId="25" fillId="4" borderId="22" xfId="2" applyFont="1" applyFill="1" applyBorder="1" applyAlignment="1" applyProtection="1">
      <alignment vertical="center"/>
      <protection hidden="1"/>
    </xf>
    <xf numFmtId="0" fontId="25" fillId="4" borderId="26" xfId="1" applyFont="1" applyFill="1" applyBorder="1" applyAlignment="1" applyProtection="1">
      <alignment vertical="center"/>
      <protection hidden="1"/>
    </xf>
    <xf numFmtId="0" fontId="16" fillId="2" borderId="0" xfId="1" applyFont="1" applyFill="1" applyAlignment="1" applyProtection="1">
      <alignment horizontal="right" vertical="center"/>
      <protection hidden="1"/>
    </xf>
    <xf numFmtId="0" fontId="16" fillId="2" borderId="19" xfId="1" applyFont="1" applyFill="1" applyBorder="1" applyAlignment="1" applyProtection="1">
      <alignment horizontal="center" vertical="center"/>
      <protection hidden="1"/>
    </xf>
    <xf numFmtId="0" fontId="16" fillId="2" borderId="5" xfId="1" applyFont="1" applyFill="1" applyBorder="1" applyAlignment="1" applyProtection="1">
      <alignment horizontal="center" vertical="center"/>
      <protection hidden="1"/>
    </xf>
    <xf numFmtId="1" fontId="16" fillId="2" borderId="21" xfId="1" applyNumberFormat="1" applyFont="1" applyFill="1" applyBorder="1" applyAlignment="1" applyProtection="1">
      <alignment horizontal="center" vertical="center"/>
      <protection hidden="1"/>
    </xf>
    <xf numFmtId="0" fontId="16" fillId="2" borderId="10" xfId="1" applyFont="1" applyFill="1" applyBorder="1" applyAlignment="1" applyProtection="1">
      <alignment vertical="center"/>
      <protection hidden="1"/>
    </xf>
    <xf numFmtId="0" fontId="16" fillId="2" borderId="11" xfId="1" applyFont="1" applyFill="1" applyBorder="1" applyAlignment="1" applyProtection="1">
      <alignment horizontal="right" vertical="center"/>
      <protection hidden="1"/>
    </xf>
    <xf numFmtId="1" fontId="16" fillId="2" borderId="11" xfId="1" applyNumberFormat="1" applyFont="1" applyFill="1" applyBorder="1" applyAlignment="1" applyProtection="1">
      <alignment horizontal="center" vertical="center"/>
      <protection hidden="1"/>
    </xf>
    <xf numFmtId="0" fontId="16" fillId="2" borderId="22" xfId="1" applyFont="1" applyFill="1" applyBorder="1" applyAlignment="1" applyProtection="1">
      <alignment vertical="center"/>
      <protection hidden="1"/>
    </xf>
    <xf numFmtId="0" fontId="16" fillId="2" borderId="26" xfId="1" applyFont="1" applyFill="1" applyBorder="1" applyAlignment="1" applyProtection="1">
      <alignment vertical="center"/>
      <protection hidden="1"/>
    </xf>
    <xf numFmtId="0" fontId="16" fillId="4" borderId="19" xfId="1" applyFont="1" applyFill="1" applyBorder="1" applyAlignment="1" applyProtection="1">
      <alignment horizontal="left" vertical="center"/>
      <protection hidden="1"/>
    </xf>
    <xf numFmtId="0" fontId="16" fillId="4" borderId="23" xfId="1" applyFont="1" applyFill="1" applyBorder="1" applyAlignment="1" applyProtection="1">
      <alignment horizontal="left" vertical="center" wrapText="1"/>
      <protection hidden="1"/>
    </xf>
    <xf numFmtId="164" fontId="16" fillId="2" borderId="28" xfId="1" applyNumberFormat="1" applyFont="1" applyFill="1" applyBorder="1" applyAlignment="1" applyProtection="1">
      <alignment horizontal="center" vertical="center"/>
      <protection hidden="1"/>
    </xf>
    <xf numFmtId="164" fontId="16" fillId="4" borderId="5" xfId="1" applyNumberFormat="1" applyFont="1" applyFill="1" applyBorder="1" applyAlignment="1" applyProtection="1">
      <alignment horizontal="right" vertical="center"/>
      <protection hidden="1"/>
    </xf>
    <xf numFmtId="0" fontId="16" fillId="0" borderId="23" xfId="1" applyFont="1" applyBorder="1" applyAlignment="1" applyProtection="1">
      <alignment horizontal="left" vertical="center"/>
      <protection hidden="1"/>
    </xf>
    <xf numFmtId="0" fontId="16" fillId="2" borderId="11" xfId="1" applyFont="1" applyFill="1" applyBorder="1" applyAlignment="1" applyProtection="1">
      <alignment horizontal="center" vertical="center"/>
      <protection hidden="1"/>
    </xf>
    <xf numFmtId="0" fontId="16" fillId="2" borderId="22" xfId="1" applyFont="1" applyFill="1" applyBorder="1" applyAlignment="1" applyProtection="1">
      <alignment horizontal="left" vertical="center"/>
      <protection hidden="1"/>
    </xf>
    <xf numFmtId="0" fontId="16" fillId="2" borderId="26" xfId="1" applyFont="1" applyFill="1" applyBorder="1" applyAlignment="1" applyProtection="1">
      <alignment horizontal="left" vertical="center"/>
      <protection hidden="1"/>
    </xf>
    <xf numFmtId="0" fontId="21" fillId="3" borderId="37" xfId="1" applyFont="1" applyFill="1" applyBorder="1" applyAlignment="1" applyProtection="1">
      <alignment horizontal="left" vertical="center"/>
      <protection hidden="1"/>
    </xf>
    <xf numFmtId="0" fontId="21" fillId="3" borderId="38" xfId="1" applyFont="1" applyFill="1" applyBorder="1" applyAlignment="1" applyProtection="1">
      <alignment horizontal="right" vertical="center"/>
      <protection hidden="1"/>
    </xf>
    <xf numFmtId="0" fontId="21" fillId="3" borderId="38" xfId="1" applyFont="1" applyFill="1" applyBorder="1" applyAlignment="1" applyProtection="1">
      <alignment horizontal="center" vertical="center"/>
      <protection hidden="1"/>
    </xf>
    <xf numFmtId="0" fontId="21" fillId="3" borderId="38" xfId="1" applyFont="1" applyFill="1" applyBorder="1" applyAlignment="1" applyProtection="1">
      <alignment horizontal="left" vertical="center"/>
      <protection hidden="1"/>
    </xf>
    <xf numFmtId="0" fontId="21" fillId="3" borderId="39" xfId="1" applyFont="1" applyFill="1" applyBorder="1" applyAlignment="1" applyProtection="1">
      <alignment horizontal="left" vertical="center"/>
      <protection hidden="1"/>
    </xf>
    <xf numFmtId="0" fontId="16" fillId="2" borderId="23" xfId="2" applyFont="1" applyFill="1" applyBorder="1" applyAlignment="1" applyProtection="1">
      <alignment vertical="center"/>
      <protection hidden="1"/>
    </xf>
    <xf numFmtId="0" fontId="16" fillId="4" borderId="19" xfId="2" applyFont="1" applyFill="1" applyBorder="1" applyAlignment="1" applyProtection="1">
      <alignment vertical="center"/>
      <protection hidden="1"/>
    </xf>
    <xf numFmtId="0" fontId="16" fillId="4" borderId="23" xfId="2" applyFont="1" applyFill="1" applyBorder="1" applyAlignment="1" applyProtection="1">
      <alignment vertical="center"/>
      <protection hidden="1"/>
    </xf>
    <xf numFmtId="0" fontId="16" fillId="2" borderId="28" xfId="1" applyFont="1" applyFill="1" applyBorder="1" applyAlignment="1" applyProtection="1">
      <alignment horizontal="center" vertical="center"/>
      <protection hidden="1"/>
    </xf>
    <xf numFmtId="165" fontId="16" fillId="2" borderId="28" xfId="1" applyNumberFormat="1" applyFont="1" applyFill="1" applyBorder="1" applyAlignment="1" applyProtection="1">
      <alignment horizontal="center" vertical="center"/>
      <protection hidden="1"/>
    </xf>
    <xf numFmtId="0" fontId="16" fillId="0" borderId="36" xfId="1" applyFont="1" applyBorder="1" applyAlignment="1" applyProtection="1">
      <alignment vertical="center"/>
      <protection hidden="1"/>
    </xf>
    <xf numFmtId="0" fontId="16" fillId="0" borderId="28" xfId="1" applyFont="1" applyBorder="1" applyAlignment="1" applyProtection="1">
      <alignment horizontal="center" vertical="center"/>
      <protection hidden="1"/>
    </xf>
    <xf numFmtId="0" fontId="16" fillId="2" borderId="21" xfId="2" applyFont="1" applyFill="1" applyBorder="1" applyAlignment="1" applyProtection="1">
      <alignment vertical="center"/>
      <protection hidden="1"/>
    </xf>
    <xf numFmtId="0" fontId="16" fillId="2" borderId="24" xfId="2" applyFont="1" applyFill="1" applyBorder="1" applyAlignment="1" applyProtection="1">
      <alignment vertical="center"/>
      <protection hidden="1"/>
    </xf>
    <xf numFmtId="0" fontId="16" fillId="2" borderId="56" xfId="1" applyFont="1" applyFill="1" applyBorder="1" applyAlignment="1" applyProtection="1">
      <alignment horizontal="right" vertical="center"/>
      <protection hidden="1"/>
    </xf>
    <xf numFmtId="165" fontId="16" fillId="2" borderId="11" xfId="1" applyNumberFormat="1" applyFont="1" applyFill="1" applyBorder="1" applyAlignment="1" applyProtection="1">
      <alignment horizontal="center" vertical="center"/>
      <protection hidden="1"/>
    </xf>
    <xf numFmtId="0" fontId="16" fillId="2" borderId="22" xfId="2" applyFont="1" applyFill="1" applyBorder="1" applyAlignment="1" applyProtection="1">
      <alignment vertical="center"/>
      <protection hidden="1"/>
    </xf>
    <xf numFmtId="0" fontId="16" fillId="2" borderId="26" xfId="2" applyFont="1" applyFill="1" applyBorder="1" applyAlignment="1" applyProtection="1">
      <alignment vertical="center"/>
      <protection hidden="1"/>
    </xf>
    <xf numFmtId="0" fontId="16" fillId="4" borderId="8" xfId="1" applyFont="1" applyFill="1" applyBorder="1" applyAlignment="1" applyProtection="1">
      <alignment vertical="center"/>
      <protection hidden="1"/>
    </xf>
    <xf numFmtId="0" fontId="16" fillId="4" borderId="23" xfId="2" applyFont="1" applyFill="1" applyBorder="1" applyAlignment="1" applyProtection="1">
      <alignment horizontal="left" vertical="center" wrapText="1"/>
      <protection hidden="1"/>
    </xf>
    <xf numFmtId="164" fontId="16" fillId="2" borderId="5" xfId="1" applyNumberFormat="1" applyFont="1" applyFill="1" applyBorder="1" applyAlignment="1" applyProtection="1">
      <alignment horizontal="center" vertical="center"/>
      <protection hidden="1"/>
    </xf>
    <xf numFmtId="0" fontId="16" fillId="2" borderId="41" xfId="2" applyFont="1" applyFill="1" applyBorder="1" applyAlignment="1" applyProtection="1">
      <alignment horizontal="left" vertical="center"/>
      <protection hidden="1"/>
    </xf>
    <xf numFmtId="0" fontId="16" fillId="2" borderId="42" xfId="2" applyFont="1" applyFill="1" applyBorder="1" applyAlignment="1" applyProtection="1">
      <alignment horizontal="left" vertical="center"/>
      <protection hidden="1"/>
    </xf>
    <xf numFmtId="164" fontId="16" fillId="2" borderId="11" xfId="1" applyNumberFormat="1" applyFont="1" applyFill="1" applyBorder="1" applyAlignment="1" applyProtection="1">
      <alignment horizontal="center" vertical="center"/>
      <protection hidden="1"/>
    </xf>
    <xf numFmtId="0" fontId="16" fillId="2" borderId="22" xfId="2" applyFont="1" applyFill="1" applyBorder="1" applyAlignment="1" applyProtection="1">
      <alignment horizontal="left" vertical="center"/>
      <protection hidden="1"/>
    </xf>
    <xf numFmtId="0" fontId="16" fillId="2" borderId="26" xfId="2" applyFont="1" applyFill="1" applyBorder="1" applyAlignment="1" applyProtection="1">
      <alignment horizontal="left" vertical="center"/>
      <protection hidden="1"/>
    </xf>
    <xf numFmtId="1" fontId="16" fillId="2" borderId="28" xfId="1" applyNumberFormat="1" applyFont="1" applyFill="1" applyBorder="1" applyAlignment="1" applyProtection="1">
      <alignment horizontal="center" vertical="center"/>
      <protection hidden="1"/>
    </xf>
    <xf numFmtId="164" fontId="16" fillId="2" borderId="0" xfId="1" applyNumberFormat="1" applyFont="1" applyFill="1" applyAlignment="1" applyProtection="1">
      <alignment horizontal="center" vertical="center"/>
      <protection hidden="1"/>
    </xf>
    <xf numFmtId="0" fontId="16" fillId="2" borderId="0" xfId="2" applyFont="1" applyFill="1" applyAlignment="1" applyProtection="1">
      <alignment horizontal="left" vertical="center"/>
      <protection hidden="1"/>
    </xf>
    <xf numFmtId="165" fontId="16" fillId="2" borderId="5" xfId="1" applyNumberFormat="1" applyFont="1" applyFill="1" applyBorder="1" applyAlignment="1" applyProtection="1">
      <alignment horizontal="center" vertical="center"/>
      <protection hidden="1"/>
    </xf>
    <xf numFmtId="0" fontId="16" fillId="2" borderId="4" xfId="2" applyFont="1" applyFill="1" applyBorder="1" applyAlignment="1" applyProtection="1">
      <alignment horizontal="left" vertical="center"/>
      <protection hidden="1"/>
    </xf>
    <xf numFmtId="0" fontId="97" fillId="0" borderId="0" xfId="0" applyFont="1" applyProtection="1">
      <alignment vertical="center"/>
      <protection hidden="1"/>
    </xf>
    <xf numFmtId="2" fontId="16" fillId="2" borderId="5" xfId="1" applyNumberFormat="1" applyFont="1" applyFill="1" applyBorder="1" applyAlignment="1" applyProtection="1">
      <alignment horizontal="center" vertical="center"/>
      <protection hidden="1"/>
    </xf>
    <xf numFmtId="164" fontId="16" fillId="2" borderId="30" xfId="1" applyNumberFormat="1" applyFont="1" applyFill="1" applyBorder="1" applyAlignment="1" applyProtection="1">
      <alignment horizontal="center" vertical="center"/>
      <protection hidden="1"/>
    </xf>
    <xf numFmtId="0" fontId="16" fillId="2" borderId="19" xfId="2" applyFont="1" applyFill="1" applyBorder="1" applyAlignment="1" applyProtection="1">
      <alignment horizontal="left" vertical="center"/>
      <protection hidden="1"/>
    </xf>
    <xf numFmtId="0" fontId="16" fillId="2" borderId="23" xfId="2" applyFont="1" applyFill="1" applyBorder="1" applyAlignment="1" applyProtection="1">
      <alignment horizontal="left" vertical="center"/>
      <protection hidden="1"/>
    </xf>
    <xf numFmtId="1" fontId="16" fillId="2" borderId="30" xfId="1" applyNumberFormat="1" applyFont="1" applyFill="1" applyBorder="1" applyAlignment="1" applyProtection="1">
      <alignment horizontal="center" vertical="center"/>
      <protection hidden="1"/>
    </xf>
    <xf numFmtId="0" fontId="16" fillId="2" borderId="23" xfId="1" applyFont="1" applyFill="1" applyBorder="1" applyAlignment="1" applyProtection="1">
      <alignment horizontal="right" vertical="center"/>
      <protection hidden="1"/>
    </xf>
    <xf numFmtId="0" fontId="16" fillId="2" borderId="43" xfId="2" applyFont="1" applyFill="1" applyBorder="1" applyAlignment="1" applyProtection="1">
      <alignment horizontal="left" vertical="center"/>
      <protection hidden="1"/>
    </xf>
    <xf numFmtId="0" fontId="16" fillId="2" borderId="14" xfId="2" applyFont="1" applyFill="1" applyBorder="1" applyAlignment="1" applyProtection="1">
      <alignment horizontal="left" vertical="center"/>
      <protection hidden="1"/>
    </xf>
    <xf numFmtId="0" fontId="16" fillId="2" borderId="24" xfId="2" applyFont="1" applyFill="1" applyBorder="1" applyAlignment="1" applyProtection="1">
      <alignment horizontal="left" vertical="center"/>
      <protection hidden="1"/>
    </xf>
    <xf numFmtId="0" fontId="16" fillId="4" borderId="41" xfId="2" applyFont="1" applyFill="1" applyBorder="1" applyAlignment="1" applyProtection="1">
      <alignment horizontal="left" vertical="center"/>
      <protection hidden="1"/>
    </xf>
    <xf numFmtId="0" fontId="16" fillId="4" borderId="42" xfId="2" applyFont="1" applyFill="1" applyBorder="1" applyAlignment="1" applyProtection="1">
      <alignment horizontal="left" vertical="center"/>
      <protection hidden="1"/>
    </xf>
    <xf numFmtId="0" fontId="16" fillId="4" borderId="42" xfId="2" applyFont="1" applyFill="1" applyBorder="1" applyAlignment="1" applyProtection="1">
      <alignment horizontal="left" vertical="center" wrapText="1"/>
      <protection hidden="1"/>
    </xf>
    <xf numFmtId="0" fontId="16" fillId="4" borderId="19" xfId="2" applyFont="1" applyFill="1" applyBorder="1" applyAlignment="1" applyProtection="1">
      <alignment horizontal="left" vertical="center"/>
      <protection hidden="1"/>
    </xf>
    <xf numFmtId="0" fontId="16" fillId="4" borderId="24" xfId="2" applyFont="1" applyFill="1" applyBorder="1" applyAlignment="1" applyProtection="1">
      <alignment horizontal="left" vertical="center"/>
      <protection hidden="1"/>
    </xf>
    <xf numFmtId="165" fontId="16" fillId="2" borderId="30" xfId="1" applyNumberFormat="1" applyFont="1" applyFill="1" applyBorder="1" applyAlignment="1" applyProtection="1">
      <alignment horizontal="center" vertical="center"/>
      <protection hidden="1"/>
    </xf>
    <xf numFmtId="0" fontId="16" fillId="2" borderId="42" xfId="1" applyFont="1" applyFill="1" applyBorder="1" applyAlignment="1" applyProtection="1">
      <alignment horizontal="left" vertical="center"/>
      <protection hidden="1"/>
    </xf>
    <xf numFmtId="0" fontId="16" fillId="4" borderId="10" xfId="1" applyFont="1" applyFill="1" applyBorder="1" applyAlignment="1" applyProtection="1">
      <alignment vertical="center" wrapText="1"/>
      <protection hidden="1"/>
    </xf>
    <xf numFmtId="0" fontId="16" fillId="4" borderId="22" xfId="2" applyFont="1" applyFill="1" applyBorder="1" applyAlignment="1" applyProtection="1">
      <alignment horizontal="left" vertical="center"/>
      <protection hidden="1"/>
    </xf>
    <xf numFmtId="0" fontId="21" fillId="3" borderId="50" xfId="1" applyFont="1" applyFill="1" applyBorder="1" applyAlignment="1" applyProtection="1">
      <alignment horizontal="left" vertical="center"/>
      <protection hidden="1"/>
    </xf>
    <xf numFmtId="0" fontId="21" fillId="2" borderId="19" xfId="1" applyFont="1" applyFill="1" applyBorder="1" applyAlignment="1" applyProtection="1">
      <alignment horizontal="right" vertical="center"/>
      <protection hidden="1"/>
    </xf>
    <xf numFmtId="0" fontId="21" fillId="2" borderId="49" xfId="1" applyFont="1" applyFill="1" applyBorder="1" applyAlignment="1" applyProtection="1">
      <alignment horizontal="center" vertical="center"/>
      <protection hidden="1"/>
    </xf>
    <xf numFmtId="0" fontId="21" fillId="2" borderId="49" xfId="1" applyFont="1" applyFill="1" applyBorder="1" applyAlignment="1" applyProtection="1">
      <alignment horizontal="left" vertical="center"/>
      <protection hidden="1"/>
    </xf>
    <xf numFmtId="0" fontId="21" fillId="2" borderId="42" xfId="1" applyFont="1" applyFill="1" applyBorder="1" applyAlignment="1" applyProtection="1">
      <alignment horizontal="left" vertical="center"/>
      <protection hidden="1"/>
    </xf>
    <xf numFmtId="0" fontId="21" fillId="3" borderId="8" xfId="1" applyFont="1" applyFill="1" applyBorder="1" applyAlignment="1" applyProtection="1">
      <alignment vertical="center" wrapText="1"/>
      <protection hidden="1"/>
    </xf>
    <xf numFmtId="0" fontId="72" fillId="2" borderId="5" xfId="1" applyFont="1" applyFill="1" applyBorder="1" applyAlignment="1" applyProtection="1">
      <alignment horizontal="right" vertical="center"/>
      <protection hidden="1"/>
    </xf>
    <xf numFmtId="164" fontId="72" fillId="2" borderId="5" xfId="1" applyNumberFormat="1" applyFont="1" applyFill="1" applyBorder="1" applyAlignment="1" applyProtection="1">
      <alignment horizontal="center" vertical="center"/>
      <protection hidden="1"/>
    </xf>
    <xf numFmtId="0" fontId="16" fillId="2" borderId="10" xfId="1" applyFont="1" applyFill="1" applyBorder="1" applyAlignment="1" applyProtection="1">
      <alignment vertical="center" wrapText="1"/>
      <protection hidden="1"/>
    </xf>
    <xf numFmtId="1" fontId="16" fillId="4" borderId="28" xfId="1" applyNumberFormat="1" applyFont="1" applyFill="1" applyBorder="1" applyAlignment="1" applyProtection="1">
      <alignment horizontal="center" vertical="center"/>
      <protection locked="0"/>
    </xf>
    <xf numFmtId="0" fontId="89" fillId="0" borderId="0" xfId="0" applyFont="1" applyAlignment="1">
      <alignment horizontal="center" vertical="center" wrapText="1"/>
    </xf>
    <xf numFmtId="0" fontId="29" fillId="2" borderId="10" xfId="3" applyFont="1" applyFill="1" applyBorder="1" applyAlignment="1">
      <alignment vertical="center"/>
    </xf>
    <xf numFmtId="0" fontId="37" fillId="2" borderId="47" xfId="3" applyFont="1" applyFill="1" applyBorder="1" applyAlignment="1">
      <alignment vertical="center"/>
    </xf>
    <xf numFmtId="164" fontId="37" fillId="2" borderId="38" xfId="3" applyNumberFormat="1" applyFont="1" applyFill="1" applyBorder="1" applyAlignment="1">
      <alignment vertical="center"/>
    </xf>
    <xf numFmtId="0" fontId="37" fillId="2" borderId="38" xfId="3" applyFont="1" applyFill="1" applyBorder="1" applyAlignment="1">
      <alignment vertical="center"/>
    </xf>
    <xf numFmtId="0" fontId="37" fillId="2" borderId="39" xfId="3" applyFont="1" applyFill="1" applyBorder="1" applyAlignment="1">
      <alignment vertical="center"/>
    </xf>
    <xf numFmtId="0" fontId="37" fillId="2" borderId="19" xfId="3" applyFont="1" applyFill="1" applyBorder="1" applyAlignment="1">
      <alignment vertical="center"/>
    </xf>
    <xf numFmtId="164" fontId="37" fillId="2" borderId="20" xfId="3" applyNumberFormat="1" applyFont="1" applyFill="1" applyBorder="1" applyAlignment="1">
      <alignment vertical="center"/>
    </xf>
    <xf numFmtId="0" fontId="38" fillId="2" borderId="48" xfId="3" applyFont="1" applyFill="1" applyBorder="1" applyAlignment="1">
      <alignment horizontal="center" vertical="center"/>
    </xf>
    <xf numFmtId="0" fontId="38" fillId="2" borderId="32" xfId="3" applyFont="1" applyFill="1" applyBorder="1" applyAlignment="1">
      <alignment horizontal="center" vertical="center"/>
    </xf>
    <xf numFmtId="0" fontId="37" fillId="2" borderId="7" xfId="3" applyFont="1" applyFill="1" applyBorder="1" applyAlignment="1">
      <alignment vertical="center"/>
    </xf>
    <xf numFmtId="0" fontId="37" fillId="2" borderId="7" xfId="3" applyFont="1" applyFill="1" applyBorder="1" applyAlignment="1">
      <alignment horizontal="left" vertical="center"/>
    </xf>
    <xf numFmtId="0" fontId="37" fillId="2" borderId="47" xfId="3" applyFont="1" applyFill="1" applyBorder="1" applyAlignment="1">
      <alignment horizontal="left" vertical="center"/>
    </xf>
    <xf numFmtId="0" fontId="37" fillId="2" borderId="20" xfId="3" applyFont="1" applyFill="1" applyBorder="1" applyAlignment="1">
      <alignment vertical="center"/>
    </xf>
    <xf numFmtId="0" fontId="37" fillId="2" borderId="23" xfId="3" applyFont="1" applyFill="1" applyBorder="1" applyAlignment="1">
      <alignment vertical="center"/>
    </xf>
    <xf numFmtId="0" fontId="38" fillId="0" borderId="0" xfId="0" quotePrefix="1" applyFont="1">
      <alignment vertical="center"/>
    </xf>
    <xf numFmtId="0" fontId="30" fillId="2" borderId="19" xfId="3" applyFont="1" applyFill="1" applyBorder="1" applyAlignment="1">
      <alignment vertical="center"/>
    </xf>
    <xf numFmtId="165" fontId="30" fillId="2" borderId="20" xfId="3" applyNumberFormat="1" applyFont="1" applyFill="1" applyBorder="1" applyAlignment="1">
      <alignment vertical="center"/>
    </xf>
    <xf numFmtId="0" fontId="30" fillId="2" borderId="20" xfId="3" applyFont="1" applyFill="1" applyBorder="1" applyAlignment="1">
      <alignment vertical="center"/>
    </xf>
    <xf numFmtId="0" fontId="30" fillId="2" borderId="23" xfId="3" applyFont="1" applyFill="1" applyBorder="1" applyAlignment="1">
      <alignment vertical="center"/>
    </xf>
    <xf numFmtId="2" fontId="30" fillId="2" borderId="20" xfId="3" applyNumberFormat="1" applyFont="1" applyFill="1" applyBorder="1" applyAlignment="1">
      <alignment vertical="center"/>
    </xf>
    <xf numFmtId="164" fontId="30" fillId="2" borderId="20" xfId="3" applyNumberFormat="1" applyFont="1" applyFill="1" applyBorder="1" applyAlignment="1">
      <alignment vertical="center"/>
    </xf>
    <xf numFmtId="1" fontId="30" fillId="2" borderId="20" xfId="3" applyNumberFormat="1" applyFont="1" applyFill="1" applyBorder="1" applyAlignment="1">
      <alignment vertical="center"/>
    </xf>
    <xf numFmtId="0" fontId="36" fillId="2" borderId="0" xfId="1" applyFont="1" applyFill="1" applyAlignment="1" applyProtection="1">
      <alignment horizontal="right" vertical="center" wrapText="1"/>
      <protection hidden="1"/>
    </xf>
    <xf numFmtId="0" fontId="14" fillId="2" borderId="0" xfId="1" applyFont="1" applyFill="1" applyAlignment="1" applyProtection="1">
      <alignment horizontal="center" vertical="center" wrapText="1"/>
      <protection hidden="1"/>
    </xf>
    <xf numFmtId="0" fontId="66" fillId="0" borderId="0" xfId="0" applyFont="1" applyProtection="1">
      <alignment vertical="center"/>
      <protection hidden="1"/>
    </xf>
    <xf numFmtId="0" fontId="8" fillId="0" borderId="0" xfId="0" applyFont="1" applyProtection="1">
      <alignment vertical="center"/>
      <protection hidden="1"/>
    </xf>
    <xf numFmtId="0" fontId="8" fillId="0" borderId="0" xfId="0" quotePrefix="1" applyFont="1" applyProtection="1">
      <alignment vertical="center"/>
      <protection hidden="1"/>
    </xf>
    <xf numFmtId="0" fontId="65" fillId="2" borderId="0" xfId="0" applyFont="1" applyFill="1" applyAlignment="1" applyProtection="1">
      <alignment horizontal="right" vertical="center"/>
      <protection hidden="1"/>
    </xf>
    <xf numFmtId="0" fontId="79" fillId="2" borderId="0" xfId="0" applyFont="1" applyFill="1" applyAlignment="1" applyProtection="1">
      <alignment horizontal="right" vertical="center"/>
      <protection hidden="1"/>
    </xf>
    <xf numFmtId="0" fontId="79" fillId="2" borderId="0" xfId="0" applyFont="1" applyFill="1" applyAlignment="1" applyProtection="1">
      <alignment horizontal="center" vertical="center"/>
      <protection hidden="1"/>
    </xf>
    <xf numFmtId="0" fontId="79" fillId="2" borderId="0" xfId="0" applyFont="1" applyFill="1" applyProtection="1">
      <alignment vertical="center"/>
      <protection hidden="1"/>
    </xf>
    <xf numFmtId="0" fontId="47" fillId="2" borderId="0" xfId="0" applyFont="1" applyFill="1" applyProtection="1">
      <alignment vertical="center"/>
      <protection hidden="1"/>
    </xf>
    <xf numFmtId="0" fontId="16" fillId="2" borderId="45" xfId="4" applyFont="1" applyFill="1" applyBorder="1" applyAlignment="1" applyProtection="1">
      <alignment vertical="center"/>
      <protection hidden="1"/>
    </xf>
    <xf numFmtId="0" fontId="16" fillId="2" borderId="41" xfId="4" applyFont="1" applyFill="1" applyBorder="1" applyAlignment="1" applyProtection="1">
      <alignment horizontal="center" vertical="center"/>
      <protection hidden="1"/>
    </xf>
    <xf numFmtId="0" fontId="16" fillId="2" borderId="52" xfId="1" applyFont="1" applyFill="1" applyBorder="1" applyAlignment="1" applyProtection="1">
      <alignment vertical="center"/>
      <protection hidden="1"/>
    </xf>
    <xf numFmtId="0" fontId="16" fillId="2" borderId="20" xfId="1" applyFont="1" applyFill="1" applyBorder="1" applyAlignment="1" applyProtection="1">
      <alignment horizontal="left" vertical="center"/>
      <protection hidden="1"/>
    </xf>
    <xf numFmtId="0" fontId="85" fillId="0" borderId="23" xfId="0" applyFont="1" applyBorder="1" applyAlignment="1" applyProtection="1">
      <alignment horizontal="left" vertical="center"/>
      <protection hidden="1"/>
    </xf>
    <xf numFmtId="0" fontId="85" fillId="0" borderId="14" xfId="0" applyFont="1" applyBorder="1" applyProtection="1">
      <alignment vertical="center"/>
      <protection hidden="1"/>
    </xf>
    <xf numFmtId="0" fontId="16" fillId="2" borderId="52" xfId="1" applyFont="1" applyFill="1" applyBorder="1" applyAlignment="1" applyProtection="1">
      <alignment vertical="center" wrapText="1"/>
      <protection hidden="1"/>
    </xf>
    <xf numFmtId="0" fontId="16" fillId="2" borderId="5" xfId="1" applyFont="1" applyFill="1" applyBorder="1" applyAlignment="1" applyProtection="1">
      <alignment horizontal="right" vertical="center" wrapText="1"/>
      <protection hidden="1"/>
    </xf>
    <xf numFmtId="0" fontId="85" fillId="2" borderId="13" xfId="0" applyFont="1" applyFill="1" applyBorder="1" applyProtection="1">
      <alignment vertical="center"/>
      <protection hidden="1"/>
    </xf>
    <xf numFmtId="0" fontId="85" fillId="2" borderId="0" xfId="0" applyFont="1" applyFill="1" applyAlignment="1" applyProtection="1">
      <alignment horizontal="right" vertical="center"/>
      <protection hidden="1"/>
    </xf>
    <xf numFmtId="0" fontId="85" fillId="2" borderId="0" xfId="0" applyFont="1" applyFill="1" applyProtection="1">
      <alignment vertical="center"/>
      <protection hidden="1"/>
    </xf>
    <xf numFmtId="0" fontId="85" fillId="2" borderId="14" xfId="0" applyFont="1" applyFill="1" applyBorder="1" applyProtection="1">
      <alignment vertical="center"/>
      <protection hidden="1"/>
    </xf>
    <xf numFmtId="0" fontId="16" fillId="2" borderId="53" xfId="1" applyFont="1" applyFill="1" applyBorder="1" applyAlignment="1" applyProtection="1">
      <alignment vertical="center"/>
      <protection hidden="1"/>
    </xf>
    <xf numFmtId="0" fontId="16" fillId="0" borderId="52" xfId="1" applyFont="1" applyBorder="1" applyAlignment="1" applyProtection="1">
      <alignment vertical="center"/>
      <protection hidden="1"/>
    </xf>
    <xf numFmtId="0" fontId="16" fillId="2" borderId="20" xfId="1" applyFont="1" applyFill="1" applyBorder="1" applyAlignment="1" applyProtection="1">
      <alignment vertical="center"/>
      <protection hidden="1"/>
    </xf>
    <xf numFmtId="0" fontId="16" fillId="2" borderId="41" xfId="1" applyFont="1" applyFill="1" applyBorder="1" applyAlignment="1" applyProtection="1">
      <alignment vertical="center"/>
      <protection hidden="1"/>
    </xf>
    <xf numFmtId="0" fontId="16" fillId="2" borderId="54" xfId="1" applyFont="1" applyFill="1" applyBorder="1" applyAlignment="1" applyProtection="1">
      <alignment vertical="center"/>
      <protection hidden="1"/>
    </xf>
    <xf numFmtId="0" fontId="16" fillId="2" borderId="21" xfId="1" applyFont="1" applyFill="1" applyBorder="1" applyAlignment="1" applyProtection="1">
      <alignment vertical="center"/>
      <protection hidden="1"/>
    </xf>
    <xf numFmtId="0" fontId="16" fillId="2" borderId="52" xfId="1" applyFont="1" applyFill="1" applyBorder="1" applyAlignment="1" applyProtection="1">
      <alignment horizontal="left" vertical="center"/>
      <protection hidden="1"/>
    </xf>
    <xf numFmtId="0" fontId="85" fillId="0" borderId="19" xfId="0" applyFont="1" applyBorder="1" applyProtection="1">
      <alignment vertical="center"/>
      <protection hidden="1"/>
    </xf>
    <xf numFmtId="0" fontId="16" fillId="2" borderId="19" xfId="1" quotePrefix="1" applyFont="1" applyFill="1" applyBorder="1" applyAlignment="1" applyProtection="1">
      <alignment vertical="center"/>
      <protection hidden="1"/>
    </xf>
    <xf numFmtId="0" fontId="22" fillId="2" borderId="8" xfId="1" applyFont="1" applyFill="1" applyBorder="1" applyAlignment="1" applyProtection="1">
      <alignment vertical="center"/>
      <protection hidden="1"/>
    </xf>
    <xf numFmtId="0" fontId="22" fillId="2" borderId="20" xfId="1" applyFont="1" applyFill="1" applyBorder="1" applyAlignment="1" applyProtection="1">
      <alignment horizontal="right" vertical="center"/>
      <protection hidden="1"/>
    </xf>
    <xf numFmtId="0" fontId="16" fillId="0" borderId="19" xfId="1" applyFont="1" applyBorder="1" applyAlignment="1" applyProtection="1">
      <alignment horizontal="center" vertical="center"/>
      <protection hidden="1"/>
    </xf>
    <xf numFmtId="0" fontId="16" fillId="2" borderId="20" xfId="1" applyFont="1" applyFill="1" applyBorder="1" applyAlignment="1" applyProtection="1">
      <alignment horizontal="left" vertical="center" wrapText="1"/>
      <protection hidden="1"/>
    </xf>
    <xf numFmtId="0" fontId="16" fillId="2" borderId="23" xfId="1" applyFont="1" applyFill="1" applyBorder="1" applyAlignment="1" applyProtection="1">
      <alignment horizontal="left" vertical="center" wrapText="1"/>
      <protection hidden="1"/>
    </xf>
    <xf numFmtId="0" fontId="62" fillId="0" borderId="0" xfId="0" applyFont="1" applyProtection="1">
      <alignment vertical="center"/>
      <protection hidden="1"/>
    </xf>
    <xf numFmtId="0" fontId="16" fillId="2" borderId="27" xfId="1" applyFont="1" applyFill="1" applyBorder="1" applyAlignment="1" applyProtection="1">
      <alignment horizontal="right" vertical="center"/>
      <protection hidden="1"/>
    </xf>
    <xf numFmtId="0" fontId="16" fillId="2" borderId="6" xfId="1" applyFont="1" applyFill="1" applyBorder="1" applyAlignment="1" applyProtection="1">
      <alignment vertical="center"/>
      <protection hidden="1"/>
    </xf>
    <xf numFmtId="0" fontId="16" fillId="2" borderId="24" xfId="1" applyFont="1" applyFill="1" applyBorder="1" applyAlignment="1" applyProtection="1">
      <alignment vertical="center"/>
      <protection hidden="1"/>
    </xf>
    <xf numFmtId="1" fontId="16" fillId="2" borderId="19" xfId="1" applyNumberFormat="1" applyFont="1" applyFill="1" applyBorder="1" applyAlignment="1" applyProtection="1">
      <alignment horizontal="center" vertical="center"/>
      <protection hidden="1"/>
    </xf>
    <xf numFmtId="0" fontId="22" fillId="2" borderId="8" xfId="1" applyFont="1" applyFill="1" applyBorder="1" applyAlignment="1" applyProtection="1">
      <alignment vertical="center" wrapText="1"/>
      <protection hidden="1"/>
    </xf>
    <xf numFmtId="0" fontId="22" fillId="2" borderId="20" xfId="1" applyFont="1" applyFill="1" applyBorder="1" applyAlignment="1" applyProtection="1">
      <alignment horizontal="right" vertical="center" wrapText="1"/>
      <protection hidden="1"/>
    </xf>
    <xf numFmtId="0" fontId="16" fillId="2" borderId="14" xfId="1" applyFont="1" applyFill="1" applyBorder="1" applyAlignment="1" applyProtection="1">
      <alignment vertical="center"/>
      <protection hidden="1"/>
    </xf>
    <xf numFmtId="1" fontId="16" fillId="2" borderId="22" xfId="1" applyNumberFormat="1" applyFont="1" applyFill="1" applyBorder="1" applyAlignment="1" applyProtection="1">
      <alignment horizontal="center" vertical="center"/>
      <protection hidden="1"/>
    </xf>
    <xf numFmtId="0" fontId="22" fillId="2" borderId="25" xfId="1" applyFont="1" applyFill="1" applyBorder="1" applyAlignment="1" applyProtection="1">
      <alignment horizontal="left" vertical="center"/>
      <protection hidden="1"/>
    </xf>
    <xf numFmtId="0" fontId="22" fillId="2" borderId="26" xfId="1" applyFont="1" applyFill="1" applyBorder="1" applyAlignment="1" applyProtection="1">
      <alignment horizontal="left" vertical="center"/>
      <protection hidden="1"/>
    </xf>
    <xf numFmtId="0" fontId="16" fillId="2" borderId="0" xfId="1" applyFont="1" applyFill="1" applyAlignment="1" applyProtection="1">
      <alignment vertical="center" wrapText="1"/>
      <protection hidden="1"/>
    </xf>
    <xf numFmtId="0" fontId="16" fillId="2" borderId="0" xfId="1" applyFont="1" applyFill="1" applyAlignment="1" applyProtection="1">
      <alignment horizontal="left" vertical="center"/>
      <protection hidden="1"/>
    </xf>
    <xf numFmtId="0" fontId="16" fillId="2" borderId="50" xfId="1" applyFont="1" applyFill="1" applyBorder="1" applyAlignment="1" applyProtection="1">
      <alignment horizontal="left" vertical="center"/>
      <protection hidden="1"/>
    </xf>
    <xf numFmtId="0" fontId="16" fillId="2" borderId="8" xfId="1" applyFont="1" applyFill="1" applyBorder="1" applyAlignment="1" applyProtection="1">
      <alignment horizontal="left" vertical="center"/>
      <protection hidden="1"/>
    </xf>
    <xf numFmtId="0" fontId="16" fillId="2" borderId="53" xfId="1" applyFont="1" applyFill="1" applyBorder="1" applyAlignment="1" applyProtection="1">
      <alignment vertical="center" wrapText="1"/>
      <protection hidden="1"/>
    </xf>
    <xf numFmtId="0" fontId="16" fillId="0" borderId="22" xfId="1" applyFont="1" applyBorder="1" applyAlignment="1" applyProtection="1">
      <alignment horizontal="center" vertical="center"/>
      <protection hidden="1"/>
    </xf>
    <xf numFmtId="0" fontId="16" fillId="2" borderId="25" xfId="1" applyFont="1" applyFill="1" applyBorder="1" applyAlignment="1" applyProtection="1">
      <alignment vertical="center"/>
      <protection hidden="1"/>
    </xf>
    <xf numFmtId="0" fontId="22" fillId="2" borderId="23" xfId="1" applyFont="1" applyFill="1" applyBorder="1" applyAlignment="1" applyProtection="1">
      <alignment horizontal="left" vertical="center"/>
      <protection hidden="1"/>
    </xf>
    <xf numFmtId="0" fontId="98" fillId="0" borderId="0" xfId="0" applyFont="1" applyProtection="1">
      <alignment vertical="center"/>
      <protection hidden="1"/>
    </xf>
    <xf numFmtId="0" fontId="25" fillId="2" borderId="8" xfId="1" applyFont="1" applyFill="1" applyBorder="1" applyAlignment="1" applyProtection="1">
      <alignment horizontal="left" vertical="center"/>
      <protection hidden="1"/>
    </xf>
    <xf numFmtId="0" fontId="25" fillId="2" borderId="52" xfId="1" applyFont="1" applyFill="1" applyBorder="1" applyAlignment="1" applyProtection="1">
      <alignment vertical="center"/>
      <protection hidden="1"/>
    </xf>
    <xf numFmtId="0" fontId="25" fillId="2" borderId="19" xfId="1" applyFont="1" applyFill="1" applyBorder="1" applyAlignment="1" applyProtection="1">
      <alignment vertical="center"/>
      <protection hidden="1"/>
    </xf>
    <xf numFmtId="0" fontId="25" fillId="2" borderId="53" xfId="1" applyFont="1" applyFill="1" applyBorder="1" applyAlignment="1" applyProtection="1">
      <alignment vertical="center"/>
      <protection hidden="1"/>
    </xf>
    <xf numFmtId="0" fontId="25" fillId="2" borderId="11" xfId="1" applyFont="1" applyFill="1" applyBorder="1" applyAlignment="1" applyProtection="1">
      <alignment horizontal="right" vertical="center"/>
      <protection hidden="1"/>
    </xf>
    <xf numFmtId="0" fontId="25" fillId="2" borderId="22" xfId="1" applyFont="1" applyFill="1" applyBorder="1" applyAlignment="1" applyProtection="1">
      <alignment vertical="center"/>
      <protection hidden="1"/>
    </xf>
    <xf numFmtId="0" fontId="16" fillId="2" borderId="6" xfId="1" applyFont="1" applyFill="1" applyBorder="1" applyAlignment="1" applyProtection="1">
      <alignment horizontal="left" vertical="center" wrapText="1"/>
      <protection hidden="1"/>
    </xf>
    <xf numFmtId="0" fontId="16" fillId="2" borderId="24" xfId="1" applyFont="1" applyFill="1" applyBorder="1" applyAlignment="1" applyProtection="1">
      <alignment horizontal="left" vertical="center" wrapText="1"/>
      <protection hidden="1"/>
    </xf>
    <xf numFmtId="0" fontId="16" fillId="2" borderId="49" xfId="1" applyFont="1" applyFill="1" applyBorder="1" applyAlignment="1" applyProtection="1">
      <alignment vertical="center"/>
      <protection hidden="1"/>
    </xf>
    <xf numFmtId="0" fontId="16" fillId="2" borderId="42" xfId="1" applyFont="1" applyFill="1" applyBorder="1" applyAlignment="1" applyProtection="1">
      <alignment vertical="center"/>
      <protection hidden="1"/>
    </xf>
    <xf numFmtId="0" fontId="16" fillId="0" borderId="19" xfId="0" applyFont="1" applyBorder="1" applyAlignment="1" applyProtection="1">
      <alignment horizontal="left" vertical="center"/>
      <protection hidden="1"/>
    </xf>
    <xf numFmtId="0" fontId="100" fillId="0" borderId="0" xfId="0" applyFont="1" applyProtection="1">
      <alignment vertical="center"/>
      <protection hidden="1"/>
    </xf>
    <xf numFmtId="0" fontId="101" fillId="0" borderId="0" xfId="0" applyFont="1" applyProtection="1">
      <alignment vertical="center"/>
      <protection hidden="1"/>
    </xf>
    <xf numFmtId="0" fontId="103" fillId="0" borderId="0" xfId="0" applyFont="1" applyProtection="1">
      <alignment vertical="center"/>
      <protection hidden="1"/>
    </xf>
    <xf numFmtId="0" fontId="16" fillId="0" borderId="0" xfId="0" applyFont="1" applyAlignment="1">
      <alignment horizontal="right" vertical="center"/>
    </xf>
    <xf numFmtId="0" fontId="16" fillId="0" borderId="5" xfId="0" applyFont="1" applyBorder="1" applyAlignment="1">
      <alignment horizontal="right" vertical="center"/>
    </xf>
    <xf numFmtId="0" fontId="16" fillId="0" borderId="5" xfId="0" applyFont="1" applyBorder="1" applyAlignment="1">
      <alignment horizontal="center" vertical="center"/>
    </xf>
    <xf numFmtId="0" fontId="16" fillId="0" borderId="5" xfId="0" applyFont="1" applyBorder="1">
      <alignment vertical="center"/>
    </xf>
    <xf numFmtId="166" fontId="16" fillId="0" borderId="5" xfId="0" applyNumberFormat="1" applyFont="1" applyBorder="1" applyAlignment="1">
      <alignment horizontal="center" vertical="center"/>
    </xf>
    <xf numFmtId="165" fontId="16" fillId="0" borderId="5" xfId="0" applyNumberFormat="1" applyFont="1" applyBorder="1" applyAlignment="1">
      <alignment horizontal="center" vertical="center"/>
    </xf>
    <xf numFmtId="1" fontId="16" fillId="0" borderId="5" xfId="0" applyNumberFormat="1" applyFont="1" applyBorder="1" applyAlignment="1">
      <alignment horizontal="center" vertical="center"/>
    </xf>
    <xf numFmtId="0" fontId="16" fillId="0" borderId="27" xfId="0" applyFont="1" applyBorder="1">
      <alignment vertical="center"/>
    </xf>
    <xf numFmtId="0" fontId="16" fillId="0" borderId="20" xfId="0" applyFont="1" applyBorder="1">
      <alignment vertical="center"/>
    </xf>
    <xf numFmtId="0" fontId="50" fillId="0" borderId="19" xfId="0" applyFont="1" applyBorder="1" applyAlignment="1">
      <alignment horizontal="center" vertical="center"/>
    </xf>
    <xf numFmtId="0" fontId="30" fillId="2" borderId="19" xfId="42" applyFont="1" applyFill="1" applyBorder="1" applyAlignment="1">
      <alignment vertical="center"/>
    </xf>
    <xf numFmtId="0" fontId="37" fillId="0" borderId="20" xfId="0" applyFont="1" applyBorder="1" applyAlignment="1">
      <alignment horizontal="right" vertical="center"/>
    </xf>
    <xf numFmtId="0" fontId="104" fillId="2" borderId="39" xfId="3" applyFont="1" applyFill="1" applyBorder="1" applyAlignment="1">
      <alignment vertical="center"/>
    </xf>
    <xf numFmtId="0" fontId="99" fillId="0" borderId="0" xfId="3" applyFont="1" applyAlignment="1">
      <alignment vertical="center"/>
    </xf>
    <xf numFmtId="164" fontId="37" fillId="2" borderId="19" xfId="3" applyNumberFormat="1" applyFont="1" applyFill="1" applyBorder="1" applyAlignment="1">
      <alignment vertical="center"/>
    </xf>
    <xf numFmtId="1" fontId="37" fillId="2" borderId="20" xfId="3" quotePrefix="1" applyNumberFormat="1" applyFont="1" applyFill="1" applyBorder="1" applyAlignment="1">
      <alignment horizontal="right" vertical="center"/>
    </xf>
    <xf numFmtId="0" fontId="0" fillId="2" borderId="0" xfId="0" applyFill="1" applyAlignment="1" applyProtection="1">
      <alignment horizontal="right" vertical="center"/>
      <protection hidden="1"/>
    </xf>
    <xf numFmtId="0" fontId="0" fillId="2" borderId="0" xfId="0" applyFill="1" applyAlignment="1" applyProtection="1">
      <alignment horizontal="center" vertical="center"/>
      <protection hidden="1"/>
    </xf>
    <xf numFmtId="0" fontId="48" fillId="0" borderId="0" xfId="0" applyFont="1">
      <alignment vertical="center"/>
    </xf>
    <xf numFmtId="0" fontId="106" fillId="0" borderId="0" xfId="0" applyFont="1" applyProtection="1">
      <alignment vertical="center"/>
      <protection hidden="1"/>
    </xf>
    <xf numFmtId="164" fontId="30" fillId="0" borderId="0" xfId="40" applyNumberFormat="1" applyFont="1" applyAlignment="1">
      <alignment horizontal="center" vertical="center" wrapText="1"/>
    </xf>
    <xf numFmtId="0" fontId="30" fillId="0" borderId="0" xfId="40" applyFont="1" applyAlignment="1">
      <alignment horizontal="center" vertical="center" wrapText="1"/>
    </xf>
    <xf numFmtId="164" fontId="30" fillId="0" borderId="0" xfId="0" applyNumberFormat="1" applyFont="1" applyAlignment="1">
      <alignment horizontal="center" vertical="center"/>
    </xf>
    <xf numFmtId="0" fontId="30" fillId="0" borderId="0" xfId="0" applyFont="1" applyAlignment="1">
      <alignment horizontal="center"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66" xfId="0" applyBorder="1">
      <alignment vertical="center"/>
    </xf>
    <xf numFmtId="164" fontId="30" fillId="0" borderId="68" xfId="0" applyNumberFormat="1" applyFont="1" applyBorder="1" applyAlignment="1">
      <alignment horizontal="center" vertical="center"/>
    </xf>
    <xf numFmtId="0" fontId="30" fillId="0" borderId="68" xfId="0" applyFont="1" applyBorder="1" applyAlignment="1">
      <alignment horizontal="center" vertical="center"/>
    </xf>
    <xf numFmtId="0" fontId="92" fillId="0" borderId="0" xfId="0" applyFont="1">
      <alignment vertical="center"/>
    </xf>
    <xf numFmtId="0" fontId="0" fillId="0" borderId="0" xfId="0" applyAlignment="1">
      <alignment horizontal="left" vertical="center"/>
    </xf>
    <xf numFmtId="0" fontId="30" fillId="0" borderId="65" xfId="0" applyFont="1" applyBorder="1" applyAlignment="1">
      <alignment horizontal="right" vertical="center"/>
    </xf>
    <xf numFmtId="0" fontId="30" fillId="0" borderId="67" xfId="0" applyFont="1" applyBorder="1" applyAlignment="1">
      <alignment horizontal="right" vertical="center"/>
    </xf>
    <xf numFmtId="0" fontId="16" fillId="0" borderId="5" xfId="1" applyFont="1" applyBorder="1" applyAlignment="1" applyProtection="1">
      <alignment horizontal="center" vertical="center"/>
      <protection hidden="1"/>
    </xf>
    <xf numFmtId="0" fontId="111" fillId="0" borderId="0" xfId="0" applyFont="1" applyProtection="1">
      <alignment vertical="center"/>
      <protection hidden="1"/>
    </xf>
    <xf numFmtId="0" fontId="112" fillId="0" borderId="0" xfId="0" applyFont="1" applyProtection="1">
      <alignment vertical="center"/>
      <protection hidden="1"/>
    </xf>
    <xf numFmtId="0" fontId="20" fillId="0" borderId="0" xfId="0" applyFont="1">
      <alignment vertical="center"/>
    </xf>
    <xf numFmtId="0" fontId="16" fillId="0" borderId="5" xfId="0" applyFont="1" applyBorder="1" applyAlignment="1">
      <alignment horizontal="left" vertical="center"/>
    </xf>
    <xf numFmtId="0" fontId="16" fillId="0" borderId="5" xfId="0" applyFont="1" applyBorder="1" applyAlignment="1">
      <alignment horizontal="left" vertical="center" wrapText="1"/>
    </xf>
    <xf numFmtId="164" fontId="16" fillId="0" borderId="5" xfId="0" applyNumberFormat="1" applyFont="1" applyBorder="1" applyAlignment="1">
      <alignment horizontal="center" vertical="center"/>
    </xf>
    <xf numFmtId="165" fontId="0" fillId="0" borderId="0" xfId="0" applyNumberFormat="1">
      <alignment vertical="center"/>
    </xf>
    <xf numFmtId="0" fontId="114" fillId="0" borderId="0" xfId="0" applyFont="1">
      <alignment vertical="center"/>
    </xf>
    <xf numFmtId="0" fontId="48" fillId="0" borderId="0" xfId="0" applyFont="1" applyAlignment="1">
      <alignment horizontal="left" vertical="center"/>
    </xf>
    <xf numFmtId="0" fontId="48" fillId="0" borderId="0" xfId="0" applyFont="1" applyAlignment="1">
      <alignment horizontal="center" vertical="center"/>
    </xf>
    <xf numFmtId="0" fontId="89" fillId="0" borderId="0" xfId="0" quotePrefix="1" applyFont="1" applyProtection="1">
      <alignment vertical="center"/>
      <protection hidden="1"/>
    </xf>
    <xf numFmtId="0" fontId="16" fillId="4" borderId="5" xfId="0" applyFont="1" applyFill="1" applyBorder="1" applyAlignment="1" applyProtection="1">
      <alignment horizontal="center" vertical="center"/>
      <protection locked="0"/>
    </xf>
    <xf numFmtId="0" fontId="115" fillId="0" borderId="21" xfId="35" applyFont="1" applyBorder="1" applyAlignment="1">
      <alignment vertical="center"/>
    </xf>
    <xf numFmtId="0" fontId="37" fillId="0" borderId="6" xfId="0" applyFont="1" applyBorder="1">
      <alignment vertical="center"/>
    </xf>
    <xf numFmtId="0" fontId="115" fillId="0" borderId="22" xfId="35" applyFont="1" applyBorder="1" applyAlignment="1">
      <alignment vertical="center"/>
    </xf>
    <xf numFmtId="0" fontId="37" fillId="0" borderId="25" xfId="0" applyFont="1" applyBorder="1">
      <alignment vertical="center"/>
    </xf>
    <xf numFmtId="0" fontId="37" fillId="0" borderId="38" xfId="0" applyFont="1" applyBorder="1">
      <alignment vertical="center"/>
    </xf>
    <xf numFmtId="0" fontId="115" fillId="0" borderId="59" xfId="35" applyFont="1" applyBorder="1" applyAlignment="1">
      <alignment vertical="center"/>
    </xf>
    <xf numFmtId="0" fontId="37" fillId="0" borderId="17" xfId="0" applyFont="1" applyBorder="1" applyAlignment="1">
      <alignment horizontal="right" vertical="center"/>
    </xf>
    <xf numFmtId="0" fontId="37" fillId="0" borderId="17" xfId="0" applyFont="1" applyBorder="1">
      <alignment vertical="center"/>
    </xf>
    <xf numFmtId="0" fontId="115" fillId="0" borderId="60" xfId="40" applyFont="1" applyBorder="1" applyAlignment="1">
      <alignment vertical="center"/>
    </xf>
    <xf numFmtId="0" fontId="115" fillId="0" borderId="7" xfId="40" applyFont="1" applyBorder="1" applyAlignment="1">
      <alignment horizontal="right" vertical="center"/>
    </xf>
    <xf numFmtId="0" fontId="37" fillId="0" borderId="7" xfId="0" applyFont="1" applyBorder="1">
      <alignment vertical="center"/>
    </xf>
    <xf numFmtId="0" fontId="115" fillId="0" borderId="19" xfId="40" applyFont="1" applyBorder="1" applyAlignment="1">
      <alignment vertical="center"/>
    </xf>
    <xf numFmtId="0" fontId="115" fillId="0" borderId="20" xfId="40" applyFont="1" applyBorder="1" applyAlignment="1">
      <alignment horizontal="right" vertical="center"/>
    </xf>
    <xf numFmtId="0" fontId="37" fillId="0" borderId="20" xfId="0" applyFont="1" applyBorder="1">
      <alignment vertical="center"/>
    </xf>
    <xf numFmtId="0" fontId="30" fillId="0" borderId="22" xfId="40" applyFont="1" applyBorder="1" applyAlignment="1">
      <alignment vertical="center"/>
    </xf>
    <xf numFmtId="0" fontId="37" fillId="0" borderId="25" xfId="0" applyFont="1" applyBorder="1" applyAlignment="1">
      <alignment horizontal="right" vertical="center"/>
    </xf>
    <xf numFmtId="0" fontId="37" fillId="0" borderId="7" xfId="0" applyFont="1" applyBorder="1" applyAlignment="1">
      <alignment horizontal="right" vertical="center"/>
    </xf>
    <xf numFmtId="0" fontId="115" fillId="0" borderId="59" xfId="40" applyFont="1" applyBorder="1" applyAlignment="1">
      <alignment vertical="center"/>
    </xf>
    <xf numFmtId="0" fontId="37" fillId="0" borderId="38" xfId="0" applyFont="1" applyBorder="1" applyAlignment="1">
      <alignment horizontal="right" vertical="center"/>
    </xf>
    <xf numFmtId="0" fontId="37" fillId="0" borderId="39" xfId="0" applyFont="1" applyBorder="1">
      <alignment vertical="center"/>
    </xf>
    <xf numFmtId="0" fontId="37" fillId="0" borderId="26" xfId="0" applyFont="1" applyBorder="1">
      <alignment vertical="center"/>
    </xf>
    <xf numFmtId="0" fontId="115" fillId="0" borderId="57" xfId="40" applyFont="1" applyBorder="1" applyAlignment="1">
      <alignment vertical="center"/>
    </xf>
    <xf numFmtId="0" fontId="37" fillId="0" borderId="15" xfId="0" applyFont="1" applyBorder="1">
      <alignment vertical="center"/>
    </xf>
    <xf numFmtId="0" fontId="37" fillId="0" borderId="0" xfId="0" applyFont="1">
      <alignment vertical="center"/>
    </xf>
    <xf numFmtId="0" fontId="104" fillId="0" borderId="59" xfId="40" applyFont="1" applyBorder="1" applyAlignment="1">
      <alignment vertical="center"/>
    </xf>
    <xf numFmtId="0" fontId="104" fillId="0" borderId="17" xfId="0" applyFont="1" applyBorder="1">
      <alignment vertical="center"/>
    </xf>
    <xf numFmtId="0" fontId="115" fillId="0" borderId="60" xfId="35" applyFont="1" applyBorder="1" applyAlignment="1">
      <alignment vertical="center"/>
    </xf>
    <xf numFmtId="0" fontId="104" fillId="0" borderId="59" xfId="35" applyFont="1" applyBorder="1" applyAlignment="1">
      <alignment vertical="center"/>
    </xf>
    <xf numFmtId="0" fontId="40" fillId="2" borderId="7" xfId="3" applyFont="1" applyFill="1" applyBorder="1" applyAlignment="1">
      <alignment horizontal="left" vertical="center"/>
    </xf>
    <xf numFmtId="0" fontId="109" fillId="2" borderId="32" xfId="3" applyFont="1" applyFill="1" applyBorder="1" applyAlignment="1">
      <alignment horizontal="center" vertical="center"/>
    </xf>
    <xf numFmtId="0" fontId="37" fillId="0" borderId="20" xfId="3" applyFont="1" applyBorder="1" applyAlignment="1">
      <alignment vertical="center"/>
    </xf>
    <xf numFmtId="165" fontId="16" fillId="0" borderId="5" xfId="1" applyNumberFormat="1" applyFont="1" applyBorder="1" applyAlignment="1" applyProtection="1">
      <alignment horizontal="center" vertical="center"/>
      <protection hidden="1"/>
    </xf>
    <xf numFmtId="0" fontId="16" fillId="0" borderId="8" xfId="1" applyFont="1" applyBorder="1" applyAlignment="1" applyProtection="1">
      <alignment vertical="center"/>
      <protection hidden="1"/>
    </xf>
    <xf numFmtId="0" fontId="113" fillId="0" borderId="0" xfId="0" applyFont="1" applyProtection="1">
      <alignment vertical="center"/>
      <protection hidden="1"/>
    </xf>
    <xf numFmtId="0" fontId="16" fillId="2" borderId="41" xfId="1" applyFont="1" applyFill="1" applyBorder="1" applyAlignment="1" applyProtection="1">
      <alignment horizontal="left" vertical="center"/>
      <protection hidden="1"/>
    </xf>
    <xf numFmtId="0" fontId="102" fillId="0" borderId="0" xfId="0" applyFont="1" applyProtection="1">
      <alignment vertical="center"/>
      <protection hidden="1"/>
    </xf>
    <xf numFmtId="1" fontId="16" fillId="0" borderId="5" xfId="1" applyNumberFormat="1" applyFont="1" applyBorder="1" applyAlignment="1" applyProtection="1">
      <alignment horizontal="center" vertical="center"/>
      <protection hidden="1"/>
    </xf>
    <xf numFmtId="0" fontId="16" fillId="2" borderId="42" xfId="2" quotePrefix="1" applyFont="1" applyFill="1" applyBorder="1" applyAlignment="1" applyProtection="1">
      <alignment horizontal="left" vertical="center"/>
      <protection hidden="1"/>
    </xf>
    <xf numFmtId="0" fontId="16" fillId="0" borderId="23" xfId="2" applyFont="1" applyBorder="1" applyAlignment="1" applyProtection="1">
      <alignment vertical="center"/>
      <protection hidden="1"/>
    </xf>
    <xf numFmtId="0" fontId="16" fillId="0" borderId="28" xfId="1" applyFont="1" applyBorder="1" applyAlignment="1" applyProtection="1">
      <alignment horizontal="right" vertical="center"/>
      <protection hidden="1"/>
    </xf>
    <xf numFmtId="165" fontId="16" fillId="7" borderId="5" xfId="1" applyNumberFormat="1" applyFont="1" applyFill="1" applyBorder="1" applyAlignment="1" applyProtection="1">
      <alignment horizontal="center" vertical="center"/>
      <protection hidden="1"/>
    </xf>
    <xf numFmtId="0" fontId="16" fillId="7" borderId="5" xfId="1" applyFont="1" applyFill="1" applyBorder="1" applyAlignment="1" applyProtection="1">
      <alignment horizontal="center" vertical="center"/>
      <protection hidden="1"/>
    </xf>
    <xf numFmtId="164" fontId="16" fillId="7" borderId="21" xfId="1" applyNumberFormat="1" applyFont="1" applyFill="1" applyBorder="1" applyAlignment="1" applyProtection="1">
      <alignment horizontal="center" vertical="center"/>
      <protection hidden="1"/>
    </xf>
    <xf numFmtId="0" fontId="48" fillId="0" borderId="0" xfId="40" applyFont="1" applyAlignment="1">
      <alignment vertical="center" wrapText="1"/>
    </xf>
    <xf numFmtId="0" fontId="30" fillId="0" borderId="0" xfId="0" applyFont="1" applyAlignment="1">
      <alignment horizontal="right" vertical="center"/>
    </xf>
    <xf numFmtId="2" fontId="37" fillId="0" borderId="0" xfId="0" applyNumberFormat="1" applyFont="1" applyAlignment="1">
      <alignment horizontal="center" vertical="center"/>
    </xf>
    <xf numFmtId="0" fontId="37" fillId="2" borderId="24" xfId="1" applyFont="1" applyFill="1" applyBorder="1" applyAlignment="1" applyProtection="1">
      <alignment horizontal="left" vertical="center"/>
      <protection hidden="1"/>
    </xf>
    <xf numFmtId="0" fontId="117" fillId="0" borderId="0" xfId="0" applyFont="1">
      <alignment vertical="center"/>
    </xf>
    <xf numFmtId="2" fontId="16" fillId="0" borderId="5" xfId="0" applyNumberFormat="1" applyFont="1" applyBorder="1" applyAlignment="1">
      <alignment horizontal="center" vertical="center"/>
    </xf>
    <xf numFmtId="1" fontId="16" fillId="4" borderId="5" xfId="0" applyNumberFormat="1" applyFont="1" applyFill="1" applyBorder="1" applyAlignment="1" applyProtection="1">
      <alignment horizontal="center" vertical="center"/>
      <protection locked="0"/>
    </xf>
    <xf numFmtId="0" fontId="107" fillId="0" borderId="61" xfId="40" applyFont="1" applyBorder="1" applyAlignment="1">
      <alignment horizontal="center" vertical="center"/>
    </xf>
    <xf numFmtId="0" fontId="111" fillId="2" borderId="0" xfId="1" applyFont="1" applyFill="1" applyAlignment="1" applyProtection="1">
      <alignment horizontal="left" vertical="center"/>
      <protection hidden="1"/>
    </xf>
    <xf numFmtId="0" fontId="21" fillId="3" borderId="37" xfId="48" applyFont="1" applyFill="1" applyBorder="1" applyAlignment="1" applyProtection="1">
      <alignment horizontal="left" vertical="center"/>
      <protection hidden="1"/>
    </xf>
    <xf numFmtId="0" fontId="21" fillId="3" borderId="38" xfId="48" applyFont="1" applyFill="1" applyBorder="1" applyAlignment="1" applyProtection="1">
      <alignment horizontal="right" vertical="center"/>
      <protection hidden="1"/>
    </xf>
    <xf numFmtId="0" fontId="21" fillId="3" borderId="38" xfId="48" applyFont="1" applyFill="1" applyBorder="1" applyAlignment="1" applyProtection="1">
      <alignment horizontal="center" vertical="center"/>
      <protection hidden="1"/>
    </xf>
    <xf numFmtId="0" fontId="21" fillId="3" borderId="38" xfId="48" applyFont="1" applyFill="1" applyBorder="1" applyAlignment="1" applyProtection="1">
      <alignment horizontal="left" vertical="center"/>
      <protection hidden="1"/>
    </xf>
    <xf numFmtId="0" fontId="21" fillId="3" borderId="39" xfId="48" applyFont="1" applyFill="1" applyBorder="1" applyAlignment="1" applyProtection="1">
      <alignment horizontal="left" vertical="center"/>
      <protection hidden="1"/>
    </xf>
    <xf numFmtId="0" fontId="16" fillId="2" borderId="21" xfId="49" applyFont="1" applyFill="1" applyBorder="1" applyAlignment="1" applyProtection="1">
      <alignment horizontal="left" vertical="center"/>
      <protection hidden="1"/>
    </xf>
    <xf numFmtId="1" fontId="16" fillId="0" borderId="11" xfId="1" applyNumberFormat="1" applyFont="1" applyBorder="1" applyAlignment="1" applyProtection="1">
      <alignment horizontal="center" vertical="center"/>
      <protection hidden="1"/>
    </xf>
    <xf numFmtId="0" fontId="48" fillId="0" borderId="0" xfId="0" quotePrefix="1" applyFont="1" applyProtection="1">
      <alignment vertical="center"/>
      <protection hidden="1"/>
    </xf>
    <xf numFmtId="0" fontId="16" fillId="2" borderId="36" xfId="48" applyFont="1" applyFill="1" applyBorder="1" applyAlignment="1" applyProtection="1">
      <alignment vertical="center" wrapText="1"/>
      <protection hidden="1"/>
    </xf>
    <xf numFmtId="0" fontId="16" fillId="2" borderId="14" xfId="48" applyFont="1" applyFill="1" applyBorder="1" applyAlignment="1" applyProtection="1">
      <alignment horizontal="left" vertical="center"/>
      <protection hidden="1"/>
    </xf>
    <xf numFmtId="0" fontId="16" fillId="2" borderId="52" xfId="48" applyFont="1" applyFill="1" applyBorder="1" applyAlignment="1" applyProtection="1">
      <alignment vertical="center" wrapText="1"/>
      <protection hidden="1"/>
    </xf>
    <xf numFmtId="0" fontId="16" fillId="2" borderId="20" xfId="48" applyFont="1" applyFill="1" applyBorder="1" applyAlignment="1" applyProtection="1">
      <alignment horizontal="right" vertical="center"/>
      <protection hidden="1"/>
    </xf>
    <xf numFmtId="165" fontId="16" fillId="2" borderId="20" xfId="48" applyNumberFormat="1" applyFont="1" applyFill="1" applyBorder="1" applyAlignment="1" applyProtection="1">
      <alignment horizontal="center" vertical="center"/>
      <protection hidden="1"/>
    </xf>
    <xf numFmtId="0" fontId="16" fillId="2" borderId="20" xfId="49" applyFont="1" applyFill="1" applyBorder="1" applyAlignment="1" applyProtection="1">
      <alignment horizontal="left" vertical="center"/>
      <protection hidden="1"/>
    </xf>
    <xf numFmtId="0" fontId="16" fillId="2" borderId="23" xfId="48" applyFont="1" applyFill="1" applyBorder="1" applyAlignment="1" applyProtection="1">
      <alignment horizontal="left" vertical="center"/>
      <protection hidden="1"/>
    </xf>
    <xf numFmtId="0" fontId="16" fillId="2" borderId="50" xfId="1" applyFont="1" applyFill="1" applyBorder="1" applyAlignment="1" applyProtection="1">
      <alignment vertical="center"/>
      <protection hidden="1"/>
    </xf>
    <xf numFmtId="0" fontId="16" fillId="2" borderId="30" xfId="1" applyFont="1" applyFill="1" applyBorder="1" applyAlignment="1" applyProtection="1">
      <alignment horizontal="right" vertical="center"/>
      <protection hidden="1"/>
    </xf>
    <xf numFmtId="2" fontId="16" fillId="2" borderId="30" xfId="48" applyNumberFormat="1" applyFont="1" applyFill="1" applyBorder="1" applyAlignment="1" applyProtection="1">
      <alignment horizontal="center" vertical="center"/>
      <protection hidden="1"/>
    </xf>
    <xf numFmtId="2" fontId="16" fillId="2" borderId="28" xfId="48" applyNumberFormat="1" applyFont="1" applyFill="1" applyBorder="1" applyAlignment="1" applyProtection="1">
      <alignment horizontal="center" vertical="center"/>
      <protection hidden="1"/>
    </xf>
    <xf numFmtId="0" fontId="16" fillId="2" borderId="20" xfId="1" applyFont="1" applyFill="1" applyBorder="1" applyAlignment="1" applyProtection="1">
      <alignment horizontal="right" vertical="center"/>
      <protection hidden="1"/>
    </xf>
    <xf numFmtId="2" fontId="16" fillId="2" borderId="20" xfId="48" applyNumberFormat="1" applyFont="1" applyFill="1" applyBorder="1" applyAlignment="1" applyProtection="1">
      <alignment horizontal="center" vertical="center"/>
      <protection hidden="1"/>
    </xf>
    <xf numFmtId="0" fontId="16" fillId="2" borderId="23" xfId="49" applyFont="1" applyFill="1" applyBorder="1" applyAlignment="1" applyProtection="1">
      <alignment vertical="center"/>
      <protection hidden="1"/>
    </xf>
    <xf numFmtId="2" fontId="16" fillId="2" borderId="11" xfId="48" applyNumberFormat="1" applyFont="1" applyFill="1" applyBorder="1" applyAlignment="1" applyProtection="1">
      <alignment horizontal="center" vertical="center"/>
      <protection hidden="1"/>
    </xf>
    <xf numFmtId="0" fontId="16" fillId="2" borderId="36" xfId="44" applyFont="1" applyFill="1" applyBorder="1" applyAlignment="1" applyProtection="1">
      <alignment vertical="center"/>
      <protection hidden="1"/>
    </xf>
    <xf numFmtId="0" fontId="16" fillId="2" borderId="28" xfId="44" applyFont="1" applyFill="1" applyBorder="1" applyAlignment="1" applyProtection="1">
      <alignment horizontal="right" vertical="center"/>
      <protection hidden="1"/>
    </xf>
    <xf numFmtId="165" fontId="16" fillId="2" borderId="28" xfId="44" applyNumberFormat="1" applyFont="1" applyFill="1" applyBorder="1" applyAlignment="1" applyProtection="1">
      <alignment horizontal="center" vertical="center"/>
      <protection hidden="1"/>
    </xf>
    <xf numFmtId="0" fontId="16" fillId="2" borderId="19" xfId="45" applyFont="1" applyFill="1" applyBorder="1" applyAlignment="1" applyProtection="1">
      <alignment vertical="center"/>
      <protection hidden="1"/>
    </xf>
    <xf numFmtId="0" fontId="16" fillId="2" borderId="23" xfId="45" applyFont="1" applyFill="1" applyBorder="1" applyAlignment="1" applyProtection="1">
      <alignment vertical="center"/>
      <protection hidden="1"/>
    </xf>
    <xf numFmtId="0" fontId="16" fillId="2" borderId="36" xfId="48" applyFont="1" applyFill="1" applyBorder="1" applyAlignment="1" applyProtection="1">
      <alignment vertical="center"/>
      <protection hidden="1"/>
    </xf>
    <xf numFmtId="0" fontId="16" fillId="2" borderId="28" xfId="48" applyFont="1" applyFill="1" applyBorder="1" applyAlignment="1" applyProtection="1">
      <alignment horizontal="right" vertical="center"/>
      <protection hidden="1"/>
    </xf>
    <xf numFmtId="165" fontId="16" fillId="2" borderId="28" xfId="48" applyNumberFormat="1" applyFont="1" applyFill="1" applyBorder="1" applyAlignment="1" applyProtection="1">
      <alignment horizontal="center" vertical="center"/>
      <protection hidden="1"/>
    </xf>
    <xf numFmtId="0" fontId="16" fillId="2" borderId="19" xfId="49" applyFont="1" applyFill="1" applyBorder="1" applyAlignment="1" applyProtection="1">
      <alignment vertical="center"/>
      <protection hidden="1"/>
    </xf>
    <xf numFmtId="0" fontId="16" fillId="7" borderId="21" xfId="48" applyFont="1" applyFill="1" applyBorder="1" applyAlignment="1" applyProtection="1">
      <alignment horizontal="center" vertical="center"/>
      <protection hidden="1"/>
    </xf>
    <xf numFmtId="0" fontId="16" fillId="0" borderId="5" xfId="0" applyFont="1" applyBorder="1" applyAlignment="1">
      <alignment vertical="center" wrapText="1"/>
    </xf>
    <xf numFmtId="0" fontId="37" fillId="0" borderId="2" xfId="0" applyFont="1" applyBorder="1">
      <alignment vertical="center"/>
    </xf>
    <xf numFmtId="0" fontId="37" fillId="0" borderId="24" xfId="0" applyFont="1" applyBorder="1">
      <alignment vertical="center"/>
    </xf>
    <xf numFmtId="0" fontId="107" fillId="0" borderId="16" xfId="35" applyFont="1" applyBorder="1" applyAlignment="1">
      <alignment horizontal="center" vertical="center"/>
    </xf>
    <xf numFmtId="0" fontId="37" fillId="0" borderId="18" xfId="0" applyFont="1" applyBorder="1">
      <alignment vertical="center"/>
    </xf>
    <xf numFmtId="0" fontId="37" fillId="0" borderId="23" xfId="0" applyFont="1" applyBorder="1">
      <alignment vertical="center"/>
    </xf>
    <xf numFmtId="0" fontId="107" fillId="0" borderId="16" xfId="40" applyFont="1" applyBorder="1" applyAlignment="1">
      <alignment horizontal="center" vertical="center"/>
    </xf>
    <xf numFmtId="0" fontId="37" fillId="0" borderId="4" xfId="0" applyFont="1" applyBorder="1">
      <alignment vertical="center"/>
    </xf>
    <xf numFmtId="0" fontId="107" fillId="0" borderId="71" xfId="40" applyFont="1" applyBorder="1" applyAlignment="1">
      <alignment horizontal="center" vertical="center"/>
    </xf>
    <xf numFmtId="0" fontId="37" fillId="0" borderId="14" xfId="0" applyFont="1" applyBorder="1">
      <alignment vertical="center"/>
    </xf>
    <xf numFmtId="0" fontId="99" fillId="0" borderId="71" xfId="40" applyFont="1" applyBorder="1" applyAlignment="1">
      <alignment horizontal="center" vertical="center"/>
    </xf>
    <xf numFmtId="0" fontId="99" fillId="11" borderId="16" xfId="35" applyFont="1" applyFill="1" applyBorder="1" applyAlignment="1">
      <alignment horizontal="center" vertical="center"/>
    </xf>
    <xf numFmtId="0" fontId="115" fillId="0" borderId="19" xfId="35" applyFont="1" applyBorder="1" applyAlignment="1">
      <alignment vertical="center"/>
    </xf>
    <xf numFmtId="0" fontId="0" fillId="0" borderId="45"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17" fontId="0" fillId="0" borderId="30" xfId="0" quotePrefix="1" applyNumberFormat="1" applyBorder="1" applyAlignment="1" applyProtection="1">
      <alignment horizontal="center" vertical="center"/>
      <protection hidden="1"/>
    </xf>
    <xf numFmtId="0" fontId="0" fillId="0" borderId="31" xfId="0" applyBorder="1" applyProtection="1">
      <alignment vertical="center"/>
      <protection hidden="1"/>
    </xf>
    <xf numFmtId="0" fontId="0" fillId="0" borderId="8"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17" fontId="0" fillId="0" borderId="5" xfId="0" quotePrefix="1" applyNumberFormat="1" applyBorder="1" applyAlignment="1" applyProtection="1">
      <alignment horizontal="center" vertical="center"/>
      <protection hidden="1"/>
    </xf>
    <xf numFmtId="0" fontId="0" fillId="0" borderId="9" xfId="0" quotePrefix="1" applyBorder="1" applyAlignment="1" applyProtection="1">
      <alignment vertical="center" wrapText="1"/>
      <protection hidden="1"/>
    </xf>
    <xf numFmtId="0" fontId="0" fillId="0" borderId="10" xfId="0" applyBorder="1" applyAlignment="1" applyProtection="1">
      <alignment horizontal="center" vertical="center"/>
      <protection hidden="1"/>
    </xf>
    <xf numFmtId="0" fontId="0" fillId="0" borderId="11" xfId="0" applyBorder="1" applyProtection="1">
      <alignment vertical="center"/>
      <protection hidden="1"/>
    </xf>
    <xf numFmtId="0" fontId="0" fillId="0" borderId="12" xfId="0" applyBorder="1" applyProtection="1">
      <alignment vertical="center"/>
      <protection hidden="1"/>
    </xf>
    <xf numFmtId="0" fontId="50" fillId="0" borderId="0" xfId="0" applyFont="1" applyProtection="1">
      <alignment vertical="center"/>
      <protection hidden="1"/>
    </xf>
    <xf numFmtId="0" fontId="47" fillId="0" borderId="0" xfId="0" applyFont="1" applyProtection="1">
      <alignment vertical="center"/>
      <protection hidden="1"/>
    </xf>
    <xf numFmtId="0" fontId="119" fillId="0" borderId="0" xfId="0" applyFont="1" applyAlignment="1">
      <alignment vertical="center" wrapText="1"/>
    </xf>
    <xf numFmtId="0" fontId="117" fillId="0" borderId="0" xfId="0" quotePrefix="1" applyFont="1">
      <alignment vertical="center"/>
    </xf>
    <xf numFmtId="0" fontId="121" fillId="0" borderId="0" xfId="0" applyFont="1">
      <alignment vertical="center"/>
    </xf>
    <xf numFmtId="0" fontId="7" fillId="0" borderId="0" xfId="0" applyFont="1" applyAlignment="1">
      <alignment horizontal="left" vertical="center"/>
    </xf>
    <xf numFmtId="0" fontId="89" fillId="0" borderId="0" xfId="0" applyFont="1" applyProtection="1">
      <alignment vertical="center"/>
      <protection hidden="1"/>
    </xf>
    <xf numFmtId="0" fontId="118" fillId="0" borderId="71" xfId="0" applyFont="1" applyBorder="1" applyAlignment="1" applyProtection="1">
      <alignment horizontal="center" wrapText="1"/>
      <protection hidden="1"/>
    </xf>
    <xf numFmtId="0" fontId="118" fillId="0" borderId="58" xfId="0" applyFont="1" applyBorder="1" applyAlignment="1" applyProtection="1">
      <alignment horizontal="center" wrapText="1"/>
      <protection hidden="1"/>
    </xf>
    <xf numFmtId="0" fontId="118" fillId="0" borderId="58" xfId="0" applyFont="1" applyBorder="1" applyAlignment="1" applyProtection="1">
      <alignment horizontal="center"/>
      <protection hidden="1"/>
    </xf>
    <xf numFmtId="0" fontId="118" fillId="0" borderId="72" xfId="0" applyFont="1" applyBorder="1" applyAlignment="1" applyProtection="1">
      <protection hidden="1"/>
    </xf>
    <xf numFmtId="0" fontId="122" fillId="0" borderId="0" xfId="0" applyFont="1" applyAlignment="1">
      <alignment horizontal="left" vertical="center" wrapText="1" indent="2"/>
    </xf>
    <xf numFmtId="0" fontId="89" fillId="0" borderId="0" xfId="0" applyFont="1" applyAlignment="1">
      <alignment vertical="center" wrapText="1"/>
    </xf>
    <xf numFmtId="0" fontId="48" fillId="2" borderId="23" xfId="2" applyFont="1" applyFill="1" applyBorder="1" applyAlignment="1" applyProtection="1">
      <alignment horizontal="left" vertical="center"/>
      <protection hidden="1"/>
    </xf>
    <xf numFmtId="0" fontId="16" fillId="0" borderId="19" xfId="2" applyFont="1" applyBorder="1" applyAlignment="1" applyProtection="1">
      <alignment vertical="center"/>
      <protection hidden="1"/>
    </xf>
    <xf numFmtId="165" fontId="16" fillId="0" borderId="28" xfId="1" applyNumberFormat="1" applyFont="1" applyBorder="1" applyAlignment="1" applyProtection="1">
      <alignment horizontal="center" vertical="center"/>
      <protection hidden="1"/>
    </xf>
    <xf numFmtId="0" fontId="37" fillId="0" borderId="66" xfId="0" applyFont="1" applyBorder="1">
      <alignment vertical="center"/>
    </xf>
    <xf numFmtId="0" fontId="37" fillId="0" borderId="0" xfId="40" applyFont="1" applyAlignment="1">
      <alignment vertical="center"/>
    </xf>
    <xf numFmtId="0" fontId="104" fillId="0" borderId="66" xfId="40" applyFont="1" applyBorder="1" applyAlignment="1">
      <alignment vertical="center" wrapText="1"/>
    </xf>
    <xf numFmtId="0" fontId="104" fillId="0" borderId="0" xfId="0" applyFont="1">
      <alignment vertical="center"/>
    </xf>
    <xf numFmtId="0" fontId="104" fillId="0" borderId="66" xfId="0" applyFont="1" applyBorder="1">
      <alignment vertical="center"/>
    </xf>
    <xf numFmtId="0" fontId="37" fillId="0" borderId="0" xfId="0" applyFont="1" applyAlignment="1">
      <alignment horizontal="left" vertical="center"/>
    </xf>
    <xf numFmtId="0" fontId="30" fillId="0" borderId="62" xfId="0" applyFont="1" applyBorder="1" applyAlignment="1">
      <alignment horizontal="right" vertical="center"/>
    </xf>
    <xf numFmtId="164" fontId="30" fillId="0" borderId="63" xfId="0" applyNumberFormat="1" applyFont="1" applyBorder="1" applyAlignment="1">
      <alignment horizontal="center" vertical="center"/>
    </xf>
    <xf numFmtId="0" fontId="30" fillId="0" borderId="63" xfId="0" applyFont="1" applyBorder="1" applyAlignment="1">
      <alignment horizontal="center" vertical="center"/>
    </xf>
    <xf numFmtId="0" fontId="37" fillId="0" borderId="64" xfId="0" applyFont="1" applyBorder="1">
      <alignment vertical="center"/>
    </xf>
    <xf numFmtId="0" fontId="37" fillId="0" borderId="66" xfId="0" applyFont="1" applyBorder="1" applyAlignment="1">
      <alignment horizontal="left" vertical="center"/>
    </xf>
    <xf numFmtId="0" fontId="0" fillId="0" borderId="66" xfId="0" applyBorder="1" applyAlignment="1">
      <alignment horizontal="left" vertical="center"/>
    </xf>
    <xf numFmtId="0" fontId="30" fillId="12" borderId="67" xfId="0" applyFont="1" applyFill="1" applyBorder="1" applyAlignment="1">
      <alignment horizontal="right" vertical="center"/>
    </xf>
    <xf numFmtId="2" fontId="37" fillId="12" borderId="68" xfId="0" applyNumberFormat="1" applyFont="1" applyFill="1" applyBorder="1" applyAlignment="1">
      <alignment horizontal="center" vertical="center"/>
    </xf>
    <xf numFmtId="0" fontId="30" fillId="12" borderId="68" xfId="0" applyFont="1" applyFill="1" applyBorder="1" applyAlignment="1">
      <alignment horizontal="center" vertical="center"/>
    </xf>
    <xf numFmtId="0" fontId="0" fillId="0" borderId="68" xfId="0" applyBorder="1" applyAlignment="1">
      <alignment horizontal="left" vertical="center"/>
    </xf>
    <xf numFmtId="0" fontId="0" fillId="0" borderId="69" xfId="0" applyBorder="1" applyAlignment="1">
      <alignment horizontal="left" vertical="center"/>
    </xf>
    <xf numFmtId="0" fontId="64" fillId="0" borderId="0" xfId="0" quotePrefix="1" applyFont="1">
      <alignment vertical="center"/>
    </xf>
    <xf numFmtId="0" fontId="120" fillId="0" borderId="0" xfId="0" applyFont="1" applyProtection="1">
      <alignment vertical="center"/>
      <protection hidden="1"/>
    </xf>
    <xf numFmtId="0" fontId="16" fillId="0" borderId="0" xfId="0" applyFont="1" applyAlignment="1" applyProtection="1">
      <alignment vertical="center" wrapText="1"/>
      <protection hidden="1"/>
    </xf>
    <xf numFmtId="0" fontId="123" fillId="0" borderId="0" xfId="0" applyFont="1" applyAlignment="1" applyProtection="1">
      <alignment horizontal="right" vertical="center"/>
      <protection hidden="1"/>
    </xf>
    <xf numFmtId="165" fontId="89" fillId="0" borderId="0" xfId="0" applyNumberFormat="1" applyFont="1" applyProtection="1">
      <alignment vertical="center"/>
      <protection hidden="1"/>
    </xf>
    <xf numFmtId="164" fontId="16" fillId="0" borderId="28" xfId="1" applyNumberFormat="1" applyFont="1" applyBorder="1" applyAlignment="1" applyProtection="1">
      <alignment horizontal="center" vertical="center"/>
      <protection hidden="1"/>
    </xf>
    <xf numFmtId="0" fontId="101" fillId="0" borderId="0" xfId="0" applyFont="1">
      <alignment vertical="center"/>
    </xf>
    <xf numFmtId="0" fontId="37" fillId="0" borderId="0" xfId="0" applyFont="1" applyProtection="1">
      <alignment vertical="center"/>
      <protection hidden="1"/>
    </xf>
    <xf numFmtId="0" fontId="16" fillId="2" borderId="45" xfId="1" applyFont="1" applyFill="1" applyBorder="1" applyAlignment="1" applyProtection="1">
      <alignment vertical="center"/>
      <protection hidden="1"/>
    </xf>
    <xf numFmtId="0" fontId="16" fillId="4" borderId="57" xfId="2" applyFont="1" applyFill="1" applyBorder="1" applyAlignment="1" applyProtection="1">
      <alignment horizontal="left" vertical="center"/>
      <protection hidden="1"/>
    </xf>
    <xf numFmtId="0" fontId="16" fillId="4" borderId="4" xfId="2" applyFont="1" applyFill="1" applyBorder="1" applyAlignment="1" applyProtection="1">
      <alignment horizontal="left" vertical="center" wrapText="1"/>
      <protection hidden="1"/>
    </xf>
    <xf numFmtId="15" fontId="47" fillId="0" borderId="0" xfId="0" applyNumberFormat="1" applyFont="1" applyProtection="1">
      <alignment vertical="center"/>
      <protection hidden="1"/>
    </xf>
    <xf numFmtId="0" fontId="99" fillId="0" borderId="0" xfId="0" applyFont="1" applyProtection="1">
      <alignment vertical="center"/>
      <protection hidden="1"/>
    </xf>
    <xf numFmtId="0" fontId="101" fillId="0" borderId="0" xfId="0" quotePrefix="1" applyFont="1">
      <alignment vertical="center"/>
    </xf>
    <xf numFmtId="0" fontId="37" fillId="0" borderId="0" xfId="3" quotePrefix="1" applyFont="1" applyAlignment="1">
      <alignment vertical="center"/>
    </xf>
    <xf numFmtId="0" fontId="125" fillId="0" borderId="0" xfId="0" applyFont="1">
      <alignment vertical="center"/>
    </xf>
    <xf numFmtId="165" fontId="16" fillId="0" borderId="30" xfId="1" applyNumberFormat="1" applyFont="1" applyBorder="1" applyAlignment="1" applyProtection="1">
      <alignment horizontal="center" vertical="center"/>
      <protection hidden="1"/>
    </xf>
    <xf numFmtId="0" fontId="2" fillId="0" borderId="44" xfId="0" quotePrefix="1" applyFont="1" applyBorder="1" applyAlignment="1" applyProtection="1">
      <alignment vertical="center" wrapText="1"/>
      <protection hidden="1"/>
    </xf>
    <xf numFmtId="0" fontId="2" fillId="0" borderId="35" xfId="0" quotePrefix="1" applyFont="1" applyBorder="1" applyAlignment="1" applyProtection="1">
      <alignment vertical="center" wrapText="1"/>
      <protection hidden="1"/>
    </xf>
    <xf numFmtId="0" fontId="16" fillId="4" borderId="19" xfId="1" applyFont="1" applyFill="1" applyBorder="1" applyAlignment="1" applyProtection="1">
      <alignment horizontal="center" vertical="center"/>
      <protection locked="0"/>
    </xf>
    <xf numFmtId="0" fontId="16" fillId="4" borderId="27" xfId="1" applyFont="1" applyFill="1" applyBorder="1" applyAlignment="1" applyProtection="1">
      <alignment horizontal="center" vertical="center"/>
      <protection locked="0"/>
    </xf>
    <xf numFmtId="0" fontId="25" fillId="4" borderId="19" xfId="1" applyFont="1" applyFill="1" applyBorder="1" applyAlignment="1" applyProtection="1">
      <alignment horizontal="center" vertical="center"/>
      <protection locked="0"/>
    </xf>
    <xf numFmtId="0" fontId="25" fillId="4" borderId="27" xfId="1" applyFont="1" applyFill="1" applyBorder="1" applyAlignment="1" applyProtection="1">
      <alignment horizontal="center" vertical="center"/>
      <protection locked="0"/>
    </xf>
    <xf numFmtId="0" fontId="16" fillId="2" borderId="20" xfId="1" applyFont="1" applyFill="1" applyBorder="1" applyAlignment="1" applyProtection="1">
      <alignment horizontal="left" vertical="center"/>
      <protection hidden="1"/>
    </xf>
    <xf numFmtId="0" fontId="16" fillId="2" borderId="23" xfId="1" applyFont="1" applyFill="1" applyBorder="1" applyAlignment="1" applyProtection="1">
      <alignment horizontal="left" vertical="center"/>
      <protection hidden="1"/>
    </xf>
    <xf numFmtId="0" fontId="25" fillId="2" borderId="40" xfId="1" applyFont="1" applyFill="1" applyBorder="1" applyAlignment="1" applyProtection="1">
      <alignment horizontal="left" vertical="center" wrapText="1"/>
      <protection hidden="1"/>
    </xf>
    <xf numFmtId="0" fontId="36" fillId="2" borderId="12" xfId="1" applyFont="1" applyFill="1" applyBorder="1" applyAlignment="1" applyProtection="1">
      <alignment horizontal="left" vertical="center" wrapText="1"/>
      <protection hidden="1"/>
    </xf>
    <xf numFmtId="0" fontId="16" fillId="2" borderId="20" xfId="1" applyFont="1" applyFill="1" applyBorder="1" applyAlignment="1" applyProtection="1">
      <alignment horizontal="left" vertical="center" wrapText="1"/>
      <protection hidden="1"/>
    </xf>
    <xf numFmtId="0" fontId="16" fillId="2" borderId="23" xfId="1" applyFont="1" applyFill="1" applyBorder="1" applyAlignment="1" applyProtection="1">
      <alignment horizontal="left" vertical="center" wrapText="1"/>
      <protection hidden="1"/>
    </xf>
    <xf numFmtId="0" fontId="25" fillId="2" borderId="20" xfId="1" applyFont="1" applyFill="1" applyBorder="1" applyAlignment="1" applyProtection="1">
      <alignment horizontal="center" vertical="center"/>
      <protection hidden="1"/>
    </xf>
    <xf numFmtId="0" fontId="25" fillId="2" borderId="23" xfId="1" applyFont="1" applyFill="1" applyBorder="1" applyAlignment="1" applyProtection="1">
      <alignment horizontal="center" vertical="center"/>
      <protection hidden="1"/>
    </xf>
    <xf numFmtId="0" fontId="16" fillId="2" borderId="20" xfId="1" applyFont="1" applyFill="1" applyBorder="1" applyAlignment="1" applyProtection="1">
      <alignment horizontal="center" vertical="center"/>
      <protection hidden="1"/>
    </xf>
    <xf numFmtId="0" fontId="16" fillId="2" borderId="23" xfId="1" applyFont="1" applyFill="1" applyBorder="1" applyAlignment="1" applyProtection="1">
      <alignment horizontal="center" vertical="center"/>
      <protection hidden="1"/>
    </xf>
    <xf numFmtId="0" fontId="16" fillId="2" borderId="40" xfId="1" applyFont="1" applyFill="1" applyBorder="1" applyAlignment="1" applyProtection="1">
      <alignment horizontal="left" vertical="center" wrapText="1"/>
      <protection hidden="1"/>
    </xf>
    <xf numFmtId="0" fontId="22" fillId="2" borderId="12" xfId="1" applyFont="1" applyFill="1" applyBorder="1" applyAlignment="1" applyProtection="1">
      <alignment horizontal="left" vertical="center" wrapText="1"/>
      <protection hidden="1"/>
    </xf>
    <xf numFmtId="0" fontId="16" fillId="2" borderId="27" xfId="1" applyFont="1" applyFill="1" applyBorder="1" applyAlignment="1" applyProtection="1">
      <alignment horizontal="left" vertical="center" wrapText="1"/>
      <protection hidden="1"/>
    </xf>
    <xf numFmtId="0" fontId="22" fillId="2" borderId="9" xfId="1" applyFont="1" applyFill="1" applyBorder="1" applyAlignment="1" applyProtection="1">
      <alignment horizontal="left" vertical="center" wrapText="1"/>
      <protection hidden="1"/>
    </xf>
    <xf numFmtId="0" fontId="16" fillId="2" borderId="5" xfId="1" applyFont="1" applyFill="1" applyBorder="1" applyAlignment="1" applyProtection="1">
      <alignment horizontal="left" vertical="center"/>
      <protection hidden="1"/>
    </xf>
    <xf numFmtId="0" fontId="16" fillId="2" borderId="9" xfId="1" applyFont="1" applyFill="1" applyBorder="1" applyAlignment="1" applyProtection="1">
      <alignment horizontal="left" vertical="center"/>
      <protection hidden="1"/>
    </xf>
    <xf numFmtId="0" fontId="52" fillId="2" borderId="27" xfId="1" applyFont="1" applyFill="1" applyBorder="1" applyAlignment="1" applyProtection="1">
      <alignment horizontal="left" vertical="center" wrapText="1"/>
      <protection hidden="1"/>
    </xf>
    <xf numFmtId="0" fontId="18" fillId="2" borderId="9" xfId="1" applyFont="1" applyFill="1" applyBorder="1" applyAlignment="1" applyProtection="1">
      <alignment horizontal="left" vertical="center" wrapText="1"/>
      <protection hidden="1"/>
    </xf>
    <xf numFmtId="0" fontId="16" fillId="2" borderId="11" xfId="1" applyFont="1" applyFill="1" applyBorder="1" applyAlignment="1" applyProtection="1">
      <alignment horizontal="left" vertical="center"/>
      <protection hidden="1"/>
    </xf>
    <xf numFmtId="0" fontId="16" fillId="2" borderId="12" xfId="1" applyFont="1" applyFill="1" applyBorder="1" applyAlignment="1" applyProtection="1">
      <alignment horizontal="left" vertical="center"/>
      <protection hidden="1"/>
    </xf>
    <xf numFmtId="0" fontId="34" fillId="2" borderId="40" xfId="1" applyFont="1" applyFill="1" applyBorder="1" applyAlignment="1" applyProtection="1">
      <alignment horizontal="left" vertical="center" wrapText="1"/>
      <protection hidden="1"/>
    </xf>
    <xf numFmtId="0" fontId="18" fillId="2" borderId="12" xfId="1" applyFont="1" applyFill="1" applyBorder="1" applyAlignment="1" applyProtection="1">
      <alignment horizontal="left" vertical="center" wrapText="1"/>
      <protection hidden="1"/>
    </xf>
    <xf numFmtId="0" fontId="26" fillId="3" borderId="37" xfId="1" applyFont="1" applyFill="1" applyBorder="1" applyAlignment="1" applyProtection="1">
      <alignment horizontal="left" vertical="center"/>
      <protection hidden="1"/>
    </xf>
    <xf numFmtId="0" fontId="26" fillId="3" borderId="38" xfId="1" applyFont="1" applyFill="1" applyBorder="1" applyAlignment="1" applyProtection="1">
      <alignment horizontal="left" vertical="center"/>
      <protection hidden="1"/>
    </xf>
    <xf numFmtId="0" fontId="26" fillId="3" borderId="39" xfId="1" applyFont="1" applyFill="1" applyBorder="1" applyAlignment="1" applyProtection="1">
      <alignment horizontal="left" vertical="center"/>
      <protection hidden="1"/>
    </xf>
    <xf numFmtId="0" fontId="25" fillId="2" borderId="27" xfId="1" applyFont="1" applyFill="1" applyBorder="1" applyAlignment="1" applyProtection="1">
      <alignment horizontal="left" vertical="center" wrapText="1"/>
      <protection hidden="1"/>
    </xf>
    <xf numFmtId="0" fontId="34" fillId="2" borderId="27" xfId="1" applyFont="1" applyFill="1" applyBorder="1" applyAlignment="1" applyProtection="1">
      <alignment horizontal="left" vertical="center" wrapText="1"/>
      <protection hidden="1"/>
    </xf>
    <xf numFmtId="0" fontId="16" fillId="2" borderId="9" xfId="1" applyFont="1" applyFill="1" applyBorder="1" applyAlignment="1" applyProtection="1">
      <alignment horizontal="left" vertical="center" wrapText="1"/>
      <protection hidden="1"/>
    </xf>
    <xf numFmtId="0" fontId="16" fillId="2" borderId="29" xfId="1" applyFont="1" applyFill="1" applyBorder="1" applyAlignment="1" applyProtection="1">
      <alignment horizontal="left" vertical="center" wrapText="1"/>
      <protection hidden="1"/>
    </xf>
    <xf numFmtId="0" fontId="16" fillId="2" borderId="31" xfId="1" applyFont="1" applyFill="1" applyBorder="1" applyAlignment="1" applyProtection="1">
      <alignment horizontal="left" vertical="center" wrapText="1"/>
      <protection hidden="1"/>
    </xf>
    <xf numFmtId="0" fontId="57" fillId="2" borderId="9" xfId="1" applyFont="1" applyFill="1" applyBorder="1" applyAlignment="1" applyProtection="1">
      <alignment horizontal="left" vertical="center" wrapText="1"/>
      <protection hidden="1"/>
    </xf>
    <xf numFmtId="0" fontId="57" fillId="2" borderId="27" xfId="1" applyFont="1" applyFill="1" applyBorder="1" applyAlignment="1" applyProtection="1">
      <alignment horizontal="left" vertical="center" wrapText="1"/>
      <protection hidden="1"/>
    </xf>
    <xf numFmtId="0" fontId="25" fillId="2" borderId="5" xfId="1" applyFont="1" applyFill="1" applyBorder="1" applyAlignment="1" applyProtection="1">
      <alignment horizontal="left" vertical="center"/>
      <protection hidden="1"/>
    </xf>
    <xf numFmtId="0" fontId="25" fillId="2" borderId="9" xfId="1" applyFont="1" applyFill="1" applyBorder="1" applyAlignment="1" applyProtection="1">
      <alignment horizontal="left" vertical="center"/>
      <protection hidden="1"/>
    </xf>
    <xf numFmtId="0" fontId="36" fillId="2" borderId="9" xfId="1" applyFont="1" applyFill="1" applyBorder="1" applyAlignment="1" applyProtection="1">
      <alignment horizontal="left" vertical="center" wrapText="1"/>
      <protection hidden="1"/>
    </xf>
    <xf numFmtId="0" fontId="16" fillId="2" borderId="20" xfId="1" quotePrefix="1" applyFont="1" applyFill="1" applyBorder="1" applyAlignment="1" applyProtection="1">
      <alignment horizontal="left" vertical="center"/>
      <protection hidden="1"/>
    </xf>
    <xf numFmtId="0" fontId="16" fillId="2" borderId="25" xfId="1" applyFont="1" applyFill="1" applyBorder="1" applyAlignment="1" applyProtection="1">
      <alignment horizontal="left" vertical="center" wrapText="1"/>
      <protection hidden="1"/>
    </xf>
    <xf numFmtId="0" fontId="94" fillId="2" borderId="26" xfId="1" applyFont="1" applyFill="1" applyBorder="1" applyAlignment="1" applyProtection="1">
      <alignment horizontal="left" vertical="center" wrapText="1"/>
      <protection hidden="1"/>
    </xf>
    <xf numFmtId="0" fontId="16" fillId="2" borderId="51" xfId="1" applyFont="1" applyFill="1" applyBorder="1" applyAlignment="1" applyProtection="1">
      <alignment horizontal="left" vertical="center" wrapText="1"/>
      <protection hidden="1"/>
    </xf>
    <xf numFmtId="0" fontId="16" fillId="2" borderId="35" xfId="1" applyFont="1" applyFill="1" applyBorder="1" applyAlignment="1" applyProtection="1">
      <alignment horizontal="left" vertical="center" wrapText="1"/>
      <protection hidden="1"/>
    </xf>
    <xf numFmtId="0" fontId="16" fillId="2" borderId="6" xfId="1" applyFont="1" applyFill="1" applyBorder="1" applyAlignment="1" applyProtection="1">
      <alignment horizontal="left" vertical="center" wrapText="1"/>
      <protection hidden="1"/>
    </xf>
    <xf numFmtId="0" fontId="16" fillId="2" borderId="24" xfId="1" applyFont="1" applyFill="1" applyBorder="1" applyAlignment="1" applyProtection="1">
      <alignment horizontal="left" vertical="center"/>
      <protection hidden="1"/>
    </xf>
    <xf numFmtId="0" fontId="26" fillId="3" borderId="32" xfId="1" applyFont="1" applyFill="1" applyBorder="1" applyAlignment="1" applyProtection="1">
      <alignment horizontal="left" vertical="center"/>
      <protection hidden="1"/>
    </xf>
    <xf numFmtId="0" fontId="26" fillId="3" borderId="46" xfId="1" applyFont="1" applyFill="1" applyBorder="1" applyAlignment="1" applyProtection="1">
      <alignment horizontal="left" vertical="center"/>
      <protection hidden="1"/>
    </xf>
    <xf numFmtId="0" fontId="26" fillId="3" borderId="33" xfId="1" applyFont="1" applyFill="1" applyBorder="1" applyAlignment="1" applyProtection="1">
      <alignment horizontal="left" vertical="center"/>
      <protection hidden="1"/>
    </xf>
    <xf numFmtId="0" fontId="26" fillId="3" borderId="34" xfId="1" applyFont="1" applyFill="1" applyBorder="1" applyAlignment="1" applyProtection="1">
      <alignment horizontal="left" vertical="center"/>
      <protection hidden="1"/>
    </xf>
    <xf numFmtId="0" fontId="29" fillId="2" borderId="3" xfId="1" applyFont="1" applyFill="1" applyBorder="1" applyAlignment="1" applyProtection="1">
      <alignment horizontal="center" vertical="center"/>
      <protection hidden="1"/>
    </xf>
    <xf numFmtId="0" fontId="29" fillId="2" borderId="15" xfId="1" applyFont="1" applyFill="1" applyBorder="1" applyAlignment="1" applyProtection="1">
      <alignment horizontal="center" vertical="center"/>
      <protection hidden="1"/>
    </xf>
    <xf numFmtId="0" fontId="29" fillId="2" borderId="4" xfId="1" applyFont="1" applyFill="1" applyBorder="1" applyAlignment="1" applyProtection="1">
      <alignment horizontal="center" vertical="center"/>
      <protection hidden="1"/>
    </xf>
    <xf numFmtId="0" fontId="25" fillId="2" borderId="16" xfId="1" applyFont="1" applyFill="1" applyBorder="1" applyAlignment="1" applyProtection="1">
      <alignment horizontal="center" vertical="center" wrapText="1"/>
      <protection hidden="1"/>
    </xf>
    <xf numFmtId="0" fontId="25" fillId="2" borderId="17" xfId="1" applyFont="1" applyFill="1" applyBorder="1" applyAlignment="1" applyProtection="1">
      <alignment horizontal="center" vertical="center" wrapText="1"/>
      <protection hidden="1"/>
    </xf>
    <xf numFmtId="0" fontId="25" fillId="2" borderId="18" xfId="1" applyFont="1" applyFill="1" applyBorder="1" applyAlignment="1" applyProtection="1">
      <alignment horizontal="center" vertical="center" wrapText="1"/>
      <protection hidden="1"/>
    </xf>
    <xf numFmtId="0" fontId="24" fillId="3" borderId="1" xfId="1" applyFont="1" applyFill="1" applyBorder="1" applyAlignment="1" applyProtection="1">
      <alignment horizontal="center" vertical="center"/>
      <protection hidden="1"/>
    </xf>
    <xf numFmtId="0" fontId="24" fillId="3" borderId="7" xfId="1" applyFont="1" applyFill="1" applyBorder="1" applyAlignment="1" applyProtection="1">
      <alignment horizontal="center" vertical="center"/>
      <protection hidden="1"/>
    </xf>
    <xf numFmtId="0" fontId="24" fillId="3" borderId="2" xfId="1" applyFont="1" applyFill="1" applyBorder="1" applyAlignment="1" applyProtection="1">
      <alignment horizontal="center" vertical="center"/>
      <protection hidden="1"/>
    </xf>
    <xf numFmtId="0" fontId="24" fillId="3" borderId="3" xfId="1" applyFont="1" applyFill="1" applyBorder="1" applyAlignment="1" applyProtection="1">
      <alignment horizontal="center" vertical="center"/>
      <protection hidden="1"/>
    </xf>
    <xf numFmtId="0" fontId="24" fillId="3" borderId="15" xfId="1" applyFont="1" applyFill="1" applyBorder="1" applyAlignment="1" applyProtection="1">
      <alignment horizontal="center" vertical="center"/>
      <protection hidden="1"/>
    </xf>
    <xf numFmtId="0" fontId="24" fillId="3" borderId="4" xfId="1" applyFont="1" applyFill="1" applyBorder="1" applyAlignment="1" applyProtection="1">
      <alignment horizontal="center" vertical="center"/>
      <protection hidden="1"/>
    </xf>
    <xf numFmtId="0" fontId="17" fillId="3" borderId="32" xfId="1" applyFont="1" applyFill="1" applyBorder="1" applyAlignment="1" applyProtection="1">
      <alignment horizontal="left" vertical="center"/>
      <protection hidden="1"/>
    </xf>
    <xf numFmtId="0" fontId="17" fillId="3" borderId="46" xfId="1" applyFont="1" applyFill="1" applyBorder="1" applyAlignment="1" applyProtection="1">
      <alignment horizontal="left" vertical="center"/>
      <protection hidden="1"/>
    </xf>
    <xf numFmtId="0" fontId="17" fillId="3" borderId="33" xfId="1" applyFont="1" applyFill="1" applyBorder="1" applyAlignment="1" applyProtection="1">
      <alignment horizontal="left" vertical="center"/>
      <protection hidden="1"/>
    </xf>
    <xf numFmtId="0" fontId="17" fillId="3" borderId="34" xfId="1" applyFont="1" applyFill="1" applyBorder="1" applyAlignment="1" applyProtection="1">
      <alignment horizontal="left" vertical="center"/>
      <protection hidden="1"/>
    </xf>
    <xf numFmtId="0" fontId="16" fillId="2" borderId="49" xfId="4" applyFont="1" applyFill="1" applyBorder="1" applyAlignment="1" applyProtection="1">
      <alignment horizontal="left" vertical="center"/>
      <protection hidden="1"/>
    </xf>
    <xf numFmtId="0" fontId="85" fillId="0" borderId="42" xfId="0" applyFont="1" applyBorder="1" applyAlignment="1" applyProtection="1">
      <alignment horizontal="left" vertical="center"/>
      <protection hidden="1"/>
    </xf>
    <xf numFmtId="0" fontId="85" fillId="0" borderId="23" xfId="0" applyFont="1" applyBorder="1" applyAlignment="1" applyProtection="1">
      <alignment horizontal="left" vertical="center"/>
      <protection hidden="1"/>
    </xf>
    <xf numFmtId="0" fontId="17" fillId="3" borderId="37" xfId="1" applyFont="1" applyFill="1" applyBorder="1" applyAlignment="1" applyProtection="1">
      <alignment horizontal="left" vertical="center"/>
      <protection hidden="1"/>
    </xf>
    <xf numFmtId="0" fontId="17" fillId="3" borderId="38" xfId="1" applyFont="1" applyFill="1" applyBorder="1" applyAlignment="1" applyProtection="1">
      <alignment horizontal="left" vertical="center"/>
      <protection hidden="1"/>
    </xf>
    <xf numFmtId="0" fontId="17" fillId="3" borderId="39" xfId="1" applyFont="1" applyFill="1" applyBorder="1" applyAlignment="1" applyProtection="1">
      <alignment horizontal="left" vertical="center"/>
      <protection hidden="1"/>
    </xf>
    <xf numFmtId="0" fontId="16" fillId="2" borderId="25" xfId="1" applyFont="1" applyFill="1" applyBorder="1" applyAlignment="1" applyProtection="1">
      <alignment horizontal="left" vertical="center"/>
      <protection hidden="1"/>
    </xf>
    <xf numFmtId="0" fontId="85" fillId="0" borderId="26" xfId="0" applyFont="1" applyBorder="1" applyAlignment="1" applyProtection="1">
      <alignment horizontal="left" vertical="center"/>
      <protection hidden="1"/>
    </xf>
    <xf numFmtId="0" fontId="14" fillId="3" borderId="0" xfId="1" applyFont="1" applyFill="1" applyAlignment="1" applyProtection="1">
      <alignment horizontal="center" vertical="center" wrapText="1"/>
      <protection hidden="1"/>
    </xf>
    <xf numFmtId="0" fontId="15" fillId="2" borderId="1" xfId="1" applyFont="1" applyFill="1" applyBorder="1" applyAlignment="1" applyProtection="1">
      <alignment horizontal="left" vertical="center"/>
      <protection hidden="1"/>
    </xf>
    <xf numFmtId="0" fontId="15" fillId="2" borderId="7" xfId="1" applyFont="1" applyFill="1" applyBorder="1" applyAlignment="1" applyProtection="1">
      <alignment horizontal="left" vertical="center"/>
      <protection hidden="1"/>
    </xf>
    <xf numFmtId="0" fontId="15" fillId="2" borderId="2" xfId="1" applyFont="1" applyFill="1" applyBorder="1" applyAlignment="1" applyProtection="1">
      <alignment horizontal="left" vertical="center"/>
      <protection hidden="1"/>
    </xf>
    <xf numFmtId="0" fontId="16" fillId="2" borderId="13" xfId="1" applyFont="1" applyFill="1" applyBorder="1" applyAlignment="1" applyProtection="1">
      <alignment horizontal="center" vertical="center" wrapText="1"/>
      <protection hidden="1"/>
    </xf>
    <xf numFmtId="0" fontId="16" fillId="2" borderId="0" xfId="1" applyFont="1" applyFill="1" applyAlignment="1" applyProtection="1">
      <alignment horizontal="center" vertical="center" wrapText="1"/>
      <protection hidden="1"/>
    </xf>
    <xf numFmtId="0" fontId="16" fillId="2" borderId="14" xfId="1" applyFont="1" applyFill="1" applyBorder="1" applyAlignment="1" applyProtection="1">
      <alignment horizontal="center" vertical="center" wrapText="1"/>
      <protection hidden="1"/>
    </xf>
    <xf numFmtId="0" fontId="16" fillId="2" borderId="3" xfId="1" applyFont="1" applyFill="1" applyBorder="1" applyAlignment="1" applyProtection="1">
      <alignment horizontal="center" vertical="center" wrapText="1"/>
      <protection hidden="1"/>
    </xf>
    <xf numFmtId="0" fontId="16" fillId="2" borderId="15" xfId="1" applyFont="1" applyFill="1" applyBorder="1" applyAlignment="1" applyProtection="1">
      <alignment horizontal="center" vertical="center" wrapText="1"/>
      <protection hidden="1"/>
    </xf>
    <xf numFmtId="0" fontId="16" fillId="2" borderId="4" xfId="1" applyFont="1" applyFill="1" applyBorder="1" applyAlignment="1" applyProtection="1">
      <alignment horizontal="center" vertical="center" wrapText="1"/>
      <protection hidden="1"/>
    </xf>
    <xf numFmtId="0" fontId="23" fillId="2" borderId="1" xfId="1" applyFont="1" applyFill="1" applyBorder="1" applyAlignment="1" applyProtection="1">
      <alignment horizontal="center" vertical="center" wrapText="1"/>
      <protection hidden="1"/>
    </xf>
    <xf numFmtId="0" fontId="23" fillId="2" borderId="7" xfId="1" applyFont="1" applyFill="1" applyBorder="1" applyAlignment="1" applyProtection="1">
      <alignment horizontal="center" vertical="center" wrapText="1"/>
      <protection hidden="1"/>
    </xf>
    <xf numFmtId="0" fontId="23" fillId="2" borderId="2" xfId="1" applyFont="1" applyFill="1" applyBorder="1" applyAlignment="1" applyProtection="1">
      <alignment horizontal="center" vertical="center" wrapText="1"/>
      <protection hidden="1"/>
    </xf>
    <xf numFmtId="0" fontId="20" fillId="2" borderId="13" xfId="1" applyFont="1" applyFill="1" applyBorder="1" applyAlignment="1" applyProtection="1">
      <alignment horizontal="center" vertical="center"/>
      <protection hidden="1"/>
    </xf>
    <xf numFmtId="0" fontId="20" fillId="2" borderId="0" xfId="1" applyFont="1" applyFill="1" applyAlignment="1" applyProtection="1">
      <alignment horizontal="center" vertical="center"/>
      <protection hidden="1"/>
    </xf>
    <xf numFmtId="0" fontId="20" fillId="2" borderId="14" xfId="1" applyFont="1" applyFill="1" applyBorder="1" applyAlignment="1" applyProtection="1">
      <alignment horizontal="center" vertical="center"/>
      <protection hidden="1"/>
    </xf>
    <xf numFmtId="0" fontId="29" fillId="2" borderId="15" xfId="1" applyFont="1" applyFill="1" applyBorder="1" applyAlignment="1" applyProtection="1">
      <alignment horizontal="center" vertical="center" wrapText="1"/>
      <protection hidden="1"/>
    </xf>
    <xf numFmtId="0" fontId="16" fillId="4" borderId="20" xfId="1" applyFont="1" applyFill="1" applyBorder="1" applyAlignment="1" applyProtection="1">
      <alignment horizontal="center" vertical="center"/>
      <protection locked="0"/>
    </xf>
    <xf numFmtId="0" fontId="16" fillId="2" borderId="26" xfId="1" applyFont="1" applyFill="1" applyBorder="1" applyAlignment="1" applyProtection="1">
      <alignment horizontal="left" vertical="center" wrapText="1"/>
      <protection hidden="1"/>
    </xf>
    <xf numFmtId="0" fontId="43" fillId="2" borderId="9" xfId="1" applyFont="1" applyFill="1" applyBorder="1" applyAlignment="1" applyProtection="1">
      <alignment horizontal="left" vertical="center" wrapText="1"/>
      <protection hidden="1"/>
    </xf>
    <xf numFmtId="0" fontId="18" fillId="2" borderId="27" xfId="1" applyFont="1" applyFill="1" applyBorder="1" applyAlignment="1" applyProtection="1">
      <alignment horizontal="left" vertical="center" wrapText="1"/>
      <protection hidden="1"/>
    </xf>
    <xf numFmtId="0" fontId="16" fillId="2" borderId="19" xfId="2" applyFont="1" applyFill="1" applyBorder="1" applyAlignment="1" applyProtection="1">
      <alignment horizontal="left" vertical="center"/>
      <protection hidden="1"/>
    </xf>
    <xf numFmtId="0" fontId="16" fillId="2" borderId="23" xfId="2" applyFont="1" applyFill="1" applyBorder="1" applyAlignment="1" applyProtection="1">
      <alignment horizontal="left" vertical="center"/>
      <protection hidden="1"/>
    </xf>
    <xf numFmtId="0" fontId="21" fillId="3" borderId="32" xfId="1" applyFont="1" applyFill="1" applyBorder="1" applyAlignment="1" applyProtection="1">
      <alignment horizontal="left" vertical="center"/>
      <protection hidden="1"/>
    </xf>
    <xf numFmtId="0" fontId="21" fillId="3" borderId="33" xfId="1" applyFont="1" applyFill="1" applyBorder="1" applyAlignment="1" applyProtection="1">
      <alignment horizontal="left" vertical="center"/>
      <protection hidden="1"/>
    </xf>
    <xf numFmtId="0" fontId="21" fillId="3" borderId="34" xfId="1" applyFont="1" applyFill="1" applyBorder="1" applyAlignment="1" applyProtection="1">
      <alignment horizontal="left" vertical="center"/>
      <protection hidden="1"/>
    </xf>
    <xf numFmtId="0" fontId="21" fillId="3" borderId="37" xfId="1" applyFont="1" applyFill="1" applyBorder="1" applyAlignment="1" applyProtection="1">
      <alignment horizontal="left" vertical="center"/>
      <protection hidden="1"/>
    </xf>
    <xf numFmtId="0" fontId="21" fillId="3" borderId="38" xfId="1" applyFont="1" applyFill="1" applyBorder="1" applyAlignment="1" applyProtection="1">
      <alignment horizontal="left" vertical="center"/>
      <protection hidden="1"/>
    </xf>
    <xf numFmtId="0" fontId="21" fillId="3" borderId="39" xfId="1" applyFont="1" applyFill="1" applyBorder="1" applyAlignment="1" applyProtection="1">
      <alignment horizontal="left" vertical="center"/>
      <protection hidden="1"/>
    </xf>
    <xf numFmtId="0" fontId="16" fillId="2" borderId="21" xfId="48" applyFont="1" applyFill="1" applyBorder="1" applyAlignment="1" applyProtection="1">
      <alignment horizontal="center" vertical="center"/>
      <protection hidden="1"/>
    </xf>
    <xf numFmtId="0" fontId="16" fillId="2" borderId="51" xfId="48" applyFont="1" applyFill="1" applyBorder="1" applyAlignment="1" applyProtection="1">
      <alignment horizontal="center" vertical="center"/>
      <protection hidden="1"/>
    </xf>
    <xf numFmtId="0" fontId="16" fillId="2" borderId="44" xfId="49" applyFont="1" applyFill="1" applyBorder="1" applyAlignment="1" applyProtection="1">
      <alignment horizontal="left" vertical="center" wrapText="1"/>
      <protection hidden="1"/>
    </xf>
    <xf numFmtId="0" fontId="16" fillId="2" borderId="44" xfId="48" applyFont="1" applyFill="1" applyBorder="1" applyAlignment="1" applyProtection="1">
      <alignment horizontal="left" vertical="center" wrapText="1"/>
      <protection hidden="1"/>
    </xf>
    <xf numFmtId="0" fontId="16" fillId="2" borderId="70" xfId="48" applyFont="1" applyFill="1" applyBorder="1" applyAlignment="1" applyProtection="1">
      <alignment horizontal="left" vertical="center" wrapText="1"/>
      <protection hidden="1"/>
    </xf>
    <xf numFmtId="0" fontId="30" fillId="2" borderId="19" xfId="1" applyFont="1" applyFill="1" applyBorder="1" applyAlignment="1" applyProtection="1">
      <alignment horizontal="left" vertical="center"/>
      <protection hidden="1"/>
    </xf>
    <xf numFmtId="0" fontId="30" fillId="2" borderId="23" xfId="1" applyFont="1" applyFill="1" applyBorder="1" applyAlignment="1" applyProtection="1">
      <alignment horizontal="left" vertical="center"/>
      <protection hidden="1"/>
    </xf>
    <xf numFmtId="0" fontId="30" fillId="2" borderId="21" xfId="1" applyFont="1" applyFill="1" applyBorder="1" applyAlignment="1" applyProtection="1">
      <alignment horizontal="left" vertical="center"/>
      <protection hidden="1"/>
    </xf>
    <xf numFmtId="0" fontId="30" fillId="2" borderId="24" xfId="1" applyFont="1" applyFill="1" applyBorder="1" applyAlignment="1" applyProtection="1">
      <alignment horizontal="left" vertical="center"/>
      <protection hidden="1"/>
    </xf>
    <xf numFmtId="0" fontId="16" fillId="2" borderId="22" xfId="2" applyFont="1" applyFill="1" applyBorder="1" applyAlignment="1" applyProtection="1">
      <alignment horizontal="left" vertical="center"/>
      <protection hidden="1"/>
    </xf>
    <xf numFmtId="0" fontId="16" fillId="2" borderId="26" xfId="2" applyFont="1" applyFill="1" applyBorder="1" applyAlignment="1" applyProtection="1">
      <alignment horizontal="left" vertical="center"/>
      <protection hidden="1"/>
    </xf>
    <xf numFmtId="0" fontId="16" fillId="2" borderId="19" xfId="1" applyFont="1" applyFill="1" applyBorder="1" applyAlignment="1" applyProtection="1">
      <alignment horizontal="center" vertical="center"/>
      <protection hidden="1"/>
    </xf>
    <xf numFmtId="0" fontId="16" fillId="2" borderId="27" xfId="1" applyFont="1" applyFill="1" applyBorder="1" applyAlignment="1" applyProtection="1">
      <alignment horizontal="center" vertical="center"/>
      <protection hidden="1"/>
    </xf>
    <xf numFmtId="0" fontId="16" fillId="2" borderId="35" xfId="2" applyFont="1" applyFill="1" applyBorder="1" applyAlignment="1" applyProtection="1">
      <alignment horizontal="center" vertical="center" wrapText="1"/>
      <protection hidden="1"/>
    </xf>
    <xf numFmtId="0" fontId="16" fillId="2" borderId="44" xfId="2" applyFont="1" applyFill="1" applyBorder="1" applyAlignment="1" applyProtection="1">
      <alignment horizontal="center" vertical="center"/>
      <protection hidden="1"/>
    </xf>
    <xf numFmtId="0" fontId="16" fillId="2" borderId="31" xfId="2" applyFont="1" applyFill="1" applyBorder="1" applyAlignment="1" applyProtection="1">
      <alignment horizontal="center" vertical="center"/>
      <protection hidden="1"/>
    </xf>
    <xf numFmtId="0" fontId="22" fillId="10" borderId="0" xfId="0" applyFont="1" applyFill="1" applyAlignment="1">
      <alignment horizontal="center" vertical="center"/>
    </xf>
    <xf numFmtId="0" fontId="25" fillId="0" borderId="19" xfId="0" applyFont="1" applyBorder="1" applyAlignment="1">
      <alignment horizontal="left" vertical="center"/>
    </xf>
    <xf numFmtId="0" fontId="25" fillId="0" borderId="20" xfId="0" applyFont="1" applyBorder="1" applyAlignment="1">
      <alignment horizontal="left" vertical="center"/>
    </xf>
    <xf numFmtId="0" fontId="25" fillId="0" borderId="27" xfId="0" applyFont="1" applyBorder="1" applyAlignment="1">
      <alignment horizontal="left" vertical="center"/>
    </xf>
    <xf numFmtId="0" fontId="16" fillId="4" borderId="5" xfId="0" applyFont="1" applyFill="1" applyBorder="1" applyAlignment="1" applyProtection="1">
      <alignment horizontal="center" vertical="center"/>
      <protection locked="0"/>
    </xf>
    <xf numFmtId="0" fontId="25" fillId="0" borderId="5" xfId="0" applyFont="1" applyBorder="1" applyAlignment="1">
      <alignment horizontal="left" vertical="center"/>
    </xf>
    <xf numFmtId="1" fontId="16" fillId="0" borderId="5" xfId="0" applyNumberFormat="1" applyFont="1" applyBorder="1" applyAlignment="1" applyProtection="1">
      <alignment horizontal="center" vertical="center"/>
      <protection hidden="1"/>
    </xf>
    <xf numFmtId="0" fontId="16" fillId="2" borderId="5" xfId="0" applyFont="1" applyFill="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16" fillId="0" borderId="5" xfId="0" applyFont="1" applyBorder="1" applyAlignment="1">
      <alignment horizontal="left" vertical="center"/>
    </xf>
    <xf numFmtId="2" fontId="16" fillId="0" borderId="5" xfId="0" applyNumberFormat="1" applyFont="1" applyBorder="1" applyAlignment="1" applyProtection="1">
      <alignment horizontal="center" vertical="center"/>
      <protection hidden="1"/>
    </xf>
    <xf numFmtId="0" fontId="16" fillId="0" borderId="0" xfId="0" applyFont="1" applyAlignment="1">
      <alignment horizontal="right" vertical="center"/>
    </xf>
    <xf numFmtId="0" fontId="16" fillId="0" borderId="0" xfId="0" applyFont="1" applyAlignment="1">
      <alignment horizontal="center" vertical="center"/>
    </xf>
    <xf numFmtId="0" fontId="16" fillId="4" borderId="19" xfId="0" applyFont="1" applyFill="1" applyBorder="1" applyAlignment="1" applyProtection="1">
      <alignment horizontal="center" vertical="center"/>
      <protection locked="0"/>
    </xf>
    <xf numFmtId="0" fontId="16" fillId="4" borderId="20" xfId="0" applyFont="1" applyFill="1" applyBorder="1" applyAlignment="1" applyProtection="1">
      <alignment horizontal="center" vertical="center"/>
      <protection locked="0"/>
    </xf>
    <xf numFmtId="0" fontId="16" fillId="4" borderId="27" xfId="0" applyFont="1" applyFill="1" applyBorder="1" applyAlignment="1" applyProtection="1">
      <alignment horizontal="center" vertical="center"/>
      <protection locked="0"/>
    </xf>
    <xf numFmtId="0" fontId="3" fillId="0" borderId="5" xfId="0" applyFont="1" applyBorder="1" applyAlignment="1">
      <alignment horizontal="left" vertical="center"/>
    </xf>
    <xf numFmtId="0" fontId="59" fillId="0" borderId="19" xfId="0" applyFont="1" applyBorder="1" applyAlignment="1">
      <alignment horizontal="left"/>
    </xf>
    <xf numFmtId="0" fontId="59" fillId="0" borderId="20" xfId="0" applyFont="1" applyBorder="1" applyAlignment="1">
      <alignment horizontal="left"/>
    </xf>
    <xf numFmtId="0" fontId="59" fillId="0" borderId="27" xfId="0" applyFont="1" applyBorder="1" applyAlignment="1">
      <alignment horizontal="left"/>
    </xf>
    <xf numFmtId="0" fontId="8" fillId="0" borderId="5" xfId="0" applyFont="1" applyBorder="1" applyAlignment="1">
      <alignment horizontal="left" vertical="center"/>
    </xf>
    <xf numFmtId="1" fontId="16" fillId="0" borderId="19" xfId="0" applyNumberFormat="1" applyFont="1" applyBorder="1" applyAlignment="1" applyProtection="1">
      <alignment horizontal="center" vertical="center"/>
      <protection hidden="1"/>
    </xf>
    <xf numFmtId="1" fontId="16" fillId="0" borderId="20" xfId="0" applyNumberFormat="1" applyFont="1" applyBorder="1" applyAlignment="1" applyProtection="1">
      <alignment horizontal="center" vertical="center"/>
      <protection hidden="1"/>
    </xf>
    <xf numFmtId="1" fontId="16" fillId="0" borderId="27" xfId="0" applyNumberFormat="1" applyFont="1" applyBorder="1" applyAlignment="1" applyProtection="1">
      <alignment horizontal="center" vertical="center"/>
      <protection hidden="1"/>
    </xf>
    <xf numFmtId="0" fontId="107" fillId="0" borderId="1" xfId="40" applyFont="1" applyBorder="1" applyAlignment="1">
      <alignment horizontal="center" vertical="center"/>
    </xf>
    <xf numFmtId="0" fontId="107" fillId="0" borderId="13" xfId="40" applyFont="1" applyBorder="1" applyAlignment="1">
      <alignment horizontal="center" vertical="center"/>
    </xf>
    <xf numFmtId="0" fontId="107" fillId="0" borderId="3" xfId="40" applyFont="1" applyBorder="1" applyAlignment="1">
      <alignment horizontal="center" vertical="center"/>
    </xf>
    <xf numFmtId="0" fontId="107" fillId="0" borderId="73" xfId="40" applyFont="1" applyBorder="1" applyAlignment="1">
      <alignment horizontal="center" vertical="center"/>
    </xf>
    <xf numFmtId="0" fontId="107" fillId="0" borderId="61" xfId="40" applyFont="1" applyBorder="1" applyAlignment="1">
      <alignment horizontal="center" vertical="center"/>
    </xf>
    <xf numFmtId="0" fontId="107" fillId="0" borderId="48" xfId="40" applyFont="1" applyBorder="1" applyAlignment="1">
      <alignment horizontal="center" vertical="center"/>
    </xf>
    <xf numFmtId="0" fontId="107" fillId="0" borderId="48" xfId="35" applyFont="1" applyBorder="1" applyAlignment="1">
      <alignment horizontal="center" vertical="center"/>
    </xf>
    <xf numFmtId="0" fontId="107" fillId="0" borderId="61" xfId="35" applyFont="1" applyBorder="1" applyAlignment="1">
      <alignment horizontal="center" vertical="center"/>
    </xf>
    <xf numFmtId="0" fontId="43" fillId="0" borderId="0" xfId="0" applyFont="1" applyAlignment="1">
      <alignment horizontal="center" vertical="center" wrapText="1"/>
    </xf>
    <xf numFmtId="0" fontId="107" fillId="0" borderId="1" xfId="35" applyFont="1" applyBorder="1" applyAlignment="1">
      <alignment horizontal="center" vertical="center"/>
    </xf>
    <xf numFmtId="0" fontId="107" fillId="0" borderId="13" xfId="35" applyFont="1" applyBorder="1" applyAlignment="1">
      <alignment horizontal="center" vertical="center"/>
    </xf>
    <xf numFmtId="0" fontId="107" fillId="0" borderId="3" xfId="35" applyFont="1" applyBorder="1" applyAlignment="1">
      <alignment horizontal="center" vertical="center"/>
    </xf>
    <xf numFmtId="0" fontId="109" fillId="0" borderId="48" xfId="0" applyFont="1" applyBorder="1" applyAlignment="1">
      <alignment horizontal="center" vertical="center"/>
    </xf>
    <xf numFmtId="0" fontId="109" fillId="0" borderId="13" xfId="0" applyFont="1" applyBorder="1" applyAlignment="1">
      <alignment horizontal="center" vertical="center"/>
    </xf>
    <xf numFmtId="0" fontId="109" fillId="0" borderId="3" xfId="0" applyFont="1" applyBorder="1" applyAlignment="1">
      <alignment horizontal="center" vertical="center"/>
    </xf>
    <xf numFmtId="0" fontId="37" fillId="6" borderId="16" xfId="3" applyFont="1" applyFill="1" applyBorder="1" applyAlignment="1">
      <alignment horizontal="center" vertical="center"/>
    </xf>
    <xf numFmtId="0" fontId="37" fillId="6" borderId="17" xfId="3" applyFont="1" applyFill="1" applyBorder="1" applyAlignment="1">
      <alignment horizontal="center" vertical="center"/>
    </xf>
    <xf numFmtId="0" fontId="37" fillId="6" borderId="18" xfId="3" applyFont="1" applyFill="1" applyBorder="1" applyAlignment="1">
      <alignment horizontal="center" vertical="center"/>
    </xf>
    <xf numFmtId="0" fontId="38" fillId="2" borderId="32" xfId="3" applyFont="1" applyFill="1" applyBorder="1" applyAlignment="1">
      <alignment horizontal="center" vertical="center"/>
    </xf>
    <xf numFmtId="0" fontId="38" fillId="2" borderId="8" xfId="3" applyFont="1" applyFill="1" applyBorder="1" applyAlignment="1">
      <alignment horizontal="center" vertical="center"/>
    </xf>
    <xf numFmtId="0" fontId="37" fillId="2" borderId="46" xfId="3" applyFont="1" applyFill="1" applyBorder="1" applyAlignment="1">
      <alignment horizontal="left" vertical="center"/>
    </xf>
    <xf numFmtId="0" fontId="37" fillId="2" borderId="33" xfId="3" applyFont="1" applyFill="1" applyBorder="1" applyAlignment="1">
      <alignment horizontal="left" vertical="center"/>
    </xf>
    <xf numFmtId="0" fontId="37" fillId="2" borderId="34" xfId="3" applyFont="1" applyFill="1" applyBorder="1" applyAlignment="1">
      <alignment horizontal="left" vertical="center"/>
    </xf>
    <xf numFmtId="0" fontId="37" fillId="2" borderId="27" xfId="3" applyFont="1" applyFill="1" applyBorder="1" applyAlignment="1">
      <alignment horizontal="left" vertical="center"/>
    </xf>
    <xf numFmtId="0" fontId="37" fillId="2" borderId="9" xfId="3" applyFont="1" applyFill="1" applyBorder="1" applyAlignment="1">
      <alignment horizontal="left" vertical="center"/>
    </xf>
    <xf numFmtId="0" fontId="38" fillId="2" borderId="32" xfId="3" applyFont="1" applyFill="1" applyBorder="1" applyAlignment="1">
      <alignment horizontal="center" vertical="center" wrapText="1"/>
    </xf>
    <xf numFmtId="0" fontId="38" fillId="2" borderId="45" xfId="3" applyFont="1" applyFill="1" applyBorder="1" applyAlignment="1">
      <alignment horizontal="center" vertical="center"/>
    </xf>
    <xf numFmtId="0" fontId="44" fillId="5" borderId="32" xfId="3" applyFont="1" applyFill="1" applyBorder="1" applyAlignment="1">
      <alignment horizontal="center" vertical="center"/>
    </xf>
    <xf numFmtId="0" fontId="23" fillId="5" borderId="33" xfId="3" applyFont="1" applyFill="1" applyBorder="1" applyAlignment="1">
      <alignment horizontal="center" vertical="center"/>
    </xf>
    <xf numFmtId="0" fontId="23" fillId="5" borderId="34" xfId="3" applyFont="1" applyFill="1" applyBorder="1" applyAlignment="1">
      <alignment horizontal="center" vertical="center"/>
    </xf>
    <xf numFmtId="0" fontId="29" fillId="2" borderId="11" xfId="3" applyFont="1" applyFill="1" applyBorder="1" applyAlignment="1">
      <alignment horizontal="left" vertical="center"/>
    </xf>
    <xf numFmtId="0" fontId="29" fillId="2" borderId="12" xfId="3" applyFont="1" applyFill="1" applyBorder="1" applyAlignment="1">
      <alignment horizontal="left" vertical="center"/>
    </xf>
    <xf numFmtId="0" fontId="25" fillId="0" borderId="0" xfId="0" applyFont="1" applyAlignment="1">
      <alignment horizontal="left" vertical="center"/>
    </xf>
    <xf numFmtId="0" fontId="21" fillId="3" borderId="37" xfId="1" applyFont="1" applyFill="1" applyBorder="1" applyAlignment="1">
      <alignment horizontal="left" vertical="center"/>
    </xf>
    <xf numFmtId="0" fontId="21" fillId="3" borderId="38" xfId="1" applyFont="1" applyFill="1" applyBorder="1" applyAlignment="1">
      <alignment horizontal="left" vertical="center"/>
    </xf>
    <xf numFmtId="0" fontId="21" fillId="3" borderId="39" xfId="1" applyFont="1" applyFill="1" applyBorder="1" applyAlignment="1">
      <alignment horizontal="left" vertical="center"/>
    </xf>
    <xf numFmtId="0" fontId="30" fillId="0" borderId="0" xfId="0" applyFont="1" applyAlignment="1">
      <alignment horizontal="left" vertical="center"/>
    </xf>
    <xf numFmtId="0" fontId="30" fillId="0" borderId="66" xfId="0" applyFont="1" applyBorder="1" applyAlignment="1">
      <alignment horizontal="left" vertical="center"/>
    </xf>
    <xf numFmtId="0" fontId="30" fillId="0" borderId="68" xfId="0" applyFont="1" applyBorder="1" applyAlignment="1">
      <alignment horizontal="left" vertical="center"/>
    </xf>
    <xf numFmtId="0" fontId="30" fillId="0" borderId="69" xfId="0" applyFont="1" applyBorder="1" applyAlignment="1">
      <alignment horizontal="left" vertical="center"/>
    </xf>
  </cellXfs>
  <cellStyles count="52">
    <cellStyle name="Normal" xfId="0" builtinId="0"/>
    <cellStyle name="Normal 2" xfId="1" xr:uid="{00000000-0005-0000-0000-000001000000}"/>
    <cellStyle name="Normal 2 2" xfId="5" xr:uid="{00000000-0005-0000-0000-000002000000}"/>
    <cellStyle name="Normal 2 2 2" xfId="23" xr:uid="{00000000-0005-0000-0000-000003000000}"/>
    <cellStyle name="Normal 2 2 2 2" xfId="40" xr:uid="{00000000-0005-0000-0000-000004000000}"/>
    <cellStyle name="Normal 2 2 3" xfId="13" xr:uid="{00000000-0005-0000-0000-000005000000}"/>
    <cellStyle name="Normal 2 2 4" xfId="31" xr:uid="{00000000-0005-0000-0000-000006000000}"/>
    <cellStyle name="Normal 2 2 5" xfId="48" xr:uid="{00000000-0005-0000-0000-000007000000}"/>
    <cellStyle name="Normal 2 3" xfId="19" xr:uid="{00000000-0005-0000-0000-000008000000}"/>
    <cellStyle name="Normal 2 3 2" xfId="36" xr:uid="{00000000-0005-0000-0000-000009000000}"/>
    <cellStyle name="Normal 2 4" xfId="9" xr:uid="{00000000-0005-0000-0000-00000A000000}"/>
    <cellStyle name="Normal 2 5" xfId="27" xr:uid="{00000000-0005-0000-0000-00000B000000}"/>
    <cellStyle name="Normal 2 6" xfId="44" xr:uid="{00000000-0005-0000-0000-00000C000000}"/>
    <cellStyle name="Normal 3" xfId="2" xr:uid="{00000000-0005-0000-0000-00000D000000}"/>
    <cellStyle name="Normal 3 2" xfId="6" xr:uid="{00000000-0005-0000-0000-00000E000000}"/>
    <cellStyle name="Normal 3 2 2" xfId="24" xr:uid="{00000000-0005-0000-0000-00000F000000}"/>
    <cellStyle name="Normal 3 2 2 2" xfId="41" xr:uid="{00000000-0005-0000-0000-000010000000}"/>
    <cellStyle name="Normal 3 2 3" xfId="14" xr:uid="{00000000-0005-0000-0000-000011000000}"/>
    <cellStyle name="Normal 3 2 4" xfId="32" xr:uid="{00000000-0005-0000-0000-000012000000}"/>
    <cellStyle name="Normal 3 2 5" xfId="49" xr:uid="{00000000-0005-0000-0000-000013000000}"/>
    <cellStyle name="Normal 3 3" xfId="20" xr:uid="{00000000-0005-0000-0000-000014000000}"/>
    <cellStyle name="Normal 3 3 2" xfId="37" xr:uid="{00000000-0005-0000-0000-000015000000}"/>
    <cellStyle name="Normal 3 4" xfId="10" xr:uid="{00000000-0005-0000-0000-000016000000}"/>
    <cellStyle name="Normal 3 5" xfId="28" xr:uid="{00000000-0005-0000-0000-000017000000}"/>
    <cellStyle name="Normal 3 6" xfId="45" xr:uid="{00000000-0005-0000-0000-000018000000}"/>
    <cellStyle name="Normal 4" xfId="3" xr:uid="{00000000-0005-0000-0000-000019000000}"/>
    <cellStyle name="Normal 4 2" xfId="7" xr:uid="{00000000-0005-0000-0000-00001A000000}"/>
    <cellStyle name="Normal 4 2 2" xfId="25" xr:uid="{00000000-0005-0000-0000-00001B000000}"/>
    <cellStyle name="Normal 4 2 2 2" xfId="42" xr:uid="{00000000-0005-0000-0000-00001C000000}"/>
    <cellStyle name="Normal 4 2 3" xfId="15" xr:uid="{00000000-0005-0000-0000-00001D000000}"/>
    <cellStyle name="Normal 4 2 4" xfId="33" xr:uid="{00000000-0005-0000-0000-00001E000000}"/>
    <cellStyle name="Normal 4 2 5" xfId="50" xr:uid="{00000000-0005-0000-0000-00001F000000}"/>
    <cellStyle name="Normal 4 3" xfId="21" xr:uid="{00000000-0005-0000-0000-000020000000}"/>
    <cellStyle name="Normal 4 3 2" xfId="38" xr:uid="{00000000-0005-0000-0000-000021000000}"/>
    <cellStyle name="Normal 4 4" xfId="11" xr:uid="{00000000-0005-0000-0000-000022000000}"/>
    <cellStyle name="Normal 4 5" xfId="29" xr:uid="{00000000-0005-0000-0000-000023000000}"/>
    <cellStyle name="Normal 4 6" xfId="46" xr:uid="{00000000-0005-0000-0000-000024000000}"/>
    <cellStyle name="Normal 5" xfId="4" xr:uid="{00000000-0005-0000-0000-000025000000}"/>
    <cellStyle name="Normal 5 2" xfId="8" xr:uid="{00000000-0005-0000-0000-000026000000}"/>
    <cellStyle name="Normal 5 2 2" xfId="26" xr:uid="{00000000-0005-0000-0000-000027000000}"/>
    <cellStyle name="Normal 5 2 2 2" xfId="43" xr:uid="{00000000-0005-0000-0000-000028000000}"/>
    <cellStyle name="Normal 5 2 3" xfId="16" xr:uid="{00000000-0005-0000-0000-000029000000}"/>
    <cellStyle name="Normal 5 2 4" xfId="34" xr:uid="{00000000-0005-0000-0000-00002A000000}"/>
    <cellStyle name="Normal 5 2 5" xfId="51" xr:uid="{00000000-0005-0000-0000-00002B000000}"/>
    <cellStyle name="Normal 5 3" xfId="22" xr:uid="{00000000-0005-0000-0000-00002C000000}"/>
    <cellStyle name="Normal 5 3 2" xfId="39" xr:uid="{00000000-0005-0000-0000-00002D000000}"/>
    <cellStyle name="Normal 5 4" xfId="12" xr:uid="{00000000-0005-0000-0000-00002E000000}"/>
    <cellStyle name="Normal 5 5" xfId="30" xr:uid="{00000000-0005-0000-0000-00002F000000}"/>
    <cellStyle name="Normal 5 6" xfId="47" xr:uid="{00000000-0005-0000-0000-000030000000}"/>
    <cellStyle name="Normal 6" xfId="18" xr:uid="{00000000-0005-0000-0000-000031000000}"/>
    <cellStyle name="Normal 7" xfId="17" xr:uid="{00000000-0005-0000-0000-000032000000}"/>
    <cellStyle name="Normal 7 2" xfId="35" xr:uid="{00000000-0005-0000-0000-000033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s>
  <tableStyles count="0" defaultTableStyle="TableStyleMedium2" defaultPivotStyle="PivotStyleLight16"/>
  <colors>
    <mruColors>
      <color rgb="FFFF00FF"/>
      <color rgb="FF0000FF"/>
      <color rgb="FF65DA24"/>
      <color rgb="FFFF66FF"/>
      <color rgb="FF15C926"/>
      <color rgb="FFCC00CC"/>
      <color rgb="FF00CCFF"/>
      <color rgb="FF336699"/>
      <color rgb="FF66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9.png"/><Relationship Id="rId4" Type="http://schemas.openxmlformats.org/officeDocument/2006/relationships/image" Target="../media/image8.GIF"/></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5.xml.rels><?xml version="1.0" encoding="UTF-8" standalone="yes"?>
<Relationships xmlns="http://schemas.openxmlformats.org/package/2006/relationships"><Relationship Id="rId1" Type="http://schemas.openxmlformats.org/officeDocument/2006/relationships/image" Target="../media/image1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7</xdr:col>
      <xdr:colOff>159543</xdr:colOff>
      <xdr:row>10</xdr:row>
      <xdr:rowOff>492936</xdr:rowOff>
    </xdr:from>
    <xdr:to>
      <xdr:col>13</xdr:col>
      <xdr:colOff>91916</xdr:colOff>
      <xdr:row>20</xdr:row>
      <xdr:rowOff>58063</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1893" y="2893236"/>
          <a:ext cx="3643313" cy="22892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169069</xdr:colOff>
      <xdr:row>20</xdr:row>
      <xdr:rowOff>114457</xdr:rowOff>
    </xdr:from>
    <xdr:to>
      <xdr:col>13</xdr:col>
      <xdr:colOff>93821</xdr:colOff>
      <xdr:row>30</xdr:row>
      <xdr:rowOff>134119</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351419" y="5248432"/>
          <a:ext cx="3643312" cy="2210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89646</xdr:colOff>
      <xdr:row>45</xdr:row>
      <xdr:rowOff>72076</xdr:rowOff>
    </xdr:from>
    <xdr:to>
      <xdr:col>14</xdr:col>
      <xdr:colOff>130800</xdr:colOff>
      <xdr:row>60</xdr:row>
      <xdr:rowOff>91915</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271996" y="10635301"/>
          <a:ext cx="4367409" cy="33021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66743</xdr:colOff>
      <xdr:row>170</xdr:row>
      <xdr:rowOff>57967</xdr:rowOff>
    </xdr:from>
    <xdr:to>
      <xdr:col>12</xdr:col>
      <xdr:colOff>515778</xdr:colOff>
      <xdr:row>181</xdr:row>
      <xdr:rowOff>112123</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487343" y="37062592"/>
          <a:ext cx="4152355" cy="2359206"/>
        </a:xfrm>
        <a:prstGeom prst="rect">
          <a:avLst/>
        </a:prstGeom>
      </xdr:spPr>
    </xdr:pic>
    <xdr:clientData/>
  </xdr:twoCellAnchor>
  <xdr:twoCellAnchor>
    <xdr:from>
      <xdr:col>6</xdr:col>
      <xdr:colOff>65796</xdr:colOff>
      <xdr:row>99</xdr:row>
      <xdr:rowOff>30630</xdr:rowOff>
    </xdr:from>
    <xdr:to>
      <xdr:col>11</xdr:col>
      <xdr:colOff>555172</xdr:colOff>
      <xdr:row>108</xdr:row>
      <xdr:rowOff>130618</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2143496" y="23643105"/>
          <a:ext cx="3489751" cy="2157388"/>
          <a:chOff x="12172572" y="19977137"/>
          <a:chExt cx="3493546" cy="1882737"/>
        </a:xfrm>
      </xdr:grpSpPr>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96" b="11040"/>
          <a:stretch/>
        </xdr:blipFill>
        <xdr:spPr>
          <a:xfrm>
            <a:off x="12172572" y="19977137"/>
            <a:ext cx="3493546" cy="1882737"/>
          </a:xfrm>
          <a:prstGeom prst="rect">
            <a:avLst/>
          </a:prstGeom>
        </xdr:spPr>
      </xdr:pic>
      <xdr:sp macro="" textlink="">
        <xdr:nvSpPr>
          <xdr:cNvPr id="17" name="TextBox 56">
            <a:extLst>
              <a:ext uri="{FF2B5EF4-FFF2-40B4-BE49-F238E27FC236}">
                <a16:creationId xmlns:a16="http://schemas.microsoft.com/office/drawing/2014/main" id="{00000000-0008-0000-0100-000011000000}"/>
              </a:ext>
            </a:extLst>
          </xdr:cNvPr>
          <xdr:cNvSpPr txBox="1"/>
        </xdr:nvSpPr>
        <xdr:spPr>
          <a:xfrm>
            <a:off x="13109998" y="20446575"/>
            <a:ext cx="1723818" cy="296817"/>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FFFF00"/>
                </a:solidFill>
              </a:rPr>
              <a:t>Voltage across R</a:t>
            </a:r>
            <a:r>
              <a:rPr lang="en-US" sz="1200" b="1">
                <a:solidFill>
                  <a:srgbClr val="FFFF00"/>
                </a:solidFill>
              </a:rPr>
              <a:t>cs</a:t>
            </a:r>
            <a:endParaRPr lang="en-US" sz="1200" b="1" baseline="-25000">
              <a:solidFill>
                <a:srgbClr val="FFFF00"/>
              </a:solidFill>
            </a:endParaRPr>
          </a:p>
        </xdr:txBody>
      </xdr:sp>
      <xdr:sp macro="" textlink="">
        <xdr:nvSpPr>
          <xdr:cNvPr id="18" name="TextBox 56">
            <a:extLst>
              <a:ext uri="{FF2B5EF4-FFF2-40B4-BE49-F238E27FC236}">
                <a16:creationId xmlns:a16="http://schemas.microsoft.com/office/drawing/2014/main" id="{00000000-0008-0000-0100-000012000000}"/>
              </a:ext>
            </a:extLst>
          </xdr:cNvPr>
          <xdr:cNvSpPr txBox="1"/>
        </xdr:nvSpPr>
        <xdr:spPr>
          <a:xfrm>
            <a:off x="13081395" y="21021056"/>
            <a:ext cx="2028853" cy="41477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00CCFF"/>
                </a:solidFill>
              </a:rPr>
              <a:t>V</a:t>
            </a:r>
            <a:r>
              <a:rPr lang="en-US" sz="1000" b="1">
                <a:solidFill>
                  <a:srgbClr val="00CCFF"/>
                </a:solidFill>
              </a:rPr>
              <a:t>GS</a:t>
            </a:r>
            <a:r>
              <a:rPr lang="en-US" sz="1400" b="1" baseline="0">
                <a:solidFill>
                  <a:srgbClr val="00CCFF"/>
                </a:solidFill>
              </a:rPr>
              <a:t> </a:t>
            </a:r>
            <a:r>
              <a:rPr lang="en-US" sz="1400" b="1">
                <a:solidFill>
                  <a:srgbClr val="00CCFF"/>
                </a:solidFill>
              </a:rPr>
              <a:t>of low-side MOSFET</a:t>
            </a:r>
            <a:endParaRPr lang="en-US" sz="1400" b="1" baseline="-25000">
              <a:solidFill>
                <a:srgbClr val="00CCFF"/>
              </a:solidFill>
            </a:endParaRPr>
          </a:p>
        </xdr:txBody>
      </xdr:sp>
    </xdr:grpSp>
    <xdr:clientData/>
  </xdr:twoCellAnchor>
  <xdr:twoCellAnchor>
    <xdr:from>
      <xdr:col>6</xdr:col>
      <xdr:colOff>110217</xdr:colOff>
      <xdr:row>79</xdr:row>
      <xdr:rowOff>17690</xdr:rowOff>
    </xdr:from>
    <xdr:to>
      <xdr:col>12</xdr:col>
      <xdr:colOff>228600</xdr:colOff>
      <xdr:row>90</xdr:row>
      <xdr:rowOff>152400</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12187917" y="18715265"/>
          <a:ext cx="3718833" cy="2916010"/>
          <a:chOff x="12549847" y="15476746"/>
          <a:chExt cx="3833137" cy="2020664"/>
        </a:xfrm>
      </xdr:grpSpPr>
      <mc:AlternateContent xmlns:mc="http://schemas.openxmlformats.org/markup-compatibility/2006">
        <mc:Choice xmlns:a14="http://schemas.microsoft.com/office/drawing/2010/main" Requires="a14">
          <xdr:sp macro="" textlink="">
            <xdr:nvSpPr>
              <xdr:cNvPr id="4173" name="Object 77" hidden="1">
                <a:extLst>
                  <a:ext uri="{63B3BB69-23CF-44E3-9099-C40C66FF867C}">
                    <a14:compatExt spid="_x0000_s4173"/>
                  </a:ext>
                  <a:ext uri="{FF2B5EF4-FFF2-40B4-BE49-F238E27FC236}">
                    <a16:creationId xmlns:a16="http://schemas.microsoft.com/office/drawing/2014/main" id="{00000000-0008-0000-0100-00004D100000}"/>
                  </a:ext>
                </a:extLst>
              </xdr:cNvPr>
              <xdr:cNvSpPr/>
            </xdr:nvSpPr>
            <xdr:spPr bwMode="auto">
              <a:xfrm>
                <a:off x="12549847" y="15476746"/>
                <a:ext cx="3833137" cy="2020664"/>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19" name="TextBox 56">
            <a:extLst>
              <a:ext uri="{FF2B5EF4-FFF2-40B4-BE49-F238E27FC236}">
                <a16:creationId xmlns:a16="http://schemas.microsoft.com/office/drawing/2014/main" id="{00000000-0008-0000-0100-000013000000}"/>
              </a:ext>
            </a:extLst>
          </xdr:cNvPr>
          <xdr:cNvSpPr txBox="1"/>
        </xdr:nvSpPr>
        <xdr:spPr>
          <a:xfrm>
            <a:off x="13740184" y="16170269"/>
            <a:ext cx="2347392" cy="432749"/>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400" b="1">
                <a:solidFill>
                  <a:srgbClr val="CC00CC"/>
                </a:solidFill>
              </a:rPr>
              <a:t>Current of primary winding</a:t>
            </a:r>
            <a:endParaRPr lang="en-US" sz="1200" b="1" baseline="-25000">
              <a:solidFill>
                <a:srgbClr val="CC00CC"/>
              </a:solidFill>
            </a:endParaRPr>
          </a:p>
        </xdr:txBody>
      </xdr:sp>
    </xdr:grpSp>
    <xdr:clientData/>
  </xdr:twoCellAnchor>
  <xdr:twoCellAnchor>
    <xdr:from>
      <xdr:col>6</xdr:col>
      <xdr:colOff>114840</xdr:colOff>
      <xdr:row>32</xdr:row>
      <xdr:rowOff>175873</xdr:rowOff>
    </xdr:from>
    <xdr:to>
      <xdr:col>12</xdr:col>
      <xdr:colOff>262320</xdr:colOff>
      <xdr:row>40</xdr:row>
      <xdr:rowOff>13538</xdr:rowOff>
    </xdr:to>
    <xdr:grpSp>
      <xdr:nvGrpSpPr>
        <xdr:cNvPr id="26" name="Group 25">
          <a:extLst>
            <a:ext uri="{FF2B5EF4-FFF2-40B4-BE49-F238E27FC236}">
              <a16:creationId xmlns:a16="http://schemas.microsoft.com/office/drawing/2014/main" id="{00000000-0008-0000-0100-00001A000000}"/>
            </a:ext>
          </a:extLst>
        </xdr:cNvPr>
        <xdr:cNvGrpSpPr/>
      </xdr:nvGrpSpPr>
      <xdr:grpSpPr>
        <a:xfrm>
          <a:off x="12192540" y="7757773"/>
          <a:ext cx="3747930" cy="1742665"/>
          <a:chOff x="12534896" y="4605000"/>
          <a:chExt cx="4336302" cy="1467528"/>
        </a:xfrm>
      </xdr:grpSpPr>
      <xdr:grpSp>
        <xdr:nvGrpSpPr>
          <xdr:cNvPr id="2" name="Group 1">
            <a:extLst>
              <a:ext uri="{FF2B5EF4-FFF2-40B4-BE49-F238E27FC236}">
                <a16:creationId xmlns:a16="http://schemas.microsoft.com/office/drawing/2014/main" id="{00000000-0008-0000-0100-000002000000}"/>
              </a:ext>
            </a:extLst>
          </xdr:cNvPr>
          <xdr:cNvGrpSpPr/>
        </xdr:nvGrpSpPr>
        <xdr:grpSpPr>
          <a:xfrm>
            <a:off x="12534896" y="4605000"/>
            <a:ext cx="4336302" cy="1467528"/>
            <a:chOff x="12324867" y="5674179"/>
            <a:chExt cx="2946381" cy="1454389"/>
          </a:xfrm>
          <a:solidFill>
            <a:schemeClr val="bg1"/>
          </a:solidFill>
        </xdr:grpSpPr>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5268" r="48290" b="56663"/>
            <a:stretch/>
          </xdr:blipFill>
          <xdr:spPr>
            <a:xfrm>
              <a:off x="12324867" y="5674179"/>
              <a:ext cx="2140597" cy="1450627"/>
            </a:xfrm>
            <a:prstGeom prst="rect">
              <a:avLst/>
            </a:prstGeom>
            <a:grpFill/>
          </xdr:spPr>
        </xdr:pic>
        <xdr:sp macro="" textlink="">
          <xdr:nvSpPr>
            <xdr:cNvPr id="13" name="TextBox 56">
              <a:extLst>
                <a:ext uri="{FF2B5EF4-FFF2-40B4-BE49-F238E27FC236}">
                  <a16:creationId xmlns:a16="http://schemas.microsoft.com/office/drawing/2014/main" id="{00000000-0008-0000-0100-00000D000000}"/>
                </a:ext>
              </a:extLst>
            </xdr:cNvPr>
            <xdr:cNvSpPr txBox="1"/>
          </xdr:nvSpPr>
          <xdr:spPr>
            <a:xfrm>
              <a:off x="14475258" y="5980811"/>
              <a:ext cx="795990" cy="529086"/>
            </a:xfrm>
            <a:prstGeom prst="rect">
              <a:avLst/>
            </a:prstGeom>
            <a:grp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00B050"/>
                  </a:solidFill>
                </a:rPr>
                <a:t>Δ</a:t>
              </a:r>
              <a:r>
                <a:rPr lang="en-US" sz="1600" b="1">
                  <a:solidFill>
                    <a:srgbClr val="00B050"/>
                  </a:solidFill>
                </a:rPr>
                <a:t>V</a:t>
              </a:r>
              <a:r>
                <a:rPr lang="en-US" sz="1600" b="1" baseline="-25000">
                  <a:solidFill>
                    <a:srgbClr val="00B050"/>
                  </a:solidFill>
                </a:rPr>
                <a:t>o(ABM)</a:t>
              </a:r>
            </a:p>
          </xdr:txBody>
        </xdr:sp>
        <xdr:sp macro="" textlink="">
          <xdr:nvSpPr>
            <xdr:cNvPr id="14" name="TextBox 57">
              <a:extLst>
                <a:ext uri="{FF2B5EF4-FFF2-40B4-BE49-F238E27FC236}">
                  <a16:creationId xmlns:a16="http://schemas.microsoft.com/office/drawing/2014/main" id="{00000000-0008-0000-0100-00000E000000}"/>
                </a:ext>
              </a:extLst>
            </xdr:cNvPr>
            <xdr:cNvSpPr txBox="1"/>
          </xdr:nvSpPr>
          <xdr:spPr>
            <a:xfrm>
              <a:off x="12709909" y="6749933"/>
              <a:ext cx="771137" cy="37863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l-GR" sz="1600" b="1">
                  <a:solidFill>
                    <a:srgbClr val="7030A0"/>
                  </a:solidFill>
                </a:rPr>
                <a:t>Δ</a:t>
              </a:r>
              <a:r>
                <a:rPr lang="en-US" sz="1600" b="1">
                  <a:solidFill>
                    <a:srgbClr val="7030A0"/>
                  </a:solidFill>
                </a:rPr>
                <a:t>i</a:t>
              </a:r>
              <a:r>
                <a:rPr lang="en-US" sz="1600" b="1" baseline="-25000">
                  <a:solidFill>
                    <a:srgbClr val="7030A0"/>
                  </a:solidFill>
                </a:rPr>
                <a:t>FB(ABM)</a:t>
              </a:r>
            </a:p>
          </xdr:txBody>
        </xdr:sp>
      </xdr:grpSp>
      <xdr:grpSp>
        <xdr:nvGrpSpPr>
          <xdr:cNvPr id="24" name="Group 23">
            <a:extLst>
              <a:ext uri="{FF2B5EF4-FFF2-40B4-BE49-F238E27FC236}">
                <a16:creationId xmlns:a16="http://schemas.microsoft.com/office/drawing/2014/main" id="{00000000-0008-0000-0100-000018000000}"/>
              </a:ext>
            </a:extLst>
          </xdr:cNvPr>
          <xdr:cNvGrpSpPr/>
        </xdr:nvGrpSpPr>
        <xdr:grpSpPr>
          <a:xfrm>
            <a:off x="15144206" y="4618103"/>
            <a:ext cx="424790" cy="1112906"/>
            <a:chOff x="15144206" y="4618103"/>
            <a:chExt cx="424790" cy="1112906"/>
          </a:xfrm>
        </xdr:grpSpPr>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H="1" flipV="1">
              <a:off x="15452080" y="4618103"/>
              <a:ext cx="8965" cy="1112906"/>
            </a:xfrm>
            <a:prstGeom prst="straightConnector1">
              <a:avLst/>
            </a:prstGeom>
            <a:ln w="38100">
              <a:solidFill>
                <a:srgbClr val="00B050"/>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00000000-0008-0000-0100-00000B000000}"/>
                </a:ext>
              </a:extLst>
            </xdr:cNvPr>
            <xdr:cNvCxnSpPr/>
          </xdr:nvCxnSpPr>
          <xdr:spPr>
            <a:xfrm flipV="1">
              <a:off x="15144206" y="4622241"/>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Connector 24">
              <a:extLst>
                <a:ext uri="{FF2B5EF4-FFF2-40B4-BE49-F238E27FC236}">
                  <a16:creationId xmlns:a16="http://schemas.microsoft.com/office/drawing/2014/main" id="{00000000-0008-0000-0100-000019000000}"/>
                </a:ext>
              </a:extLst>
            </xdr:cNvPr>
            <xdr:cNvCxnSpPr/>
          </xdr:nvCxnSpPr>
          <xdr:spPr>
            <a:xfrm flipV="1">
              <a:off x="15151822" y="5728406"/>
              <a:ext cx="417174" cy="201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6</xdr:col>
      <xdr:colOff>114299</xdr:colOff>
      <xdr:row>66</xdr:row>
      <xdr:rowOff>209549</xdr:rowOff>
    </xdr:from>
    <xdr:to>
      <xdr:col>13</xdr:col>
      <xdr:colOff>74174</xdr:colOff>
      <xdr:row>78</xdr:row>
      <xdr:rowOff>93345</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639674" y="14211299"/>
          <a:ext cx="4293751" cy="2409826"/>
        </a:xfrm>
        <a:prstGeom prst="rect">
          <a:avLst/>
        </a:prstGeom>
      </xdr:spPr>
    </xdr:pic>
    <xdr:clientData/>
  </xdr:twoCellAnchor>
  <xdr:twoCellAnchor editAs="oneCell">
    <xdr:from>
      <xdr:col>6</xdr:col>
      <xdr:colOff>200025</xdr:colOff>
      <xdr:row>158</xdr:row>
      <xdr:rowOff>53340</xdr:rowOff>
    </xdr:from>
    <xdr:to>
      <xdr:col>9</xdr:col>
      <xdr:colOff>479487</xdr:colOff>
      <xdr:row>167</xdr:row>
      <xdr:rowOff>95250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5"/>
        <a:stretch>
          <a:fillRect/>
        </a:stretch>
      </xdr:blipFill>
      <xdr:spPr>
        <a:xfrm>
          <a:off x="12620625" y="33867090"/>
          <a:ext cx="2144457" cy="1946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20525</xdr:colOff>
      <xdr:row>2</xdr:row>
      <xdr:rowOff>15240</xdr:rowOff>
    </xdr:from>
    <xdr:to>
      <xdr:col>11</xdr:col>
      <xdr:colOff>58249</xdr:colOff>
      <xdr:row>10</xdr:row>
      <xdr:rowOff>2771</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78575" y="377190"/>
          <a:ext cx="3081914" cy="1682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169407</xdr:colOff>
      <xdr:row>9</xdr:row>
      <xdr:rowOff>161232</xdr:rowOff>
    </xdr:from>
    <xdr:to>
      <xdr:col>10</xdr:col>
      <xdr:colOff>400064</xdr:colOff>
      <xdr:row>17</xdr:row>
      <xdr:rowOff>133350</xdr:rowOff>
    </xdr:to>
    <xdr:pic>
      <xdr:nvPicPr>
        <xdr:cNvPr id="4" name="Picture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7457" y="2009082"/>
          <a:ext cx="2665247" cy="1844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38100</xdr:colOff>
      <xdr:row>20</xdr:row>
      <xdr:rowOff>152400</xdr:rowOff>
    </xdr:from>
    <xdr:to>
      <xdr:col>11</xdr:col>
      <xdr:colOff>382026</xdr:colOff>
      <xdr:row>28</xdr:row>
      <xdr:rowOff>94233</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96150" y="4467225"/>
          <a:ext cx="3391926" cy="1945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83820</xdr:colOff>
      <xdr:row>26</xdr:row>
      <xdr:rowOff>76200</xdr:rowOff>
    </xdr:from>
    <xdr:to>
      <xdr:col>11</xdr:col>
      <xdr:colOff>312420</xdr:colOff>
      <xdr:row>27</xdr:row>
      <xdr:rowOff>167640</xdr:rowOff>
    </xdr:to>
    <xdr:sp macro="" textlink="">
      <xdr:nvSpPr>
        <xdr:cNvPr id="10" name="U-Turn Arrow 9">
          <a:extLst>
            <a:ext uri="{FF2B5EF4-FFF2-40B4-BE49-F238E27FC236}">
              <a16:creationId xmlns:a16="http://schemas.microsoft.com/office/drawing/2014/main" id="{00000000-0008-0000-0300-00000A000000}"/>
            </a:ext>
          </a:extLst>
        </xdr:cNvPr>
        <xdr:cNvSpPr/>
      </xdr:nvSpPr>
      <xdr:spPr>
        <a:xfrm>
          <a:off x="2278380" y="8549640"/>
          <a:ext cx="4069080" cy="281940"/>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1</xdr:col>
      <xdr:colOff>7731</xdr:colOff>
      <xdr:row>28</xdr:row>
      <xdr:rowOff>15239</xdr:rowOff>
    </xdr:from>
    <xdr:to>
      <xdr:col>8</xdr:col>
      <xdr:colOff>134471</xdr:colOff>
      <xdr:row>38</xdr:row>
      <xdr:rowOff>67234</xdr:rowOff>
    </xdr:to>
    <xdr:grpSp>
      <xdr:nvGrpSpPr>
        <xdr:cNvPr id="24" name="Group 23">
          <a:extLst>
            <a:ext uri="{FF2B5EF4-FFF2-40B4-BE49-F238E27FC236}">
              <a16:creationId xmlns:a16="http://schemas.microsoft.com/office/drawing/2014/main" id="{00000000-0008-0000-0300-000018000000}"/>
            </a:ext>
          </a:extLst>
        </xdr:cNvPr>
        <xdr:cNvGrpSpPr/>
      </xdr:nvGrpSpPr>
      <xdr:grpSpPr>
        <a:xfrm>
          <a:off x="255381" y="6101714"/>
          <a:ext cx="4355840" cy="1956995"/>
          <a:chOff x="299084" y="13070092"/>
          <a:chExt cx="4416767" cy="1956995"/>
        </a:xfrm>
      </xdr:grpSpPr>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9084" y="13070092"/>
            <a:ext cx="4416767" cy="1956995"/>
          </a:xfrm>
          <a:prstGeom prst="rect">
            <a:avLst/>
          </a:prstGeom>
        </xdr:spPr>
      </xdr:pic>
      <xdr:sp macro="" textlink="">
        <xdr:nvSpPr>
          <xdr:cNvPr id="11" name="Oval 10">
            <a:extLst>
              <a:ext uri="{FF2B5EF4-FFF2-40B4-BE49-F238E27FC236}">
                <a16:creationId xmlns:a16="http://schemas.microsoft.com/office/drawing/2014/main" id="{00000000-0008-0000-0300-00000B000000}"/>
              </a:ext>
            </a:extLst>
          </xdr:cNvPr>
          <xdr:cNvSpPr/>
        </xdr:nvSpPr>
        <xdr:spPr>
          <a:xfrm>
            <a:off x="1714500" y="14037833"/>
            <a:ext cx="866663" cy="518608"/>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8</xdr:col>
      <xdr:colOff>431048</xdr:colOff>
      <xdr:row>28</xdr:row>
      <xdr:rowOff>12839</xdr:rowOff>
    </xdr:from>
    <xdr:to>
      <xdr:col>15</xdr:col>
      <xdr:colOff>432450</xdr:colOff>
      <xdr:row>38</xdr:row>
      <xdr:rowOff>67234</xdr:rowOff>
    </xdr:to>
    <xdr:grpSp>
      <xdr:nvGrpSpPr>
        <xdr:cNvPr id="25" name="Group 24">
          <a:extLst>
            <a:ext uri="{FF2B5EF4-FFF2-40B4-BE49-F238E27FC236}">
              <a16:creationId xmlns:a16="http://schemas.microsoft.com/office/drawing/2014/main" id="{00000000-0008-0000-0300-000019000000}"/>
            </a:ext>
          </a:extLst>
        </xdr:cNvPr>
        <xdr:cNvGrpSpPr/>
      </xdr:nvGrpSpPr>
      <xdr:grpSpPr>
        <a:xfrm>
          <a:off x="4907798" y="6099314"/>
          <a:ext cx="4592452" cy="1959395"/>
          <a:chOff x="5182342" y="13067692"/>
          <a:chExt cx="4394108" cy="1959395"/>
        </a:xfrm>
      </xdr:grpSpPr>
      <xdr:pic>
        <xdr:nvPicPr>
          <xdr:cNvPr id="8" name="Pictur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82342" y="13067692"/>
            <a:ext cx="4394108" cy="1959395"/>
          </a:xfrm>
          <a:prstGeom prst="rect">
            <a:avLst/>
          </a:prstGeom>
        </xdr:spPr>
      </xdr:pic>
      <xdr:sp macro="" textlink="">
        <xdr:nvSpPr>
          <xdr:cNvPr id="12" name="Oval 11">
            <a:extLst>
              <a:ext uri="{FF2B5EF4-FFF2-40B4-BE49-F238E27FC236}">
                <a16:creationId xmlns:a16="http://schemas.microsoft.com/office/drawing/2014/main" id="{00000000-0008-0000-0300-00000C000000}"/>
              </a:ext>
            </a:extLst>
          </xdr:cNvPr>
          <xdr:cNvSpPr/>
        </xdr:nvSpPr>
        <xdr:spPr>
          <a:xfrm>
            <a:off x="6459070" y="14113136"/>
            <a:ext cx="735105" cy="432099"/>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14</xdr:col>
      <xdr:colOff>86994</xdr:colOff>
      <xdr:row>4</xdr:row>
      <xdr:rowOff>77067</xdr:rowOff>
    </xdr:from>
    <xdr:to>
      <xdr:col>19</xdr:col>
      <xdr:colOff>379325</xdr:colOff>
      <xdr:row>13</xdr:row>
      <xdr:rowOff>133309</xdr:rowOff>
    </xdr:to>
    <xdr:pic>
      <xdr:nvPicPr>
        <xdr:cNvPr id="17" name="Picture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3"/>
        <a:stretch>
          <a:fillRect/>
        </a:stretch>
      </xdr:blipFill>
      <xdr:spPr>
        <a:xfrm>
          <a:off x="8547435" y="4615449"/>
          <a:ext cx="3396361" cy="2329827"/>
        </a:xfrm>
        <a:prstGeom prst="rect">
          <a:avLst/>
        </a:prstGeom>
      </xdr:spPr>
    </xdr:pic>
    <xdr:clientData/>
  </xdr:twoCellAnchor>
  <xdr:oneCellAnchor>
    <xdr:from>
      <xdr:col>1</xdr:col>
      <xdr:colOff>121920</xdr:colOff>
      <xdr:row>46</xdr:row>
      <xdr:rowOff>45720</xdr:rowOff>
    </xdr:from>
    <xdr:ext cx="4977628" cy="1636371"/>
    <xdr:pic>
      <xdr:nvPicPr>
        <xdr:cNvPr id="26" name="Picture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4"/>
        <a:stretch>
          <a:fillRect/>
        </a:stretch>
      </xdr:blipFill>
      <xdr:spPr>
        <a:xfrm>
          <a:off x="426720" y="8365375"/>
          <a:ext cx="4977628" cy="1636371"/>
        </a:xfrm>
        <a:prstGeom prst="rect">
          <a:avLst/>
        </a:prstGeom>
        <a:ln>
          <a:solidFill>
            <a:srgbClr val="000000"/>
          </a:solidFill>
        </a:ln>
      </xdr:spPr>
    </xdr:pic>
    <xdr:clientData/>
  </xdr:oneCellAnchor>
  <xdr:oneCellAnchor>
    <xdr:from>
      <xdr:col>9</xdr:col>
      <xdr:colOff>50536</xdr:colOff>
      <xdr:row>46</xdr:row>
      <xdr:rowOff>38548</xdr:rowOff>
    </xdr:from>
    <xdr:ext cx="5068719" cy="1646701"/>
    <xdr:pic>
      <xdr:nvPicPr>
        <xdr:cNvPr id="27" name="Picture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5"/>
        <a:stretch>
          <a:fillRect/>
        </a:stretch>
      </xdr:blipFill>
      <xdr:spPr>
        <a:xfrm>
          <a:off x="5620063" y="15327039"/>
          <a:ext cx="5068719" cy="1646701"/>
        </a:xfrm>
        <a:prstGeom prst="rect">
          <a:avLst/>
        </a:prstGeom>
        <a:ln>
          <a:solidFill>
            <a:srgbClr val="000000"/>
          </a:solidFill>
        </a:ln>
      </xdr:spPr>
    </xdr:pic>
    <xdr:clientData/>
  </xdr:oneCellAnchor>
  <xdr:twoCellAnchor>
    <xdr:from>
      <xdr:col>4</xdr:col>
      <xdr:colOff>266700</xdr:colOff>
      <xdr:row>44</xdr:row>
      <xdr:rowOff>83820</xdr:rowOff>
    </xdr:from>
    <xdr:to>
      <xdr:col>13</xdr:col>
      <xdr:colOff>182880</xdr:colOff>
      <xdr:row>45</xdr:row>
      <xdr:rowOff>175260</xdr:rowOff>
    </xdr:to>
    <xdr:sp macro="" textlink="">
      <xdr:nvSpPr>
        <xdr:cNvPr id="28" name="U-Turn Arrow 27">
          <a:extLst>
            <a:ext uri="{FF2B5EF4-FFF2-40B4-BE49-F238E27FC236}">
              <a16:creationId xmlns:a16="http://schemas.microsoft.com/office/drawing/2014/main" id="{00000000-0008-0000-0300-00001C000000}"/>
            </a:ext>
          </a:extLst>
        </xdr:cNvPr>
        <xdr:cNvSpPr/>
      </xdr:nvSpPr>
      <xdr:spPr>
        <a:xfrm>
          <a:off x="2940627" y="8043256"/>
          <a:ext cx="5250180" cy="271549"/>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4</xdr:col>
      <xdr:colOff>228600</xdr:colOff>
      <xdr:row>55</xdr:row>
      <xdr:rowOff>99060</xdr:rowOff>
    </xdr:from>
    <xdr:to>
      <xdr:col>13</xdr:col>
      <xdr:colOff>190500</xdr:colOff>
      <xdr:row>56</xdr:row>
      <xdr:rowOff>182880</xdr:rowOff>
    </xdr:to>
    <xdr:sp macro="" textlink="">
      <xdr:nvSpPr>
        <xdr:cNvPr id="29" name="U-Turn Arrow 28">
          <a:extLst>
            <a:ext uri="{FF2B5EF4-FFF2-40B4-BE49-F238E27FC236}">
              <a16:creationId xmlns:a16="http://schemas.microsoft.com/office/drawing/2014/main" id="{00000000-0008-0000-0300-00001D000000}"/>
            </a:ext>
          </a:extLst>
        </xdr:cNvPr>
        <xdr:cNvSpPr/>
      </xdr:nvSpPr>
      <xdr:spPr>
        <a:xfrm rot="10800000">
          <a:off x="2902527" y="10039696"/>
          <a:ext cx="5295900" cy="263929"/>
        </a:xfrm>
        <a:prstGeom prst="utur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solidFill>
              <a:schemeClr val="tx1"/>
            </a:solidFill>
          </a:endParaRPr>
        </a:p>
      </xdr:txBody>
    </xdr:sp>
    <xdr:clientData/>
  </xdr:twoCellAnchor>
  <xdr:twoCellAnchor>
    <xdr:from>
      <xdr:col>1</xdr:col>
      <xdr:colOff>0</xdr:colOff>
      <xdr:row>61</xdr:row>
      <xdr:rowOff>0</xdr:rowOff>
    </xdr:from>
    <xdr:to>
      <xdr:col>18</xdr:col>
      <xdr:colOff>67578</xdr:colOff>
      <xdr:row>115</xdr:row>
      <xdr:rowOff>18596</xdr:rowOff>
    </xdr:to>
    <xdr:grpSp>
      <xdr:nvGrpSpPr>
        <xdr:cNvPr id="16" name="Group 15">
          <a:extLst>
            <a:ext uri="{FF2B5EF4-FFF2-40B4-BE49-F238E27FC236}">
              <a16:creationId xmlns:a16="http://schemas.microsoft.com/office/drawing/2014/main" id="{00000000-0008-0000-0300-000010000000}"/>
            </a:ext>
          </a:extLst>
        </xdr:cNvPr>
        <xdr:cNvGrpSpPr/>
      </xdr:nvGrpSpPr>
      <xdr:grpSpPr>
        <a:xfrm>
          <a:off x="247650" y="12239625"/>
          <a:ext cx="10716528" cy="10400846"/>
          <a:chOff x="304800" y="11485418"/>
          <a:chExt cx="10915687" cy="9841469"/>
        </a:xfrm>
      </xdr:grpSpPr>
      <xdr:pic>
        <xdr:nvPicPr>
          <xdr:cNvPr id="30" name="Picture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4800" y="11485418"/>
            <a:ext cx="10915687" cy="984146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TextBox 20">
            <a:extLst>
              <a:ext uri="{FF2B5EF4-FFF2-40B4-BE49-F238E27FC236}">
                <a16:creationId xmlns:a16="http://schemas.microsoft.com/office/drawing/2014/main" id="{00000000-0008-0000-0300-000015000000}"/>
              </a:ext>
            </a:extLst>
          </xdr:cNvPr>
          <xdr:cNvSpPr txBox="1"/>
        </xdr:nvSpPr>
        <xdr:spPr>
          <a:xfrm>
            <a:off x="6851295" y="11561614"/>
            <a:ext cx="891708" cy="3195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200" b="1">
                <a:solidFill>
                  <a:srgbClr val="FF0000"/>
                </a:solidFill>
                <a:latin typeface="Arial" panose="020B0604020202020204" pitchFamily="34" charset="0"/>
                <a:cs typeface="Arial" panose="020B0604020202020204" pitchFamily="34" charset="0"/>
              </a:rPr>
              <a:t>Sec - Res</a:t>
            </a:r>
          </a:p>
        </xdr:txBody>
      </xdr:sp>
      <xdr:sp macro="" textlink="">
        <xdr:nvSpPr>
          <xdr:cNvPr id="15" name="Rectangle 14">
            <a:extLst>
              <a:ext uri="{FF2B5EF4-FFF2-40B4-BE49-F238E27FC236}">
                <a16:creationId xmlns:a16="http://schemas.microsoft.com/office/drawing/2014/main" id="{00000000-0008-0000-0300-00000F000000}"/>
              </a:ext>
            </a:extLst>
          </xdr:cNvPr>
          <xdr:cNvSpPr/>
        </xdr:nvSpPr>
        <xdr:spPr>
          <a:xfrm>
            <a:off x="7704624" y="11570356"/>
            <a:ext cx="1605631" cy="145984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25399</xdr:colOff>
      <xdr:row>2</xdr:row>
      <xdr:rowOff>25400</xdr:rowOff>
    </xdr:from>
    <xdr:to>
      <xdr:col>20</xdr:col>
      <xdr:colOff>527386</xdr:colOff>
      <xdr:row>49</xdr:row>
      <xdr:rowOff>111879</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8340724" y="415925"/>
          <a:ext cx="10808037" cy="10335379"/>
          <a:chOff x="8888045" y="400538"/>
          <a:chExt cx="9645987" cy="10185910"/>
        </a:xfrm>
      </xdr:grpSpPr>
      <xdr:pic>
        <xdr:nvPicPr>
          <xdr:cNvPr id="7" name="Picture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8045" y="400538"/>
            <a:ext cx="9645987" cy="1018591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Right Arrow 3">
            <a:extLst>
              <a:ext uri="{FF2B5EF4-FFF2-40B4-BE49-F238E27FC236}">
                <a16:creationId xmlns:a16="http://schemas.microsoft.com/office/drawing/2014/main" id="{00000000-0008-0000-0400-000004000000}"/>
              </a:ext>
            </a:extLst>
          </xdr:cNvPr>
          <xdr:cNvSpPr/>
        </xdr:nvSpPr>
        <xdr:spPr>
          <a:xfrm>
            <a:off x="17241076" y="439437"/>
            <a:ext cx="1246216" cy="3973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sp macro="" textlink="">
        <xdr:nvSpPr>
          <xdr:cNvPr id="3" name="Rectangle 2">
            <a:extLst>
              <a:ext uri="{FF2B5EF4-FFF2-40B4-BE49-F238E27FC236}">
                <a16:creationId xmlns:a16="http://schemas.microsoft.com/office/drawing/2014/main" id="{00000000-0008-0000-0400-000003000000}"/>
              </a:ext>
            </a:extLst>
          </xdr:cNvPr>
          <xdr:cNvSpPr/>
        </xdr:nvSpPr>
        <xdr:spPr>
          <a:xfrm>
            <a:off x="15406985" y="476989"/>
            <a:ext cx="1456661" cy="149248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TW"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231322</xdr:colOff>
      <xdr:row>2</xdr:row>
      <xdr:rowOff>169144</xdr:rowOff>
    </xdr:from>
    <xdr:to>
      <xdr:col>13</xdr:col>
      <xdr:colOff>436705</xdr:colOff>
      <xdr:row>5</xdr:row>
      <xdr:rowOff>135380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093382" y="22716724"/>
          <a:ext cx="3607713" cy="6139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76:C78" totalsRowShown="0" headerRowDxfId="7" dataDxfId="6">
  <autoFilter ref="C76:C78" xr:uid="{00000000-0009-0000-0100-000001000000}"/>
  <tableColumns count="1">
    <tableColumn id="1" xr3:uid="{00000000-0010-0000-0000-000001000000}" name="V input type" dataDxfId="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package" Target="../embeddings/Microsoft_Visio_Drawing.vsd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135"/>
  <sheetViews>
    <sheetView topLeftCell="A120" zoomScaleNormal="100" workbookViewId="0">
      <selection activeCell="D32" sqref="D32"/>
    </sheetView>
  </sheetViews>
  <sheetFormatPr defaultColWidth="9" defaultRowHeight="15"/>
  <cols>
    <col min="1" max="1" width="3.7109375" customWidth="1"/>
    <col min="2" max="2" width="65.7109375" customWidth="1"/>
    <col min="3" max="4" width="13.7109375" customWidth="1"/>
    <col min="5" max="5" width="6.7109375" customWidth="1"/>
    <col min="6" max="6" width="13.7109375" customWidth="1"/>
    <col min="7" max="7" width="46.85546875" customWidth="1"/>
    <col min="19" max="19" width="9.140625" customWidth="1"/>
    <col min="20" max="20" width="9" customWidth="1"/>
  </cols>
  <sheetData>
    <row r="1" spans="1:21" ht="36" customHeight="1">
      <c r="A1" s="141"/>
      <c r="B1" s="664" t="s">
        <v>1163</v>
      </c>
      <c r="C1" s="664"/>
      <c r="D1" s="664"/>
      <c r="E1" s="664"/>
      <c r="F1" s="664"/>
      <c r="G1" s="664"/>
      <c r="H1" s="378"/>
      <c r="J1" s="135"/>
      <c r="K1" s="135"/>
      <c r="L1" s="135"/>
      <c r="M1" s="135"/>
      <c r="N1" s="135"/>
      <c r="U1" s="31"/>
    </row>
    <row r="2" spans="1:21" ht="24" customHeight="1" thickBot="1">
      <c r="A2" s="141"/>
      <c r="B2" s="311" t="s">
        <v>98</v>
      </c>
      <c r="C2" s="680" t="s">
        <v>1156</v>
      </c>
      <c r="D2" s="680"/>
      <c r="E2" s="480"/>
      <c r="F2" s="11"/>
      <c r="G2" s="312"/>
      <c r="H2" s="132"/>
      <c r="I2" s="539"/>
      <c r="J2" s="539"/>
      <c r="L2" s="582"/>
      <c r="M2" s="135"/>
      <c r="N2" s="135"/>
      <c r="U2" s="31"/>
    </row>
    <row r="3" spans="1:21" ht="15.75">
      <c r="A3" s="141"/>
      <c r="B3" s="665" t="s">
        <v>103</v>
      </c>
      <c r="C3" s="666"/>
      <c r="D3" s="666"/>
      <c r="E3" s="666"/>
      <c r="F3" s="666"/>
      <c r="G3" s="667"/>
      <c r="H3" s="538"/>
      <c r="I3" s="539"/>
      <c r="J3" s="539"/>
      <c r="K3" s="539"/>
      <c r="L3" s="135"/>
      <c r="M3" s="135"/>
      <c r="N3" s="135"/>
      <c r="O3" s="67"/>
      <c r="U3" s="31"/>
    </row>
    <row r="4" spans="1:21">
      <c r="A4" s="135"/>
      <c r="B4" s="668" t="s">
        <v>198</v>
      </c>
      <c r="C4" s="669"/>
      <c r="D4" s="669"/>
      <c r="E4" s="669"/>
      <c r="F4" s="669"/>
      <c r="G4" s="670"/>
      <c r="H4" s="135"/>
      <c r="I4" s="135"/>
      <c r="J4" s="135"/>
      <c r="K4" s="135"/>
      <c r="L4" s="135"/>
      <c r="M4" s="135"/>
      <c r="N4" s="135"/>
      <c r="O4" s="67"/>
    </row>
    <row r="5" spans="1:21">
      <c r="A5" s="141"/>
      <c r="B5" s="668"/>
      <c r="C5" s="669"/>
      <c r="D5" s="669"/>
      <c r="E5" s="669"/>
      <c r="F5" s="669"/>
      <c r="G5" s="670"/>
      <c r="H5" s="315"/>
      <c r="I5" s="135"/>
      <c r="J5" s="135"/>
      <c r="K5" s="135"/>
      <c r="L5" s="135"/>
      <c r="M5" s="135"/>
      <c r="N5" s="135"/>
      <c r="O5" s="67"/>
      <c r="U5" s="31"/>
    </row>
    <row r="6" spans="1:21" ht="15.75">
      <c r="A6" s="141"/>
      <c r="B6" s="668"/>
      <c r="C6" s="669"/>
      <c r="D6" s="669"/>
      <c r="E6" s="669"/>
      <c r="F6" s="669"/>
      <c r="G6" s="670"/>
      <c r="H6" s="314"/>
      <c r="I6" s="135"/>
      <c r="J6" s="313"/>
      <c r="K6" s="135"/>
      <c r="L6" s="135"/>
      <c r="M6" s="135"/>
      <c r="N6" s="135"/>
      <c r="O6" s="67"/>
      <c r="U6" s="31"/>
    </row>
    <row r="7" spans="1:21" ht="15.75" thickBot="1">
      <c r="A7" s="141"/>
      <c r="B7" s="671"/>
      <c r="C7" s="672"/>
      <c r="D7" s="672"/>
      <c r="E7" s="672"/>
      <c r="F7" s="672"/>
      <c r="G7" s="673"/>
      <c r="H7" s="314"/>
      <c r="I7" s="135"/>
      <c r="J7" s="135"/>
      <c r="K7" s="135"/>
      <c r="L7" s="135"/>
      <c r="M7" s="135"/>
      <c r="N7" s="135"/>
      <c r="O7" s="67"/>
      <c r="U7" s="31"/>
    </row>
    <row r="8" spans="1:21" ht="20.25">
      <c r="A8" s="141"/>
      <c r="B8" s="674" t="s">
        <v>1164</v>
      </c>
      <c r="C8" s="675"/>
      <c r="D8" s="675"/>
      <c r="E8" s="675"/>
      <c r="F8" s="675"/>
      <c r="G8" s="676"/>
      <c r="H8" s="314"/>
      <c r="I8" s="135"/>
      <c r="J8" s="135"/>
      <c r="K8" s="135"/>
      <c r="L8" s="135"/>
      <c r="M8" s="135"/>
      <c r="N8" s="135"/>
      <c r="O8" s="67"/>
    </row>
    <row r="9" spans="1:21" ht="21">
      <c r="A9" s="141"/>
      <c r="B9" s="677" t="s">
        <v>1044</v>
      </c>
      <c r="C9" s="678"/>
      <c r="D9" s="678"/>
      <c r="E9" s="678"/>
      <c r="F9" s="678"/>
      <c r="G9" s="679"/>
      <c r="H9" s="315"/>
      <c r="I9" s="135"/>
      <c r="J9" s="135"/>
      <c r="K9" s="135"/>
      <c r="L9" s="135"/>
      <c r="M9" s="135"/>
      <c r="N9" s="135"/>
      <c r="O9" s="67"/>
      <c r="Q9" s="68"/>
    </row>
    <row r="10" spans="1:21" ht="18.75" thickBot="1">
      <c r="A10" s="141"/>
      <c r="B10" s="640" t="s">
        <v>199</v>
      </c>
      <c r="C10" s="641"/>
      <c r="D10" s="641"/>
      <c r="E10" s="641"/>
      <c r="F10" s="641"/>
      <c r="G10" s="642"/>
      <c r="H10" s="314"/>
      <c r="I10" s="135"/>
      <c r="J10" s="135"/>
      <c r="K10" s="313"/>
      <c r="L10" s="135"/>
      <c r="M10" s="135"/>
      <c r="N10" s="135"/>
      <c r="O10" s="67"/>
      <c r="Q10" s="26"/>
    </row>
    <row r="11" spans="1:21" ht="55.9" customHeight="1" thickBot="1">
      <c r="A11" s="141"/>
      <c r="B11" s="643" t="s">
        <v>235</v>
      </c>
      <c r="C11" s="644"/>
      <c r="D11" s="644"/>
      <c r="E11" s="644"/>
      <c r="F11" s="644"/>
      <c r="G11" s="645"/>
      <c r="H11" s="315"/>
      <c r="I11" s="135"/>
      <c r="J11" s="135"/>
      <c r="K11" s="135"/>
      <c r="L11" s="135"/>
      <c r="M11" s="135"/>
      <c r="N11" s="135"/>
      <c r="O11" s="67"/>
      <c r="Q11" s="26"/>
    </row>
    <row r="12" spans="1:21" ht="15.75">
      <c r="A12" s="141"/>
      <c r="B12" s="646" t="s">
        <v>0</v>
      </c>
      <c r="C12" s="647"/>
      <c r="D12" s="647"/>
      <c r="E12" s="647"/>
      <c r="F12" s="647"/>
      <c r="G12" s="648"/>
      <c r="H12" s="135"/>
      <c r="I12" s="135"/>
      <c r="J12" s="135"/>
      <c r="K12" s="135"/>
      <c r="L12" s="135"/>
      <c r="M12" s="135"/>
      <c r="N12" s="135"/>
      <c r="O12" s="67"/>
      <c r="Q12" s="26"/>
    </row>
    <row r="13" spans="1:21" ht="16.5" thickBot="1">
      <c r="A13" s="141"/>
      <c r="B13" s="649"/>
      <c r="C13" s="650"/>
      <c r="D13" s="650"/>
      <c r="E13" s="650"/>
      <c r="F13" s="650"/>
      <c r="G13" s="651"/>
      <c r="H13" s="135"/>
      <c r="I13" s="135"/>
      <c r="J13" s="135"/>
      <c r="K13" s="135"/>
      <c r="L13" s="135"/>
      <c r="M13" s="135"/>
      <c r="N13" s="135"/>
      <c r="O13" s="67"/>
      <c r="Q13" s="26"/>
    </row>
    <row r="14" spans="1:21" ht="16.5" thickBot="1">
      <c r="A14" s="141"/>
      <c r="B14" s="316"/>
      <c r="C14" s="317" t="s">
        <v>313</v>
      </c>
      <c r="D14" s="318" t="s">
        <v>196</v>
      </c>
      <c r="E14" s="319" t="s">
        <v>197</v>
      </c>
      <c r="F14" s="320"/>
      <c r="G14" s="135"/>
      <c r="H14" s="135"/>
      <c r="I14" s="259"/>
      <c r="J14" s="135"/>
      <c r="K14" s="135"/>
      <c r="L14" s="135"/>
      <c r="M14" s="135"/>
      <c r="N14" s="135"/>
      <c r="O14" s="67"/>
      <c r="Q14" s="26"/>
    </row>
    <row r="15" spans="1:21" ht="18" customHeight="1">
      <c r="A15" s="141"/>
      <c r="B15" s="659" t="s">
        <v>161</v>
      </c>
      <c r="C15" s="660"/>
      <c r="D15" s="660"/>
      <c r="E15" s="660"/>
      <c r="F15" s="660"/>
      <c r="G15" s="661"/>
      <c r="H15" s="135"/>
      <c r="I15" s="135"/>
      <c r="J15" s="135"/>
      <c r="K15" s="135"/>
      <c r="L15" s="135"/>
      <c r="M15" s="135"/>
      <c r="N15" s="135"/>
      <c r="O15" s="67"/>
      <c r="Q15" s="26"/>
    </row>
    <row r="16" spans="1:21" ht="18.75" customHeight="1">
      <c r="A16" s="141"/>
      <c r="B16" s="321" t="s">
        <v>160</v>
      </c>
      <c r="C16" s="144" t="s">
        <v>537</v>
      </c>
      <c r="D16" s="64" t="s">
        <v>143</v>
      </c>
      <c r="E16" s="322"/>
      <c r="F16" s="656" t="s">
        <v>952</v>
      </c>
      <c r="G16" s="657"/>
      <c r="H16" s="135"/>
      <c r="I16" s="135"/>
      <c r="J16" s="135"/>
      <c r="K16" s="135"/>
      <c r="L16" s="135"/>
      <c r="M16" s="135"/>
      <c r="N16" s="135"/>
    </row>
    <row r="17" spans="1:17" ht="18.75" customHeight="1">
      <c r="A17" s="141"/>
      <c r="B17" s="323" t="s">
        <v>312</v>
      </c>
      <c r="C17" s="144" t="s">
        <v>538</v>
      </c>
      <c r="D17" s="61">
        <v>400</v>
      </c>
      <c r="E17" s="145" t="str">
        <f>IF(Vin_type="AC","Vrms","V")</f>
        <v>V</v>
      </c>
      <c r="F17" s="324" t="s">
        <v>227</v>
      </c>
      <c r="G17" s="325"/>
      <c r="H17" s="135"/>
      <c r="I17" s="135"/>
      <c r="J17" s="135"/>
      <c r="K17" s="135"/>
      <c r="L17" s="135"/>
      <c r="M17" s="135"/>
      <c r="N17" s="135"/>
    </row>
    <row r="18" spans="1:17" ht="18.75" customHeight="1">
      <c r="A18" s="141"/>
      <c r="B18" s="323" t="s">
        <v>311</v>
      </c>
      <c r="C18" s="144" t="s">
        <v>539</v>
      </c>
      <c r="D18" s="37">
        <v>380</v>
      </c>
      <c r="E18" s="145" t="str">
        <f>IF(Vin_type="AC","Vrms","V")</f>
        <v>V</v>
      </c>
      <c r="F18" s="594" t="s">
        <v>228</v>
      </c>
      <c r="G18" s="595"/>
      <c r="H18" s="135"/>
      <c r="I18" s="135"/>
      <c r="J18" s="135"/>
      <c r="K18" s="135"/>
      <c r="L18" s="135"/>
      <c r="M18" s="135"/>
      <c r="N18" s="135"/>
    </row>
    <row r="19" spans="1:17" ht="18.600000000000001" customHeight="1">
      <c r="A19" s="141"/>
      <c r="B19" s="323" t="s">
        <v>310</v>
      </c>
      <c r="C19" s="144" t="s">
        <v>540</v>
      </c>
      <c r="D19" s="65">
        <v>115</v>
      </c>
      <c r="E19" s="145" t="str">
        <f>IF(Vin_type="AC","Vrms","V")</f>
        <v>V</v>
      </c>
      <c r="F19" s="324" t="s">
        <v>953</v>
      </c>
      <c r="G19" s="326"/>
      <c r="H19" s="135"/>
      <c r="I19" s="135"/>
      <c r="J19" s="135"/>
      <c r="K19" s="135"/>
      <c r="L19" s="135"/>
      <c r="M19" s="135"/>
      <c r="N19" s="135"/>
      <c r="Q19" s="26"/>
    </row>
    <row r="20" spans="1:17" ht="18" customHeight="1">
      <c r="A20" s="141"/>
      <c r="B20" s="323" t="s">
        <v>359</v>
      </c>
      <c r="C20" s="144" t="s">
        <v>541</v>
      </c>
      <c r="D20" s="61">
        <v>75</v>
      </c>
      <c r="E20" s="145" t="str">
        <f>IF(Vin_type="AC","Vrms","V")</f>
        <v>V</v>
      </c>
      <c r="F20" s="598" t="s">
        <v>373</v>
      </c>
      <c r="G20" s="599"/>
      <c r="H20" s="135"/>
      <c r="I20" s="135"/>
      <c r="J20" s="135"/>
      <c r="K20" s="135"/>
      <c r="L20" s="135"/>
      <c r="M20" s="135"/>
      <c r="N20" s="135"/>
      <c r="Q20" s="26"/>
    </row>
    <row r="21" spans="1:17" ht="18" customHeight="1">
      <c r="A21" s="141"/>
      <c r="B21" s="327" t="s">
        <v>542</v>
      </c>
      <c r="C21" s="328" t="s">
        <v>543</v>
      </c>
      <c r="D21" s="257">
        <f>0.83*VINPUT_Brownin</f>
        <v>62.25</v>
      </c>
      <c r="E21" s="145" t="str">
        <f>IF(Vin_type="AC","Vrms","V")</f>
        <v>V</v>
      </c>
      <c r="F21" s="598" t="s">
        <v>234</v>
      </c>
      <c r="G21" s="599"/>
      <c r="H21" s="135"/>
      <c r="I21" s="135"/>
      <c r="J21" s="135"/>
      <c r="K21" s="135"/>
      <c r="L21" s="135"/>
      <c r="M21" s="135"/>
      <c r="N21" s="135"/>
      <c r="Q21" s="26"/>
    </row>
    <row r="22" spans="1:17" ht="18" customHeight="1">
      <c r="A22" s="141"/>
      <c r="B22" s="323" t="s">
        <v>309</v>
      </c>
      <c r="C22" s="144" t="s">
        <v>544</v>
      </c>
      <c r="D22" s="37">
        <v>160</v>
      </c>
      <c r="E22" s="145" t="str">
        <f>IF(Vin_type="AC","V","V")</f>
        <v>V</v>
      </c>
      <c r="F22" s="594" t="s">
        <v>545</v>
      </c>
      <c r="G22" s="658"/>
      <c r="H22" s="135"/>
      <c r="I22" s="135"/>
      <c r="J22" s="135"/>
      <c r="K22" s="135"/>
      <c r="L22" s="135"/>
      <c r="M22" s="135"/>
      <c r="N22" s="135"/>
    </row>
    <row r="23" spans="1:17" ht="18" customHeight="1">
      <c r="A23" s="141"/>
      <c r="B23" s="329"/>
      <c r="C23" s="330"/>
      <c r="D23" s="331"/>
      <c r="E23" s="331"/>
      <c r="F23" s="331"/>
      <c r="G23" s="332"/>
      <c r="H23" s="135"/>
      <c r="I23" s="135"/>
      <c r="J23" s="135"/>
      <c r="K23" s="135"/>
      <c r="L23" s="135"/>
      <c r="M23" s="135"/>
      <c r="N23" s="135"/>
    </row>
    <row r="24" spans="1:17" ht="18.75">
      <c r="A24" s="141"/>
      <c r="B24" s="323" t="s">
        <v>308</v>
      </c>
      <c r="C24" s="144" t="s">
        <v>546</v>
      </c>
      <c r="D24" s="61">
        <v>47</v>
      </c>
      <c r="E24" s="145" t="s">
        <v>2</v>
      </c>
      <c r="F24" s="594" t="s">
        <v>954</v>
      </c>
      <c r="G24" s="595"/>
      <c r="H24" s="135"/>
      <c r="I24" s="135"/>
      <c r="J24" s="135"/>
      <c r="K24" s="135"/>
      <c r="L24" s="135"/>
      <c r="M24" s="135"/>
      <c r="N24" s="135"/>
    </row>
    <row r="25" spans="1:17" ht="18.75" customHeight="1" thickBot="1">
      <c r="A25" s="141"/>
      <c r="B25" s="333" t="s">
        <v>307</v>
      </c>
      <c r="C25" s="216" t="s">
        <v>827</v>
      </c>
      <c r="D25" s="66">
        <v>0.93</v>
      </c>
      <c r="E25" s="218"/>
      <c r="F25" s="662" t="s">
        <v>200</v>
      </c>
      <c r="G25" s="663"/>
      <c r="H25" s="135"/>
      <c r="I25" s="135"/>
      <c r="J25" s="135"/>
      <c r="K25" s="135"/>
      <c r="L25" s="135"/>
      <c r="M25" s="135"/>
      <c r="N25" s="135"/>
    </row>
    <row r="26" spans="1:17" ht="15.75" thickBot="1">
      <c r="A26" s="141"/>
      <c r="B26" s="136"/>
      <c r="C26" s="136"/>
      <c r="D26" s="138"/>
      <c r="E26" s="136"/>
      <c r="F26" s="139"/>
      <c r="G26" s="140"/>
      <c r="H26" s="135"/>
      <c r="I26" s="135"/>
      <c r="J26" s="135"/>
      <c r="K26" s="135"/>
      <c r="L26" s="135"/>
      <c r="M26" s="135"/>
      <c r="N26" s="135"/>
    </row>
    <row r="27" spans="1:17" ht="18" customHeight="1">
      <c r="A27" s="141"/>
      <c r="B27" s="652" t="s">
        <v>4</v>
      </c>
      <c r="C27" s="653"/>
      <c r="D27" s="654"/>
      <c r="E27" s="654"/>
      <c r="F27" s="654"/>
      <c r="G27" s="655"/>
      <c r="H27" s="135"/>
      <c r="I27" s="135"/>
      <c r="J27" s="135"/>
      <c r="K27" s="135"/>
      <c r="L27" s="135"/>
      <c r="M27" s="135"/>
      <c r="N27" s="135"/>
    </row>
    <row r="28" spans="1:17" ht="18.75">
      <c r="A28" s="141"/>
      <c r="B28" s="334" t="s">
        <v>1139</v>
      </c>
      <c r="C28" s="196" t="s">
        <v>531</v>
      </c>
      <c r="D28" s="63">
        <v>20</v>
      </c>
      <c r="E28" s="608" t="s">
        <v>116</v>
      </c>
      <c r="F28" s="608"/>
      <c r="G28" s="609"/>
      <c r="H28" s="135"/>
      <c r="I28" s="135"/>
      <c r="J28" s="135"/>
      <c r="K28" s="135"/>
      <c r="L28" s="135"/>
      <c r="M28" s="135"/>
      <c r="N28" s="135"/>
    </row>
    <row r="29" spans="1:17" ht="18" customHeight="1">
      <c r="A29" s="141"/>
      <c r="B29" s="323" t="s">
        <v>1140</v>
      </c>
      <c r="C29" s="144" t="s">
        <v>270</v>
      </c>
      <c r="D29" s="61">
        <v>115</v>
      </c>
      <c r="E29" s="608" t="s">
        <v>3</v>
      </c>
      <c r="F29" s="608"/>
      <c r="G29" s="609"/>
      <c r="H29" s="135"/>
      <c r="I29" s="135"/>
      <c r="J29" s="135"/>
      <c r="K29" s="135"/>
      <c r="L29" s="135"/>
      <c r="M29" s="135"/>
      <c r="N29" s="135"/>
    </row>
    <row r="30" spans="1:17" ht="18.75">
      <c r="A30" s="141"/>
      <c r="B30" s="334" t="s">
        <v>306</v>
      </c>
      <c r="C30" s="196" t="s">
        <v>532</v>
      </c>
      <c r="D30" s="61">
        <v>100</v>
      </c>
      <c r="E30" s="145" t="s">
        <v>7</v>
      </c>
      <c r="F30" s="335" t="s">
        <v>955</v>
      </c>
      <c r="G30" s="146"/>
      <c r="H30" s="135"/>
      <c r="I30" s="135"/>
      <c r="J30" s="135"/>
      <c r="K30" s="135"/>
      <c r="L30" s="135"/>
      <c r="M30" s="135"/>
      <c r="N30" s="135"/>
    </row>
    <row r="31" spans="1:17" ht="18.75">
      <c r="A31" s="141"/>
      <c r="B31" s="334" t="s">
        <v>305</v>
      </c>
      <c r="C31" s="196" t="s">
        <v>533</v>
      </c>
      <c r="D31" s="248">
        <f>PO_FL/VOUT</f>
        <v>5</v>
      </c>
      <c r="E31" s="608" t="s">
        <v>5</v>
      </c>
      <c r="F31" s="608"/>
      <c r="G31" s="609"/>
      <c r="H31" s="135"/>
      <c r="I31" s="135"/>
      <c r="J31" s="135"/>
      <c r="K31" s="135"/>
      <c r="L31" s="135"/>
      <c r="M31" s="135"/>
      <c r="N31" s="135"/>
    </row>
    <row r="32" spans="1:17" ht="18" customHeight="1">
      <c r="A32" s="141"/>
      <c r="B32" s="323" t="s">
        <v>1141</v>
      </c>
      <c r="C32" s="144" t="s">
        <v>271</v>
      </c>
      <c r="D32" s="61">
        <v>150</v>
      </c>
      <c r="E32" s="336" t="s">
        <v>3</v>
      </c>
      <c r="F32" s="622" t="s">
        <v>201</v>
      </c>
      <c r="G32" s="623"/>
      <c r="H32" s="379"/>
      <c r="I32" s="135"/>
      <c r="J32" s="135"/>
      <c r="K32" s="135"/>
      <c r="L32" s="135"/>
      <c r="M32" s="135"/>
      <c r="N32" s="135"/>
    </row>
    <row r="33" spans="1:21" ht="18.75">
      <c r="A33" s="141"/>
      <c r="B33" s="334" t="s">
        <v>304</v>
      </c>
      <c r="C33" s="196" t="s">
        <v>534</v>
      </c>
      <c r="D33" s="248">
        <f>PO_FL*OPP*0.01/VOUT</f>
        <v>7.5</v>
      </c>
      <c r="E33" s="608" t="s">
        <v>5</v>
      </c>
      <c r="F33" s="608"/>
      <c r="G33" s="609"/>
      <c r="H33" s="135"/>
      <c r="I33" s="135"/>
      <c r="J33" s="135"/>
      <c r="K33" s="135"/>
      <c r="L33" s="135"/>
      <c r="M33" s="135"/>
      <c r="N33" s="135"/>
    </row>
    <row r="34" spans="1:21" ht="18" customHeight="1">
      <c r="A34" s="141"/>
      <c r="B34" s="334" t="s">
        <v>1142</v>
      </c>
      <c r="C34" s="196" t="s">
        <v>272</v>
      </c>
      <c r="D34" s="61">
        <v>40</v>
      </c>
      <c r="E34" s="195" t="s">
        <v>3</v>
      </c>
      <c r="F34" s="598" t="str">
        <f>IF(BUR&gt;79.9,"Percentage seems high; review Section 8.3.1 of datasheet",IF(BUR&lt;30.1,"Percentage seems low; review Section 8.3.1 of datasheet","Start with 50% - 60%, at voltage set at cell D18"))</f>
        <v>Start with 50% - 60%, at voltage set at cell D18</v>
      </c>
      <c r="G34" s="599"/>
      <c r="H34" s="538"/>
      <c r="J34" s="539"/>
      <c r="K34" s="135"/>
      <c r="N34" s="135"/>
    </row>
    <row r="35" spans="1:21" ht="33" customHeight="1">
      <c r="A35" s="141"/>
      <c r="B35" s="337" t="s">
        <v>303</v>
      </c>
      <c r="C35" s="152" t="s">
        <v>828</v>
      </c>
      <c r="D35" s="36">
        <v>145</v>
      </c>
      <c r="E35" s="338" t="s">
        <v>8</v>
      </c>
      <c r="F35" s="634" t="s">
        <v>1182</v>
      </c>
      <c r="G35" s="635"/>
      <c r="H35" s="135"/>
      <c r="I35" s="539"/>
      <c r="J35" s="135"/>
      <c r="K35" s="135"/>
      <c r="L35" s="135"/>
      <c r="M35" s="135"/>
      <c r="N35" s="135"/>
    </row>
    <row r="36" spans="1:21" ht="18.75">
      <c r="A36" s="141"/>
      <c r="B36" s="334" t="s">
        <v>302</v>
      </c>
      <c r="C36" s="196" t="s">
        <v>535</v>
      </c>
      <c r="D36" s="63">
        <v>2</v>
      </c>
      <c r="E36" s="145" t="s">
        <v>8</v>
      </c>
      <c r="F36" s="335" t="s">
        <v>9</v>
      </c>
      <c r="G36" s="146"/>
      <c r="H36" s="135"/>
      <c r="I36" s="135"/>
      <c r="J36" s="135"/>
      <c r="K36" s="135"/>
      <c r="L36" s="135"/>
      <c r="M36" s="135"/>
      <c r="N36" s="135"/>
    </row>
    <row r="37" spans="1:21" ht="19.5" thickBot="1">
      <c r="A37" s="141"/>
      <c r="B37" s="333" t="s">
        <v>314</v>
      </c>
      <c r="C37" s="216" t="s">
        <v>536</v>
      </c>
      <c r="D37" s="1">
        <v>200</v>
      </c>
      <c r="E37" s="218" t="s">
        <v>105</v>
      </c>
      <c r="F37" s="630" t="s">
        <v>202</v>
      </c>
      <c r="G37" s="631"/>
      <c r="H37" s="135"/>
      <c r="I37" s="135"/>
      <c r="J37" s="135"/>
      <c r="K37" s="135"/>
      <c r="L37" s="135"/>
      <c r="M37" s="135"/>
      <c r="N37" s="135"/>
    </row>
    <row r="38" spans="1:21" ht="15.75" thickBot="1">
      <c r="A38" s="141"/>
      <c r="B38" s="136"/>
      <c r="C38" s="136"/>
      <c r="D38" s="138"/>
      <c r="E38" s="136"/>
      <c r="F38" s="139"/>
      <c r="G38" s="140"/>
      <c r="H38" s="135"/>
      <c r="I38" s="135"/>
      <c r="J38" s="135"/>
      <c r="K38" s="135"/>
      <c r="L38" s="135"/>
      <c r="M38" s="135"/>
      <c r="N38" s="135"/>
    </row>
    <row r="39" spans="1:21" ht="18" customHeight="1">
      <c r="A39" s="141"/>
      <c r="B39" s="636" t="s">
        <v>1055</v>
      </c>
      <c r="C39" s="637"/>
      <c r="D39" s="638"/>
      <c r="E39" s="638"/>
      <c r="F39" s="638"/>
      <c r="G39" s="639"/>
      <c r="H39" s="538"/>
      <c r="I39" s="135"/>
      <c r="J39" s="135"/>
      <c r="K39" s="135"/>
      <c r="L39" s="135"/>
      <c r="M39" s="135"/>
      <c r="N39" s="135"/>
    </row>
    <row r="40" spans="1:21" ht="18.75">
      <c r="A40" s="141"/>
      <c r="B40" s="339" t="s">
        <v>1135</v>
      </c>
      <c r="C40" s="144" t="s">
        <v>1117</v>
      </c>
      <c r="D40" s="27">
        <v>80</v>
      </c>
      <c r="E40" s="195" t="s">
        <v>3</v>
      </c>
      <c r="F40" s="594" t="s">
        <v>982</v>
      </c>
      <c r="G40" s="595"/>
      <c r="H40" s="380"/>
      <c r="I40" s="135"/>
      <c r="J40" s="182"/>
      <c r="K40" s="135"/>
      <c r="L40" s="135"/>
      <c r="M40" s="135"/>
      <c r="N40" s="135"/>
    </row>
    <row r="41" spans="1:21" ht="18.75">
      <c r="A41" s="141"/>
      <c r="B41" s="339" t="s">
        <v>323</v>
      </c>
      <c r="C41" s="144" t="s">
        <v>517</v>
      </c>
      <c r="D41" s="194">
        <f>IF(Vin_type="AC",((VINPUT_max*1.414+NPS*VOUT)/(Kder_HB/100)),((VINPUT_max+NPS*VOUT)/(Kder_HB/100)))</f>
        <v>625</v>
      </c>
      <c r="E41" s="195" t="s">
        <v>6</v>
      </c>
      <c r="F41" s="594"/>
      <c r="G41" s="595"/>
      <c r="H41" s="314"/>
      <c r="I41" s="135"/>
      <c r="J41" s="182"/>
      <c r="K41" s="135"/>
      <c r="L41" s="135"/>
      <c r="M41" s="135"/>
      <c r="N41" s="135"/>
    </row>
    <row r="42" spans="1:21" ht="18.75">
      <c r="A42" s="141"/>
      <c r="B42" s="323" t="s">
        <v>301</v>
      </c>
      <c r="C42" s="144" t="s">
        <v>518</v>
      </c>
      <c r="D42" s="61">
        <v>650</v>
      </c>
      <c r="E42" s="338" t="s">
        <v>6</v>
      </c>
      <c r="F42" s="632" t="s">
        <v>1</v>
      </c>
      <c r="G42" s="633"/>
      <c r="H42" s="176"/>
      <c r="I42" s="135"/>
      <c r="J42" s="135"/>
      <c r="K42" s="135"/>
      <c r="L42" s="135"/>
      <c r="M42" s="135"/>
      <c r="N42" s="135"/>
    </row>
    <row r="43" spans="1:21" ht="18" customHeight="1">
      <c r="A43" s="141"/>
      <c r="B43" s="323" t="s">
        <v>1136</v>
      </c>
      <c r="C43" s="144" t="s">
        <v>273</v>
      </c>
      <c r="D43" s="37">
        <v>0</v>
      </c>
      <c r="E43" s="340"/>
      <c r="F43" s="598" t="s">
        <v>1137</v>
      </c>
      <c r="G43" s="599"/>
      <c r="H43" s="135"/>
      <c r="I43" s="135"/>
      <c r="J43" s="135"/>
      <c r="K43" s="135"/>
      <c r="L43" s="135"/>
      <c r="M43" s="135"/>
      <c r="N43" s="135"/>
    </row>
    <row r="44" spans="1:21" ht="18.75">
      <c r="A44" s="141"/>
      <c r="B44" s="323" t="s">
        <v>1118</v>
      </c>
      <c r="C44" s="144" t="s">
        <v>519</v>
      </c>
      <c r="D44" s="212">
        <f>IF(SET=0,11.2*10^11,5.6*10^11)</f>
        <v>1120000000000</v>
      </c>
      <c r="E44" s="341" t="s">
        <v>520</v>
      </c>
      <c r="F44" s="598" t="s">
        <v>1138</v>
      </c>
      <c r="G44" s="599"/>
      <c r="H44" s="538"/>
      <c r="I44" s="135"/>
      <c r="J44" s="135"/>
      <c r="K44" s="135"/>
      <c r="L44" s="135"/>
      <c r="M44" s="135"/>
      <c r="N44" s="135"/>
    </row>
    <row r="45" spans="1:21" ht="18.75" customHeight="1">
      <c r="A45" s="141"/>
      <c r="B45" s="342" t="s">
        <v>319</v>
      </c>
      <c r="C45" s="343"/>
      <c r="D45" s="344"/>
      <c r="E45" s="338"/>
      <c r="F45" s="373"/>
      <c r="G45" s="374"/>
      <c r="H45" s="347" t="s">
        <v>375</v>
      </c>
      <c r="I45" s="135"/>
      <c r="J45" s="135"/>
      <c r="K45" s="135"/>
      <c r="L45" s="135"/>
      <c r="M45" s="135"/>
      <c r="N45" s="135"/>
    </row>
    <row r="46" spans="1:21" ht="18.75" customHeight="1">
      <c r="A46" s="141"/>
      <c r="B46" s="143" t="s">
        <v>229</v>
      </c>
      <c r="C46" s="590" t="s">
        <v>729</v>
      </c>
      <c r="D46" s="681"/>
      <c r="E46" s="145"/>
      <c r="F46" s="594" t="s">
        <v>324</v>
      </c>
      <c r="G46" s="595"/>
      <c r="H46" s="135"/>
      <c r="I46" s="135"/>
      <c r="J46" s="135"/>
      <c r="K46" s="135"/>
      <c r="L46" s="135"/>
      <c r="M46" s="135"/>
      <c r="N46" s="135"/>
    </row>
    <row r="47" spans="1:21" ht="18.75">
      <c r="A47" s="141"/>
      <c r="B47" s="323" t="s">
        <v>378</v>
      </c>
      <c r="C47" s="144" t="s">
        <v>521</v>
      </c>
      <c r="D47" s="62">
        <v>0.17</v>
      </c>
      <c r="E47" s="336" t="s">
        <v>10</v>
      </c>
      <c r="F47" s="375"/>
      <c r="G47" s="376"/>
      <c r="H47" s="135"/>
      <c r="I47" s="135"/>
      <c r="J47" s="135"/>
      <c r="K47" s="135"/>
      <c r="L47" s="135"/>
      <c r="M47" s="135"/>
      <c r="N47" s="135"/>
    </row>
    <row r="48" spans="1:21" ht="18.75" customHeight="1">
      <c r="A48" s="141"/>
      <c r="B48" s="323" t="s">
        <v>1119</v>
      </c>
      <c r="C48" s="144" t="s">
        <v>522</v>
      </c>
      <c r="D48" s="61">
        <v>135</v>
      </c>
      <c r="E48" s="145" t="s">
        <v>13</v>
      </c>
      <c r="F48" s="335"/>
      <c r="G48" s="146" t="s">
        <v>374</v>
      </c>
      <c r="H48" s="135"/>
      <c r="I48" s="135"/>
      <c r="J48" s="135"/>
      <c r="K48" s="135"/>
      <c r="L48" s="135"/>
      <c r="M48" s="135"/>
      <c r="N48" s="135"/>
      <c r="U48" s="52"/>
    </row>
    <row r="49" spans="1:14" ht="18.75" customHeight="1">
      <c r="A49" s="141"/>
      <c r="B49" s="323" t="s">
        <v>1120</v>
      </c>
      <c r="C49" s="144" t="s">
        <v>523</v>
      </c>
      <c r="D49" s="61">
        <v>22</v>
      </c>
      <c r="E49" s="145" t="s">
        <v>13</v>
      </c>
      <c r="F49" s="335"/>
      <c r="G49" s="146" t="s">
        <v>374</v>
      </c>
      <c r="H49" s="135"/>
      <c r="I49" s="135"/>
      <c r="J49" s="135"/>
      <c r="K49" s="135"/>
      <c r="L49" s="135"/>
      <c r="M49" s="135"/>
      <c r="N49" s="135"/>
    </row>
    <row r="50" spans="1:14" ht="18.75">
      <c r="A50" s="141"/>
      <c r="B50" s="323" t="s">
        <v>380</v>
      </c>
      <c r="C50" s="144" t="s">
        <v>524</v>
      </c>
      <c r="D50" s="61">
        <v>60</v>
      </c>
      <c r="E50" s="145" t="s">
        <v>12</v>
      </c>
      <c r="F50" s="335"/>
      <c r="G50" s="146" t="s">
        <v>374</v>
      </c>
      <c r="H50" s="135"/>
      <c r="I50" s="135"/>
      <c r="J50" s="135"/>
      <c r="K50" s="135"/>
      <c r="L50" s="135"/>
      <c r="M50" s="135"/>
      <c r="N50" s="135"/>
    </row>
    <row r="51" spans="1:14" ht="18.75">
      <c r="A51" s="141"/>
      <c r="B51" s="323" t="s">
        <v>317</v>
      </c>
      <c r="C51" s="144" t="s">
        <v>525</v>
      </c>
      <c r="D51" s="61">
        <v>16</v>
      </c>
      <c r="E51" s="338" t="s">
        <v>14</v>
      </c>
      <c r="F51" s="349"/>
      <c r="G51" s="350"/>
      <c r="H51" s="135"/>
      <c r="I51" s="135"/>
      <c r="J51" s="135"/>
      <c r="K51" s="135"/>
      <c r="L51" s="135"/>
      <c r="M51" s="135"/>
      <c r="N51" s="135"/>
    </row>
    <row r="52" spans="1:14" ht="18.75">
      <c r="A52" s="141"/>
      <c r="B52" s="323" t="s">
        <v>318</v>
      </c>
      <c r="C52" s="144" t="s">
        <v>829</v>
      </c>
      <c r="D52" s="351">
        <f>IF(Vin_type="AC",((COSS_QH_bg*Vxh*(10^-12)+COSS_QH_sm*(10^-12)*(VBulk_min_tgt+NPS*VOUT-Vxh))/(VBulk_min_tgt+VOUT*NPS))*10^12,((COSS_QH_bg*Vxh*(10^-12)+COSS_QH_sm*(10^-12)*(VBulk_min_tgt+NPS*VOUT-Vxh))/(VBulk_min_tgt+VOUT*NPS))*10^12)</f>
        <v>48.07692307692308</v>
      </c>
      <c r="E52" s="145" t="s">
        <v>13</v>
      </c>
      <c r="F52" s="324"/>
      <c r="G52" s="146"/>
      <c r="H52" s="314"/>
      <c r="I52" s="135"/>
      <c r="J52" s="182"/>
      <c r="K52" s="135"/>
      <c r="L52" s="135"/>
      <c r="M52" s="135"/>
      <c r="N52" s="135"/>
    </row>
    <row r="53" spans="1:14" ht="18.75" customHeight="1">
      <c r="A53" s="141"/>
      <c r="B53" s="352" t="s">
        <v>320</v>
      </c>
      <c r="C53" s="353"/>
      <c r="D53" s="344"/>
      <c r="E53" s="336"/>
      <c r="F53" s="136"/>
      <c r="G53" s="354"/>
      <c r="H53" s="135"/>
      <c r="I53" s="135"/>
      <c r="J53" s="182"/>
      <c r="K53" s="135"/>
      <c r="L53" s="135"/>
      <c r="M53" s="135"/>
      <c r="N53" s="135"/>
    </row>
    <row r="54" spans="1:14" ht="18.75" customHeight="1">
      <c r="A54" s="141"/>
      <c r="B54" s="143" t="s">
        <v>230</v>
      </c>
      <c r="C54" s="590" t="s">
        <v>730</v>
      </c>
      <c r="D54" s="591"/>
      <c r="E54" s="145"/>
      <c r="F54" s="594" t="s">
        <v>1054</v>
      </c>
      <c r="G54" s="595"/>
      <c r="H54" s="135"/>
      <c r="I54" s="135"/>
      <c r="J54" s="135"/>
      <c r="K54" s="135"/>
      <c r="L54" s="135"/>
      <c r="M54" s="135"/>
      <c r="N54" s="135"/>
    </row>
    <row r="55" spans="1:14" ht="18.75">
      <c r="A55" s="141"/>
      <c r="B55" s="323" t="s">
        <v>379</v>
      </c>
      <c r="C55" s="144" t="s">
        <v>526</v>
      </c>
      <c r="D55" s="62">
        <v>0.12</v>
      </c>
      <c r="E55" s="145" t="s">
        <v>10</v>
      </c>
      <c r="F55" s="349"/>
      <c r="G55" s="350"/>
      <c r="H55" s="135"/>
      <c r="I55" s="135"/>
      <c r="J55" s="135"/>
      <c r="K55" s="135"/>
      <c r="L55" s="135"/>
      <c r="M55" s="135"/>
      <c r="N55" s="135"/>
    </row>
    <row r="56" spans="1:14" ht="18.75">
      <c r="A56" s="141"/>
      <c r="B56" s="323" t="s">
        <v>1122</v>
      </c>
      <c r="C56" s="144" t="s">
        <v>527</v>
      </c>
      <c r="D56" s="61">
        <v>200</v>
      </c>
      <c r="E56" s="145" t="s">
        <v>13</v>
      </c>
      <c r="F56" s="349"/>
      <c r="G56" s="146" t="s">
        <v>374</v>
      </c>
      <c r="H56" s="135"/>
      <c r="I56" s="135"/>
      <c r="J56" s="135"/>
      <c r="K56" s="135"/>
      <c r="L56" s="135"/>
      <c r="M56" s="135"/>
      <c r="N56" s="135"/>
    </row>
    <row r="57" spans="1:14" ht="18.75">
      <c r="A57" s="141"/>
      <c r="B57" s="323" t="s">
        <v>1121</v>
      </c>
      <c r="C57" s="144" t="s">
        <v>528</v>
      </c>
      <c r="D57" s="61">
        <v>40</v>
      </c>
      <c r="E57" s="145" t="s">
        <v>13</v>
      </c>
      <c r="F57" s="349"/>
      <c r="G57" s="146" t="s">
        <v>374</v>
      </c>
      <c r="H57" s="135"/>
      <c r="I57" s="135"/>
      <c r="J57" s="135"/>
      <c r="K57" s="135"/>
      <c r="L57" s="135"/>
      <c r="M57" s="135"/>
      <c r="N57" s="135"/>
    </row>
    <row r="58" spans="1:14" ht="18.75">
      <c r="A58" s="141"/>
      <c r="B58" s="323" t="s">
        <v>381</v>
      </c>
      <c r="C58" s="144" t="s">
        <v>529</v>
      </c>
      <c r="D58" s="61">
        <v>70</v>
      </c>
      <c r="E58" s="145" t="s">
        <v>12</v>
      </c>
      <c r="F58" s="349"/>
      <c r="G58" s="146" t="s">
        <v>374</v>
      </c>
      <c r="H58" s="135"/>
      <c r="I58" s="135"/>
      <c r="J58" s="135"/>
      <c r="K58" s="135"/>
      <c r="L58" s="135"/>
      <c r="M58" s="135"/>
      <c r="N58" s="135"/>
    </row>
    <row r="59" spans="1:14" ht="18.75">
      <c r="A59" s="141"/>
      <c r="B59" s="323" t="s">
        <v>317</v>
      </c>
      <c r="C59" s="144" t="s">
        <v>530</v>
      </c>
      <c r="D59" s="61">
        <v>24</v>
      </c>
      <c r="E59" s="145" t="s">
        <v>5</v>
      </c>
      <c r="F59" s="335"/>
      <c r="G59" s="146"/>
      <c r="H59" s="135"/>
      <c r="I59" s="135"/>
      <c r="J59" s="135"/>
      <c r="K59" s="135"/>
      <c r="L59" s="135"/>
      <c r="M59" s="135"/>
      <c r="N59" s="135"/>
    </row>
    <row r="60" spans="1:14" ht="19.5" thickBot="1">
      <c r="A60" s="141"/>
      <c r="B60" s="333" t="s">
        <v>318</v>
      </c>
      <c r="C60" s="216" t="s">
        <v>830</v>
      </c>
      <c r="D60" s="355">
        <f>IF(Vin_type="AC",((COSS_QL_bg*Vxl*(10^-12)+COSS_QL_sm*(10^-12)*(VBulk_min_tgt+NPS*VOUT-Vxl))/(VBulk_min_tgt+VOUT*NPS))*10^12,((COSS_QL_bg*Vxl*(10^-12)+COSS_QL_sm*(10^-12)*(VBulk_min_tgt+NPS*VOUT-Vxl))/(VBulk_min_tgt+VOUT*NPS))*10^12)</f>
        <v>83.07692307692308</v>
      </c>
      <c r="E60" s="218" t="s">
        <v>13</v>
      </c>
      <c r="F60" s="356"/>
      <c r="G60" s="357"/>
      <c r="H60" s="314"/>
      <c r="I60" s="135"/>
      <c r="J60" s="182"/>
      <c r="K60" s="135"/>
      <c r="L60" s="135"/>
      <c r="M60" s="135"/>
      <c r="N60" s="135"/>
    </row>
    <row r="61" spans="1:14" ht="15.75" thickBot="1">
      <c r="A61" s="141"/>
      <c r="B61" s="358"/>
      <c r="C61" s="358"/>
      <c r="D61" s="138"/>
      <c r="E61" s="359"/>
      <c r="F61" s="359"/>
      <c r="G61" s="359"/>
      <c r="H61" s="135"/>
      <c r="I61" s="135"/>
      <c r="J61" s="182"/>
      <c r="K61" s="135"/>
      <c r="L61" s="135"/>
      <c r="M61" s="135"/>
      <c r="N61" s="135"/>
    </row>
    <row r="62" spans="1:14" ht="18" customHeight="1">
      <c r="A62" s="141"/>
      <c r="B62" s="616" t="s">
        <v>1056</v>
      </c>
      <c r="C62" s="617"/>
      <c r="D62" s="617"/>
      <c r="E62" s="617"/>
      <c r="F62" s="617"/>
      <c r="G62" s="618"/>
      <c r="H62" s="538"/>
      <c r="I62" s="135"/>
      <c r="J62" s="135"/>
      <c r="K62" s="135"/>
      <c r="L62" s="135"/>
      <c r="M62" s="135"/>
      <c r="N62" s="135"/>
    </row>
    <row r="63" spans="1:14" ht="18.75" customHeight="1">
      <c r="A63" s="141"/>
      <c r="B63" s="360" t="s">
        <v>237</v>
      </c>
      <c r="C63" s="590" t="s">
        <v>731</v>
      </c>
      <c r="D63" s="591"/>
      <c r="E63" s="602"/>
      <c r="F63" s="602"/>
      <c r="G63" s="603"/>
      <c r="H63" s="378"/>
      <c r="J63" s="135"/>
      <c r="K63" s="135"/>
      <c r="L63" s="135"/>
      <c r="M63" s="135"/>
      <c r="N63" s="135"/>
    </row>
    <row r="64" spans="1:14" ht="18.75">
      <c r="A64" s="141"/>
      <c r="B64" s="323" t="s">
        <v>300</v>
      </c>
      <c r="C64" s="144" t="s">
        <v>512</v>
      </c>
      <c r="D64" s="37">
        <v>0</v>
      </c>
      <c r="E64" s="338" t="s">
        <v>35</v>
      </c>
      <c r="F64" s="324" t="s">
        <v>1104</v>
      </c>
      <c r="G64" s="346"/>
      <c r="H64" s="380"/>
      <c r="I64" s="135"/>
      <c r="J64" s="135"/>
      <c r="K64" s="135"/>
      <c r="L64" s="135"/>
      <c r="M64" s="135"/>
      <c r="N64" s="135"/>
    </row>
    <row r="65" spans="1:14" ht="18.75">
      <c r="A65" s="141"/>
      <c r="B65" s="323" t="s">
        <v>299</v>
      </c>
      <c r="C65" s="144" t="s">
        <v>513</v>
      </c>
      <c r="D65" s="37">
        <v>11</v>
      </c>
      <c r="E65" s="338" t="s">
        <v>47</v>
      </c>
      <c r="F65" s="345"/>
      <c r="G65" s="346"/>
      <c r="H65" s="135"/>
      <c r="I65" s="135"/>
      <c r="J65" s="135"/>
      <c r="K65" s="135"/>
      <c r="L65" s="135"/>
      <c r="M65" s="135"/>
      <c r="N65" s="135"/>
    </row>
    <row r="66" spans="1:14" ht="18.75">
      <c r="A66" s="141"/>
      <c r="B66" s="323" t="s">
        <v>321</v>
      </c>
      <c r="C66" s="144" t="s">
        <v>514</v>
      </c>
      <c r="D66" s="60">
        <v>1</v>
      </c>
      <c r="E66" s="338" t="s">
        <v>63</v>
      </c>
      <c r="F66" s="345"/>
      <c r="G66" s="346"/>
      <c r="H66" s="135"/>
      <c r="I66" s="135"/>
      <c r="J66" s="135"/>
      <c r="K66" s="135"/>
      <c r="L66" s="135"/>
      <c r="M66" s="135"/>
      <c r="N66" s="135"/>
    </row>
    <row r="67" spans="1:14" ht="18.75">
      <c r="A67" s="141"/>
      <c r="B67" s="323" t="s">
        <v>322</v>
      </c>
      <c r="C67" s="144" t="s">
        <v>515</v>
      </c>
      <c r="D67" s="37">
        <v>10</v>
      </c>
      <c r="E67" s="338" t="s">
        <v>13</v>
      </c>
      <c r="F67" s="345"/>
      <c r="G67" s="346"/>
      <c r="H67" s="135"/>
      <c r="I67" s="135"/>
      <c r="J67" s="135"/>
      <c r="K67" s="135"/>
      <c r="L67" s="135"/>
      <c r="M67" s="135"/>
      <c r="N67" s="135"/>
    </row>
    <row r="68" spans="1:14" ht="19.5" thickBot="1">
      <c r="A68" s="141"/>
      <c r="B68" s="333" t="s">
        <v>298</v>
      </c>
      <c r="C68" s="216" t="s">
        <v>516</v>
      </c>
      <c r="D68" s="1">
        <v>1.1000000000000001</v>
      </c>
      <c r="E68" s="218" t="s">
        <v>58</v>
      </c>
      <c r="F68" s="630" t="s">
        <v>236</v>
      </c>
      <c r="G68" s="682"/>
      <c r="H68" s="135"/>
      <c r="I68" s="135"/>
      <c r="J68" s="135"/>
      <c r="K68" s="135"/>
      <c r="L68" s="135"/>
      <c r="M68" s="135"/>
      <c r="N68" s="135"/>
    </row>
    <row r="69" spans="1:14" ht="15.75" thickBot="1">
      <c r="A69" s="141"/>
      <c r="B69" s="358"/>
      <c r="C69" s="358"/>
      <c r="D69" s="138"/>
      <c r="E69" s="359"/>
      <c r="F69" s="359"/>
      <c r="G69" s="359"/>
      <c r="H69" s="135"/>
      <c r="I69" s="135"/>
      <c r="J69" s="135"/>
      <c r="K69" s="135"/>
      <c r="L69" s="135"/>
      <c r="M69" s="135"/>
      <c r="N69" s="135"/>
    </row>
    <row r="70" spans="1:14" ht="18" customHeight="1">
      <c r="A70" s="141"/>
      <c r="B70" s="616" t="s">
        <v>203</v>
      </c>
      <c r="C70" s="617"/>
      <c r="D70" s="617"/>
      <c r="E70" s="617"/>
      <c r="F70" s="617"/>
      <c r="G70" s="618"/>
      <c r="H70" s="259"/>
      <c r="I70" s="135"/>
      <c r="J70" s="135"/>
      <c r="K70" s="135"/>
      <c r="L70" s="135"/>
      <c r="M70" s="135"/>
      <c r="N70" s="135"/>
    </row>
    <row r="71" spans="1:14" ht="18.75">
      <c r="A71" s="135"/>
      <c r="B71" s="339" t="s">
        <v>501</v>
      </c>
      <c r="C71" s="144" t="s">
        <v>502</v>
      </c>
      <c r="D71" s="257" t="str">
        <f>IF(Vin_type="AC",((2*PO_FL/η_min)*(0.25+ASIN(VBulk_min_tgt/(VIN_min*1.414))/6.2832)/(((VIN_min*1.414-2)^2-(VBulk_min_tgt)^2)*fLINE_min)*1)*10^6,"(N/A)")</f>
        <v>(N/A)</v>
      </c>
      <c r="E71" s="195" t="s">
        <v>54</v>
      </c>
      <c r="F71" s="629" t="s">
        <v>981</v>
      </c>
      <c r="G71" s="595"/>
      <c r="H71" s="314"/>
      <c r="I71" s="135"/>
      <c r="J71" s="182"/>
      <c r="K71" s="135"/>
      <c r="L71" s="135"/>
      <c r="M71" s="135"/>
      <c r="N71" s="135"/>
    </row>
    <row r="72" spans="1:14" ht="18.75">
      <c r="A72" s="141"/>
      <c r="B72" s="339" t="s">
        <v>980</v>
      </c>
      <c r="C72" s="144" t="s">
        <v>503</v>
      </c>
      <c r="D72" s="27">
        <v>100</v>
      </c>
      <c r="E72" s="195" t="s">
        <v>54</v>
      </c>
      <c r="F72" s="324" t="s">
        <v>1057</v>
      </c>
      <c r="G72" s="149"/>
      <c r="H72" s="135"/>
      <c r="I72" s="135"/>
      <c r="J72" s="182"/>
      <c r="K72" s="135"/>
      <c r="L72" s="135"/>
      <c r="M72" s="135"/>
      <c r="N72" s="135"/>
    </row>
    <row r="73" spans="1:14" ht="18.75">
      <c r="A73" s="141"/>
      <c r="B73" s="339" t="s">
        <v>297</v>
      </c>
      <c r="C73" s="144" t="s">
        <v>504</v>
      </c>
      <c r="D73" s="194">
        <f>IF(CBULK_act="",CBULK_rec,CBULK_act)</f>
        <v>100</v>
      </c>
      <c r="E73" s="195" t="s">
        <v>54</v>
      </c>
      <c r="F73" s="324"/>
      <c r="G73" s="149"/>
      <c r="H73" s="135"/>
      <c r="I73" s="135"/>
      <c r="J73" s="135"/>
      <c r="K73" s="135"/>
      <c r="L73" s="135"/>
      <c r="M73" s="135"/>
      <c r="N73" s="135"/>
    </row>
    <row r="74" spans="1:14" ht="18.75">
      <c r="A74" s="141"/>
      <c r="B74" s="339" t="s">
        <v>296</v>
      </c>
      <c r="C74" s="144" t="s">
        <v>1110</v>
      </c>
      <c r="D74" s="194">
        <f>IF(Vin_type="AC",ROUNDUP(VINPUT_max*1.414,-2),ROUNDUP(VINPUT_max,-2))</f>
        <v>400</v>
      </c>
      <c r="E74" s="195" t="s">
        <v>12</v>
      </c>
      <c r="F74" s="324" t="s">
        <v>316</v>
      </c>
      <c r="G74" s="149"/>
      <c r="H74" s="314"/>
      <c r="I74" s="135"/>
      <c r="J74" s="182"/>
      <c r="K74" s="135"/>
      <c r="L74" s="135"/>
      <c r="M74" s="135"/>
      <c r="N74" s="135"/>
    </row>
    <row r="75" spans="1:14">
      <c r="A75" s="141"/>
      <c r="B75" s="361"/>
      <c r="C75" s="348"/>
      <c r="D75" s="194"/>
      <c r="E75" s="195"/>
      <c r="F75" s="324"/>
      <c r="G75" s="149"/>
      <c r="H75" s="314"/>
      <c r="I75" s="135"/>
      <c r="J75" s="182"/>
      <c r="K75" s="135"/>
      <c r="L75" s="135"/>
      <c r="M75" s="135"/>
      <c r="N75" s="135"/>
    </row>
    <row r="76" spans="1:14" ht="18.75">
      <c r="A76" s="141"/>
      <c r="B76" s="339" t="s">
        <v>505</v>
      </c>
      <c r="C76" s="144" t="s">
        <v>506</v>
      </c>
      <c r="D76" s="27">
        <v>20</v>
      </c>
      <c r="E76" s="195" t="s">
        <v>507</v>
      </c>
      <c r="F76" s="324"/>
      <c r="G76" s="149"/>
      <c r="H76" s="135"/>
      <c r="I76" s="135"/>
      <c r="J76" s="135"/>
      <c r="K76" s="135"/>
      <c r="L76" s="135"/>
      <c r="M76" s="135"/>
      <c r="N76" s="135"/>
    </row>
    <row r="77" spans="1:14" ht="18.75">
      <c r="A77" s="141"/>
      <c r="B77" s="339" t="s">
        <v>1058</v>
      </c>
      <c r="C77" s="144" t="s">
        <v>1060</v>
      </c>
      <c r="D77" s="4">
        <v>1.5</v>
      </c>
      <c r="E77" s="195" t="s">
        <v>12</v>
      </c>
      <c r="F77" s="324" t="s">
        <v>1059</v>
      </c>
      <c r="G77" s="149"/>
      <c r="H77" s="135"/>
      <c r="I77" s="135"/>
      <c r="J77" s="135"/>
      <c r="K77" s="135"/>
      <c r="L77" s="135"/>
      <c r="M77" s="135"/>
      <c r="N77" s="135"/>
    </row>
    <row r="78" spans="1:14" ht="18.75">
      <c r="A78" s="141"/>
      <c r="B78" s="323" t="s">
        <v>508</v>
      </c>
      <c r="C78" s="144" t="s">
        <v>509</v>
      </c>
      <c r="D78" s="194">
        <f>(IOUT*(0.35/(Fcr_min*10^3)+50*10^-6)/(Vo_drop-IOUT*RCO*0.001))*10^6*1</f>
        <v>803.57142857142856</v>
      </c>
      <c r="E78" s="195" t="s">
        <v>54</v>
      </c>
      <c r="F78" s="629" t="s">
        <v>337</v>
      </c>
      <c r="G78" s="595"/>
      <c r="H78" s="135"/>
      <c r="I78" s="182"/>
      <c r="J78" s="135"/>
      <c r="K78" s="135"/>
      <c r="L78" s="135"/>
      <c r="M78" s="135"/>
      <c r="N78" s="135"/>
    </row>
    <row r="79" spans="1:14" ht="16.149999999999999" customHeight="1">
      <c r="A79" s="141"/>
      <c r="B79" s="339" t="s">
        <v>979</v>
      </c>
      <c r="C79" s="144" t="s">
        <v>510</v>
      </c>
      <c r="D79" s="61">
        <v>470</v>
      </c>
      <c r="E79" s="195" t="s">
        <v>54</v>
      </c>
      <c r="F79" s="606" t="s">
        <v>1057</v>
      </c>
      <c r="G79" s="621"/>
      <c r="H79" s="135"/>
      <c r="I79" s="135"/>
      <c r="J79" s="314"/>
      <c r="K79" s="135"/>
      <c r="L79" s="135"/>
      <c r="M79" s="135"/>
      <c r="N79" s="135"/>
    </row>
    <row r="80" spans="1:14" ht="19.5" thickBot="1">
      <c r="A80" s="141"/>
      <c r="B80" s="362" t="s">
        <v>295</v>
      </c>
      <c r="C80" s="216" t="s">
        <v>511</v>
      </c>
      <c r="D80" s="363">
        <f>IF(COUT_act="",COUT_rec,COUT_act)</f>
        <v>470</v>
      </c>
      <c r="E80" s="218" t="s">
        <v>54</v>
      </c>
      <c r="F80" s="364"/>
      <c r="G80" s="219"/>
      <c r="H80" s="135"/>
      <c r="I80" s="135"/>
      <c r="J80" s="135"/>
      <c r="K80" s="135"/>
      <c r="L80" s="135"/>
      <c r="M80" s="135"/>
      <c r="N80" s="135"/>
    </row>
    <row r="81" spans="1:14" ht="15.75" thickBot="1">
      <c r="A81" s="141"/>
      <c r="B81" s="136"/>
      <c r="C81" s="136"/>
      <c r="D81" s="138"/>
      <c r="E81" s="136"/>
      <c r="F81" s="139"/>
      <c r="G81" s="140"/>
      <c r="H81" s="135"/>
      <c r="I81" s="135"/>
      <c r="J81" s="135"/>
      <c r="K81" s="135"/>
      <c r="L81" s="135"/>
      <c r="M81" s="135"/>
      <c r="N81" s="135"/>
    </row>
    <row r="82" spans="1:14" ht="18" customHeight="1">
      <c r="A82" s="141"/>
      <c r="B82" s="616" t="s">
        <v>1062</v>
      </c>
      <c r="C82" s="617"/>
      <c r="D82" s="617"/>
      <c r="E82" s="617"/>
      <c r="F82" s="617"/>
      <c r="G82" s="618"/>
      <c r="H82" s="135"/>
      <c r="I82" s="135"/>
      <c r="J82" s="135"/>
      <c r="K82" s="135"/>
      <c r="L82" s="135"/>
      <c r="M82" s="135"/>
      <c r="N82" s="135"/>
    </row>
    <row r="83" spans="1:14" ht="18.75" customHeight="1">
      <c r="A83" s="141"/>
      <c r="B83" s="360" t="s">
        <v>231</v>
      </c>
      <c r="C83" s="590" t="s">
        <v>732</v>
      </c>
      <c r="D83" s="591"/>
      <c r="E83" s="602"/>
      <c r="F83" s="602"/>
      <c r="G83" s="603"/>
      <c r="H83" s="378"/>
      <c r="I83" s="135"/>
      <c r="J83" s="135"/>
      <c r="K83" s="135"/>
      <c r="L83" s="135"/>
      <c r="M83" s="135"/>
      <c r="N83" s="135"/>
    </row>
    <row r="84" spans="1:14" ht="18.75">
      <c r="A84" s="141"/>
      <c r="B84" s="339" t="s">
        <v>289</v>
      </c>
      <c r="C84" s="144" t="s">
        <v>495</v>
      </c>
      <c r="D84" s="27">
        <v>90</v>
      </c>
      <c r="E84" s="195" t="s">
        <v>3</v>
      </c>
      <c r="F84" s="594"/>
      <c r="G84" s="595"/>
      <c r="H84" s="380"/>
      <c r="I84" s="135"/>
      <c r="J84" s="135"/>
      <c r="K84" s="135"/>
      <c r="L84" s="135"/>
      <c r="M84" s="135"/>
      <c r="N84" s="135"/>
    </row>
    <row r="85" spans="1:14" ht="18.75" customHeight="1">
      <c r="A85" s="141"/>
      <c r="B85" s="339" t="s">
        <v>323</v>
      </c>
      <c r="C85" s="144" t="s">
        <v>496</v>
      </c>
      <c r="D85" s="194">
        <f>IF(Vin_type="AC",((VINPUT_max*SQRT(2)/NPS)+VOUT*OVP_tgt*0.01+ΔVSPIKE_SR)/(Kder_SR/100),((VINPUT_max/NPS)+VOUT*OVP_tgt*0.01+ΔVSPIKE_SR)/(Kder_SR/100))</f>
        <v>147.77777777777777</v>
      </c>
      <c r="E85" s="195" t="s">
        <v>6</v>
      </c>
      <c r="F85" s="598"/>
      <c r="G85" s="599"/>
      <c r="H85" s="314"/>
      <c r="I85" s="135"/>
      <c r="J85" s="182"/>
      <c r="K85" s="135"/>
      <c r="L85" s="135"/>
      <c r="M85" s="135"/>
      <c r="N85" s="135"/>
    </row>
    <row r="86" spans="1:14" ht="19.899999999999999" customHeight="1">
      <c r="A86" s="141"/>
      <c r="B86" s="323" t="s">
        <v>290</v>
      </c>
      <c r="C86" s="144" t="s">
        <v>497</v>
      </c>
      <c r="D86" s="61">
        <v>150</v>
      </c>
      <c r="E86" s="145" t="s">
        <v>6</v>
      </c>
      <c r="F86" s="324"/>
      <c r="G86" s="149"/>
      <c r="H86" s="135"/>
      <c r="I86" s="135"/>
      <c r="J86" s="182"/>
      <c r="K86" s="135"/>
      <c r="L86" s="135"/>
      <c r="M86" s="135"/>
      <c r="N86" s="135"/>
    </row>
    <row r="87" spans="1:14" ht="18.75" customHeight="1">
      <c r="A87" s="141"/>
      <c r="B87" s="339" t="s">
        <v>1123</v>
      </c>
      <c r="C87" s="144" t="s">
        <v>498</v>
      </c>
      <c r="D87" s="27">
        <v>2800</v>
      </c>
      <c r="E87" s="195" t="s">
        <v>13</v>
      </c>
      <c r="F87" s="324"/>
      <c r="G87" s="149"/>
      <c r="H87" s="135"/>
      <c r="I87" s="135"/>
      <c r="J87" s="135"/>
      <c r="K87" s="135"/>
      <c r="L87" s="135"/>
      <c r="M87" s="135"/>
      <c r="N87" s="135"/>
    </row>
    <row r="88" spans="1:14" ht="18.75" customHeight="1">
      <c r="A88" s="141"/>
      <c r="B88" s="339" t="s">
        <v>1124</v>
      </c>
      <c r="C88" s="144" t="s">
        <v>499</v>
      </c>
      <c r="D88" s="27">
        <v>1000</v>
      </c>
      <c r="E88" s="195" t="s">
        <v>13</v>
      </c>
      <c r="F88" s="324"/>
      <c r="G88" s="149"/>
      <c r="H88" s="135"/>
      <c r="I88" s="135"/>
      <c r="J88" s="135"/>
      <c r="K88" s="135"/>
      <c r="L88" s="135"/>
      <c r="M88" s="135"/>
      <c r="N88" s="135"/>
    </row>
    <row r="89" spans="1:14" ht="18.75" customHeight="1">
      <c r="A89" s="141"/>
      <c r="B89" s="339" t="s">
        <v>382</v>
      </c>
      <c r="C89" s="144" t="s">
        <v>500</v>
      </c>
      <c r="D89" s="27">
        <v>5</v>
      </c>
      <c r="E89" s="195" t="s">
        <v>12</v>
      </c>
      <c r="F89" s="324"/>
      <c r="G89" s="149"/>
      <c r="H89" s="135"/>
      <c r="I89" s="135"/>
      <c r="J89" s="135"/>
      <c r="K89" s="135"/>
      <c r="L89" s="135"/>
      <c r="M89" s="135"/>
      <c r="N89" s="135"/>
    </row>
    <row r="90" spans="1:14" ht="18.75">
      <c r="A90" s="141"/>
      <c r="B90" s="339" t="s">
        <v>291</v>
      </c>
      <c r="C90" s="144" t="s">
        <v>831</v>
      </c>
      <c r="D90" s="194">
        <f>IF(Vin_type="AC",(Coss_SR_bg*Vx_SR+Coss_SR_sm*(VOUT+VBulk_min_tgt/NPS-Vx_SR))/(VOUT+VBulk_min_tgt/NPS),(Coss_SR_bg*Vx_SR+Coss_SR_sm*(VOUT+VBulk_min_tgt/NPS-Vx_SR))/(VOUT+VBulk_min_tgt/NPS))</f>
        <v>1173.0769230769231</v>
      </c>
      <c r="E90" s="195" t="s">
        <v>13</v>
      </c>
      <c r="F90" s="324"/>
      <c r="G90" s="365"/>
      <c r="H90" s="314"/>
      <c r="I90" s="135"/>
      <c r="J90" s="182"/>
      <c r="K90" s="135"/>
      <c r="L90" s="135"/>
      <c r="M90" s="135"/>
      <c r="N90" s="135"/>
    </row>
    <row r="91" spans="1:14" ht="18.75">
      <c r="A91" s="141"/>
      <c r="B91" s="323" t="s">
        <v>292</v>
      </c>
      <c r="C91" s="144" t="s">
        <v>832</v>
      </c>
      <c r="D91" s="61">
        <v>400</v>
      </c>
      <c r="E91" s="145" t="s">
        <v>13</v>
      </c>
      <c r="F91" s="598" t="s">
        <v>1061</v>
      </c>
      <c r="G91" s="599"/>
      <c r="H91" s="366"/>
      <c r="I91" s="135"/>
      <c r="J91" s="182"/>
      <c r="K91" s="135"/>
      <c r="L91" s="135"/>
      <c r="M91" s="135"/>
      <c r="N91" s="135"/>
    </row>
    <row r="92" spans="1:14" ht="18.75">
      <c r="A92" s="141"/>
      <c r="B92" s="323" t="s">
        <v>293</v>
      </c>
      <c r="C92" s="144" t="s">
        <v>833</v>
      </c>
      <c r="D92" s="59">
        <v>0</v>
      </c>
      <c r="E92" s="145" t="s">
        <v>15</v>
      </c>
      <c r="F92" s="606" t="s">
        <v>974</v>
      </c>
      <c r="G92" s="607"/>
      <c r="H92" s="135"/>
      <c r="I92" s="135"/>
      <c r="J92" s="135"/>
      <c r="K92" s="135"/>
      <c r="L92" s="135"/>
      <c r="M92" s="135"/>
      <c r="N92" s="135"/>
    </row>
    <row r="93" spans="1:14" ht="19.5" thickBot="1">
      <c r="A93" s="141"/>
      <c r="B93" s="333" t="s">
        <v>294</v>
      </c>
      <c r="C93" s="216" t="s">
        <v>834</v>
      </c>
      <c r="D93" s="1">
        <v>348</v>
      </c>
      <c r="E93" s="218" t="s">
        <v>106</v>
      </c>
      <c r="F93" s="604" t="s">
        <v>1134</v>
      </c>
      <c r="G93" s="605"/>
      <c r="H93" s="135"/>
      <c r="I93" s="135"/>
      <c r="J93" s="135"/>
      <c r="K93" s="135"/>
      <c r="L93" s="135"/>
      <c r="M93" s="135"/>
      <c r="N93" s="135"/>
    </row>
    <row r="94" spans="1:14" ht="15.75" thickBot="1">
      <c r="A94" s="141"/>
      <c r="B94" s="136"/>
      <c r="C94" s="136"/>
      <c r="D94" s="138"/>
      <c r="E94" s="136"/>
      <c r="F94" s="139"/>
      <c r="G94" s="140"/>
      <c r="H94" s="135"/>
      <c r="I94" s="135"/>
      <c r="J94" s="135"/>
      <c r="K94" s="135"/>
      <c r="L94" s="135"/>
      <c r="M94" s="135"/>
      <c r="N94" s="135"/>
    </row>
    <row r="95" spans="1:14" ht="18" customHeight="1">
      <c r="A95" s="141"/>
      <c r="B95" s="616" t="s">
        <v>17</v>
      </c>
      <c r="C95" s="617"/>
      <c r="D95" s="617"/>
      <c r="E95" s="617"/>
      <c r="F95" s="617"/>
      <c r="G95" s="618"/>
      <c r="H95" s="378"/>
      <c r="I95" s="135"/>
      <c r="J95" s="135"/>
      <c r="K95" s="135"/>
      <c r="L95" s="135"/>
      <c r="M95" s="135"/>
      <c r="N95" s="135"/>
    </row>
    <row r="96" spans="1:14" ht="18" customHeight="1">
      <c r="A96" s="135"/>
      <c r="B96" s="367" t="s">
        <v>232</v>
      </c>
      <c r="C96" s="592" t="s">
        <v>733</v>
      </c>
      <c r="D96" s="593"/>
      <c r="E96" s="600"/>
      <c r="F96" s="600"/>
      <c r="G96" s="601"/>
      <c r="H96" s="380"/>
      <c r="I96" s="135"/>
      <c r="J96" s="135"/>
      <c r="K96" s="135"/>
      <c r="L96" s="135"/>
      <c r="M96" s="135"/>
      <c r="N96" s="135"/>
    </row>
    <row r="97" spans="1:14" ht="18.75">
      <c r="A97" s="135"/>
      <c r="B97" s="368" t="s">
        <v>286</v>
      </c>
      <c r="C97" s="183" t="s">
        <v>835</v>
      </c>
      <c r="D97" s="28">
        <v>0.2</v>
      </c>
      <c r="E97" s="369" t="s">
        <v>15</v>
      </c>
      <c r="F97" s="625"/>
      <c r="G97" s="624"/>
      <c r="H97" s="135"/>
      <c r="I97" s="135"/>
      <c r="J97" s="135"/>
      <c r="K97" s="135"/>
      <c r="L97" s="135"/>
      <c r="M97" s="135"/>
      <c r="N97" s="135"/>
    </row>
    <row r="98" spans="1:14" ht="18.75">
      <c r="A98" s="135"/>
      <c r="B98" s="368" t="s">
        <v>978</v>
      </c>
      <c r="C98" s="183" t="s">
        <v>836</v>
      </c>
      <c r="D98" s="22">
        <v>1</v>
      </c>
      <c r="E98" s="626" t="s">
        <v>18</v>
      </c>
      <c r="F98" s="626"/>
      <c r="G98" s="627"/>
      <c r="H98" s="135"/>
      <c r="I98" s="135"/>
      <c r="J98" s="135"/>
      <c r="K98" s="135"/>
      <c r="L98" s="135"/>
      <c r="M98" s="135"/>
      <c r="N98" s="135"/>
    </row>
    <row r="99" spans="1:14" ht="18.75">
      <c r="A99" s="135"/>
      <c r="B99" s="368" t="s">
        <v>977</v>
      </c>
      <c r="C99" s="183" t="s">
        <v>838</v>
      </c>
      <c r="D99" s="22">
        <v>0.5</v>
      </c>
      <c r="E99" s="369" t="s">
        <v>6</v>
      </c>
      <c r="F99" s="619" t="s">
        <v>164</v>
      </c>
      <c r="G99" s="628"/>
      <c r="H99" s="135"/>
      <c r="I99" s="135"/>
      <c r="J99" s="135"/>
      <c r="K99" s="135"/>
      <c r="L99" s="135"/>
      <c r="M99" s="135"/>
      <c r="N99" s="135"/>
    </row>
    <row r="100" spans="1:14" ht="18.75">
      <c r="A100" s="135"/>
      <c r="B100" s="368" t="s">
        <v>287</v>
      </c>
      <c r="C100" s="183" t="s">
        <v>837</v>
      </c>
      <c r="D100" s="29">
        <v>3</v>
      </c>
      <c r="E100" s="369" t="s">
        <v>8</v>
      </c>
      <c r="F100" s="620"/>
      <c r="G100" s="624"/>
      <c r="H100" s="135"/>
      <c r="I100" s="135"/>
      <c r="J100" s="135"/>
      <c r="K100" s="135"/>
      <c r="L100" s="135"/>
      <c r="M100" s="135"/>
      <c r="N100" s="135"/>
    </row>
    <row r="101" spans="1:14" ht="18.75">
      <c r="A101" s="135"/>
      <c r="B101" s="337" t="s">
        <v>1130</v>
      </c>
      <c r="C101" s="152" t="s">
        <v>1131</v>
      </c>
      <c r="D101" s="36">
        <v>1.1000000000000001</v>
      </c>
      <c r="E101" s="145"/>
      <c r="F101" s="606" t="s">
        <v>1066</v>
      </c>
      <c r="G101" s="607"/>
      <c r="H101" s="538"/>
      <c r="I101" s="135"/>
      <c r="J101" s="135"/>
      <c r="K101" s="135"/>
      <c r="L101" s="135"/>
      <c r="M101" s="135"/>
      <c r="N101" s="135"/>
    </row>
    <row r="102" spans="1:14" ht="18.75">
      <c r="A102" s="135"/>
      <c r="B102" s="337" t="s">
        <v>1132</v>
      </c>
      <c r="C102" s="152" t="s">
        <v>1133</v>
      </c>
      <c r="D102" s="36">
        <v>0.5</v>
      </c>
      <c r="E102" s="145"/>
      <c r="F102" s="606" t="s">
        <v>1066</v>
      </c>
      <c r="G102" s="607"/>
      <c r="H102" s="538"/>
      <c r="I102" s="135"/>
      <c r="J102" s="135"/>
      <c r="K102" s="135"/>
      <c r="L102" s="135"/>
      <c r="M102" s="135"/>
      <c r="N102" s="135"/>
    </row>
    <row r="103" spans="1:14" ht="19.5" thickBot="1">
      <c r="A103" s="135"/>
      <c r="B103" s="370" t="s">
        <v>288</v>
      </c>
      <c r="C103" s="371" t="s">
        <v>839</v>
      </c>
      <c r="D103" s="23">
        <v>0.8</v>
      </c>
      <c r="E103" s="372"/>
      <c r="F103" s="596" t="s">
        <v>158</v>
      </c>
      <c r="G103" s="597"/>
      <c r="H103" s="135"/>
      <c r="I103" s="135"/>
      <c r="J103" s="135"/>
      <c r="K103" s="135"/>
      <c r="L103" s="135"/>
      <c r="M103" s="135"/>
      <c r="N103" s="135"/>
    </row>
    <row r="104" spans="1:14" ht="15.75" thickBot="1">
      <c r="A104" s="141"/>
      <c r="B104" s="136"/>
      <c r="C104" s="136"/>
      <c r="D104" s="138"/>
      <c r="E104" s="136"/>
      <c r="F104" s="139"/>
      <c r="G104" s="140"/>
      <c r="H104" s="135"/>
      <c r="I104" s="135"/>
      <c r="J104" s="135"/>
      <c r="K104" s="135"/>
      <c r="L104" s="135"/>
      <c r="M104" s="135"/>
      <c r="N104" s="135"/>
    </row>
    <row r="105" spans="1:14" ht="18" customHeight="1">
      <c r="A105" s="141"/>
      <c r="B105" s="616" t="s">
        <v>315</v>
      </c>
      <c r="C105" s="617"/>
      <c r="D105" s="617"/>
      <c r="E105" s="617"/>
      <c r="F105" s="617"/>
      <c r="G105" s="618"/>
      <c r="H105" s="135"/>
      <c r="I105" s="135"/>
      <c r="J105" s="135"/>
      <c r="K105" s="135"/>
      <c r="L105" s="135"/>
      <c r="M105" s="135"/>
      <c r="N105" s="135"/>
    </row>
    <row r="106" spans="1:14" ht="18" customHeight="1">
      <c r="A106" s="141"/>
      <c r="B106" s="367" t="s">
        <v>232</v>
      </c>
      <c r="C106" s="590" t="s">
        <v>157</v>
      </c>
      <c r="D106" s="591"/>
      <c r="E106" s="602"/>
      <c r="F106" s="602"/>
      <c r="G106" s="603"/>
      <c r="H106" s="135"/>
      <c r="I106" s="135"/>
      <c r="J106" s="135"/>
      <c r="K106" s="135"/>
      <c r="L106" s="135"/>
      <c r="M106" s="135"/>
      <c r="N106" s="135"/>
    </row>
    <row r="107" spans="1:14" ht="18.75">
      <c r="A107" s="141"/>
      <c r="B107" s="323" t="s">
        <v>284</v>
      </c>
      <c r="C107" s="144" t="s">
        <v>840</v>
      </c>
      <c r="D107" s="61">
        <v>35</v>
      </c>
      <c r="E107" s="157" t="s">
        <v>165</v>
      </c>
      <c r="F107" s="610"/>
      <c r="G107" s="611"/>
      <c r="H107" s="135"/>
      <c r="I107" s="135"/>
      <c r="J107" s="135"/>
      <c r="K107" s="135"/>
      <c r="L107" s="135"/>
      <c r="M107" s="135"/>
      <c r="N107" s="135"/>
    </row>
    <row r="108" spans="1:14" ht="18.75">
      <c r="A108" s="141"/>
      <c r="B108" s="323" t="s">
        <v>285</v>
      </c>
      <c r="C108" s="144" t="s">
        <v>841</v>
      </c>
      <c r="D108" s="4">
        <v>2.5</v>
      </c>
      <c r="E108" s="608" t="s">
        <v>15</v>
      </c>
      <c r="F108" s="608"/>
      <c r="G108" s="609"/>
      <c r="H108" s="135"/>
      <c r="I108" s="135"/>
      <c r="J108" s="135"/>
      <c r="K108" s="135"/>
      <c r="L108" s="135"/>
      <c r="M108" s="135"/>
      <c r="N108" s="135"/>
    </row>
    <row r="109" spans="1:14" ht="18.75">
      <c r="A109" s="141"/>
      <c r="B109" s="368" t="s">
        <v>975</v>
      </c>
      <c r="C109" s="183" t="s">
        <v>842</v>
      </c>
      <c r="D109" s="61">
        <v>30</v>
      </c>
      <c r="E109" s="608" t="s">
        <v>159</v>
      </c>
      <c r="F109" s="608"/>
      <c r="G109" s="609"/>
      <c r="H109" s="135"/>
      <c r="I109" s="135"/>
      <c r="J109" s="135"/>
      <c r="K109" s="135"/>
      <c r="L109" s="135"/>
      <c r="M109" s="135"/>
      <c r="N109" s="135"/>
    </row>
    <row r="110" spans="1:14" ht="19.5" thickBot="1">
      <c r="A110" s="141"/>
      <c r="B110" s="333" t="s">
        <v>976</v>
      </c>
      <c r="C110" s="216" t="s">
        <v>274</v>
      </c>
      <c r="D110" s="1">
        <v>150</v>
      </c>
      <c r="E110" s="612" t="s">
        <v>64</v>
      </c>
      <c r="F110" s="612"/>
      <c r="G110" s="613"/>
      <c r="H110" s="135"/>
      <c r="I110" s="135"/>
      <c r="J110" s="135"/>
      <c r="K110" s="135"/>
      <c r="L110" s="135"/>
      <c r="M110" s="135"/>
      <c r="N110" s="135"/>
    </row>
    <row r="111" spans="1:14" ht="15.75" thickBot="1">
      <c r="A111" s="141"/>
      <c r="B111" s="136"/>
      <c r="C111" s="136"/>
      <c r="D111" s="138"/>
      <c r="E111" s="136"/>
      <c r="F111" s="139"/>
      <c r="G111" s="140"/>
      <c r="H111" s="135"/>
      <c r="I111" s="135"/>
      <c r="J111" s="135"/>
      <c r="K111" s="135"/>
      <c r="L111" s="135"/>
      <c r="M111" s="135"/>
      <c r="N111" s="135"/>
    </row>
    <row r="112" spans="1:14" ht="17.25" customHeight="1">
      <c r="A112" s="141"/>
      <c r="B112" s="616" t="s">
        <v>1053</v>
      </c>
      <c r="C112" s="617"/>
      <c r="D112" s="617"/>
      <c r="E112" s="617"/>
      <c r="F112" s="617"/>
      <c r="G112" s="618"/>
      <c r="H112" s="135"/>
      <c r="I112" s="135"/>
      <c r="J112" s="135"/>
      <c r="K112" s="135"/>
      <c r="L112" s="135"/>
      <c r="M112" s="135"/>
      <c r="N112" s="135"/>
    </row>
    <row r="113" spans="1:14" ht="18" customHeight="1">
      <c r="A113" s="141"/>
      <c r="B113" s="367" t="s">
        <v>232</v>
      </c>
      <c r="C113" s="590" t="s">
        <v>162</v>
      </c>
      <c r="D113" s="591"/>
      <c r="E113" s="602"/>
      <c r="F113" s="602"/>
      <c r="G113" s="603"/>
      <c r="H113" s="135"/>
      <c r="I113" s="135"/>
      <c r="J113" s="135"/>
      <c r="K113" s="135"/>
      <c r="L113" s="135"/>
      <c r="M113" s="135"/>
      <c r="N113" s="135"/>
    </row>
    <row r="114" spans="1:14" ht="18.75">
      <c r="A114" s="141"/>
      <c r="B114" s="323" t="s">
        <v>280</v>
      </c>
      <c r="C114" s="144" t="s">
        <v>843</v>
      </c>
      <c r="D114" s="61">
        <v>1.7</v>
      </c>
      <c r="E114" s="145" t="s">
        <v>13</v>
      </c>
      <c r="F114" s="606" t="s">
        <v>383</v>
      </c>
      <c r="G114" s="621"/>
      <c r="H114" s="366"/>
      <c r="I114" s="135"/>
      <c r="J114" s="135"/>
      <c r="K114" s="135"/>
      <c r="L114" s="135"/>
      <c r="M114" s="135"/>
      <c r="N114" s="135"/>
    </row>
    <row r="115" spans="1:14" ht="18.75">
      <c r="A115" s="141"/>
      <c r="B115" s="323" t="s">
        <v>384</v>
      </c>
      <c r="C115" s="144" t="s">
        <v>844</v>
      </c>
      <c r="D115" s="61">
        <v>20</v>
      </c>
      <c r="E115" s="145" t="s">
        <v>15</v>
      </c>
      <c r="F115" s="594"/>
      <c r="G115" s="595"/>
      <c r="H115" s="135"/>
      <c r="I115" s="135"/>
      <c r="J115" s="135"/>
      <c r="K115" s="135"/>
      <c r="L115" s="135"/>
      <c r="M115" s="135"/>
      <c r="N115" s="135"/>
    </row>
    <row r="116" spans="1:14" ht="18.75">
      <c r="A116" s="141"/>
      <c r="B116" s="323" t="s">
        <v>281</v>
      </c>
      <c r="C116" s="144" t="s">
        <v>845</v>
      </c>
      <c r="D116" s="61">
        <v>4</v>
      </c>
      <c r="E116" s="145" t="s">
        <v>19</v>
      </c>
      <c r="F116" s="619"/>
      <c r="G116" s="611"/>
      <c r="H116" s="135"/>
      <c r="I116" s="135"/>
      <c r="J116" s="135"/>
      <c r="K116" s="135"/>
      <c r="L116" s="135"/>
      <c r="M116" s="135"/>
      <c r="N116" s="135"/>
    </row>
    <row r="117" spans="1:14" ht="18.75">
      <c r="A117" s="141"/>
      <c r="B117" s="323" t="s">
        <v>282</v>
      </c>
      <c r="C117" s="144" t="s">
        <v>846</v>
      </c>
      <c r="D117" s="61">
        <v>28</v>
      </c>
      <c r="E117" s="145" t="s">
        <v>13</v>
      </c>
      <c r="F117" s="620"/>
      <c r="G117" s="611"/>
      <c r="H117" s="135"/>
      <c r="I117" s="135"/>
      <c r="J117" s="135"/>
      <c r="K117" s="135"/>
      <c r="L117" s="135"/>
      <c r="M117" s="135"/>
      <c r="N117" s="135"/>
    </row>
    <row r="118" spans="1:14" ht="19.5" thickBot="1">
      <c r="A118" s="141"/>
      <c r="B118" s="333" t="s">
        <v>283</v>
      </c>
      <c r="C118" s="216" t="s">
        <v>847</v>
      </c>
      <c r="D118" s="1">
        <v>2</v>
      </c>
      <c r="E118" s="218" t="s">
        <v>15</v>
      </c>
      <c r="F118" s="614"/>
      <c r="G118" s="615"/>
      <c r="H118" s="135"/>
      <c r="I118" s="135"/>
      <c r="J118" s="135"/>
      <c r="K118" s="135"/>
      <c r="L118" s="135"/>
      <c r="M118" s="135"/>
      <c r="N118" s="135"/>
    </row>
    <row r="119" spans="1:14" ht="15.75" thickBot="1">
      <c r="A119" s="141"/>
      <c r="B119" s="136"/>
      <c r="C119" s="136"/>
      <c r="D119" s="138"/>
      <c r="E119" s="136"/>
      <c r="F119" s="139"/>
      <c r="G119" s="140"/>
      <c r="H119" s="135"/>
      <c r="I119" s="135"/>
      <c r="J119" s="135"/>
      <c r="K119" s="135"/>
      <c r="L119" s="135"/>
      <c r="M119" s="135"/>
      <c r="N119" s="135"/>
    </row>
    <row r="120" spans="1:14" ht="18" customHeight="1">
      <c r="A120" s="141"/>
      <c r="B120" s="616" t="s">
        <v>972</v>
      </c>
      <c r="C120" s="617"/>
      <c r="D120" s="617"/>
      <c r="E120" s="617"/>
      <c r="F120" s="617"/>
      <c r="G120" s="618"/>
      <c r="H120" s="135"/>
      <c r="I120" s="135"/>
      <c r="J120" s="135"/>
      <c r="K120" s="135"/>
      <c r="L120" s="135"/>
      <c r="M120" s="135"/>
      <c r="N120" s="135"/>
    </row>
    <row r="121" spans="1:14" ht="18" customHeight="1">
      <c r="A121" s="141"/>
      <c r="B121" s="367" t="s">
        <v>232</v>
      </c>
      <c r="C121" s="590" t="s">
        <v>163</v>
      </c>
      <c r="D121" s="591"/>
      <c r="E121" s="602"/>
      <c r="F121" s="602"/>
      <c r="G121" s="603"/>
      <c r="H121" s="135"/>
      <c r="I121" s="135"/>
      <c r="J121" s="135"/>
      <c r="K121" s="135"/>
      <c r="L121" s="135"/>
      <c r="M121" s="135"/>
      <c r="N121" s="135"/>
    </row>
    <row r="122" spans="1:14" ht="18.75">
      <c r="A122" s="141"/>
      <c r="B122" s="323" t="s">
        <v>279</v>
      </c>
      <c r="C122" s="144" t="s">
        <v>848</v>
      </c>
      <c r="D122" s="61">
        <v>4.68</v>
      </c>
      <c r="E122" s="145" t="s">
        <v>13</v>
      </c>
      <c r="F122" s="684"/>
      <c r="G122" s="611"/>
      <c r="H122" s="135"/>
      <c r="I122" s="135"/>
      <c r="J122" s="135"/>
      <c r="K122" s="135"/>
      <c r="L122" s="135"/>
      <c r="M122" s="135"/>
      <c r="N122" s="135"/>
    </row>
    <row r="123" spans="1:14" ht="18.75">
      <c r="A123" s="141"/>
      <c r="B123" s="323" t="s">
        <v>278</v>
      </c>
      <c r="C123" s="144" t="s">
        <v>849</v>
      </c>
      <c r="D123" s="61">
        <v>2</v>
      </c>
      <c r="E123" s="145" t="s">
        <v>13</v>
      </c>
      <c r="F123" s="619" t="s">
        <v>275</v>
      </c>
      <c r="G123" s="683"/>
      <c r="H123" s="135"/>
      <c r="I123" s="135"/>
      <c r="J123" s="135"/>
      <c r="K123" s="135"/>
      <c r="L123" s="135"/>
      <c r="M123" s="135"/>
      <c r="N123" s="135"/>
    </row>
    <row r="124" spans="1:14" ht="18.75">
      <c r="A124" s="141"/>
      <c r="B124" s="323" t="s">
        <v>277</v>
      </c>
      <c r="C124" s="144" t="s">
        <v>850</v>
      </c>
      <c r="D124" s="61">
        <v>1.25</v>
      </c>
      <c r="E124" s="145" t="s">
        <v>15</v>
      </c>
      <c r="F124" s="620"/>
      <c r="G124" s="611"/>
      <c r="H124" s="135"/>
      <c r="I124" s="135"/>
      <c r="J124" s="135"/>
      <c r="K124" s="135"/>
      <c r="L124" s="135"/>
      <c r="M124" s="135"/>
      <c r="N124" s="135"/>
    </row>
    <row r="125" spans="1:14" ht="19.5" customHeight="1" thickBot="1">
      <c r="A125" s="141"/>
      <c r="B125" s="333" t="s">
        <v>276</v>
      </c>
      <c r="C125" s="216" t="s">
        <v>851</v>
      </c>
      <c r="D125" s="1">
        <v>1.25</v>
      </c>
      <c r="E125" s="218" t="s">
        <v>16</v>
      </c>
      <c r="F125" s="614"/>
      <c r="G125" s="615"/>
      <c r="H125" s="135"/>
      <c r="I125" s="135"/>
      <c r="J125" s="135"/>
      <c r="K125" s="135"/>
      <c r="L125" s="135"/>
      <c r="M125" s="135"/>
      <c r="N125" s="135"/>
    </row>
    <row r="126" spans="1:14" ht="15.75" thickBot="1">
      <c r="A126" s="141"/>
      <c r="B126" s="141"/>
      <c r="C126" s="141"/>
      <c r="D126" s="141"/>
      <c r="E126" s="141"/>
      <c r="F126" s="141"/>
      <c r="G126" s="141"/>
      <c r="H126" s="135"/>
      <c r="I126" s="135"/>
      <c r="J126" s="135"/>
      <c r="K126" s="135"/>
      <c r="L126" s="135"/>
      <c r="M126" s="135"/>
      <c r="N126" s="135"/>
    </row>
    <row r="127" spans="1:14">
      <c r="A127" s="141"/>
      <c r="B127" s="616" t="s">
        <v>1106</v>
      </c>
      <c r="C127" s="617"/>
      <c r="D127" s="617"/>
      <c r="E127" s="617"/>
      <c r="F127" s="617"/>
      <c r="G127" s="618"/>
      <c r="H127" s="538"/>
      <c r="I127" s="135"/>
      <c r="J127" s="135"/>
      <c r="K127" s="135"/>
      <c r="L127" s="135"/>
      <c r="M127" s="135"/>
      <c r="N127" s="135"/>
    </row>
    <row r="128" spans="1:14" ht="18.75">
      <c r="A128" s="141"/>
      <c r="B128" s="339" t="s">
        <v>937</v>
      </c>
      <c r="C128" s="144" t="s">
        <v>962</v>
      </c>
      <c r="D128" s="61">
        <v>85</v>
      </c>
      <c r="E128" s="195" t="s">
        <v>938</v>
      </c>
      <c r="F128" s="598" t="s">
        <v>1105</v>
      </c>
      <c r="G128" s="599"/>
      <c r="H128" s="135"/>
      <c r="I128" s="135"/>
      <c r="J128" s="135"/>
      <c r="K128" s="135"/>
      <c r="L128" s="135"/>
      <c r="M128" s="135"/>
      <c r="N128" s="135"/>
    </row>
    <row r="129" spans="1:14" ht="14.45" customHeight="1">
      <c r="A129" s="141"/>
      <c r="B129" s="361" t="s">
        <v>971</v>
      </c>
      <c r="C129" s="590" t="s">
        <v>939</v>
      </c>
      <c r="D129" s="591"/>
      <c r="E129" s="340"/>
      <c r="F129" s="598"/>
      <c r="G129" s="599"/>
      <c r="H129" s="135"/>
      <c r="I129" s="135"/>
      <c r="J129" s="135"/>
      <c r="K129" s="135"/>
      <c r="L129" s="135"/>
      <c r="M129" s="135"/>
      <c r="N129" s="135"/>
    </row>
    <row r="130" spans="1:14" ht="18.75">
      <c r="A130" s="141"/>
      <c r="B130" s="323" t="s">
        <v>963</v>
      </c>
      <c r="C130" s="144" t="s">
        <v>964</v>
      </c>
      <c r="D130" s="61">
        <v>100</v>
      </c>
      <c r="E130" s="145" t="s">
        <v>167</v>
      </c>
      <c r="F130" s="606" t="s">
        <v>949</v>
      </c>
      <c r="G130" s="621"/>
      <c r="H130" s="135"/>
      <c r="I130" s="135"/>
      <c r="J130" s="135"/>
      <c r="K130" s="135"/>
      <c r="L130" s="135"/>
      <c r="M130" s="135"/>
      <c r="N130" s="135"/>
    </row>
    <row r="131" spans="1:14" ht="16.149999999999999" customHeight="1">
      <c r="A131" s="141"/>
      <c r="B131" s="323" t="s">
        <v>935</v>
      </c>
      <c r="C131" s="144" t="s">
        <v>965</v>
      </c>
      <c r="D131" s="61">
        <v>1</v>
      </c>
      <c r="E131" s="145" t="s">
        <v>371</v>
      </c>
      <c r="F131" s="606" t="s">
        <v>949</v>
      </c>
      <c r="G131" s="621"/>
      <c r="H131" s="135"/>
      <c r="I131" s="135"/>
      <c r="J131" s="135"/>
      <c r="K131" s="135"/>
      <c r="L131" s="135"/>
      <c r="M131" s="135"/>
      <c r="N131" s="135"/>
    </row>
    <row r="132" spans="1:14" ht="16.149999999999999" customHeight="1">
      <c r="A132" s="141"/>
      <c r="B132" s="323" t="s">
        <v>966</v>
      </c>
      <c r="C132" s="144" t="s">
        <v>967</v>
      </c>
      <c r="D132" s="61">
        <v>3974</v>
      </c>
      <c r="E132" s="145"/>
      <c r="F132" s="606" t="s">
        <v>949</v>
      </c>
      <c r="G132" s="621"/>
      <c r="H132" s="135"/>
      <c r="I132" s="135"/>
      <c r="J132" s="135"/>
      <c r="K132" s="135"/>
      <c r="L132" s="135"/>
      <c r="M132" s="135"/>
      <c r="N132" s="135"/>
    </row>
    <row r="133" spans="1:14" ht="16.149999999999999" customHeight="1">
      <c r="A133" s="141"/>
      <c r="B133" s="323" t="s">
        <v>936</v>
      </c>
      <c r="C133" s="144" t="s">
        <v>968</v>
      </c>
      <c r="D133" s="61">
        <v>3</v>
      </c>
      <c r="E133" s="145" t="s">
        <v>371</v>
      </c>
      <c r="F133" s="606" t="s">
        <v>949</v>
      </c>
      <c r="G133" s="621"/>
      <c r="H133" s="135" t="s">
        <v>950</v>
      </c>
      <c r="I133" s="135"/>
      <c r="J133" s="135"/>
      <c r="K133" s="135"/>
      <c r="L133" s="135"/>
      <c r="M133" s="135"/>
      <c r="N133" s="135"/>
    </row>
    <row r="134" spans="1:14" ht="30" customHeight="1">
      <c r="A134" s="141"/>
      <c r="B134" s="323" t="s">
        <v>942</v>
      </c>
      <c r="C134" s="144" t="s">
        <v>969</v>
      </c>
      <c r="D134" s="465">
        <f>1/((LN(RNTCTH/_R25)/B25_85)+(1/298.15)) - 273.15</f>
        <v>87.557548591462194</v>
      </c>
      <c r="E134" s="195" t="s">
        <v>938</v>
      </c>
      <c r="F134" s="598" t="s">
        <v>973</v>
      </c>
      <c r="G134" s="599"/>
      <c r="H134" s="135"/>
      <c r="I134" s="135"/>
      <c r="J134" s="135"/>
      <c r="K134" s="135"/>
      <c r="L134" s="135"/>
      <c r="M134" s="135"/>
      <c r="N134" s="135"/>
    </row>
    <row r="135" spans="1:14" ht="19.149999999999999" customHeight="1" thickBot="1">
      <c r="A135" s="141"/>
      <c r="B135" s="333" t="s">
        <v>940</v>
      </c>
      <c r="C135" s="216" t="s">
        <v>970</v>
      </c>
      <c r="D135" s="487">
        <f>1/((LN(RNTCR/_R25)/B25_85)+(1/298.15)) - 273.15</f>
        <v>61.948903137959348</v>
      </c>
      <c r="E135" s="226" t="s">
        <v>938</v>
      </c>
      <c r="F135" s="630" t="s">
        <v>941</v>
      </c>
      <c r="G135" s="682"/>
      <c r="H135" s="135"/>
      <c r="I135" s="135"/>
      <c r="J135" s="135"/>
      <c r="K135" s="135"/>
      <c r="L135" s="135"/>
      <c r="M135" s="135"/>
      <c r="N135" s="135"/>
    </row>
  </sheetData>
  <sheetProtection algorithmName="SHA-512" hashValue="OUFPIUHirLZWF2QVunDgrdLcMa8wQ8mP1jv85IKNjubEqXYQWBs6DCcwZPBGHH4gpcwjALEZ5OeL5+vllOqz9Q==" saltValue="fgaNI0ts9JdRwqDmqNPCMA==" spinCount="100000" sheet="1" selectLockedCells="1"/>
  <mergeCells count="94">
    <mergeCell ref="F135:G135"/>
    <mergeCell ref="F132:G132"/>
    <mergeCell ref="F133:G133"/>
    <mergeCell ref="F134:G134"/>
    <mergeCell ref="B127:G127"/>
    <mergeCell ref="C129:D129"/>
    <mergeCell ref="F130:G130"/>
    <mergeCell ref="F131:G131"/>
    <mergeCell ref="F128:G128"/>
    <mergeCell ref="F129:G129"/>
    <mergeCell ref="F125:G125"/>
    <mergeCell ref="F123:G123"/>
    <mergeCell ref="B120:G120"/>
    <mergeCell ref="F122:G122"/>
    <mergeCell ref="F124:G124"/>
    <mergeCell ref="C121:D121"/>
    <mergeCell ref="E121:G121"/>
    <mergeCell ref="B62:G62"/>
    <mergeCell ref="C46:D46"/>
    <mergeCell ref="B82:G82"/>
    <mergeCell ref="F68:G68"/>
    <mergeCell ref="B70:G70"/>
    <mergeCell ref="C54:D54"/>
    <mergeCell ref="F54:G54"/>
    <mergeCell ref="B1:G1"/>
    <mergeCell ref="B3:G3"/>
    <mergeCell ref="B4:G7"/>
    <mergeCell ref="B8:G8"/>
    <mergeCell ref="B9:G9"/>
    <mergeCell ref="C2:D2"/>
    <mergeCell ref="F43:G43"/>
    <mergeCell ref="F46:G46"/>
    <mergeCell ref="E63:G63"/>
    <mergeCell ref="C63:D63"/>
    <mergeCell ref="B10:G10"/>
    <mergeCell ref="B11:G11"/>
    <mergeCell ref="B12:G13"/>
    <mergeCell ref="F20:G20"/>
    <mergeCell ref="B27:G27"/>
    <mergeCell ref="F24:G24"/>
    <mergeCell ref="F18:G18"/>
    <mergeCell ref="F21:G21"/>
    <mergeCell ref="F16:G16"/>
    <mergeCell ref="F22:G22"/>
    <mergeCell ref="B15:G15"/>
    <mergeCell ref="F25:G25"/>
    <mergeCell ref="F37:G37"/>
    <mergeCell ref="F34:G34"/>
    <mergeCell ref="F42:G42"/>
    <mergeCell ref="F35:G35"/>
    <mergeCell ref="E33:G33"/>
    <mergeCell ref="B39:G39"/>
    <mergeCell ref="F41:G41"/>
    <mergeCell ref="F44:G44"/>
    <mergeCell ref="E29:G29"/>
    <mergeCell ref="F32:G32"/>
    <mergeCell ref="E28:G28"/>
    <mergeCell ref="B105:G105"/>
    <mergeCell ref="B95:G95"/>
    <mergeCell ref="F100:G100"/>
    <mergeCell ref="F97:G97"/>
    <mergeCell ref="E98:G98"/>
    <mergeCell ref="F99:G99"/>
    <mergeCell ref="F101:G101"/>
    <mergeCell ref="F71:G71"/>
    <mergeCell ref="F78:G78"/>
    <mergeCell ref="F79:G79"/>
    <mergeCell ref="E31:G31"/>
    <mergeCell ref="F40:G40"/>
    <mergeCell ref="C113:D113"/>
    <mergeCell ref="E113:G113"/>
    <mergeCell ref="F118:G118"/>
    <mergeCell ref="B112:G112"/>
    <mergeCell ref="F116:G116"/>
    <mergeCell ref="F117:G117"/>
    <mergeCell ref="F114:G114"/>
    <mergeCell ref="E109:G109"/>
    <mergeCell ref="F107:G107"/>
    <mergeCell ref="E110:G110"/>
    <mergeCell ref="E108:G108"/>
    <mergeCell ref="F115:G115"/>
    <mergeCell ref="C106:D106"/>
    <mergeCell ref="C96:D96"/>
    <mergeCell ref="C83:D83"/>
    <mergeCell ref="F84:G84"/>
    <mergeCell ref="F103:G103"/>
    <mergeCell ref="F91:G91"/>
    <mergeCell ref="E96:G96"/>
    <mergeCell ref="E83:G83"/>
    <mergeCell ref="E106:G106"/>
    <mergeCell ref="F85:G85"/>
    <mergeCell ref="F93:G93"/>
    <mergeCell ref="F92:G92"/>
    <mergeCell ref="F102:G102"/>
  </mergeCells>
  <phoneticPr fontId="32" type="noConversion"/>
  <conditionalFormatting sqref="F34:G34">
    <cfRule type="containsText" dxfId="4" priority="1" operator="containsText" text="seems">
      <formula>NOT(ISERROR(SEARCH("seems",F34)))</formula>
    </cfRule>
  </conditionalFormatting>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Hidden!$C$77:$C$78</xm:f>
          </x14:formula1>
          <xm:sqref>D16</xm:sqref>
        </x14:dataValidation>
        <x14:dataValidation type="list" allowBlank="1" showInputMessage="1" showErrorMessage="1" xr:uid="{00000000-0002-0000-0000-000001000000}">
          <x14:formula1>
            <xm:f>Hidden!$D$77:$D$78</xm:f>
          </x14:formula1>
          <xm:sqref>D43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F318"/>
  <sheetViews>
    <sheetView tabSelected="1" topLeftCell="A202" zoomScaleNormal="100" workbookViewId="0">
      <selection activeCell="D190" sqref="D190"/>
    </sheetView>
  </sheetViews>
  <sheetFormatPr defaultColWidth="9" defaultRowHeight="15"/>
  <cols>
    <col min="1" max="1" width="3.7109375" customWidth="1"/>
    <col min="2" max="2" width="64.42578125" customWidth="1"/>
    <col min="3" max="3" width="15.7109375" style="18" customWidth="1"/>
    <col min="4" max="4" width="13.7109375" style="19" customWidth="1"/>
    <col min="5" max="5" width="5.85546875" customWidth="1"/>
    <col min="6" max="6" width="77.7109375" customWidth="1"/>
    <col min="7" max="7" width="9" style="75" customWidth="1"/>
    <col min="11" max="11" width="9" customWidth="1"/>
    <col min="14" max="14" width="9" customWidth="1"/>
  </cols>
  <sheetData>
    <row r="1" spans="1:9" ht="16.5" thickBot="1">
      <c r="A1" s="135"/>
      <c r="B1" s="136"/>
      <c r="C1" s="137"/>
      <c r="D1" s="138"/>
      <c r="E1" s="139"/>
      <c r="F1" s="140"/>
      <c r="G1" s="158"/>
      <c r="H1" s="135"/>
      <c r="I1" s="135"/>
    </row>
    <row r="2" spans="1:9" ht="18" customHeight="1">
      <c r="A2" s="141"/>
      <c r="B2" s="687" t="s">
        <v>728</v>
      </c>
      <c r="C2" s="688"/>
      <c r="D2" s="688"/>
      <c r="E2" s="688"/>
      <c r="F2" s="689"/>
      <c r="G2" s="417"/>
      <c r="H2" s="135"/>
      <c r="I2" s="135"/>
    </row>
    <row r="3" spans="1:9" ht="18.75">
      <c r="A3" s="142"/>
      <c r="B3" s="143" t="s">
        <v>204</v>
      </c>
      <c r="C3" s="144" t="s">
        <v>548</v>
      </c>
      <c r="D3" s="469">
        <v>10.6</v>
      </c>
      <c r="E3" s="145" t="s">
        <v>6</v>
      </c>
      <c r="F3" s="146" t="s">
        <v>145</v>
      </c>
      <c r="I3" s="135"/>
    </row>
    <row r="4" spans="1:9" ht="18.75">
      <c r="A4" s="142"/>
      <c r="B4" s="143" t="s">
        <v>209</v>
      </c>
      <c r="C4" s="144" t="s">
        <v>549</v>
      </c>
      <c r="D4" s="470">
        <v>17</v>
      </c>
      <c r="E4" s="145" t="s">
        <v>6</v>
      </c>
      <c r="F4" s="146" t="s">
        <v>145</v>
      </c>
      <c r="G4" s="158"/>
      <c r="H4" s="135"/>
      <c r="I4" s="135"/>
    </row>
    <row r="5" spans="1:9" ht="18.75">
      <c r="A5" s="142"/>
      <c r="B5" s="143" t="s">
        <v>1102</v>
      </c>
      <c r="C5" s="144" t="s">
        <v>550</v>
      </c>
      <c r="D5" s="147">
        <v>34</v>
      </c>
      <c r="E5" s="145" t="s">
        <v>6</v>
      </c>
      <c r="F5" s="146" t="s">
        <v>241</v>
      </c>
      <c r="G5" s="158"/>
      <c r="H5" s="135"/>
      <c r="I5" s="135"/>
    </row>
    <row r="6" spans="1:9" ht="18.75">
      <c r="A6" s="142"/>
      <c r="B6" s="148" t="s">
        <v>117</v>
      </c>
      <c r="C6" s="144" t="s">
        <v>551</v>
      </c>
      <c r="D6" s="469">
        <v>2.2000000000000002</v>
      </c>
      <c r="E6" s="145" t="s">
        <v>6</v>
      </c>
      <c r="F6" s="146" t="s">
        <v>145</v>
      </c>
      <c r="G6" s="158"/>
      <c r="H6" s="135"/>
      <c r="I6" s="135"/>
    </row>
    <row r="7" spans="1:9" ht="18.75">
      <c r="A7" s="142"/>
      <c r="B7" s="143" t="s">
        <v>723</v>
      </c>
      <c r="C7" s="144" t="s">
        <v>1018</v>
      </c>
      <c r="D7" s="147">
        <v>408.6</v>
      </c>
      <c r="E7" s="145" t="s">
        <v>165</v>
      </c>
      <c r="F7" s="149" t="s">
        <v>576</v>
      </c>
      <c r="G7" s="572"/>
      <c r="H7" s="135"/>
      <c r="I7" s="135"/>
    </row>
    <row r="8" spans="1:9" ht="18.75">
      <c r="A8" s="142"/>
      <c r="B8" s="143" t="s">
        <v>722</v>
      </c>
      <c r="C8" s="144" t="s">
        <v>1019</v>
      </c>
      <c r="D8" s="147">
        <v>365</v>
      </c>
      <c r="E8" s="145" t="s">
        <v>165</v>
      </c>
      <c r="F8" s="149" t="s">
        <v>576</v>
      </c>
      <c r="G8" s="158"/>
      <c r="H8" s="135"/>
      <c r="I8" s="135"/>
    </row>
    <row r="9" spans="1:9" ht="18.75">
      <c r="A9" s="142"/>
      <c r="B9" s="143" t="s">
        <v>724</v>
      </c>
      <c r="C9" s="144" t="s">
        <v>1020</v>
      </c>
      <c r="D9" s="147">
        <v>313</v>
      </c>
      <c r="E9" s="145" t="s">
        <v>165</v>
      </c>
      <c r="F9" s="149" t="s">
        <v>576</v>
      </c>
      <c r="G9" s="572"/>
      <c r="H9" s="135"/>
      <c r="I9" s="135"/>
    </row>
    <row r="10" spans="1:9" ht="18.75">
      <c r="A10" s="142"/>
      <c r="B10" s="143" t="s">
        <v>725</v>
      </c>
      <c r="C10" s="144" t="s">
        <v>1021</v>
      </c>
      <c r="D10" s="147">
        <v>336.4</v>
      </c>
      <c r="E10" s="145" t="s">
        <v>165</v>
      </c>
      <c r="F10" s="149" t="s">
        <v>576</v>
      </c>
      <c r="G10" s="572"/>
      <c r="H10" s="135"/>
      <c r="I10" s="135"/>
    </row>
    <row r="11" spans="1:9" ht="18.75">
      <c r="A11" s="142"/>
      <c r="B11" s="143" t="s">
        <v>726</v>
      </c>
      <c r="C11" s="144" t="s">
        <v>1022</v>
      </c>
      <c r="D11" s="147">
        <v>305</v>
      </c>
      <c r="E11" s="145" t="s">
        <v>165</v>
      </c>
      <c r="F11" s="149" t="s">
        <v>576</v>
      </c>
      <c r="G11" s="158"/>
      <c r="H11" s="135"/>
      <c r="I11" s="135"/>
    </row>
    <row r="12" spans="1:9" ht="18.75">
      <c r="A12" s="142"/>
      <c r="B12" s="143" t="s">
        <v>727</v>
      </c>
      <c r="C12" s="144" t="s">
        <v>1023</v>
      </c>
      <c r="D12" s="147">
        <v>255</v>
      </c>
      <c r="E12" s="145" t="s">
        <v>165</v>
      </c>
      <c r="F12" s="149" t="s">
        <v>576</v>
      </c>
      <c r="G12" s="572"/>
      <c r="H12" s="135"/>
      <c r="I12" s="135"/>
    </row>
    <row r="13" spans="1:9" ht="18.75">
      <c r="A13" s="141"/>
      <c r="B13" s="143" t="s">
        <v>205</v>
      </c>
      <c r="C13" s="144" t="s">
        <v>552</v>
      </c>
      <c r="D13" s="150">
        <v>4.55</v>
      </c>
      <c r="E13" s="145" t="s">
        <v>6</v>
      </c>
      <c r="F13" s="146" t="s">
        <v>145</v>
      </c>
      <c r="G13" s="158"/>
      <c r="H13" s="135"/>
      <c r="I13" s="135"/>
    </row>
    <row r="14" spans="1:9" ht="18.75">
      <c r="A14" s="141"/>
      <c r="B14" s="148" t="s">
        <v>983</v>
      </c>
      <c r="C14" s="144" t="s">
        <v>553</v>
      </c>
      <c r="D14" s="470">
        <v>26</v>
      </c>
      <c r="E14" s="145" t="s">
        <v>144</v>
      </c>
      <c r="F14" s="149" t="s">
        <v>145</v>
      </c>
      <c r="G14" s="158"/>
      <c r="H14" s="135"/>
      <c r="I14" s="135"/>
    </row>
    <row r="15" spans="1:9" ht="18.75">
      <c r="A15" s="141"/>
      <c r="B15" s="151" t="s">
        <v>225</v>
      </c>
      <c r="C15" s="152" t="s">
        <v>554</v>
      </c>
      <c r="D15" s="153">
        <v>0.8</v>
      </c>
      <c r="E15" s="145" t="s">
        <v>6</v>
      </c>
      <c r="F15" s="146" t="s">
        <v>145</v>
      </c>
      <c r="G15" s="158"/>
      <c r="H15" s="135"/>
      <c r="I15" s="135"/>
    </row>
    <row r="16" spans="1:9" ht="18.75">
      <c r="A16" s="141"/>
      <c r="B16" s="151" t="s">
        <v>336</v>
      </c>
      <c r="C16" s="152" t="s">
        <v>555</v>
      </c>
      <c r="D16" s="153">
        <v>0.6</v>
      </c>
      <c r="E16" s="145" t="s">
        <v>6</v>
      </c>
      <c r="F16" s="155" t="s">
        <v>1101</v>
      </c>
      <c r="G16" s="158"/>
      <c r="H16" s="135"/>
      <c r="I16" s="135"/>
    </row>
    <row r="17" spans="1:9" ht="18.75">
      <c r="A17" s="141"/>
      <c r="B17" s="151" t="s">
        <v>242</v>
      </c>
      <c r="C17" s="152" t="s">
        <v>556</v>
      </c>
      <c r="D17" s="153">
        <v>0.42749999999999999</v>
      </c>
      <c r="E17" s="154" t="s">
        <v>6</v>
      </c>
      <c r="F17" s="155" t="s">
        <v>1101</v>
      </c>
      <c r="G17" s="572"/>
      <c r="H17" s="135"/>
      <c r="I17" s="135"/>
    </row>
    <row r="18" spans="1:9" ht="18.75">
      <c r="A18" s="141"/>
      <c r="B18" s="151" t="s">
        <v>206</v>
      </c>
      <c r="C18" s="152" t="s">
        <v>557</v>
      </c>
      <c r="D18" s="471">
        <v>0.28699999999999998</v>
      </c>
      <c r="E18" s="154" t="s">
        <v>146</v>
      </c>
      <c r="F18" s="155" t="s">
        <v>145</v>
      </c>
      <c r="G18" s="158"/>
      <c r="H18" s="135"/>
      <c r="I18" s="135"/>
    </row>
    <row r="19" spans="1:9" ht="18.75">
      <c r="A19" s="141"/>
      <c r="B19" s="151" t="s">
        <v>207</v>
      </c>
      <c r="C19" s="152" t="s">
        <v>558</v>
      </c>
      <c r="D19" s="153">
        <v>25</v>
      </c>
      <c r="E19" s="154" t="s">
        <v>147</v>
      </c>
      <c r="F19" s="155" t="s">
        <v>145</v>
      </c>
      <c r="G19" s="158"/>
      <c r="H19" s="135"/>
      <c r="I19" s="135"/>
    </row>
    <row r="20" spans="1:9" ht="18.75">
      <c r="A20" s="141"/>
      <c r="B20" s="151" t="s">
        <v>194</v>
      </c>
      <c r="C20" s="152" t="s">
        <v>559</v>
      </c>
      <c r="D20" s="156">
        <f>5.25*10^9</f>
        <v>5250000000</v>
      </c>
      <c r="E20" s="154" t="s">
        <v>520</v>
      </c>
      <c r="F20" s="155" t="s">
        <v>1098</v>
      </c>
      <c r="G20" s="538"/>
      <c r="H20" s="135"/>
      <c r="I20" s="135"/>
    </row>
    <row r="21" spans="1:9" ht="18.75">
      <c r="A21" s="141"/>
      <c r="B21" s="151" t="s">
        <v>560</v>
      </c>
      <c r="C21" s="152" t="s">
        <v>561</v>
      </c>
      <c r="D21" s="153">
        <v>3.98</v>
      </c>
      <c r="E21" s="154" t="s">
        <v>148</v>
      </c>
      <c r="F21" s="155" t="s">
        <v>145</v>
      </c>
      <c r="G21" s="158"/>
      <c r="H21" s="135"/>
      <c r="I21" s="135"/>
    </row>
    <row r="22" spans="1:9" ht="18.75">
      <c r="A22" s="141"/>
      <c r="B22" s="461" t="s">
        <v>797</v>
      </c>
      <c r="C22" s="468" t="s">
        <v>822</v>
      </c>
      <c r="D22" s="153">
        <v>12.8</v>
      </c>
      <c r="E22" s="154" t="s">
        <v>149</v>
      </c>
      <c r="F22" s="155" t="s">
        <v>576</v>
      </c>
      <c r="G22" s="462"/>
      <c r="H22" s="135"/>
      <c r="I22" s="135"/>
    </row>
    <row r="23" spans="1:9" ht="18.75">
      <c r="A23" s="141"/>
      <c r="B23" s="143" t="s">
        <v>547</v>
      </c>
      <c r="C23" s="152" t="s">
        <v>562</v>
      </c>
      <c r="D23" s="153">
        <v>3</v>
      </c>
      <c r="E23" s="154" t="s">
        <v>150</v>
      </c>
      <c r="F23" s="155" t="s">
        <v>145</v>
      </c>
      <c r="G23" s="158"/>
      <c r="H23" s="135"/>
      <c r="I23" s="135"/>
    </row>
    <row r="24" spans="1:9" ht="18.75">
      <c r="A24" s="141"/>
      <c r="B24" s="151" t="s">
        <v>224</v>
      </c>
      <c r="C24" s="152" t="s">
        <v>1100</v>
      </c>
      <c r="D24" s="153">
        <v>0.57999999999999996</v>
      </c>
      <c r="E24" s="154" t="s">
        <v>150</v>
      </c>
      <c r="F24" s="155" t="s">
        <v>1099</v>
      </c>
      <c r="G24" s="158"/>
      <c r="H24" s="135"/>
      <c r="I24" s="135"/>
    </row>
    <row r="25" spans="1:9" ht="18.75">
      <c r="A25" s="141"/>
      <c r="B25" s="151" t="s">
        <v>251</v>
      </c>
      <c r="C25" s="152" t="s">
        <v>563</v>
      </c>
      <c r="D25" s="153">
        <v>4.7</v>
      </c>
      <c r="E25" s="157" t="s">
        <v>151</v>
      </c>
      <c r="F25" s="155" t="s">
        <v>145</v>
      </c>
      <c r="G25" s="572"/>
      <c r="H25" s="135"/>
      <c r="I25" s="135"/>
    </row>
    <row r="26" spans="1:9" ht="18.75">
      <c r="A26" s="141"/>
      <c r="B26" s="238" t="s">
        <v>796</v>
      </c>
      <c r="C26" s="468" t="s">
        <v>823</v>
      </c>
      <c r="D26" s="153">
        <v>2.2000000000000002</v>
      </c>
      <c r="E26" s="145" t="s">
        <v>795</v>
      </c>
      <c r="F26" s="155" t="s">
        <v>145</v>
      </c>
      <c r="G26" s="462"/>
      <c r="H26" s="135"/>
      <c r="I26" s="135"/>
    </row>
    <row r="27" spans="1:9" ht="18.75">
      <c r="A27" s="141"/>
      <c r="B27" s="509" t="s">
        <v>926</v>
      </c>
      <c r="C27" s="510" t="s">
        <v>1012</v>
      </c>
      <c r="D27" s="513">
        <v>11.18</v>
      </c>
      <c r="E27" s="512" t="s">
        <v>167</v>
      </c>
      <c r="F27" s="495" t="s">
        <v>576</v>
      </c>
      <c r="G27" s="572"/>
      <c r="H27" s="135"/>
      <c r="I27" s="135"/>
    </row>
    <row r="28" spans="1:9" ht="18.75">
      <c r="A28" s="141"/>
      <c r="B28" s="509" t="s">
        <v>927</v>
      </c>
      <c r="C28" s="510" t="s">
        <v>1013</v>
      </c>
      <c r="D28" s="513">
        <v>9.91</v>
      </c>
      <c r="E28" s="512" t="s">
        <v>167</v>
      </c>
      <c r="F28" s="495" t="s">
        <v>576</v>
      </c>
      <c r="G28" s="462"/>
      <c r="H28" s="135"/>
      <c r="I28" s="135"/>
    </row>
    <row r="29" spans="1:9" ht="18.75">
      <c r="A29" s="141"/>
      <c r="B29" s="509" t="s">
        <v>928</v>
      </c>
      <c r="C29" s="510" t="s">
        <v>1014</v>
      </c>
      <c r="D29" s="513">
        <v>8.9</v>
      </c>
      <c r="E29" s="512" t="s">
        <v>167</v>
      </c>
      <c r="F29" s="495" t="s">
        <v>576</v>
      </c>
      <c r="G29" s="572"/>
      <c r="H29" s="135"/>
      <c r="I29" s="135"/>
    </row>
    <row r="30" spans="1:9" ht="18.75">
      <c r="A30" s="141"/>
      <c r="B30" s="509" t="s">
        <v>929</v>
      </c>
      <c r="C30" s="510" t="s">
        <v>1015</v>
      </c>
      <c r="D30" s="513">
        <v>26.4</v>
      </c>
      <c r="E30" s="512" t="s">
        <v>167</v>
      </c>
      <c r="F30" s="495" t="s">
        <v>576</v>
      </c>
      <c r="G30" s="572"/>
      <c r="H30" s="135"/>
      <c r="I30" s="135"/>
    </row>
    <row r="31" spans="1:9" ht="18.75">
      <c r="A31" s="141"/>
      <c r="B31" s="509" t="s">
        <v>930</v>
      </c>
      <c r="C31" s="510" t="s">
        <v>1016</v>
      </c>
      <c r="D31" s="513">
        <v>23</v>
      </c>
      <c r="E31" s="512" t="s">
        <v>167</v>
      </c>
      <c r="F31" s="495" t="s">
        <v>576</v>
      </c>
      <c r="G31" s="462"/>
      <c r="H31" s="135"/>
      <c r="I31" s="135"/>
    </row>
    <row r="32" spans="1:9" ht="18.75">
      <c r="A32" s="141"/>
      <c r="B32" s="509" t="s">
        <v>931</v>
      </c>
      <c r="C32" s="510" t="s">
        <v>1017</v>
      </c>
      <c r="D32" s="513">
        <v>21.2</v>
      </c>
      <c r="E32" s="512" t="s">
        <v>167</v>
      </c>
      <c r="F32" s="495" t="s">
        <v>576</v>
      </c>
      <c r="G32" s="572"/>
      <c r="H32" s="135"/>
      <c r="I32" s="135"/>
    </row>
    <row r="33" spans="1:17" ht="18.75">
      <c r="A33" s="141"/>
      <c r="B33" s="151" t="s">
        <v>909</v>
      </c>
      <c r="C33" s="152" t="s">
        <v>799</v>
      </c>
      <c r="D33" s="153">
        <v>5</v>
      </c>
      <c r="E33" s="154" t="s">
        <v>6</v>
      </c>
      <c r="F33" s="475" t="s">
        <v>145</v>
      </c>
      <c r="G33" s="158"/>
      <c r="H33" s="135"/>
      <c r="I33" s="135"/>
    </row>
    <row r="34" spans="1:17" ht="18.75">
      <c r="A34" s="141"/>
      <c r="B34" s="151" t="s">
        <v>252</v>
      </c>
      <c r="C34" s="152" t="s">
        <v>564</v>
      </c>
      <c r="D34" s="153">
        <v>4.25</v>
      </c>
      <c r="E34" s="154" t="s">
        <v>6</v>
      </c>
      <c r="F34" s="155" t="s">
        <v>145</v>
      </c>
      <c r="G34" s="158"/>
      <c r="H34" s="135"/>
      <c r="I34" s="135"/>
    </row>
    <row r="35" spans="1:17" ht="18.75">
      <c r="A35" s="141"/>
      <c r="B35" s="151" t="s">
        <v>821</v>
      </c>
      <c r="C35" s="152" t="s">
        <v>565</v>
      </c>
      <c r="D35" s="153">
        <v>8300</v>
      </c>
      <c r="E35" s="159" t="s">
        <v>168</v>
      </c>
      <c r="F35" s="155" t="s">
        <v>145</v>
      </c>
      <c r="G35" s="158"/>
      <c r="H35" s="135"/>
      <c r="I35" s="135"/>
    </row>
    <row r="36" spans="1:17" ht="18.75">
      <c r="A36" s="141"/>
      <c r="B36" s="151" t="s">
        <v>223</v>
      </c>
      <c r="C36" s="152" t="s">
        <v>566</v>
      </c>
      <c r="D36" s="153">
        <v>75</v>
      </c>
      <c r="E36" s="157" t="s">
        <v>152</v>
      </c>
      <c r="F36" s="155" t="s">
        <v>145</v>
      </c>
      <c r="G36" s="158"/>
      <c r="H36" s="135"/>
      <c r="I36" s="135"/>
    </row>
    <row r="37" spans="1:17" ht="18.75">
      <c r="A37" s="141"/>
      <c r="B37" s="160" t="s">
        <v>1143</v>
      </c>
      <c r="C37" s="161" t="s">
        <v>567</v>
      </c>
      <c r="D37" s="73">
        <v>100</v>
      </c>
      <c r="E37" s="162" t="s">
        <v>153</v>
      </c>
      <c r="F37" s="163" t="s">
        <v>575</v>
      </c>
      <c r="G37" s="158"/>
      <c r="H37" s="135"/>
      <c r="I37" s="135"/>
    </row>
    <row r="38" spans="1:17" ht="18.75">
      <c r="A38" s="141"/>
      <c r="B38" s="164" t="s">
        <v>253</v>
      </c>
      <c r="C38" s="152" t="s">
        <v>568</v>
      </c>
      <c r="D38" s="153">
        <v>34.4</v>
      </c>
      <c r="E38" s="165" t="s">
        <v>155</v>
      </c>
      <c r="F38" s="155" t="s">
        <v>145</v>
      </c>
      <c r="G38" s="158"/>
      <c r="H38" s="135"/>
      <c r="I38" s="135"/>
    </row>
    <row r="39" spans="1:17" ht="18.75">
      <c r="A39" s="141"/>
      <c r="B39" s="164" t="s">
        <v>254</v>
      </c>
      <c r="C39" s="152" t="s">
        <v>569</v>
      </c>
      <c r="D39" s="153">
        <v>24.5</v>
      </c>
      <c r="E39" s="165" t="s">
        <v>154</v>
      </c>
      <c r="F39" s="155" t="s">
        <v>145</v>
      </c>
      <c r="G39" s="158"/>
      <c r="H39" s="135"/>
      <c r="I39" s="135"/>
    </row>
    <row r="40" spans="1:17" ht="18.75">
      <c r="A40" s="141"/>
      <c r="B40" s="164" t="s">
        <v>208</v>
      </c>
      <c r="C40" s="152" t="s">
        <v>570</v>
      </c>
      <c r="D40" s="150">
        <v>1.5</v>
      </c>
      <c r="E40" s="157" t="s">
        <v>156</v>
      </c>
      <c r="F40" s="149" t="s">
        <v>145</v>
      </c>
      <c r="G40" s="158"/>
      <c r="H40" s="135"/>
      <c r="I40" s="135"/>
    </row>
    <row r="41" spans="1:17" ht="18.75">
      <c r="A41" s="141"/>
      <c r="B41" s="166" t="s">
        <v>1144</v>
      </c>
      <c r="C41" s="161" t="s">
        <v>571</v>
      </c>
      <c r="D41" s="73">
        <v>6</v>
      </c>
      <c r="E41" s="162" t="s">
        <v>131</v>
      </c>
      <c r="F41" s="163" t="s">
        <v>256</v>
      </c>
      <c r="G41" s="158"/>
      <c r="H41" s="135"/>
      <c r="I41" s="135"/>
    </row>
    <row r="42" spans="1:17" ht="18.75">
      <c r="A42" s="141"/>
      <c r="B42" s="160" t="s">
        <v>572</v>
      </c>
      <c r="C42" s="161" t="s">
        <v>573</v>
      </c>
      <c r="D42" s="36">
        <v>3</v>
      </c>
      <c r="E42" s="167" t="s">
        <v>137</v>
      </c>
      <c r="F42" s="163" t="s">
        <v>1115</v>
      </c>
      <c r="G42" s="158"/>
      <c r="H42" s="135"/>
      <c r="I42" s="135"/>
    </row>
    <row r="43" spans="1:17" ht="19.5" customHeight="1">
      <c r="A43" s="141"/>
      <c r="B43" s="168" t="s">
        <v>1116</v>
      </c>
      <c r="C43" s="169" t="s">
        <v>574</v>
      </c>
      <c r="D43" s="61">
        <v>30</v>
      </c>
      <c r="E43" s="170" t="s">
        <v>6</v>
      </c>
      <c r="F43" s="171" t="s">
        <v>226</v>
      </c>
      <c r="G43" s="158"/>
      <c r="H43" s="135"/>
      <c r="I43" s="135"/>
    </row>
    <row r="44" spans="1:17" ht="19.5" customHeight="1" thickBot="1">
      <c r="A44" s="141"/>
      <c r="B44" s="172" t="s">
        <v>169</v>
      </c>
      <c r="C44" s="173" t="s">
        <v>824</v>
      </c>
      <c r="D44" s="1">
        <v>50</v>
      </c>
      <c r="E44" s="174" t="s">
        <v>6</v>
      </c>
      <c r="F44" s="175" t="s">
        <v>255</v>
      </c>
      <c r="G44" s="158"/>
      <c r="H44" s="176"/>
      <c r="I44" s="135"/>
      <c r="Q44" s="69"/>
    </row>
    <row r="45" spans="1:17" ht="16.5" thickBot="1">
      <c r="A45" s="141"/>
      <c r="B45" s="136"/>
      <c r="C45" s="137"/>
      <c r="D45" s="138"/>
      <c r="E45" s="139"/>
      <c r="F45" s="177"/>
      <c r="G45" s="158"/>
      <c r="H45" s="135"/>
      <c r="I45" s="135"/>
      <c r="J45" s="86"/>
    </row>
    <row r="46" spans="1:17" ht="18" customHeight="1">
      <c r="A46" s="141"/>
      <c r="B46" s="690" t="s">
        <v>210</v>
      </c>
      <c r="C46" s="691"/>
      <c r="D46" s="691"/>
      <c r="E46" s="691"/>
      <c r="F46" s="692"/>
      <c r="G46" s="158"/>
      <c r="H46" s="135"/>
      <c r="I46" s="135"/>
    </row>
    <row r="47" spans="1:17" ht="19.5">
      <c r="A47" s="141"/>
      <c r="B47" s="178" t="s">
        <v>211</v>
      </c>
      <c r="C47" s="179" t="s">
        <v>170</v>
      </c>
      <c r="D47" s="180">
        <f>IF(Vin_type="AC",((VINPUT_max*SQRT(2))/(VSR_actual*Kder_SR/100-(VOUT+Vf_SR)*OVP_tgt/100-ΔVSPIKE_SR)),((VINPUT_max)/(VSR_actual*Kder_SR/100-(VOUT+Vf_SR)*OVP_tgt/100-ΔVSPIKE_SR)))</f>
        <v>4.8780487804878048</v>
      </c>
      <c r="E47" s="698"/>
      <c r="F47" s="699"/>
      <c r="G47" s="571"/>
      <c r="H47" s="176"/>
      <c r="I47" s="182"/>
    </row>
    <row r="48" spans="1:17" ht="19.5">
      <c r="A48" s="141"/>
      <c r="B48" s="178" t="s">
        <v>212</v>
      </c>
      <c r="C48" s="183" t="s">
        <v>171</v>
      </c>
      <c r="D48" s="180">
        <f>IF(Vin_type="AC",((VDS_actual*Kder_SR/100-VINPUT_max*SQRT(2)-ΔVCLAMP)/((VOUT+Vf_SR)*OVP_tgt/100)+Vf_SR),((VDS_actual*Kder_SR/100-VINPUT_max-ΔVCLAMP)/((VOUT+Vf_SR)*OVP_tgt/100)+Vf_SR))</f>
        <v>5.8695652173913047</v>
      </c>
      <c r="E48" s="700"/>
      <c r="F48" s="701"/>
      <c r="G48" s="158"/>
      <c r="H48" s="176"/>
      <c r="I48" s="182"/>
    </row>
    <row r="49" spans="1:30" ht="18.75">
      <c r="A49" s="141"/>
      <c r="B49" s="184" t="s">
        <v>213</v>
      </c>
      <c r="C49" s="185" t="s">
        <v>173</v>
      </c>
      <c r="D49" s="32">
        <v>5</v>
      </c>
      <c r="E49" s="186"/>
      <c r="F49" s="187" t="s">
        <v>985</v>
      </c>
      <c r="G49" s="158"/>
      <c r="H49" s="135"/>
      <c r="I49" s="135"/>
    </row>
    <row r="50" spans="1:30" ht="18.75">
      <c r="A50" s="141"/>
      <c r="B50" s="184" t="s">
        <v>118</v>
      </c>
      <c r="C50" s="185" t="s">
        <v>174</v>
      </c>
      <c r="D50" s="30">
        <v>25</v>
      </c>
      <c r="E50" s="188"/>
      <c r="F50" s="189" t="s">
        <v>984</v>
      </c>
      <c r="G50" s="158"/>
      <c r="H50" s="135"/>
      <c r="I50" s="135"/>
    </row>
    <row r="51" spans="1:30" ht="18.75">
      <c r="A51" s="141"/>
      <c r="B51" s="178" t="s">
        <v>142</v>
      </c>
      <c r="C51" s="183" t="s">
        <v>175</v>
      </c>
      <c r="D51" s="190">
        <f>NP/NPS</f>
        <v>5</v>
      </c>
      <c r="E51" s="191"/>
      <c r="F51" s="192"/>
      <c r="G51" s="158"/>
      <c r="H51" s="135"/>
      <c r="I51" s="135"/>
    </row>
    <row r="52" spans="1:30" ht="18.75">
      <c r="A52" s="141"/>
      <c r="B52" s="178" t="s">
        <v>360</v>
      </c>
      <c r="C52" s="183" t="s">
        <v>176</v>
      </c>
      <c r="D52" s="76">
        <f>ROUND(NS_rec,0)</f>
        <v>5</v>
      </c>
      <c r="E52" s="191"/>
      <c r="F52" s="149" t="s">
        <v>577</v>
      </c>
      <c r="G52" s="488"/>
      <c r="H52" s="135"/>
      <c r="I52" s="135"/>
    </row>
    <row r="53" spans="1:30" ht="18.75">
      <c r="A53" s="141"/>
      <c r="B53" s="178" t="s">
        <v>214</v>
      </c>
      <c r="C53" s="183" t="s">
        <v>177</v>
      </c>
      <c r="D53" s="190">
        <f>ROUND((VDD_off+VDD_PCT+_∆V_MIN+Vf_Daux)*NS/(VOUT+Vf_SR),1)</f>
        <v>4.3</v>
      </c>
      <c r="E53" s="191"/>
      <c r="F53" s="192"/>
      <c r="G53" s="571"/>
      <c r="H53" s="135"/>
      <c r="I53" s="135"/>
    </row>
    <row r="54" spans="1:30" ht="18.75">
      <c r="A54" s="141"/>
      <c r="B54" s="178" t="s">
        <v>215</v>
      </c>
      <c r="C54" s="183" t="s">
        <v>178</v>
      </c>
      <c r="D54" s="190">
        <f>ROUND((VDD_max*NS)/(VOUT*OVP_tgt*0.01+Vf_SR),1)</f>
        <v>7.4</v>
      </c>
      <c r="E54" s="191"/>
      <c r="F54" s="192"/>
      <c r="G54" s="158"/>
      <c r="H54" s="181"/>
      <c r="I54" s="181"/>
      <c r="J54" s="86"/>
      <c r="K54" s="86"/>
      <c r="L54" s="86"/>
      <c r="M54" s="86"/>
      <c r="N54" s="86"/>
      <c r="O54" s="86"/>
      <c r="P54" s="86"/>
      <c r="Q54" s="86"/>
      <c r="R54" s="86"/>
      <c r="S54" s="86"/>
      <c r="T54" s="86"/>
      <c r="U54" s="86"/>
      <c r="V54" s="86"/>
      <c r="W54" s="86"/>
      <c r="X54" s="86"/>
      <c r="Y54" s="86"/>
      <c r="Z54" s="86"/>
      <c r="AA54" s="86"/>
      <c r="AB54" s="86"/>
      <c r="AC54" s="86"/>
      <c r="AD54" s="86"/>
    </row>
    <row r="55" spans="1:30" ht="18.75">
      <c r="A55" s="141"/>
      <c r="B55" s="184" t="s">
        <v>179</v>
      </c>
      <c r="C55" s="185" t="s">
        <v>180</v>
      </c>
      <c r="D55" s="30">
        <v>5</v>
      </c>
      <c r="E55" s="193"/>
      <c r="F55" s="187" t="s">
        <v>578</v>
      </c>
      <c r="G55" s="158"/>
      <c r="H55" s="181"/>
      <c r="I55" s="181"/>
      <c r="J55" s="86"/>
      <c r="K55" s="86"/>
      <c r="L55" s="86"/>
      <c r="M55" s="86"/>
      <c r="N55" s="86"/>
      <c r="O55" s="86"/>
      <c r="P55" s="86"/>
      <c r="Q55" s="86"/>
      <c r="R55" s="86"/>
      <c r="S55" s="86"/>
      <c r="T55" s="86"/>
      <c r="U55" s="86"/>
      <c r="V55" s="86"/>
      <c r="W55" s="86"/>
      <c r="X55" s="86"/>
      <c r="Y55" s="86"/>
      <c r="Z55" s="86"/>
      <c r="AA55" s="86"/>
      <c r="AB55" s="86"/>
      <c r="AC55" s="86"/>
      <c r="AD55" s="86"/>
    </row>
    <row r="56" spans="1:30" ht="18.75">
      <c r="A56" s="141"/>
      <c r="B56" s="143" t="s">
        <v>586</v>
      </c>
      <c r="C56" s="144" t="s">
        <v>587</v>
      </c>
      <c r="D56" s="194">
        <f>(Vf_SR+VOUT)*NPS</f>
        <v>100</v>
      </c>
      <c r="E56" s="195" t="s">
        <v>6</v>
      </c>
      <c r="F56" s="149"/>
      <c r="G56" s="158"/>
      <c r="H56" s="181"/>
      <c r="I56" s="181"/>
      <c r="J56" s="86"/>
      <c r="K56" s="86"/>
      <c r="L56" s="86"/>
      <c r="M56" s="86"/>
      <c r="N56" s="86"/>
      <c r="O56" s="86"/>
      <c r="P56" s="86"/>
      <c r="Q56" s="86"/>
      <c r="R56" s="86"/>
      <c r="S56" s="86"/>
      <c r="T56" s="86"/>
      <c r="U56" s="86"/>
      <c r="V56" s="86"/>
      <c r="W56" s="86"/>
      <c r="X56" s="86"/>
      <c r="Y56" s="86"/>
      <c r="Z56" s="86"/>
      <c r="AA56" s="86"/>
      <c r="AB56" s="86"/>
      <c r="AC56" s="86"/>
      <c r="AD56" s="86"/>
    </row>
    <row r="57" spans="1:30" ht="18.75">
      <c r="A57" s="141"/>
      <c r="B57" s="143" t="s">
        <v>216</v>
      </c>
      <c r="C57" s="196" t="s">
        <v>588</v>
      </c>
      <c r="D57" s="197">
        <f>IF(Vin_type="AC",((NPS*(VOUT+Vf_SR))/((VBulk_min_tgt+NPS*VOUT))),((NPS*(VOUT+Vf_SR))/((VBulk_min_tgt+NPS*VOUT))))</f>
        <v>0.38461538461538464</v>
      </c>
      <c r="E57" s="157"/>
      <c r="F57" s="149"/>
      <c r="G57" s="158"/>
      <c r="H57" s="198"/>
      <c r="I57" s="199"/>
      <c r="J57" s="86"/>
      <c r="K57" s="86"/>
      <c r="L57" s="86"/>
      <c r="M57" s="86"/>
      <c r="N57" s="86"/>
      <c r="O57" s="86"/>
      <c r="P57" s="86"/>
      <c r="Q57" s="86"/>
      <c r="R57" s="86"/>
      <c r="S57" s="86"/>
      <c r="T57" s="86"/>
      <c r="U57" s="86"/>
      <c r="V57" s="86"/>
      <c r="W57" s="86"/>
      <c r="X57" s="86"/>
      <c r="Y57" s="86"/>
      <c r="Z57" s="86"/>
      <c r="AA57" s="86"/>
      <c r="AB57" s="86"/>
      <c r="AC57" s="86"/>
      <c r="AD57" s="86"/>
    </row>
    <row r="58" spans="1:30" ht="18.75">
      <c r="A58" s="141"/>
      <c r="B58" s="143" t="s">
        <v>589</v>
      </c>
      <c r="C58" s="144" t="s">
        <v>590</v>
      </c>
      <c r="D58" s="194">
        <f>IF(Vin_type="AC",((((D_max^2)*((VBulk_min_tgt)^2)*η_min*((100-KRES)/100))/(2*PO_FL*fSWmin*1000))*10^6),((((D_max^2)*((VBulk_min_tgt)^2)*η_min*((100-KRES)/100))/(2*PO_FL*fSWmin*1000))*10^6))</f>
        <v>114.15792695368292</v>
      </c>
      <c r="E58" s="157" t="s">
        <v>11</v>
      </c>
      <c r="F58" s="149"/>
      <c r="G58" s="158"/>
      <c r="H58" s="198"/>
      <c r="I58" s="199"/>
      <c r="J58" s="86"/>
      <c r="K58" s="86"/>
      <c r="L58" s="86"/>
      <c r="M58" s="86"/>
      <c r="N58" s="86"/>
      <c r="O58" s="86"/>
      <c r="P58" s="86"/>
      <c r="Q58" s="86"/>
      <c r="R58" s="86"/>
      <c r="S58" s="86"/>
      <c r="T58" s="86"/>
      <c r="U58" s="86"/>
      <c r="V58" s="86"/>
      <c r="W58" s="86"/>
      <c r="X58" s="86"/>
      <c r="Y58" s="86"/>
      <c r="Z58" s="86"/>
      <c r="AA58" s="86"/>
      <c r="AB58" s="86"/>
      <c r="AC58" s="86"/>
      <c r="AD58" s="86"/>
    </row>
    <row r="59" spans="1:30" ht="18.75">
      <c r="A59" s="141"/>
      <c r="B59" s="200" t="s">
        <v>181</v>
      </c>
      <c r="C59" s="201" t="s">
        <v>243</v>
      </c>
      <c r="D59" s="30">
        <v>120</v>
      </c>
      <c r="E59" s="202" t="s">
        <v>11</v>
      </c>
      <c r="F59" s="203" t="s">
        <v>986</v>
      </c>
      <c r="G59" s="158"/>
      <c r="H59" s="181"/>
      <c r="I59" s="181"/>
      <c r="J59" s="86"/>
      <c r="K59" s="86"/>
      <c r="L59" s="86"/>
      <c r="M59" s="86"/>
      <c r="N59" s="86"/>
      <c r="O59" s="86"/>
      <c r="P59" s="86"/>
      <c r="Q59" s="86"/>
      <c r="R59" s="86"/>
      <c r="S59" s="86"/>
      <c r="T59" s="86"/>
      <c r="U59" s="86"/>
      <c r="V59" s="86"/>
      <c r="W59" s="86"/>
      <c r="X59" s="86"/>
      <c r="Y59" s="86"/>
      <c r="Z59" s="86"/>
      <c r="AA59" s="86"/>
      <c r="AB59" s="86"/>
      <c r="AC59" s="86"/>
      <c r="AD59" s="86"/>
    </row>
    <row r="60" spans="1:30" ht="18.75">
      <c r="A60" s="141"/>
      <c r="B60" s="178" t="s">
        <v>119</v>
      </c>
      <c r="C60" s="183" t="s">
        <v>182</v>
      </c>
      <c r="D60" s="76">
        <f>IF(LM_act="",LM_rec,LM_act)</f>
        <v>120</v>
      </c>
      <c r="E60" s="204" t="s">
        <v>11</v>
      </c>
      <c r="F60" s="205"/>
      <c r="G60" s="158"/>
      <c r="H60" s="181"/>
      <c r="I60" s="181"/>
      <c r="J60" s="86"/>
      <c r="K60" s="86"/>
      <c r="L60" s="86"/>
      <c r="M60" s="86"/>
      <c r="N60" s="86"/>
      <c r="O60" s="86"/>
      <c r="P60" s="86"/>
      <c r="Q60" s="86"/>
      <c r="R60" s="86"/>
      <c r="S60" s="86"/>
      <c r="T60" s="86"/>
      <c r="U60" s="86"/>
      <c r="V60" s="86"/>
      <c r="W60" s="86"/>
      <c r="X60" s="86"/>
      <c r="Y60" s="86"/>
      <c r="Z60" s="86"/>
      <c r="AA60" s="86"/>
      <c r="AB60" s="86"/>
      <c r="AC60" s="86"/>
      <c r="AD60" s="86"/>
    </row>
    <row r="61" spans="1:30" ht="18.75">
      <c r="A61" s="141"/>
      <c r="B61" s="200" t="s">
        <v>244</v>
      </c>
      <c r="C61" s="201" t="s">
        <v>825</v>
      </c>
      <c r="D61" s="22">
        <v>2.5</v>
      </c>
      <c r="E61" s="206" t="s">
        <v>20</v>
      </c>
      <c r="F61" s="203" t="s">
        <v>986</v>
      </c>
      <c r="G61" s="158"/>
      <c r="H61" s="181"/>
      <c r="I61" s="181"/>
      <c r="J61" s="86"/>
      <c r="K61" s="86"/>
      <c r="L61" s="86"/>
      <c r="M61" s="86"/>
      <c r="N61" s="86"/>
      <c r="O61" s="86"/>
      <c r="P61" s="86"/>
      <c r="Q61" s="86"/>
      <c r="R61" s="86"/>
      <c r="S61" s="86"/>
      <c r="T61" s="86"/>
      <c r="U61" s="86"/>
      <c r="V61" s="86"/>
      <c r="W61" s="86"/>
      <c r="X61" s="86"/>
      <c r="Y61" s="86"/>
      <c r="Z61" s="86"/>
      <c r="AA61" s="86"/>
      <c r="AB61" s="86"/>
      <c r="AC61" s="86"/>
      <c r="AD61" s="86"/>
    </row>
    <row r="62" spans="1:30" ht="18.75">
      <c r="A62" s="141"/>
      <c r="B62" s="184" t="s">
        <v>246</v>
      </c>
      <c r="C62" s="185" t="s">
        <v>247</v>
      </c>
      <c r="D62" s="20">
        <v>0.96</v>
      </c>
      <c r="E62" s="206"/>
      <c r="F62" s="203"/>
      <c r="G62" s="158"/>
      <c r="H62" s="181"/>
      <c r="I62" s="181"/>
      <c r="J62" s="86"/>
      <c r="K62" s="86"/>
      <c r="L62" s="86"/>
      <c r="M62" s="86"/>
      <c r="N62" s="86"/>
      <c r="O62" s="86"/>
      <c r="P62" s="86"/>
      <c r="Q62" s="86"/>
      <c r="R62" s="86"/>
      <c r="S62" s="86"/>
      <c r="T62" s="86"/>
      <c r="U62" s="86"/>
      <c r="V62" s="86"/>
      <c r="W62" s="86"/>
      <c r="X62" s="86"/>
      <c r="Y62" s="86"/>
      <c r="Z62" s="86"/>
      <c r="AA62" s="86"/>
      <c r="AB62" s="86"/>
      <c r="AC62" s="86"/>
      <c r="AD62" s="86"/>
    </row>
    <row r="63" spans="1:30" ht="18.75">
      <c r="A63" s="141"/>
      <c r="B63" s="184" t="s">
        <v>248</v>
      </c>
      <c r="C63" s="185" t="s">
        <v>183</v>
      </c>
      <c r="D63" s="22">
        <v>30</v>
      </c>
      <c r="E63" s="202" t="s">
        <v>107</v>
      </c>
      <c r="F63" s="203" t="s">
        <v>250</v>
      </c>
      <c r="G63" s="158"/>
      <c r="H63" s="181"/>
      <c r="I63" s="181"/>
      <c r="J63" s="86"/>
      <c r="K63" s="86"/>
      <c r="L63" s="86"/>
      <c r="M63" s="86"/>
      <c r="N63" s="86"/>
      <c r="O63" s="86"/>
      <c r="P63" s="86"/>
      <c r="Q63" s="86"/>
      <c r="R63" s="86"/>
      <c r="S63" s="86"/>
      <c r="T63" s="86"/>
      <c r="U63" s="86"/>
      <c r="V63" s="86"/>
      <c r="W63" s="86"/>
      <c r="X63" s="86"/>
      <c r="Y63" s="86"/>
      <c r="Z63" s="86"/>
      <c r="AA63" s="86"/>
      <c r="AB63" s="86"/>
      <c r="AC63" s="86"/>
      <c r="AD63" s="86"/>
    </row>
    <row r="64" spans="1:30" ht="19.5" thickBot="1">
      <c r="A64" s="141"/>
      <c r="B64" s="207" t="s">
        <v>249</v>
      </c>
      <c r="C64" s="208" t="s">
        <v>184</v>
      </c>
      <c r="D64" s="24">
        <v>0.1</v>
      </c>
      <c r="E64" s="209" t="s">
        <v>10</v>
      </c>
      <c r="F64" s="210" t="s">
        <v>986</v>
      </c>
      <c r="G64" s="158"/>
      <c r="H64" s="181"/>
      <c r="I64" s="181"/>
      <c r="J64" s="86"/>
      <c r="K64" s="86"/>
      <c r="L64" s="86"/>
      <c r="M64" s="86"/>
      <c r="N64" s="86"/>
      <c r="O64" s="86"/>
      <c r="P64" s="86"/>
      <c r="Q64" s="86"/>
      <c r="R64" s="86"/>
      <c r="S64" s="86"/>
      <c r="T64" s="86"/>
      <c r="U64" s="86"/>
      <c r="V64" s="86"/>
      <c r="W64" s="86"/>
      <c r="X64" s="86"/>
      <c r="Y64" s="86"/>
      <c r="Z64" s="86"/>
      <c r="AA64" s="86"/>
      <c r="AB64" s="86"/>
      <c r="AC64" s="86"/>
      <c r="AD64" s="86"/>
    </row>
    <row r="65" spans="1:30" ht="15.75" thickBot="1">
      <c r="A65" s="141"/>
      <c r="B65" s="136"/>
      <c r="C65" s="211"/>
      <c r="D65" s="138"/>
      <c r="E65" s="139"/>
      <c r="F65" s="140"/>
      <c r="G65" s="158"/>
      <c r="H65" s="181"/>
      <c r="I65" s="181"/>
      <c r="J65" s="86"/>
      <c r="K65" s="86"/>
      <c r="L65" s="86"/>
      <c r="M65" s="86"/>
      <c r="N65" s="86"/>
      <c r="O65" s="86"/>
      <c r="P65" s="86"/>
      <c r="Q65" s="86"/>
      <c r="R65" s="86"/>
      <c r="S65" s="86"/>
      <c r="T65" s="86"/>
      <c r="U65" s="86"/>
      <c r="V65" s="86"/>
      <c r="W65" s="86"/>
      <c r="X65" s="86"/>
      <c r="Y65" s="86"/>
      <c r="Z65" s="86"/>
      <c r="AA65" s="86"/>
      <c r="AB65" s="86"/>
      <c r="AC65" s="86"/>
      <c r="AD65" s="86"/>
    </row>
    <row r="66" spans="1:30" ht="18">
      <c r="A66" s="141"/>
      <c r="B66" s="687" t="s">
        <v>69</v>
      </c>
      <c r="C66" s="688"/>
      <c r="D66" s="688"/>
      <c r="E66" s="688"/>
      <c r="F66" s="689"/>
      <c r="G66" s="122" t="s">
        <v>1108</v>
      </c>
      <c r="H66" s="122"/>
      <c r="I66" s="181"/>
      <c r="J66" s="86"/>
      <c r="K66" s="86"/>
      <c r="L66" s="86"/>
      <c r="M66" s="86"/>
      <c r="N66" s="86"/>
      <c r="O66" s="86"/>
      <c r="P66" s="86"/>
      <c r="Q66" s="86"/>
      <c r="R66" s="86"/>
      <c r="S66" s="86"/>
      <c r="T66" s="86"/>
      <c r="U66" s="86"/>
      <c r="V66" s="86"/>
      <c r="W66" s="86"/>
      <c r="X66" s="86"/>
      <c r="Y66" s="86"/>
      <c r="Z66" s="86"/>
      <c r="AA66" s="86"/>
      <c r="AB66" s="86"/>
      <c r="AC66" s="86"/>
      <c r="AD66" s="86"/>
    </row>
    <row r="67" spans="1:30" ht="18.75">
      <c r="A67" s="142"/>
      <c r="B67" s="143" t="s">
        <v>217</v>
      </c>
      <c r="C67" s="144" t="s">
        <v>580</v>
      </c>
      <c r="D67" s="194">
        <f>Coss_QH_T</f>
        <v>48.07692307692308</v>
      </c>
      <c r="E67" s="145" t="s">
        <v>233</v>
      </c>
      <c r="F67" s="146" t="s">
        <v>579</v>
      </c>
      <c r="G67" s="158" t="s">
        <v>1047</v>
      </c>
      <c r="H67" s="181"/>
      <c r="I67" s="199"/>
      <c r="J67" s="86"/>
      <c r="K67" s="86"/>
      <c r="L67" s="86"/>
      <c r="M67" s="86"/>
      <c r="N67" s="86"/>
      <c r="O67" s="86"/>
      <c r="P67" s="86"/>
      <c r="Q67" s="86"/>
      <c r="R67" s="86"/>
      <c r="S67" s="86"/>
      <c r="T67" s="86"/>
      <c r="U67" s="86"/>
      <c r="V67" s="86"/>
      <c r="W67" s="86"/>
      <c r="X67" s="86"/>
      <c r="Y67" s="86"/>
      <c r="Z67" s="86"/>
      <c r="AA67" s="86"/>
      <c r="AB67" s="86"/>
      <c r="AC67" s="86"/>
      <c r="AD67" s="86"/>
    </row>
    <row r="68" spans="1:30" ht="18.75">
      <c r="A68" s="142"/>
      <c r="B68" s="143" t="s">
        <v>218</v>
      </c>
      <c r="C68" s="144" t="s">
        <v>581</v>
      </c>
      <c r="D68" s="194">
        <f>Coss_QL_T</f>
        <v>83.07692307692308</v>
      </c>
      <c r="E68" s="145" t="s">
        <v>233</v>
      </c>
      <c r="F68" s="146" t="s">
        <v>579</v>
      </c>
      <c r="G68" s="158"/>
      <c r="H68" s="181"/>
      <c r="I68" s="199"/>
      <c r="J68" s="86"/>
      <c r="K68" s="86"/>
      <c r="L68" s="86"/>
      <c r="M68" s="86"/>
      <c r="N68" s="86"/>
      <c r="O68" s="86"/>
      <c r="P68" s="86"/>
      <c r="Q68" s="86"/>
      <c r="R68" s="86"/>
      <c r="S68" s="86"/>
      <c r="T68" s="86"/>
      <c r="U68" s="86"/>
      <c r="V68" s="86"/>
      <c r="W68" s="86"/>
      <c r="X68" s="86"/>
      <c r="Y68" s="86"/>
      <c r="Z68" s="86"/>
      <c r="AA68" s="86"/>
      <c r="AB68" s="86"/>
      <c r="AC68" s="86"/>
      <c r="AD68" s="86"/>
    </row>
    <row r="69" spans="1:30" ht="18.75">
      <c r="A69" s="142"/>
      <c r="B69" s="143" t="s">
        <v>120</v>
      </c>
      <c r="C69" s="144" t="s">
        <v>582</v>
      </c>
      <c r="D69" s="194">
        <f>CTr</f>
        <v>30</v>
      </c>
      <c r="E69" s="145" t="s">
        <v>21</v>
      </c>
      <c r="F69" s="146"/>
      <c r="G69" s="158"/>
      <c r="H69" s="181"/>
      <c r="I69" s="181"/>
      <c r="J69" s="86"/>
      <c r="K69" s="86"/>
      <c r="L69" s="86"/>
      <c r="M69" s="86"/>
      <c r="N69" s="86"/>
      <c r="O69" s="86"/>
      <c r="P69" s="86"/>
      <c r="Q69" s="86"/>
      <c r="R69" s="86"/>
      <c r="S69" s="86"/>
      <c r="T69" s="86"/>
      <c r="U69" s="86"/>
      <c r="V69" s="86"/>
      <c r="W69" s="86"/>
      <c r="X69" s="86"/>
      <c r="Y69" s="86"/>
      <c r="Z69" s="86"/>
      <c r="AA69" s="86"/>
      <c r="AB69" s="86"/>
      <c r="AC69" s="86"/>
      <c r="AD69" s="86"/>
    </row>
    <row r="70" spans="1:30" ht="18.75">
      <c r="A70" s="141"/>
      <c r="B70" s="143" t="s">
        <v>334</v>
      </c>
      <c r="C70" s="144" t="s">
        <v>583</v>
      </c>
      <c r="D70" s="212">
        <f>CBootD_T</f>
        <v>10</v>
      </c>
      <c r="E70" s="145" t="s">
        <v>27</v>
      </c>
      <c r="F70" s="146"/>
      <c r="G70" s="158"/>
      <c r="H70" s="181"/>
      <c r="I70" s="181"/>
      <c r="J70" s="86"/>
      <c r="K70" s="86"/>
      <c r="L70" s="86"/>
      <c r="M70" s="86"/>
      <c r="N70" s="86"/>
      <c r="O70" s="86"/>
      <c r="P70" s="86"/>
      <c r="Q70" s="86"/>
      <c r="R70" s="86"/>
      <c r="S70" s="86"/>
      <c r="T70" s="86"/>
      <c r="U70" s="86"/>
      <c r="V70" s="86"/>
      <c r="W70" s="86"/>
      <c r="X70" s="86"/>
      <c r="Y70" s="86"/>
      <c r="Z70" s="86"/>
      <c r="AA70" s="86"/>
      <c r="AB70" s="86"/>
      <c r="AC70" s="86"/>
      <c r="AD70" s="86"/>
    </row>
    <row r="71" spans="1:30" ht="18.75">
      <c r="A71" s="141"/>
      <c r="B71" s="143" t="s">
        <v>121</v>
      </c>
      <c r="C71" s="144" t="s">
        <v>584</v>
      </c>
      <c r="D71" s="213">
        <f>COSS_Qs</f>
        <v>1.7</v>
      </c>
      <c r="E71" s="145" t="s">
        <v>13</v>
      </c>
      <c r="F71" s="149"/>
      <c r="G71" s="158"/>
      <c r="H71" s="181"/>
      <c r="I71" s="181"/>
      <c r="J71" s="86"/>
      <c r="K71" s="86"/>
      <c r="L71" s="86"/>
      <c r="M71" s="86"/>
      <c r="N71" s="86"/>
      <c r="O71" s="86"/>
      <c r="P71" s="86"/>
      <c r="Q71" s="86"/>
      <c r="R71" s="86"/>
      <c r="S71" s="86"/>
      <c r="T71" s="86"/>
      <c r="U71" s="86"/>
      <c r="V71" s="86"/>
      <c r="W71" s="86"/>
      <c r="X71" s="86"/>
      <c r="Y71" s="86"/>
      <c r="Z71" s="86"/>
      <c r="AA71" s="86"/>
      <c r="AB71" s="86"/>
      <c r="AC71" s="86"/>
      <c r="AD71" s="86"/>
    </row>
    <row r="72" spans="1:30" ht="18.75">
      <c r="A72" s="141"/>
      <c r="B72" s="151" t="s">
        <v>245</v>
      </c>
      <c r="C72" s="152" t="s">
        <v>905</v>
      </c>
      <c r="D72" s="214">
        <f>Coss_SR_T/(NP/NS)^2+CDaux_T/(NP/NA)^2</f>
        <v>47.110276923076924</v>
      </c>
      <c r="E72" s="145" t="s">
        <v>21</v>
      </c>
      <c r="F72" s="146"/>
      <c r="G72" s="158"/>
      <c r="H72" s="181"/>
      <c r="I72" s="181"/>
      <c r="J72" s="86"/>
      <c r="K72" s="86"/>
      <c r="L72" s="86"/>
      <c r="M72" s="86"/>
      <c r="N72" s="86"/>
      <c r="O72" s="86"/>
      <c r="P72" s="86"/>
      <c r="Q72" s="86"/>
      <c r="R72" s="86"/>
      <c r="S72" s="86"/>
      <c r="T72" s="86"/>
      <c r="U72" s="86"/>
      <c r="V72" s="86"/>
      <c r="W72" s="86"/>
      <c r="X72" s="86"/>
      <c r="Y72" s="86"/>
      <c r="Z72" s="86"/>
      <c r="AA72" s="86"/>
      <c r="AB72" s="86"/>
      <c r="AC72" s="86"/>
      <c r="AD72" s="86"/>
    </row>
    <row r="73" spans="1:30" ht="19.5" thickBot="1">
      <c r="A73" s="141"/>
      <c r="B73" s="215" t="s">
        <v>335</v>
      </c>
      <c r="C73" s="216" t="s">
        <v>585</v>
      </c>
      <c r="D73" s="217">
        <f>D67+D68+D69+D70+D71+D72</f>
        <v>219.96412307692307</v>
      </c>
      <c r="E73" s="218" t="s">
        <v>21</v>
      </c>
      <c r="F73" s="219" t="s">
        <v>579</v>
      </c>
      <c r="G73" s="158"/>
      <c r="H73" s="181"/>
      <c r="I73" s="181"/>
      <c r="J73" s="86"/>
      <c r="K73" s="86"/>
      <c r="L73" s="86"/>
      <c r="M73" s="86"/>
      <c r="N73" s="86"/>
      <c r="O73" s="86"/>
      <c r="P73" s="86"/>
      <c r="Q73" s="86"/>
      <c r="R73" s="86"/>
      <c r="S73" s="86"/>
      <c r="T73" s="86"/>
      <c r="U73" s="86"/>
      <c r="V73" s="86"/>
      <c r="W73" s="86"/>
      <c r="X73" s="86"/>
      <c r="Y73" s="86"/>
      <c r="Z73" s="86"/>
      <c r="AA73" s="86"/>
      <c r="AB73" s="86"/>
      <c r="AC73" s="86"/>
      <c r="AD73" s="86"/>
    </row>
    <row r="74" spans="1:30" ht="15.75" thickBot="1">
      <c r="A74" s="141"/>
      <c r="B74" s="136"/>
      <c r="C74" s="211"/>
      <c r="D74" s="138"/>
      <c r="E74" s="139"/>
      <c r="F74" s="140"/>
      <c r="G74" s="158"/>
      <c r="H74" s="181"/>
      <c r="I74" s="181"/>
      <c r="J74" s="86"/>
      <c r="K74" s="86"/>
      <c r="L74" s="86"/>
      <c r="M74" s="86"/>
      <c r="N74" s="86"/>
      <c r="O74" s="86"/>
      <c r="P74" s="86"/>
      <c r="Q74" s="86"/>
      <c r="R74" s="86"/>
      <c r="S74" s="86"/>
      <c r="T74" s="86"/>
      <c r="U74" s="86"/>
      <c r="V74" s="86"/>
      <c r="W74" s="86"/>
      <c r="X74" s="86"/>
      <c r="Y74" s="86"/>
      <c r="Z74" s="86"/>
      <c r="AA74" s="86"/>
      <c r="AB74" s="86"/>
      <c r="AC74" s="86"/>
      <c r="AD74" s="86"/>
    </row>
    <row r="75" spans="1:30" ht="18" customHeight="1">
      <c r="A75" s="141"/>
      <c r="B75" s="690" t="s">
        <v>46</v>
      </c>
      <c r="C75" s="691"/>
      <c r="D75" s="691"/>
      <c r="E75" s="691"/>
      <c r="F75" s="692"/>
      <c r="G75" s="158"/>
      <c r="H75" s="181"/>
      <c r="I75" s="181"/>
      <c r="J75" s="86"/>
      <c r="K75" s="86"/>
      <c r="L75" s="86"/>
      <c r="M75" s="86"/>
      <c r="N75" s="86"/>
      <c r="O75" s="86"/>
      <c r="P75" s="86"/>
      <c r="Q75" s="86"/>
      <c r="R75" s="86"/>
      <c r="S75" s="86"/>
      <c r="T75" s="86"/>
      <c r="U75" s="86"/>
      <c r="V75" s="86"/>
      <c r="W75" s="86"/>
      <c r="X75" s="86"/>
      <c r="Y75" s="86"/>
      <c r="Z75" s="86"/>
      <c r="AA75" s="86"/>
      <c r="AB75" s="86"/>
      <c r="AC75" s="86"/>
      <c r="AD75" s="86"/>
    </row>
    <row r="76" spans="1:30" ht="18.75">
      <c r="A76" s="141"/>
      <c r="B76" s="160" t="s">
        <v>591</v>
      </c>
      <c r="C76" s="161" t="s">
        <v>826</v>
      </c>
      <c r="D76" s="287">
        <v>-15</v>
      </c>
      <c r="E76" s="220" t="s">
        <v>3</v>
      </c>
      <c r="F76" s="221" t="s">
        <v>1052</v>
      </c>
      <c r="G76" s="158"/>
      <c r="H76" s="181"/>
      <c r="I76" s="181"/>
      <c r="J76" s="86"/>
      <c r="K76" s="86"/>
      <c r="L76" s="86"/>
      <c r="M76" s="86"/>
      <c r="N76" s="86"/>
      <c r="O76" s="86"/>
      <c r="P76" s="86"/>
      <c r="Q76" s="86"/>
      <c r="R76" s="86"/>
      <c r="S76" s="86"/>
      <c r="T76" s="86"/>
      <c r="U76" s="86"/>
      <c r="V76" s="86"/>
      <c r="W76" s="86"/>
      <c r="X76" s="86"/>
      <c r="Y76" s="86"/>
      <c r="Z76" s="86"/>
      <c r="AA76" s="86"/>
      <c r="AB76" s="86"/>
      <c r="AC76" s="86"/>
      <c r="AD76" s="86"/>
    </row>
    <row r="77" spans="1:30" ht="18.75">
      <c r="A77" s="141"/>
      <c r="B77" s="151" t="s">
        <v>592</v>
      </c>
      <c r="C77" s="152" t="s">
        <v>593</v>
      </c>
      <c r="D77" s="222">
        <f>IF(Vin_type="AC",(((((0.001/fSWmin)*VINPUT_Brownout*1.414)/(VINPUT_Brownout*1.414+VRfl))^2)/((3.1416^2)*LK_act*10^-6))*10^6/((100+Drea_clamp)/100),(((((0.001/fSWmin)*VINPUT_Brownout)/(VINPUT_Brownout+VRfl))^2)/((3.1416^2)*LK_act*10^-6))*10^6/((100+Drea_clamp)/100))</f>
        <v>0.33382017863932101</v>
      </c>
      <c r="E77" s="195" t="s">
        <v>24</v>
      </c>
      <c r="F77" s="146" t="s">
        <v>345</v>
      </c>
      <c r="G77" s="158"/>
      <c r="H77" s="198"/>
      <c r="I77" s="199"/>
      <c r="J77" s="86"/>
      <c r="K77" s="86"/>
      <c r="L77" s="86"/>
      <c r="M77" s="86"/>
      <c r="N77" s="86"/>
      <c r="O77" s="86"/>
      <c r="P77" s="86"/>
      <c r="Q77" s="86"/>
      <c r="R77" s="86"/>
      <c r="S77" s="86"/>
      <c r="T77" s="86"/>
      <c r="U77" s="86"/>
      <c r="V77" s="86"/>
      <c r="W77" s="86"/>
      <c r="X77" s="86"/>
      <c r="Y77" s="86"/>
      <c r="Z77" s="86"/>
      <c r="AA77" s="86"/>
      <c r="AB77" s="86"/>
      <c r="AC77" s="86"/>
      <c r="AD77" s="86"/>
    </row>
    <row r="78" spans="1:30" ht="18.75">
      <c r="A78" s="141"/>
      <c r="B78" s="160" t="s">
        <v>594</v>
      </c>
      <c r="C78" s="223" t="s">
        <v>595</v>
      </c>
      <c r="D78" s="61">
        <v>0.66</v>
      </c>
      <c r="E78" s="220" t="s">
        <v>26</v>
      </c>
      <c r="F78" s="171" t="s">
        <v>596</v>
      </c>
      <c r="G78" s="158"/>
      <c r="H78" s="181"/>
      <c r="I78" s="181"/>
      <c r="J78" s="86"/>
      <c r="K78" s="86"/>
      <c r="L78" s="86"/>
      <c r="M78" s="86"/>
      <c r="N78" s="86"/>
      <c r="O78" s="86"/>
      <c r="P78" s="86"/>
      <c r="Q78" s="86"/>
      <c r="R78" s="86"/>
      <c r="S78" s="86"/>
      <c r="T78" s="86"/>
      <c r="U78" s="86"/>
      <c r="V78" s="86"/>
      <c r="W78" s="86"/>
      <c r="X78" s="86"/>
      <c r="Y78" s="86"/>
      <c r="Z78" s="86"/>
      <c r="AA78" s="86"/>
      <c r="AB78" s="86"/>
      <c r="AC78" s="86"/>
      <c r="AD78" s="86"/>
    </row>
    <row r="79" spans="1:30" ht="18.75">
      <c r="A79" s="141"/>
      <c r="B79" s="151" t="s">
        <v>597</v>
      </c>
      <c r="C79" s="152" t="s">
        <v>598</v>
      </c>
      <c r="D79" s="222">
        <f>Cclamp_act*(100+Drea_clamp)/100</f>
        <v>0.56100000000000005</v>
      </c>
      <c r="E79" s="195" t="s">
        <v>24</v>
      </c>
      <c r="F79" s="224"/>
      <c r="G79" s="158"/>
      <c r="H79" s="181"/>
      <c r="I79" s="181"/>
      <c r="J79" s="86"/>
      <c r="K79" s="86"/>
      <c r="L79" s="86"/>
      <c r="M79" s="86"/>
      <c r="N79" s="86"/>
      <c r="O79" s="86"/>
      <c r="P79" s="86"/>
      <c r="Q79" s="86"/>
      <c r="R79" s="86"/>
      <c r="S79" s="86"/>
      <c r="T79" s="86"/>
      <c r="U79" s="86"/>
      <c r="V79" s="86"/>
      <c r="W79" s="86"/>
      <c r="X79" s="86"/>
      <c r="Y79" s="86"/>
      <c r="Z79" s="86"/>
      <c r="AA79" s="86"/>
      <c r="AB79" s="86"/>
      <c r="AC79" s="86"/>
      <c r="AD79" s="86"/>
    </row>
    <row r="80" spans="1:30" ht="18.75">
      <c r="A80" s="135"/>
      <c r="B80" s="151" t="s">
        <v>361</v>
      </c>
      <c r="C80" s="152" t="s">
        <v>599</v>
      </c>
      <c r="D80" s="222">
        <f>IF(Cclamp_act="",Cclamp_rec,Cclamp_eff)</f>
        <v>0.56100000000000005</v>
      </c>
      <c r="E80" s="195" t="s">
        <v>26</v>
      </c>
      <c r="F80" s="149"/>
      <c r="G80" s="158"/>
      <c r="H80" s="181"/>
      <c r="I80" s="181"/>
      <c r="J80" s="86"/>
      <c r="K80" s="86"/>
      <c r="L80" s="86"/>
      <c r="M80" s="86"/>
      <c r="N80" s="86"/>
      <c r="O80" s="86"/>
      <c r="P80" s="86"/>
      <c r="Q80" s="86"/>
      <c r="R80" s="86"/>
      <c r="S80" s="86"/>
      <c r="T80" s="86"/>
      <c r="U80" s="86"/>
      <c r="V80" s="86"/>
      <c r="W80" s="86"/>
      <c r="X80" s="86"/>
      <c r="Y80" s="86"/>
      <c r="Z80" s="86"/>
      <c r="AA80" s="86"/>
      <c r="AB80" s="86"/>
      <c r="AC80" s="86"/>
      <c r="AD80" s="86"/>
    </row>
    <row r="81" spans="1:30" ht="18.75">
      <c r="A81" s="141"/>
      <c r="B81" s="151" t="s">
        <v>987</v>
      </c>
      <c r="C81" s="152" t="s">
        <v>600</v>
      </c>
      <c r="D81" s="222">
        <f>TFDR/((Cclamp+Cclamp_act)/2*10^-6*LN((NPS*VOUT+ΔVCLAMP)/(Vclamp_max)))/1000000</f>
        <v>1.5392393855476452</v>
      </c>
      <c r="E81" s="195" t="s">
        <v>195</v>
      </c>
      <c r="F81" s="571"/>
      <c r="G81" s="158"/>
      <c r="H81" s="181"/>
      <c r="I81" s="181"/>
      <c r="J81" s="86"/>
      <c r="K81" s="86"/>
      <c r="L81" s="86"/>
      <c r="M81" s="86"/>
      <c r="N81" s="86"/>
      <c r="O81" s="86"/>
      <c r="P81" s="86"/>
      <c r="Q81" s="86"/>
      <c r="R81" s="86"/>
      <c r="S81" s="86"/>
      <c r="T81" s="86"/>
      <c r="U81" s="86"/>
      <c r="V81" s="86"/>
      <c r="W81" s="86"/>
      <c r="X81" s="86"/>
      <c r="Y81" s="86"/>
      <c r="Z81" s="86"/>
      <c r="AA81" s="86"/>
      <c r="AB81" s="86"/>
      <c r="AC81" s="86"/>
      <c r="AD81" s="86"/>
    </row>
    <row r="82" spans="1:30" ht="18.75">
      <c r="A82" s="141"/>
      <c r="B82" s="160" t="s">
        <v>988</v>
      </c>
      <c r="C82" s="223" t="s">
        <v>601</v>
      </c>
      <c r="D82" s="61">
        <v>1</v>
      </c>
      <c r="E82" s="220" t="s">
        <v>195</v>
      </c>
      <c r="F82" s="171"/>
      <c r="G82" s="158"/>
      <c r="H82" s="181"/>
      <c r="I82" s="181"/>
      <c r="J82" s="86"/>
      <c r="K82" s="86"/>
      <c r="L82" s="86"/>
      <c r="M82" s="86"/>
      <c r="N82" s="86"/>
      <c r="O82" s="86"/>
      <c r="P82" s="86"/>
      <c r="Q82" s="86"/>
      <c r="R82" s="86"/>
      <c r="S82" s="86"/>
      <c r="T82" s="86"/>
      <c r="U82" s="86"/>
      <c r="V82" s="86"/>
      <c r="W82" s="86"/>
      <c r="X82" s="86"/>
      <c r="Y82" s="86"/>
      <c r="Z82" s="86"/>
      <c r="AA82" s="86"/>
      <c r="AB82" s="86"/>
      <c r="AC82" s="86"/>
      <c r="AD82" s="86"/>
    </row>
    <row r="83" spans="1:30" ht="19.5" thickBot="1">
      <c r="A83" s="141"/>
      <c r="B83" s="215" t="s">
        <v>989</v>
      </c>
      <c r="C83" s="216" t="s">
        <v>602</v>
      </c>
      <c r="D83" s="225">
        <f>IF(RBLEED_act="",RBLEED_rec,RBLEED_act)</f>
        <v>1</v>
      </c>
      <c r="E83" s="226" t="s">
        <v>195</v>
      </c>
      <c r="F83" s="227"/>
      <c r="G83" s="158"/>
      <c r="H83" s="181"/>
      <c r="I83" s="181"/>
      <c r="J83" s="86"/>
      <c r="K83" s="86"/>
      <c r="L83" s="86"/>
      <c r="M83" s="86"/>
      <c r="N83" s="86"/>
      <c r="O83" s="86"/>
      <c r="P83" s="86"/>
      <c r="Q83" s="86"/>
      <c r="R83" s="86"/>
      <c r="S83" s="86"/>
      <c r="T83" s="86"/>
      <c r="U83" s="86"/>
      <c r="V83" s="86"/>
      <c r="W83" s="86"/>
      <c r="X83" s="86"/>
      <c r="Y83" s="86"/>
      <c r="Z83" s="86"/>
      <c r="AA83" s="86"/>
      <c r="AB83" s="86"/>
      <c r="AC83" s="86"/>
      <c r="AD83" s="86"/>
    </row>
    <row r="84" spans="1:30" ht="15.75" thickBot="1">
      <c r="A84" s="141"/>
      <c r="B84" s="136"/>
      <c r="C84" s="211"/>
      <c r="D84" s="138"/>
      <c r="E84" s="139"/>
      <c r="F84" s="140"/>
      <c r="G84" s="158"/>
      <c r="H84" s="181"/>
      <c r="I84" s="181"/>
      <c r="J84" s="86"/>
      <c r="K84" s="86"/>
      <c r="L84" s="86"/>
      <c r="M84" s="86"/>
      <c r="N84" s="86"/>
      <c r="O84" s="86"/>
      <c r="P84" s="86"/>
      <c r="Q84" s="86"/>
      <c r="R84" s="86"/>
      <c r="S84" s="86"/>
      <c r="T84" s="86"/>
      <c r="U84" s="86"/>
      <c r="V84" s="86"/>
      <c r="W84" s="86"/>
      <c r="X84" s="86"/>
      <c r="Y84" s="86"/>
      <c r="Z84" s="86"/>
      <c r="AA84" s="86"/>
      <c r="AB84" s="86"/>
      <c r="AC84" s="86"/>
      <c r="AD84" s="86"/>
    </row>
    <row r="85" spans="1:30" ht="18" customHeight="1">
      <c r="A85" s="141"/>
      <c r="B85" s="228" t="s">
        <v>28</v>
      </c>
      <c r="C85" s="229"/>
      <c r="D85" s="230"/>
      <c r="E85" s="231"/>
      <c r="F85" s="232"/>
      <c r="G85" s="158"/>
      <c r="H85" s="181"/>
      <c r="I85" s="181"/>
      <c r="J85" s="86"/>
      <c r="K85" s="86"/>
      <c r="L85" s="86"/>
      <c r="M85" s="86"/>
      <c r="N85" s="86"/>
      <c r="O85" s="86"/>
      <c r="P85" s="86"/>
      <c r="Q85" s="86"/>
      <c r="R85" s="86"/>
      <c r="S85" s="86"/>
      <c r="T85" s="86"/>
      <c r="U85" s="86"/>
      <c r="V85" s="86"/>
      <c r="W85" s="86"/>
      <c r="X85" s="86"/>
      <c r="Y85" s="86"/>
      <c r="Z85" s="86"/>
      <c r="AA85" s="86"/>
      <c r="AB85" s="86"/>
      <c r="AC85" s="86"/>
      <c r="AD85" s="86"/>
    </row>
    <row r="86" spans="1:30" ht="18.75">
      <c r="A86" s="141"/>
      <c r="B86" s="151" t="s">
        <v>1080</v>
      </c>
      <c r="C86" s="152" t="s">
        <v>29</v>
      </c>
      <c r="D86" s="222">
        <f>IF(Vin_type="AC",(VINPUT_Brownin*1.414)*(NA/NP)/(IVSL_run*10^-6)/1000,(VINPUT_Brownin)*(NA/NP)/(IVSL_run*10^-6)/1000)</f>
        <v>41.095890410958908</v>
      </c>
      <c r="E86" s="159" t="s">
        <v>172</v>
      </c>
      <c r="F86" s="551"/>
      <c r="G86" s="158"/>
      <c r="H86" s="198"/>
      <c r="I86" s="199"/>
      <c r="J86" s="86"/>
      <c r="K86" s="86"/>
      <c r="L86" s="86"/>
      <c r="M86" s="86"/>
      <c r="N86" s="86"/>
      <c r="O86" s="86"/>
      <c r="P86" s="86"/>
      <c r="Q86" s="86"/>
      <c r="R86" s="86"/>
      <c r="S86" s="86"/>
      <c r="T86" s="86"/>
      <c r="U86" s="86"/>
      <c r="V86" s="86"/>
      <c r="W86" s="86"/>
      <c r="X86" s="86"/>
      <c r="Y86" s="86"/>
      <c r="Z86" s="86"/>
      <c r="AA86" s="86"/>
      <c r="AB86" s="86"/>
      <c r="AC86" s="86"/>
      <c r="AD86" s="86"/>
    </row>
    <row r="87" spans="1:30" ht="18.75">
      <c r="A87" s="141"/>
      <c r="B87" s="160" t="s">
        <v>122</v>
      </c>
      <c r="C87" s="161" t="s">
        <v>30</v>
      </c>
      <c r="D87" s="36">
        <v>41.2</v>
      </c>
      <c r="E87" s="234" t="s">
        <v>65</v>
      </c>
      <c r="F87" s="235" t="s">
        <v>1045</v>
      </c>
      <c r="G87" s="158"/>
      <c r="H87" s="181"/>
      <c r="I87" s="181"/>
      <c r="J87" s="86"/>
      <c r="K87" s="86"/>
      <c r="L87" s="86"/>
      <c r="M87" s="86"/>
      <c r="N87" s="86"/>
      <c r="O87" s="86"/>
      <c r="P87" s="86"/>
      <c r="Q87" s="86"/>
      <c r="R87" s="86"/>
      <c r="S87" s="86"/>
      <c r="T87" s="86"/>
      <c r="U87" s="86"/>
      <c r="V87" s="86"/>
      <c r="W87" s="86"/>
      <c r="X87" s="86"/>
      <c r="Y87" s="86"/>
      <c r="Z87" s="86"/>
      <c r="AA87" s="86"/>
      <c r="AB87" s="86"/>
      <c r="AC87" s="86"/>
      <c r="AD87" s="86"/>
    </row>
    <row r="88" spans="1:30" ht="34.9" customHeight="1">
      <c r="A88" s="141"/>
      <c r="B88" s="238" t="s">
        <v>1094</v>
      </c>
      <c r="C88" s="505" t="s">
        <v>1095</v>
      </c>
      <c r="D88" s="553">
        <f>IF(Vin_type="AC", -(VINPUT_max*1.414/(NP/NA)), -(VINPUT_max/(NP/NA)) )</f>
        <v>-80</v>
      </c>
      <c r="E88" s="552" t="s">
        <v>6</v>
      </c>
      <c r="F88" s="573" t="s">
        <v>1145</v>
      </c>
      <c r="G88" s="158"/>
      <c r="H88" s="181"/>
      <c r="I88" s="181"/>
      <c r="J88" s="86"/>
      <c r="K88" s="86"/>
      <c r="L88" s="86"/>
      <c r="M88" s="86"/>
      <c r="N88" s="86"/>
      <c r="O88" s="86"/>
      <c r="P88" s="86"/>
      <c r="Q88" s="86"/>
      <c r="R88" s="86"/>
      <c r="S88" s="86"/>
      <c r="T88" s="86"/>
      <c r="U88" s="86"/>
      <c r="V88" s="86"/>
      <c r="W88" s="86"/>
      <c r="X88" s="86"/>
      <c r="Y88" s="86"/>
      <c r="Z88" s="86"/>
      <c r="AA88" s="86"/>
      <c r="AB88" s="86"/>
      <c r="AC88" s="86"/>
      <c r="AD88" s="86"/>
    </row>
    <row r="89" spans="1:30" ht="18.75">
      <c r="A89" s="141"/>
      <c r="B89" s="151" t="s">
        <v>1004</v>
      </c>
      <c r="C89" s="152" t="s">
        <v>1005</v>
      </c>
      <c r="D89" s="236">
        <f>IF(RVS1_act="",RVS1_rec,RVS1_act)</f>
        <v>41.2</v>
      </c>
      <c r="E89" s="159" t="s">
        <v>372</v>
      </c>
      <c r="F89" s="233"/>
      <c r="G89" s="158"/>
      <c r="H89" s="181"/>
      <c r="I89" s="181"/>
      <c r="J89" s="86"/>
      <c r="K89" s="86"/>
      <c r="L89" s="86"/>
      <c r="M89" s="86"/>
      <c r="N89" s="86"/>
      <c r="O89" s="86"/>
      <c r="P89" s="86"/>
      <c r="Q89" s="86"/>
      <c r="R89" s="86"/>
      <c r="S89" s="86"/>
      <c r="T89" s="86"/>
      <c r="U89" s="86"/>
      <c r="V89" s="86"/>
      <c r="W89" s="86"/>
      <c r="X89" s="86"/>
      <c r="Y89" s="86"/>
      <c r="Z89" s="86"/>
      <c r="AA89" s="86"/>
      <c r="AB89" s="86"/>
      <c r="AC89" s="86"/>
      <c r="AD89" s="86"/>
    </row>
    <row r="90" spans="1:30" ht="18.75">
      <c r="A90" s="141"/>
      <c r="B90" s="504" t="s">
        <v>916</v>
      </c>
      <c r="C90" s="505" t="s">
        <v>1006</v>
      </c>
      <c r="D90" s="506">
        <f>IF(Vin_type="AC",RVS_1*1000*1.01*(IVSL_run_max*10^-6)/NA*NP/1.414,RVS_1*1000*1.01*(IVSL_run_max*10^-6)/NA*NP)</f>
        <v>85.013316000000003</v>
      </c>
      <c r="E90" s="507" t="s">
        <v>6</v>
      </c>
      <c r="F90" s="508" t="s">
        <v>917</v>
      </c>
      <c r="G90" s="158"/>
      <c r="H90" s="181"/>
      <c r="I90" s="181"/>
      <c r="J90" s="86"/>
      <c r="K90" s="86"/>
      <c r="L90" s="86"/>
      <c r="M90" s="86"/>
      <c r="N90" s="86"/>
      <c r="O90" s="86"/>
      <c r="P90" s="86"/>
      <c r="Q90" s="86"/>
      <c r="R90" s="86"/>
      <c r="S90" s="86"/>
      <c r="T90" s="86"/>
      <c r="U90" s="86"/>
      <c r="V90" s="86"/>
      <c r="W90" s="86"/>
      <c r="X90" s="86"/>
      <c r="Y90" s="86"/>
      <c r="Z90" s="86"/>
      <c r="AA90" s="86"/>
      <c r="AB90" s="86"/>
      <c r="AC90" s="86"/>
      <c r="AD90" s="86"/>
    </row>
    <row r="91" spans="1:30" ht="18.75">
      <c r="A91" s="141"/>
      <c r="B91" s="151" t="s">
        <v>1003</v>
      </c>
      <c r="C91" s="152" t="s">
        <v>804</v>
      </c>
      <c r="D91" s="237">
        <f>IF(Vin_type="AC",RVS_1*1000*(IVSL_run*10^-6)/NA*NP/1.414,RVS_1*1000*(IVSL_run*10^-6)/NA*NP)</f>
        <v>75.189999999999984</v>
      </c>
      <c r="E91" s="159" t="s">
        <v>6</v>
      </c>
      <c r="F91" s="233" t="s">
        <v>1079</v>
      </c>
      <c r="G91" s="158"/>
      <c r="H91" s="181"/>
      <c r="I91" s="181"/>
      <c r="J91" s="86"/>
      <c r="K91" s="86"/>
      <c r="L91" s="86"/>
      <c r="M91" s="86"/>
      <c r="N91" s="86"/>
      <c r="O91" s="86"/>
      <c r="P91" s="86"/>
      <c r="Q91" s="86"/>
      <c r="R91" s="86"/>
      <c r="S91" s="86"/>
      <c r="T91" s="86"/>
      <c r="U91" s="86"/>
      <c r="V91" s="86"/>
      <c r="W91" s="86"/>
      <c r="X91" s="86"/>
      <c r="Y91" s="86"/>
      <c r="Z91" s="86"/>
      <c r="AA91" s="86"/>
      <c r="AB91" s="86"/>
      <c r="AC91" s="86"/>
      <c r="AD91" s="86"/>
    </row>
    <row r="92" spans="1:30" ht="18.75">
      <c r="A92" s="141"/>
      <c r="B92" s="509" t="s">
        <v>918</v>
      </c>
      <c r="C92" s="510" t="s">
        <v>1007</v>
      </c>
      <c r="D92" s="511">
        <f>IF(Vin_type="AC",RVS_1*1000*0.99*(IVSL_run_min*10^-6)/NA*NP/1.414,RVS_1*1000*0.99*(IVSL_run_min*10^-6)/NA*NP)</f>
        <v>63.833220000000004</v>
      </c>
      <c r="E92" s="512" t="s">
        <v>6</v>
      </c>
      <c r="F92" s="502" t="s">
        <v>919</v>
      </c>
      <c r="G92" s="574"/>
      <c r="H92" s="572"/>
      <c r="I92" s="181"/>
      <c r="J92" s="86"/>
      <c r="K92" s="86"/>
      <c r="L92" s="86"/>
      <c r="M92" s="86"/>
      <c r="N92" s="86"/>
      <c r="O92" s="86"/>
      <c r="P92" s="86"/>
      <c r="Q92" s="86"/>
      <c r="R92" s="86"/>
      <c r="S92" s="86"/>
      <c r="T92" s="86"/>
      <c r="U92" s="86"/>
      <c r="V92" s="86"/>
      <c r="W92" s="86"/>
      <c r="X92" s="86"/>
      <c r="Y92" s="86"/>
      <c r="Z92" s="86"/>
      <c r="AA92" s="86"/>
      <c r="AB92" s="86"/>
      <c r="AC92" s="86"/>
      <c r="AD92" s="86"/>
    </row>
    <row r="93" spans="1:30" ht="18.75">
      <c r="A93" s="141"/>
      <c r="B93" s="509" t="s">
        <v>920</v>
      </c>
      <c r="C93" s="510" t="s">
        <v>1008</v>
      </c>
      <c r="D93" s="511">
        <f>IF(Vin_type="AC",RVS_1*1000*1.01*(IVSL_stop_max*10^-6)/NA*NP/1.414,RVS_1*1000*1.01*(IVSL_stop_max*10^-6)/NA*NP)</f>
        <v>69.991383999999996</v>
      </c>
      <c r="E93" s="512" t="s">
        <v>6</v>
      </c>
      <c r="F93" s="502" t="s">
        <v>921</v>
      </c>
      <c r="G93" s="158"/>
      <c r="J93" s="86"/>
      <c r="K93" s="86"/>
      <c r="L93" s="86"/>
      <c r="M93" s="86"/>
      <c r="N93" s="86"/>
      <c r="O93" s="86"/>
      <c r="P93" s="86"/>
      <c r="Q93" s="86"/>
      <c r="R93" s="86"/>
      <c r="S93" s="86"/>
      <c r="T93" s="86"/>
      <c r="U93" s="86"/>
      <c r="V93" s="86"/>
      <c r="W93" s="86"/>
      <c r="X93" s="86"/>
      <c r="Y93" s="86"/>
      <c r="Z93" s="86"/>
      <c r="AA93" s="86"/>
      <c r="AB93" s="86"/>
      <c r="AC93" s="86"/>
      <c r="AD93" s="86"/>
    </row>
    <row r="94" spans="1:30" ht="18.75">
      <c r="A94" s="141"/>
      <c r="B94" s="509" t="s">
        <v>922</v>
      </c>
      <c r="C94" s="510" t="s">
        <v>1009</v>
      </c>
      <c r="D94" s="511">
        <f>IF(Vin_type="AC",RVS_1*1000*(IVSL_stop*10^-6)/NA*NP/1.414,RVS_1*1000*(IVSL_stop*10^-6)/NA*NP)</f>
        <v>62.83</v>
      </c>
      <c r="E94" s="512" t="s">
        <v>6</v>
      </c>
      <c r="F94" s="502" t="s">
        <v>923</v>
      </c>
      <c r="G94" s="158"/>
      <c r="H94" s="181"/>
      <c r="I94" s="181"/>
      <c r="J94" s="86"/>
      <c r="K94" s="86"/>
      <c r="L94" s="86"/>
      <c r="M94" s="86"/>
      <c r="N94" s="86"/>
      <c r="O94" s="86"/>
      <c r="P94" s="86"/>
      <c r="Q94" s="86"/>
      <c r="R94" s="86"/>
      <c r="S94" s="86"/>
      <c r="T94" s="86"/>
      <c r="U94" s="86"/>
      <c r="V94" s="86"/>
      <c r="W94" s="86"/>
      <c r="X94" s="86"/>
      <c r="Y94" s="86"/>
      <c r="Z94" s="86"/>
      <c r="AA94" s="86"/>
      <c r="AB94" s="86"/>
      <c r="AC94" s="86"/>
      <c r="AD94" s="86"/>
    </row>
    <row r="95" spans="1:30" ht="18.75">
      <c r="A95" s="141"/>
      <c r="B95" s="509" t="s">
        <v>924</v>
      </c>
      <c r="C95" s="510" t="s">
        <v>1010</v>
      </c>
      <c r="D95" s="511">
        <f>IF(Vin_type="AC",RVS_1*1000*0.99*(IVSL_stop_min*10^-6)/NA*NP/1.414,RVS_1*1000*0.99*(IVSL_stop_min*10^-6)/NA*NP)</f>
        <v>52.004699999999993</v>
      </c>
      <c r="E95" s="512" t="s">
        <v>6</v>
      </c>
      <c r="F95" s="502" t="s">
        <v>925</v>
      </c>
      <c r="G95" s="158"/>
      <c r="H95" s="575"/>
      <c r="I95" s="181"/>
      <c r="J95" s="86"/>
      <c r="K95" s="86"/>
      <c r="L95" s="86"/>
      <c r="M95" s="86"/>
      <c r="N95" s="86"/>
      <c r="O95" s="86"/>
      <c r="P95" s="86"/>
      <c r="Q95" s="86"/>
      <c r="R95" s="86"/>
      <c r="S95" s="86"/>
      <c r="T95" s="86"/>
      <c r="U95" s="86"/>
      <c r="V95" s="86"/>
      <c r="W95" s="86"/>
      <c r="X95" s="86"/>
      <c r="Y95" s="86"/>
      <c r="Z95" s="86"/>
      <c r="AA95" s="86"/>
      <c r="AB95" s="86"/>
      <c r="AC95" s="86"/>
      <c r="AD95" s="86"/>
    </row>
    <row r="96" spans="1:30" ht="18.75">
      <c r="A96" s="141"/>
      <c r="B96" s="151" t="s">
        <v>1081</v>
      </c>
      <c r="C96" s="152" t="s">
        <v>1011</v>
      </c>
      <c r="D96" s="222">
        <f>(VVS_OVP*RVS_1)/(NA/NS*(VOUT*OVP_tgt*0.01+Vf_SR)-VVS_OVP)</f>
        <v>10.160433604336044</v>
      </c>
      <c r="E96" s="159" t="s">
        <v>65</v>
      </c>
      <c r="F96" s="233"/>
      <c r="G96" s="158"/>
      <c r="H96" s="181"/>
      <c r="I96" s="181"/>
      <c r="J96" s="86"/>
      <c r="K96" s="86"/>
      <c r="L96" s="86"/>
      <c r="M96" s="86"/>
      <c r="N96" s="86"/>
      <c r="O96" s="86"/>
      <c r="P96" s="86"/>
      <c r="Q96" s="86"/>
      <c r="R96" s="86"/>
      <c r="S96" s="86"/>
      <c r="T96" s="86"/>
      <c r="U96" s="86"/>
      <c r="V96" s="86"/>
      <c r="W96" s="86"/>
      <c r="X96" s="86"/>
      <c r="Y96" s="86"/>
      <c r="Z96" s="86"/>
      <c r="AA96" s="86"/>
      <c r="AB96" s="86"/>
      <c r="AC96" s="86"/>
      <c r="AD96" s="86"/>
    </row>
    <row r="97" spans="1:32" ht="18.75">
      <c r="A97" s="141"/>
      <c r="B97" s="160" t="s">
        <v>123</v>
      </c>
      <c r="C97" s="161" t="s">
        <v>32</v>
      </c>
      <c r="D97" s="36">
        <v>14</v>
      </c>
      <c r="E97" s="234" t="s">
        <v>65</v>
      </c>
      <c r="F97" s="235" t="s">
        <v>1045</v>
      </c>
      <c r="G97" s="158"/>
      <c r="H97" s="181"/>
      <c r="I97" s="181"/>
      <c r="J97" s="86"/>
      <c r="K97" s="86"/>
      <c r="L97" s="86"/>
      <c r="M97" s="86"/>
      <c r="N97" s="86"/>
      <c r="O97" s="86"/>
      <c r="P97" s="86"/>
      <c r="Q97" s="86"/>
      <c r="R97" s="86"/>
      <c r="S97" s="86"/>
      <c r="T97" s="86"/>
      <c r="U97" s="86"/>
      <c r="V97" s="86"/>
      <c r="W97" s="86"/>
      <c r="X97" s="86"/>
      <c r="Y97" s="86"/>
      <c r="Z97" s="86"/>
      <c r="AA97" s="86"/>
      <c r="AB97" s="86"/>
      <c r="AC97" s="86"/>
      <c r="AD97" s="86"/>
      <c r="AE97" s="86"/>
      <c r="AF97" s="86"/>
    </row>
    <row r="98" spans="1:32" ht="18.75">
      <c r="A98" s="141"/>
      <c r="B98" s="238" t="s">
        <v>370</v>
      </c>
      <c r="C98" s="144" t="s">
        <v>33</v>
      </c>
      <c r="D98" s="239">
        <f>IF(RVS2_act="",RVS2_rec,RVS2_act)</f>
        <v>14</v>
      </c>
      <c r="E98" s="240" t="s">
        <v>167</v>
      </c>
      <c r="F98" s="241"/>
      <c r="G98" s="158"/>
      <c r="H98" s="199"/>
      <c r="I98" s="181"/>
      <c r="J98" s="86"/>
      <c r="K98" s="86"/>
      <c r="L98" s="86"/>
      <c r="M98" s="86"/>
      <c r="N98" s="86"/>
      <c r="O98" s="86"/>
      <c r="P98" s="86"/>
      <c r="Q98" s="86"/>
      <c r="R98" s="86"/>
      <c r="S98" s="86"/>
      <c r="T98" s="86"/>
      <c r="U98" s="86"/>
      <c r="V98" s="86"/>
      <c r="W98" s="86"/>
      <c r="X98" s="86"/>
      <c r="Y98" s="86"/>
      <c r="Z98" s="86"/>
      <c r="AA98" s="86"/>
      <c r="AB98" s="86"/>
      <c r="AC98" s="86"/>
      <c r="AD98" s="86"/>
      <c r="AE98" s="86"/>
      <c r="AF98" s="86"/>
    </row>
    <row r="99" spans="1:32" ht="18" customHeight="1" thickBot="1">
      <c r="A99" s="141"/>
      <c r="B99" s="215" t="s">
        <v>1067</v>
      </c>
      <c r="C99" s="242" t="s">
        <v>270</v>
      </c>
      <c r="D99" s="243">
        <f>(VVS_OVP*((RVS_1+RVS_2)/RVS_2)*NS/NA-Vf_SR)/VOUT*100</f>
        <v>89.7</v>
      </c>
      <c r="E99" s="244" t="s">
        <v>371</v>
      </c>
      <c r="F99" s="245" t="s">
        <v>1078</v>
      </c>
      <c r="G99" s="574"/>
      <c r="H99" s="572"/>
      <c r="I99" s="181"/>
      <c r="J99" s="86"/>
      <c r="K99" s="86"/>
      <c r="L99" s="86"/>
      <c r="M99" s="86"/>
      <c r="N99" s="86"/>
      <c r="O99" s="86"/>
      <c r="P99" s="86"/>
      <c r="Q99" s="86"/>
      <c r="R99" s="86"/>
      <c r="S99" s="86"/>
      <c r="T99" s="86"/>
      <c r="U99" s="86"/>
      <c r="V99" s="86"/>
      <c r="W99" s="86"/>
      <c r="X99" s="86"/>
      <c r="Y99" s="86"/>
      <c r="Z99" s="86"/>
      <c r="AA99" s="86"/>
      <c r="AB99" s="86"/>
      <c r="AC99" s="86"/>
      <c r="AD99" s="86"/>
      <c r="AE99" s="86"/>
      <c r="AF99" s="86"/>
    </row>
    <row r="100" spans="1:32" ht="15.75" thickBot="1">
      <c r="A100" s="141"/>
      <c r="B100" s="136"/>
      <c r="C100" s="211"/>
      <c r="D100" s="138"/>
      <c r="E100" s="139"/>
      <c r="F100" s="140"/>
      <c r="G100" s="158"/>
      <c r="H100" s="181"/>
      <c r="I100" s="181"/>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row>
    <row r="101" spans="1:32" ht="18">
      <c r="A101" s="141"/>
      <c r="B101" s="228" t="s">
        <v>327</v>
      </c>
      <c r="C101" s="229"/>
      <c r="D101" s="230"/>
      <c r="E101" s="231"/>
      <c r="F101" s="232"/>
      <c r="G101" s="158"/>
      <c r="H101" s="181"/>
      <c r="I101" s="181"/>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row>
    <row r="102" spans="1:32" ht="18.75" customHeight="1">
      <c r="A102" s="141"/>
      <c r="B102" s="246" t="s">
        <v>346</v>
      </c>
      <c r="C102" s="169" t="s">
        <v>603</v>
      </c>
      <c r="D102" s="27">
        <v>30</v>
      </c>
      <c r="E102" s="220" t="s">
        <v>36</v>
      </c>
      <c r="F102" s="171" t="s">
        <v>1146</v>
      </c>
      <c r="G102" s="158"/>
      <c r="H102" s="181"/>
      <c r="I102" s="181"/>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row>
    <row r="103" spans="1:32" ht="18.600000000000001" customHeight="1">
      <c r="A103" s="141"/>
      <c r="B103" s="151" t="s">
        <v>1093</v>
      </c>
      <c r="C103" s="152" t="s">
        <v>604</v>
      </c>
      <c r="D103" s="576">
        <f>IF(Vin_type="AC",
VCST_OPP_adj_Rcs/(PO_FL*OPP*0.01*2/(VIN_min*1.4142*ηXFMR*DOPP_min)-VIN_min*1.4142*tD_CST_vmin*10^-9/(LM*10^-6)),
VCST_OPP_adj_Rcs/(PO_FL*OPP*0.01*2/(VIN_min*ηXFMR*DOPP_min)-VIN_min*tD_CST_vmin*10^-9/(LM*10^-6)))</f>
        <v>6.7633792539219653E-2</v>
      </c>
      <c r="E103" s="159" t="s">
        <v>31</v>
      </c>
      <c r="F103" s="233"/>
      <c r="G103" s="158"/>
      <c r="H103" s="198"/>
      <c r="I103" s="199"/>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row>
    <row r="104" spans="1:32" ht="19.149999999999999" customHeight="1">
      <c r="A104" s="141"/>
      <c r="B104" s="160" t="s">
        <v>328</v>
      </c>
      <c r="C104" s="161" t="s">
        <v>605</v>
      </c>
      <c r="D104" s="25">
        <v>7.0000000000000007E-2</v>
      </c>
      <c r="E104" s="220" t="s">
        <v>193</v>
      </c>
      <c r="F104" s="247" t="s">
        <v>1063</v>
      </c>
      <c r="G104" s="158"/>
      <c r="H104" s="181"/>
      <c r="I104" s="181"/>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row>
    <row r="105" spans="1:32" ht="18.75">
      <c r="A105" s="141"/>
      <c r="B105" s="143" t="s">
        <v>329</v>
      </c>
      <c r="C105" s="144" t="s">
        <v>606</v>
      </c>
      <c r="D105" s="248">
        <f>IF(RCS_act="",RCS_rec,RCS_act)</f>
        <v>7.0000000000000007E-2</v>
      </c>
      <c r="E105" s="159" t="s">
        <v>168</v>
      </c>
      <c r="F105" s="233"/>
      <c r="G105" s="158"/>
      <c r="H105" s="181"/>
      <c r="I105" s="181"/>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row>
    <row r="106" spans="1:32" ht="18.75">
      <c r="A106" s="141"/>
      <c r="B106" s="151" t="s">
        <v>325</v>
      </c>
      <c r="C106" s="152" t="s">
        <v>607</v>
      </c>
      <c r="D106" s="248">
        <f>SQRT((fsw_OPP_min*1000/3)*((ipk_OPP_min^2)*(DOPP_min/(fsw_OPP_min*1000)-TZ_min*10^-9)+(TZ_min*10^-9)*( 0*IM_nega_max^2 + 1*IM_nega_OPP_min^2)))</f>
        <v>1.8650626402490893</v>
      </c>
      <c r="E106" s="249" t="s">
        <v>14</v>
      </c>
      <c r="F106" s="250"/>
      <c r="G106" s="158"/>
      <c r="H106" s="181"/>
      <c r="I106" s="181"/>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row>
    <row r="107" spans="1:32" ht="19.5" thickBot="1">
      <c r="A107" s="141"/>
      <c r="B107" s="215" t="s">
        <v>326</v>
      </c>
      <c r="C107" s="216" t="s">
        <v>608</v>
      </c>
      <c r="D107" s="251">
        <f>RCS*iQL_RMS^2</f>
        <v>0.2434921056437033</v>
      </c>
      <c r="E107" s="252" t="s">
        <v>7</v>
      </c>
      <c r="F107" s="253"/>
      <c r="G107" s="158"/>
      <c r="H107" s="181"/>
      <c r="I107" s="181"/>
      <c r="J107" s="86"/>
      <c r="K107" s="86"/>
      <c r="L107" s="86"/>
      <c r="M107" s="86"/>
      <c r="N107" s="86"/>
      <c r="O107" s="86"/>
      <c r="P107" s="86"/>
      <c r="Q107" s="86"/>
      <c r="R107" s="86"/>
      <c r="S107" s="86"/>
      <c r="T107" s="86"/>
      <c r="U107" s="86"/>
      <c r="V107" s="86"/>
      <c r="W107" s="86"/>
      <c r="X107" s="86"/>
      <c r="Y107" s="86"/>
      <c r="Z107" s="86"/>
      <c r="AA107" s="86"/>
      <c r="AB107" s="86"/>
      <c r="AC107" s="86"/>
      <c r="AD107" s="86"/>
      <c r="AE107" s="86"/>
      <c r="AF107" s="86"/>
    </row>
    <row r="108" spans="1:32" ht="15.75" thickBot="1">
      <c r="A108" s="141"/>
      <c r="B108" s="136"/>
      <c r="C108" s="211"/>
      <c r="D108" s="138"/>
      <c r="E108" s="139"/>
      <c r="F108" s="140"/>
      <c r="G108" s="158"/>
      <c r="H108" s="181"/>
      <c r="I108" s="181"/>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row>
    <row r="109" spans="1:32" ht="18" customHeight="1">
      <c r="A109" s="141"/>
      <c r="B109" s="228" t="s">
        <v>40</v>
      </c>
      <c r="C109" s="229"/>
      <c r="D109" s="230"/>
      <c r="E109" s="231"/>
      <c r="F109" s="232"/>
      <c r="G109" s="158"/>
      <c r="H109" s="181"/>
      <c r="I109" s="181"/>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row>
    <row r="110" spans="1:32" ht="18.75">
      <c r="A110" s="141"/>
      <c r="B110" s="151" t="s">
        <v>1147</v>
      </c>
      <c r="C110" s="152" t="s">
        <v>1148</v>
      </c>
      <c r="D110" s="254">
        <f>IF(Vin_type="AC",(Voffset_CS_OPP+(TD_CS_filter*10^-9)*VINPUT_max*1.414*RCS/(LM*10^-6))/((iVSL_max*10^-3)/KLC),(Voffset_CS_OPP+(TD_CS_filter*10^-9)*VINPUT_max*RCS/(LM*10^-6))/((iVSL_max*10^-3)/KLC))</f>
        <v>281.92916429442181</v>
      </c>
      <c r="E110" s="159" t="s">
        <v>610</v>
      </c>
      <c r="F110" s="233" t="s">
        <v>1149</v>
      </c>
      <c r="G110" s="572"/>
      <c r="H110" s="379"/>
      <c r="I110" s="199"/>
      <c r="J110" s="86"/>
      <c r="K110" s="86"/>
      <c r="L110" s="86"/>
      <c r="N110" s="86"/>
      <c r="O110" s="86"/>
      <c r="P110" s="86"/>
      <c r="Q110" s="86"/>
      <c r="R110" s="86"/>
      <c r="S110" s="86"/>
      <c r="T110" s="86"/>
      <c r="U110" s="86"/>
      <c r="V110" s="86"/>
      <c r="W110" s="86"/>
      <c r="X110" s="86"/>
      <c r="Y110" s="86"/>
      <c r="Z110" s="86"/>
      <c r="AA110" s="86"/>
      <c r="AB110" s="86"/>
      <c r="AC110" s="86"/>
      <c r="AD110" s="86"/>
      <c r="AE110" s="86"/>
      <c r="AF110" s="86"/>
    </row>
    <row r="111" spans="1:32" ht="18.75">
      <c r="A111" s="141"/>
      <c r="B111" s="160" t="s">
        <v>124</v>
      </c>
      <c r="C111" s="161" t="s">
        <v>42</v>
      </c>
      <c r="D111" s="36">
        <v>523</v>
      </c>
      <c r="E111" s="234" t="s">
        <v>31</v>
      </c>
      <c r="F111" s="235" t="s">
        <v>1045</v>
      </c>
      <c r="G111" s="132"/>
      <c r="H111" s="86"/>
      <c r="I111" s="181"/>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row>
    <row r="112" spans="1:32" ht="18.75">
      <c r="A112" s="141"/>
      <c r="B112" s="151" t="s">
        <v>125</v>
      </c>
      <c r="C112" s="152" t="s">
        <v>110</v>
      </c>
      <c r="D112" s="236">
        <f>IF(R_OPP_act="",R_OPP_rec,R_OPP_act)</f>
        <v>523</v>
      </c>
      <c r="E112" s="159" t="s">
        <v>609</v>
      </c>
      <c r="F112" s="233"/>
      <c r="G112" s="158"/>
      <c r="H112" s="181"/>
      <c r="I112" s="181"/>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row>
    <row r="113" spans="1:32" ht="18.75">
      <c r="A113" s="141"/>
      <c r="B113" s="151" t="s">
        <v>331</v>
      </c>
      <c r="C113" s="152" t="s">
        <v>108</v>
      </c>
      <c r="D113" s="194">
        <f>(TD_CS_filter/R_OPP)*10^3</f>
        <v>57.361376673040148</v>
      </c>
      <c r="E113" s="159" t="s">
        <v>27</v>
      </c>
      <c r="F113" s="233"/>
      <c r="G113" s="158"/>
      <c r="H113" s="181"/>
      <c r="I113" s="181"/>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row>
    <row r="114" spans="1:32" ht="18.75">
      <c r="A114" s="141"/>
      <c r="B114" s="160" t="s">
        <v>333</v>
      </c>
      <c r="C114" s="161" t="s">
        <v>43</v>
      </c>
      <c r="D114" s="36">
        <v>39</v>
      </c>
      <c r="E114" s="234" t="s">
        <v>27</v>
      </c>
      <c r="F114" s="171" t="s">
        <v>1150</v>
      </c>
      <c r="G114" s="572"/>
      <c r="H114" s="181"/>
      <c r="I114" s="181"/>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row>
    <row r="115" spans="1:32" ht="18.75">
      <c r="A115" s="141"/>
      <c r="B115" s="151" t="s">
        <v>332</v>
      </c>
      <c r="C115" s="152" t="s">
        <v>132</v>
      </c>
      <c r="D115" s="213">
        <f>IF(CCS_act="",CCS_rec,CCS_act)</f>
        <v>39</v>
      </c>
      <c r="E115" s="249" t="s">
        <v>133</v>
      </c>
      <c r="F115" s="250"/>
      <c r="G115" s="158"/>
      <c r="H115" s="181"/>
      <c r="I115" s="181"/>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row>
    <row r="116" spans="1:32" ht="19.5" thickBot="1">
      <c r="A116" s="141"/>
      <c r="B116" s="215" t="s">
        <v>330</v>
      </c>
      <c r="C116" s="216" t="s">
        <v>134</v>
      </c>
      <c r="D116" s="243">
        <f>R_OPP*CCS*0.001</f>
        <v>20.397000000000002</v>
      </c>
      <c r="E116" s="252" t="s">
        <v>135</v>
      </c>
      <c r="F116" s="253" t="s">
        <v>1151</v>
      </c>
      <c r="G116" s="572"/>
      <c r="H116" s="181"/>
      <c r="I116" s="181"/>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row>
    <row r="117" spans="1:32" ht="15.75" thickBot="1">
      <c r="A117" s="141"/>
      <c r="B117" s="136"/>
      <c r="C117" s="211"/>
      <c r="D117" s="255"/>
      <c r="E117" s="256"/>
      <c r="F117" s="256"/>
      <c r="G117" s="158"/>
      <c r="H117" s="181"/>
      <c r="I117" s="181"/>
      <c r="J117" s="86"/>
      <c r="K117" s="86"/>
      <c r="L117" s="86"/>
      <c r="M117" s="86"/>
      <c r="N117" s="86"/>
      <c r="O117" s="86"/>
      <c r="P117" s="86"/>
      <c r="Q117" s="86"/>
      <c r="R117" s="86"/>
      <c r="S117" s="86"/>
      <c r="T117" s="86"/>
      <c r="U117" s="86"/>
      <c r="V117" s="86"/>
      <c r="W117" s="86"/>
      <c r="X117" s="86"/>
      <c r="Y117" s="86"/>
      <c r="Z117" s="86"/>
      <c r="AA117" s="86"/>
      <c r="AB117" s="86"/>
      <c r="AC117" s="86"/>
      <c r="AD117" s="86"/>
      <c r="AE117" s="86"/>
      <c r="AF117" s="86"/>
    </row>
    <row r="118" spans="1:32" ht="18" customHeight="1">
      <c r="A118" s="141"/>
      <c r="B118" s="228" t="s">
        <v>44</v>
      </c>
      <c r="C118" s="229"/>
      <c r="D118" s="230"/>
      <c r="E118" s="231"/>
      <c r="F118" s="232"/>
      <c r="G118" s="158"/>
      <c r="H118" s="181"/>
      <c r="I118" s="181"/>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row>
    <row r="119" spans="1:32" ht="18.75">
      <c r="A119" s="141"/>
      <c r="B119" s="143" t="s">
        <v>1082</v>
      </c>
      <c r="C119" s="144" t="s">
        <v>611</v>
      </c>
      <c r="D119" s="257">
        <f>KDM*(LM*10^-6/RCS)*(NA/NP)*(RVS_2*1000/(RVS_1*1000+RVS_2*1000))/1000</f>
        <v>456.52173913043475</v>
      </c>
      <c r="E119" s="159" t="s">
        <v>65</v>
      </c>
      <c r="F119" s="233"/>
      <c r="G119" s="158"/>
      <c r="H119" s="181"/>
      <c r="I119" s="181"/>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row>
    <row r="120" spans="1:32" ht="18.75">
      <c r="A120" s="141"/>
      <c r="B120" s="246" t="s">
        <v>612</v>
      </c>
      <c r="C120" s="169" t="s">
        <v>613</v>
      </c>
      <c r="D120" s="61">
        <v>470</v>
      </c>
      <c r="E120" s="234" t="s">
        <v>65</v>
      </c>
      <c r="F120" s="235" t="str">
        <f>IF(RDM_act&gt;1.1*RDM_rec,"Beware, chosen value is &gt;&gt; recommended.  RDM &gt; 500k triggers pin-fault.",IF(RDM_act&lt;0.9*RDM_rec,"Beware, chosen value is &lt;&lt; recommended.  RDM &lt; 2k triggers pin-fault.","Enter nearest standard value, use ±1% tolerance or better"))</f>
        <v>Enter nearest standard value, use ±1% tolerance or better</v>
      </c>
      <c r="G120" s="572"/>
      <c r="H120" s="379"/>
      <c r="I120" s="181"/>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row>
    <row r="121" spans="1:32" ht="19.5" thickBot="1">
      <c r="A121" s="141"/>
      <c r="B121" s="215" t="s">
        <v>614</v>
      </c>
      <c r="C121" s="216" t="s">
        <v>615</v>
      </c>
      <c r="D121" s="225">
        <f>IF(RDM_act="",RDM_rec,RDM_act)</f>
        <v>470</v>
      </c>
      <c r="E121" s="244" t="s">
        <v>65</v>
      </c>
      <c r="F121" s="258"/>
      <c r="G121" s="158"/>
      <c r="H121" s="181"/>
      <c r="I121" s="181"/>
      <c r="J121" s="86"/>
      <c r="K121" s="86"/>
      <c r="L121" s="86"/>
      <c r="M121" s="86"/>
      <c r="N121" s="86"/>
      <c r="O121" s="86"/>
      <c r="P121" s="86"/>
      <c r="Q121" s="86"/>
      <c r="R121" s="86"/>
      <c r="S121" s="86"/>
      <c r="T121" s="86"/>
      <c r="U121" s="86"/>
      <c r="V121" s="86"/>
      <c r="W121" s="86"/>
      <c r="X121" s="86"/>
      <c r="Y121" s="86"/>
      <c r="Z121" s="86"/>
      <c r="AA121" s="86"/>
      <c r="AB121" s="86"/>
      <c r="AC121" s="86"/>
      <c r="AD121" s="86"/>
      <c r="AE121" s="86"/>
      <c r="AF121" s="86"/>
    </row>
    <row r="122" spans="1:32" ht="15.75" thickBot="1">
      <c r="A122" s="141"/>
      <c r="B122" s="136"/>
      <c r="C122" s="211"/>
      <c r="D122" s="138"/>
      <c r="E122" s="139"/>
      <c r="F122" s="140"/>
      <c r="G122" s="158"/>
      <c r="H122" s="181"/>
      <c r="I122" s="181"/>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row>
    <row r="123" spans="1:32" ht="18" customHeight="1">
      <c r="A123" s="141"/>
      <c r="B123" s="228" t="s">
        <v>45</v>
      </c>
      <c r="C123" s="229"/>
      <c r="D123" s="230"/>
      <c r="E123" s="231"/>
      <c r="F123" s="232"/>
      <c r="G123" s="578"/>
      <c r="H123" s="181"/>
      <c r="I123" s="181"/>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row>
    <row r="124" spans="1:32" ht="18.75">
      <c r="A124" s="141"/>
      <c r="B124" s="143" t="s">
        <v>126</v>
      </c>
      <c r="C124" s="144" t="s">
        <v>616</v>
      </c>
      <c r="D124" s="194">
        <f>IF(Vin_type="AC",((3.1416-ACOS(NPS*(VOUT+Vf_SR)/VINPUT_max*1.414))*SQRT(LM*10^-6*CSWN_T_vmax*10^-12)*10^9),((3.1416-ACOS(NPS*(VOUT+Vf_SR)/VINPUT_max))*SQRT(LM*10^-6*CSWN_T_vmax*10^-12)*10^9))</f>
        <v>270.55035407876574</v>
      </c>
      <c r="E124" s="685" t="s">
        <v>36</v>
      </c>
      <c r="F124" s="686"/>
      <c r="G124" s="158"/>
      <c r="H124" s="181"/>
      <c r="I124" s="181"/>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row>
    <row r="125" spans="1:32" ht="18.75">
      <c r="A125" s="141"/>
      <c r="B125" s="143" t="s">
        <v>1083</v>
      </c>
      <c r="C125" s="144" t="s">
        <v>617</v>
      </c>
      <c r="D125" s="257">
        <f>KTZ*(TZ_min+TD_HDr)*10^-9/1000</f>
        <v>315.33639656821765</v>
      </c>
      <c r="E125" s="159" t="s">
        <v>65</v>
      </c>
      <c r="F125" s="233"/>
      <c r="G125" s="158"/>
      <c r="H125" s="181"/>
      <c r="I125" s="181"/>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row>
    <row r="126" spans="1:32" ht="18.75">
      <c r="A126" s="141"/>
      <c r="B126" s="246" t="s">
        <v>618</v>
      </c>
      <c r="C126" s="169" t="s">
        <v>619</v>
      </c>
      <c r="D126" s="61">
        <v>340</v>
      </c>
      <c r="E126" s="234" t="s">
        <v>65</v>
      </c>
      <c r="F126" s="235" t="str">
        <f>IF(RTZ_act&gt;1.1*RTZ_rec,"Beware, chosen value is &gt;&gt; recommended.  RTZ &gt; 1100k triggers pin-fault.",IF(RTZ_act&lt;0.9*RTZ_rec,"Beware, chosen value is &lt;&lt; recommended.  RTZ &lt; 20k triggers pin-fault.","Enter nearest standard value, use ±1% tolerance or better"))</f>
        <v>Enter nearest standard value, use ±1% tolerance or better</v>
      </c>
      <c r="G126" s="572"/>
      <c r="H126" s="379"/>
      <c r="I126" s="181"/>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row>
    <row r="127" spans="1:32" ht="19.5" thickBot="1">
      <c r="A127" s="141"/>
      <c r="B127" s="215" t="s">
        <v>127</v>
      </c>
      <c r="C127" s="216" t="s">
        <v>620</v>
      </c>
      <c r="D127" s="225">
        <f>IF(RTZ_act="",RTZ_rec,RTZ_act)</f>
        <v>340</v>
      </c>
      <c r="E127" s="244" t="s">
        <v>65</v>
      </c>
      <c r="F127" s="258"/>
      <c r="G127" s="158"/>
      <c r="H127" s="181"/>
      <c r="I127" s="181"/>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row>
    <row r="128" spans="1:32" ht="15.75" thickBot="1">
      <c r="A128" s="141"/>
      <c r="B128" s="136"/>
      <c r="C128" s="211"/>
      <c r="D128" s="138"/>
      <c r="E128" s="139"/>
      <c r="F128" s="140"/>
      <c r="G128" s="158"/>
      <c r="H128" s="181"/>
      <c r="I128" s="181"/>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row>
    <row r="129" spans="1:32" ht="18" customHeight="1">
      <c r="A129" s="141"/>
      <c r="B129" s="228" t="s">
        <v>48</v>
      </c>
      <c r="C129" s="229"/>
      <c r="D129" s="230"/>
      <c r="E129" s="231"/>
      <c r="F129" s="232"/>
      <c r="G129" s="400"/>
      <c r="H129" s="181"/>
      <c r="I129" s="181"/>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row>
    <row r="130" spans="1:32" ht="18.75" customHeight="1">
      <c r="A130" s="141"/>
      <c r="B130" s="143" t="s">
        <v>1152</v>
      </c>
      <c r="C130" s="144" t="s">
        <v>621</v>
      </c>
      <c r="D130" s="248">
        <f>IF(Vin_type="AC",ipk_BUR*RCS-VINPUT_BUR*1.414*RCS*tD_CST_BUR*10^-9/(LM*10^-6)+iVSL_BUR*10^-3*R_OPP/KLC,ipk_BUR*RCS-VINPUT_BUR*RCS*(tD_CST_BUR+0.31)*10^-9/(LM*10^-6)+iVSL_BUR*10^-3*R_OPP/KLC)</f>
        <v>0.13782053667054708</v>
      </c>
      <c r="E130" s="249" t="s">
        <v>49</v>
      </c>
      <c r="F130" s="250"/>
      <c r="G130" s="418"/>
      <c r="H130" s="419"/>
      <c r="I130" s="199"/>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row>
    <row r="131" spans="1:32" ht="18.75" customHeight="1">
      <c r="A131" s="141"/>
      <c r="B131" s="143" t="s">
        <v>622</v>
      </c>
      <c r="C131" s="144" t="s">
        <v>623</v>
      </c>
      <c r="D131" s="248">
        <f>IF((VCST_BUR*KBUR_CST)&gt;2.4,2.4,IF((VCST_BUR*KBUR_CST)&lt;0.7,0.7,(VCST_BUR*KBUR_CST)))</f>
        <v>0.7</v>
      </c>
      <c r="E131" s="249" t="s">
        <v>6</v>
      </c>
      <c r="F131" s="466" t="str">
        <f>IF((VCST_BUR*KBUR_CST)&gt;2.4,"Beware, VBUR_tgt clamped to 2.4V; chosen BUR % (""Begin Input Here"" cell D34) is too high.",IF((VCST_BUR*KBUR_CST)&lt;0.7,"Beware, VBUR_tgt clamped to 0.7V; chosen BUR % (""Begin Input Here"" cell D34) is too low.","= VCST_BUR target * KBUR_CST factor"))</f>
        <v>Beware, VBUR_tgt clamped to 0.7V; chosen BUR % ("Begin Input Here" cell D34) is too low.</v>
      </c>
      <c r="G131" s="572"/>
      <c r="H131" s="577"/>
      <c r="I131" s="181"/>
      <c r="J131" s="86"/>
      <c r="K131" s="543"/>
      <c r="L131" s="86"/>
      <c r="M131" s="86"/>
      <c r="N131" s="86"/>
      <c r="O131" s="86"/>
      <c r="P131" s="86"/>
      <c r="Q131" s="86"/>
      <c r="R131" s="86"/>
      <c r="S131" s="86"/>
      <c r="T131" s="86"/>
      <c r="U131" s="86"/>
      <c r="V131" s="86"/>
      <c r="W131" s="86"/>
      <c r="X131" s="86"/>
      <c r="Y131" s="86"/>
      <c r="Z131" s="86"/>
      <c r="AA131" s="86"/>
      <c r="AB131" s="86"/>
      <c r="AC131" s="86"/>
      <c r="AD131" s="86"/>
      <c r="AE131" s="86"/>
      <c r="AF131" s="86"/>
    </row>
    <row r="132" spans="1:32" ht="18.75" customHeight="1">
      <c r="A132" s="141"/>
      <c r="B132" s="151" t="s">
        <v>630</v>
      </c>
      <c r="C132" s="144" t="s">
        <v>631</v>
      </c>
      <c r="D132" s="260">
        <f>RBUR1_rec2</f>
        <v>181.28654970760232</v>
      </c>
      <c r="E132" s="159" t="s">
        <v>99</v>
      </c>
      <c r="F132" s="233" t="s">
        <v>1075</v>
      </c>
      <c r="G132"/>
      <c r="H132" s="181"/>
      <c r="I132" s="181"/>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row>
    <row r="133" spans="1:32" ht="18.75" customHeight="1">
      <c r="A133" s="141"/>
      <c r="B133" s="238" t="s">
        <v>632</v>
      </c>
      <c r="C133" s="196" t="s">
        <v>633</v>
      </c>
      <c r="D133" s="416">
        <f>RBUR1_act2</f>
        <v>162</v>
      </c>
      <c r="E133" s="159" t="s">
        <v>99</v>
      </c>
      <c r="F133" s="467" t="s">
        <v>1074</v>
      </c>
      <c r="H133" s="181"/>
      <c r="I133" s="181"/>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row>
    <row r="134" spans="1:32" ht="18.75" customHeight="1">
      <c r="A134" s="141"/>
      <c r="B134" s="151" t="s">
        <v>634</v>
      </c>
      <c r="C134" s="144" t="s">
        <v>635</v>
      </c>
      <c r="D134" s="213">
        <f>IF(RBUR1_act="",RBUR1_rec,RBUR1_act)</f>
        <v>162</v>
      </c>
      <c r="E134" s="685" t="s">
        <v>99</v>
      </c>
      <c r="F134" s="686"/>
      <c r="H134" s="181"/>
      <c r="I134" s="181"/>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row>
    <row r="135" spans="1:32" ht="18.75">
      <c r="A135" s="141"/>
      <c r="B135" s="151" t="s">
        <v>624</v>
      </c>
      <c r="C135" s="144" t="s">
        <v>625</v>
      </c>
      <c r="D135" s="260">
        <f>RBUR2_rec2</f>
        <v>33.416164053075995</v>
      </c>
      <c r="E135" s="159" t="s">
        <v>68</v>
      </c>
      <c r="F135" s="233" t="s">
        <v>1075</v>
      </c>
      <c r="G135" s="158"/>
      <c r="H135" s="55"/>
      <c r="I135" s="427"/>
      <c r="K135" s="86"/>
      <c r="L135" s="86"/>
      <c r="M135" s="86"/>
      <c r="N135" s="86"/>
      <c r="O135" s="86"/>
      <c r="P135" s="86"/>
      <c r="Q135" s="86"/>
      <c r="R135" s="86"/>
      <c r="S135" s="86"/>
      <c r="T135" s="86"/>
      <c r="U135" s="86"/>
      <c r="V135" s="86"/>
      <c r="W135" s="86"/>
      <c r="X135" s="86"/>
      <c r="Y135" s="86"/>
      <c r="Z135" s="86"/>
      <c r="AA135" s="86"/>
      <c r="AB135" s="86"/>
      <c r="AC135" s="86"/>
      <c r="AD135" s="86"/>
      <c r="AE135" s="86"/>
      <c r="AF135" s="86"/>
    </row>
    <row r="136" spans="1:32" ht="18.75">
      <c r="A136" s="141"/>
      <c r="B136" s="238" t="s">
        <v>626</v>
      </c>
      <c r="C136" s="196" t="s">
        <v>627</v>
      </c>
      <c r="D136" s="416">
        <f>RBUR2_act2</f>
        <v>38.299999999999997</v>
      </c>
      <c r="E136" s="159" t="s">
        <v>65</v>
      </c>
      <c r="F136" s="467" t="s">
        <v>1074</v>
      </c>
      <c r="G136" s="158"/>
      <c r="H136" s="86"/>
      <c r="I136" s="181"/>
      <c r="K136" s="86"/>
      <c r="L136" s="86"/>
      <c r="M136" s="86"/>
      <c r="N136" s="86"/>
      <c r="O136" s="86"/>
      <c r="P136" s="86"/>
      <c r="Q136" s="86"/>
      <c r="R136" s="86"/>
      <c r="S136" s="86"/>
      <c r="T136" s="86"/>
      <c r="U136" s="86"/>
      <c r="V136" s="86"/>
      <c r="W136" s="86"/>
      <c r="X136" s="86"/>
      <c r="Y136" s="86"/>
      <c r="Z136" s="86"/>
      <c r="AA136" s="86"/>
      <c r="AB136" s="86"/>
      <c r="AC136" s="86"/>
      <c r="AD136" s="86"/>
      <c r="AE136" s="86"/>
      <c r="AF136" s="86"/>
    </row>
    <row r="137" spans="1:32" ht="18.75">
      <c r="A137" s="141"/>
      <c r="B137" s="151" t="s">
        <v>628</v>
      </c>
      <c r="C137" s="144" t="s">
        <v>629</v>
      </c>
      <c r="D137" s="213">
        <f>IF(RBUR2_act="",RBUR2_rec,RBUR2_act)</f>
        <v>38.299999999999997</v>
      </c>
      <c r="E137" s="685" t="s">
        <v>65</v>
      </c>
      <c r="F137" s="686"/>
      <c r="G137" s="158"/>
      <c r="H137" s="86"/>
      <c r="I137" s="181"/>
      <c r="K137" s="86"/>
      <c r="L137" s="86"/>
      <c r="M137" s="86"/>
      <c r="N137" s="86"/>
      <c r="O137" s="86"/>
      <c r="P137" s="86"/>
      <c r="Q137" s="86"/>
      <c r="R137" s="86"/>
      <c r="S137" s="86"/>
      <c r="T137" s="86"/>
      <c r="U137" s="86"/>
      <c r="V137" s="86"/>
      <c r="W137" s="86"/>
      <c r="X137" s="86"/>
      <c r="Y137" s="86"/>
      <c r="Z137" s="86"/>
      <c r="AA137" s="86"/>
      <c r="AB137" s="86"/>
      <c r="AC137" s="86"/>
      <c r="AD137" s="86"/>
      <c r="AE137" s="86"/>
      <c r="AF137" s="86"/>
    </row>
    <row r="138" spans="1:32" ht="18.75">
      <c r="A138" s="141"/>
      <c r="B138" s="151" t="s">
        <v>347</v>
      </c>
      <c r="C138" s="144" t="s">
        <v>636</v>
      </c>
      <c r="D138" s="261">
        <f>VBUR2</f>
        <v>0.8011832251622566</v>
      </c>
      <c r="E138" s="262" t="s">
        <v>141</v>
      </c>
      <c r="F138" s="263" t="s">
        <v>1096</v>
      </c>
      <c r="G138" s="399"/>
      <c r="H138" s="181"/>
      <c r="I138" s="181"/>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row>
    <row r="139" spans="1:32" ht="18.75">
      <c r="A139" s="141"/>
      <c r="B139" s="151" t="s">
        <v>1084</v>
      </c>
      <c r="C139" s="144" t="s">
        <v>637</v>
      </c>
      <c r="D139" s="264">
        <f>((40*10^-6/3)/(RBUR2*RBUR1/(RBUR2+RBUR1)*1000))*10^12</f>
        <v>430.43333440780498</v>
      </c>
      <c r="E139" s="685" t="s">
        <v>100</v>
      </c>
      <c r="F139" s="686"/>
      <c r="G139" s="158"/>
      <c r="H139" s="181"/>
      <c r="I139" s="181"/>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row>
    <row r="140" spans="1:32" ht="18.75">
      <c r="A140" s="141"/>
      <c r="B140" s="160" t="s">
        <v>638</v>
      </c>
      <c r="C140" s="169" t="s">
        <v>639</v>
      </c>
      <c r="D140" s="27">
        <v>330</v>
      </c>
      <c r="E140" s="234" t="s">
        <v>100</v>
      </c>
      <c r="F140" s="171" t="s">
        <v>1153</v>
      </c>
      <c r="G140" s="572"/>
      <c r="H140" s="181"/>
      <c r="I140" s="181"/>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row>
    <row r="141" spans="1:32" ht="19.5" thickBot="1">
      <c r="A141" s="141"/>
      <c r="B141" s="215" t="s">
        <v>640</v>
      </c>
      <c r="C141" s="216" t="s">
        <v>641</v>
      </c>
      <c r="D141" s="217">
        <f>IF(CBUR_act="",CBUR_max,CBUR_act)</f>
        <v>330</v>
      </c>
      <c r="E141" s="702" t="s">
        <v>101</v>
      </c>
      <c r="F141" s="703"/>
      <c r="G141" s="158"/>
      <c r="H141" s="181"/>
      <c r="I141" s="181"/>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row>
    <row r="142" spans="1:32" ht="15.75" thickBot="1">
      <c r="A142" s="141"/>
      <c r="B142" s="136"/>
      <c r="C142" s="211"/>
      <c r="D142" s="138"/>
      <c r="E142" s="139"/>
      <c r="F142" s="140"/>
      <c r="G142" s="158"/>
      <c r="H142" s="181"/>
      <c r="I142" s="181"/>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row>
    <row r="143" spans="1:32" ht="18" customHeight="1">
      <c r="A143" s="141"/>
      <c r="B143" s="228" t="s">
        <v>50</v>
      </c>
      <c r="C143" s="229"/>
      <c r="D143" s="230"/>
      <c r="E143" s="231"/>
      <c r="F143" s="232"/>
      <c r="G143" s="158"/>
      <c r="H143" s="181"/>
      <c r="I143" s="181"/>
      <c r="J143" s="86"/>
      <c r="K143" s="86"/>
      <c r="L143" s="86"/>
      <c r="M143" s="86"/>
      <c r="N143" s="86"/>
      <c r="O143" s="86"/>
      <c r="P143" s="86"/>
      <c r="Q143" s="86"/>
      <c r="R143" s="86"/>
      <c r="S143" s="86"/>
      <c r="T143" s="86"/>
      <c r="U143" s="86"/>
      <c r="V143" s="86"/>
      <c r="W143" s="86"/>
      <c r="X143" s="86"/>
      <c r="Y143" s="86"/>
      <c r="Z143" s="86"/>
      <c r="AA143" s="86"/>
      <c r="AB143" s="86"/>
      <c r="AC143" s="86"/>
      <c r="AD143" s="86"/>
      <c r="AE143" s="86"/>
      <c r="AF143" s="86"/>
    </row>
    <row r="144" spans="1:32" ht="18.75">
      <c r="A144" s="141"/>
      <c r="B144" s="143" t="s">
        <v>642</v>
      </c>
      <c r="C144" s="144" t="s">
        <v>643</v>
      </c>
      <c r="D144" s="465">
        <f>IF(Vin_type="AC",(COSS_Qs*10^-12*(VINPUT_max*1.414+NPS*VOUT)/(V_P13+0.9*Vgs_Qs)-0*10^-12)*10^12,(COSS_Qs*10^-12*(VINPUT_max+NPS*VOUT)/(V_P13+0.9*Vgs_Qs)-0*10^-12)*10^12)</f>
        <v>27.597402597402596</v>
      </c>
      <c r="E144" s="195" t="s">
        <v>51</v>
      </c>
      <c r="F144" s="265"/>
      <c r="G144" s="462"/>
      <c r="H144" s="198"/>
      <c r="I144" s="199"/>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row>
    <row r="145" spans="1:32" ht="18.75">
      <c r="A145" s="141"/>
      <c r="B145" s="246" t="s">
        <v>644</v>
      </c>
      <c r="C145" s="169" t="s">
        <v>645</v>
      </c>
      <c r="D145" s="27">
        <v>22</v>
      </c>
      <c r="E145" s="220" t="s">
        <v>51</v>
      </c>
      <c r="F145" s="171" t="s">
        <v>1150</v>
      </c>
      <c r="G145" s="572"/>
      <c r="H145" s="181"/>
      <c r="I145" s="181"/>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row>
    <row r="146" spans="1:32" ht="18.75">
      <c r="A146" s="141"/>
      <c r="B146" s="143" t="s">
        <v>128</v>
      </c>
      <c r="C146" s="144" t="s">
        <v>646</v>
      </c>
      <c r="D146" s="194">
        <f>IF(CSWS_act="",CSWS_rec,CSWS_act)</f>
        <v>22</v>
      </c>
      <c r="E146" s="195" t="s">
        <v>51</v>
      </c>
      <c r="F146" s="149"/>
      <c r="G146" s="158"/>
      <c r="H146" s="181"/>
      <c r="I146" s="181"/>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row>
    <row r="147" spans="1:32" ht="18.75">
      <c r="A147" s="141"/>
      <c r="B147" s="143" t="s">
        <v>262</v>
      </c>
      <c r="C147" s="144" t="s">
        <v>647</v>
      </c>
      <c r="D147" s="194">
        <f>10*SQRT((LQs*10^-9)/((CSWS+0)*10^-12))</f>
        <v>134.83997249264843</v>
      </c>
      <c r="E147" s="159" t="s">
        <v>31</v>
      </c>
      <c r="F147" s="233" t="s">
        <v>343</v>
      </c>
      <c r="G147" s="158"/>
      <c r="H147" s="181"/>
      <c r="I147" s="181"/>
      <c r="J147" s="86"/>
      <c r="K147" s="86"/>
      <c r="L147" s="86"/>
      <c r="M147" s="86"/>
      <c r="N147" s="86"/>
      <c r="O147" s="86"/>
      <c r="P147" s="86"/>
      <c r="Q147" s="86"/>
      <c r="R147" s="86"/>
      <c r="S147" s="86"/>
      <c r="T147" s="86"/>
      <c r="U147" s="86"/>
      <c r="V147" s="86"/>
      <c r="W147" s="86"/>
      <c r="X147" s="86"/>
      <c r="Y147" s="86"/>
      <c r="Z147" s="86"/>
      <c r="AA147" s="86"/>
      <c r="AB147" s="86"/>
      <c r="AC147" s="86"/>
      <c r="AD147" s="86"/>
      <c r="AE147" s="86"/>
      <c r="AF147" s="86"/>
    </row>
    <row r="148" spans="1:32" ht="18.75">
      <c r="A148" s="141"/>
      <c r="B148" s="246" t="s">
        <v>648</v>
      </c>
      <c r="C148" s="169" t="s">
        <v>649</v>
      </c>
      <c r="D148" s="27">
        <v>510</v>
      </c>
      <c r="E148" s="234" t="s">
        <v>31</v>
      </c>
      <c r="F148" s="235" t="s">
        <v>1097</v>
      </c>
      <c r="G148" s="488"/>
      <c r="H148" s="181"/>
      <c r="I148" s="181"/>
      <c r="J148" s="86"/>
      <c r="K148" s="86"/>
      <c r="L148" s="86"/>
      <c r="M148" s="86"/>
      <c r="N148" s="86"/>
      <c r="O148" s="86"/>
      <c r="P148" s="86"/>
      <c r="Q148" s="86"/>
      <c r="R148" s="86"/>
      <c r="S148" s="86"/>
      <c r="T148" s="86"/>
      <c r="U148" s="86"/>
      <c r="V148" s="86"/>
      <c r="W148" s="86"/>
      <c r="X148" s="86"/>
      <c r="Y148" s="86"/>
      <c r="Z148" s="86"/>
      <c r="AA148" s="86"/>
      <c r="AB148" s="86"/>
      <c r="AC148" s="86"/>
      <c r="AD148" s="86"/>
      <c r="AE148" s="86"/>
    </row>
    <row r="149" spans="1:32" ht="19.5" thickBot="1">
      <c r="A149" s="141"/>
      <c r="B149" s="215" t="s">
        <v>129</v>
      </c>
      <c r="C149" s="216" t="s">
        <v>650</v>
      </c>
      <c r="D149" s="217">
        <f>IF(RSWS_act="",RSWS_rec,RSWS_act)</f>
        <v>510</v>
      </c>
      <c r="E149" s="702" t="s">
        <v>31</v>
      </c>
      <c r="F149" s="703"/>
      <c r="G149" s="158"/>
      <c r="H149" s="181"/>
      <c r="I149" s="181"/>
      <c r="J149" s="86"/>
      <c r="K149" s="86"/>
      <c r="L149" s="86"/>
      <c r="M149" s="86"/>
      <c r="N149" s="86"/>
      <c r="O149" s="86"/>
      <c r="P149" s="86"/>
      <c r="Q149" s="86"/>
      <c r="R149" s="86"/>
      <c r="S149" s="86"/>
      <c r="T149" s="86"/>
      <c r="U149" s="86"/>
      <c r="V149" s="86"/>
      <c r="W149" s="86"/>
      <c r="X149" s="86"/>
      <c r="Y149" s="86"/>
      <c r="Z149" s="86"/>
      <c r="AA149" s="86"/>
      <c r="AB149" s="86"/>
      <c r="AC149" s="86"/>
      <c r="AD149" s="86"/>
      <c r="AE149" s="86"/>
    </row>
    <row r="150" spans="1:32" ht="15.75" thickBot="1">
      <c r="A150" s="141"/>
      <c r="B150" s="136"/>
      <c r="C150" s="211"/>
      <c r="D150" s="138"/>
      <c r="E150" s="139"/>
      <c r="F150" s="140"/>
      <c r="G150" s="158"/>
      <c r="H150" s="181"/>
      <c r="I150" s="181"/>
      <c r="J150" s="86"/>
      <c r="K150" s="86"/>
      <c r="L150" s="86"/>
      <c r="M150" s="86"/>
      <c r="N150" s="86"/>
      <c r="O150" s="86"/>
      <c r="P150" s="86"/>
      <c r="Q150" s="86"/>
      <c r="R150" s="86"/>
      <c r="S150" s="86"/>
      <c r="T150" s="86"/>
      <c r="U150" s="86"/>
      <c r="V150" s="86"/>
      <c r="W150" s="86"/>
      <c r="X150" s="86"/>
      <c r="Y150" s="86"/>
      <c r="Z150" s="86"/>
      <c r="AA150" s="86"/>
      <c r="AB150" s="86"/>
      <c r="AC150" s="86"/>
      <c r="AD150" s="86"/>
      <c r="AE150" s="86"/>
    </row>
    <row r="151" spans="1:32" ht="18" customHeight="1">
      <c r="A151" s="141"/>
      <c r="B151" s="228" t="s">
        <v>798</v>
      </c>
      <c r="C151" s="229"/>
      <c r="D151" s="230"/>
      <c r="E151" s="231"/>
      <c r="F151" s="232"/>
      <c r="G151" s="158"/>
      <c r="H151" s="181"/>
      <c r="I151" s="181"/>
      <c r="J151" s="86"/>
      <c r="K151" s="86"/>
      <c r="L151" s="86"/>
      <c r="M151" s="86"/>
      <c r="N151" s="86"/>
      <c r="O151" s="86"/>
      <c r="P151" s="86"/>
      <c r="Q151" s="86"/>
      <c r="R151" s="86"/>
      <c r="S151" s="86"/>
      <c r="T151" s="86"/>
      <c r="U151" s="86"/>
      <c r="V151" s="86"/>
      <c r="W151" s="86"/>
      <c r="X151" s="86"/>
      <c r="Y151" s="86"/>
      <c r="Z151" s="86"/>
      <c r="AA151" s="86"/>
      <c r="AB151" s="86"/>
      <c r="AC151" s="86"/>
      <c r="AD151" s="86"/>
      <c r="AE151" s="86"/>
    </row>
    <row r="152" spans="1:32" ht="18.75" customHeight="1">
      <c r="A152" s="141"/>
      <c r="B152" s="461" t="s">
        <v>815</v>
      </c>
      <c r="C152" s="196" t="s">
        <v>816</v>
      </c>
      <c r="D152" s="416">
        <f>1 + 0*((Ciss_Qs*10^-12))*(20-V_P13)/0.22*10^6*1.2</f>
        <v>1</v>
      </c>
      <c r="E152" s="195" t="s">
        <v>109</v>
      </c>
      <c r="F152" s="268"/>
      <c r="G152" s="462"/>
      <c r="H152" s="181"/>
      <c r="I152" s="464"/>
      <c r="J152" s="86"/>
      <c r="K152" s="86"/>
      <c r="L152" s="86"/>
      <c r="M152" s="86"/>
      <c r="N152" s="86"/>
      <c r="O152" s="86"/>
      <c r="P152" s="86"/>
      <c r="Q152" s="86"/>
      <c r="R152" s="86"/>
      <c r="S152" s="86"/>
      <c r="T152" s="86"/>
      <c r="U152" s="86"/>
      <c r="V152" s="86"/>
      <c r="W152" s="86"/>
      <c r="X152" s="86"/>
      <c r="Y152" s="86"/>
      <c r="Z152" s="86"/>
      <c r="AA152" s="86"/>
      <c r="AB152" s="86"/>
      <c r="AC152" s="86"/>
      <c r="AD152" s="86"/>
      <c r="AE152" s="86"/>
    </row>
    <row r="153" spans="1:32" ht="18.75">
      <c r="A153" s="141"/>
      <c r="B153" s="246" t="s">
        <v>817</v>
      </c>
      <c r="C153" s="169" t="s">
        <v>818</v>
      </c>
      <c r="D153" s="61">
        <v>1</v>
      </c>
      <c r="E153" s="272" t="s">
        <v>54</v>
      </c>
      <c r="F153" s="171" t="s">
        <v>1002</v>
      </c>
      <c r="G153" s="462"/>
      <c r="H153" s="181"/>
      <c r="I153" s="181"/>
      <c r="J153" s="86"/>
      <c r="K153" s="86"/>
      <c r="L153" s="86"/>
      <c r="M153" s="86"/>
      <c r="N153" s="86"/>
      <c r="O153" s="86"/>
      <c r="P153" s="86"/>
      <c r="Q153" s="86"/>
      <c r="R153" s="86"/>
      <c r="S153" s="86"/>
      <c r="T153" s="86"/>
      <c r="U153" s="86"/>
      <c r="V153" s="86"/>
      <c r="W153" s="86"/>
      <c r="X153" s="86"/>
      <c r="Y153" s="86"/>
      <c r="Z153" s="86"/>
      <c r="AA153" s="86"/>
      <c r="AB153" s="86"/>
      <c r="AC153" s="86"/>
      <c r="AD153" s="86"/>
      <c r="AE153" s="86"/>
    </row>
    <row r="154" spans="1:32" ht="18.75">
      <c r="A154" s="141"/>
      <c r="B154" s="461" t="s">
        <v>819</v>
      </c>
      <c r="C154" s="196" t="s">
        <v>820</v>
      </c>
      <c r="D154" s="416">
        <f>IF(CP13_act="",CP13_rec,CP13_act)</f>
        <v>1</v>
      </c>
      <c r="E154" s="463" t="s">
        <v>109</v>
      </c>
      <c r="F154" s="149"/>
      <c r="G154" s="538"/>
      <c r="I154" s="181"/>
      <c r="J154" s="86"/>
      <c r="K154" s="86"/>
      <c r="L154" s="86"/>
      <c r="M154" s="86"/>
      <c r="N154" s="86"/>
      <c r="O154" s="86"/>
      <c r="P154" s="86"/>
      <c r="Q154" s="86"/>
      <c r="R154" s="86"/>
      <c r="S154" s="86"/>
      <c r="T154" s="86"/>
      <c r="U154" s="86"/>
      <c r="V154" s="86"/>
      <c r="W154" s="86"/>
      <c r="X154" s="86"/>
      <c r="Y154" s="86"/>
      <c r="Z154" s="86"/>
      <c r="AA154" s="86"/>
      <c r="AB154" s="86"/>
      <c r="AC154" s="86"/>
      <c r="AD154" s="86"/>
      <c r="AE154" s="86"/>
    </row>
    <row r="155" spans="1:32" ht="18.75">
      <c r="A155" s="141"/>
      <c r="B155" s="143" t="s">
        <v>651</v>
      </c>
      <c r="C155" s="144" t="s">
        <v>652</v>
      </c>
      <c r="D155" s="213">
        <f>0.22 + 0*((IRUN_VDD*10^-3-Iwait_VDD*10^-3)*tD_RUN_PWML*10^-6)/(2*0.05)*10^6*1.2</f>
        <v>0.22</v>
      </c>
      <c r="E155" s="195" t="s">
        <v>109</v>
      </c>
      <c r="F155" s="149"/>
      <c r="G155" s="418"/>
      <c r="H155" s="181"/>
      <c r="I155" s="464"/>
      <c r="J155" s="86"/>
      <c r="K155" s="86"/>
      <c r="L155" s="86"/>
      <c r="M155" s="86"/>
      <c r="N155" s="86"/>
      <c r="O155" s="86"/>
      <c r="P155" s="86"/>
      <c r="Q155" s="86"/>
      <c r="R155" s="86"/>
      <c r="S155" s="86"/>
      <c r="T155" s="86"/>
      <c r="U155" s="86"/>
      <c r="V155" s="86"/>
      <c r="W155" s="86"/>
      <c r="X155" s="86"/>
      <c r="Y155" s="86"/>
      <c r="Z155" s="86"/>
      <c r="AA155" s="86"/>
      <c r="AB155" s="86"/>
      <c r="AC155" s="86"/>
      <c r="AD155" s="86"/>
      <c r="AE155" s="86"/>
    </row>
    <row r="156" spans="1:32" ht="18.75">
      <c r="A156" s="141"/>
      <c r="B156" s="246" t="s">
        <v>653</v>
      </c>
      <c r="C156" s="169" t="s">
        <v>654</v>
      </c>
      <c r="D156" s="61">
        <v>0.22</v>
      </c>
      <c r="E156" s="269" t="s">
        <v>54</v>
      </c>
      <c r="F156" s="270" t="s">
        <v>1001</v>
      </c>
      <c r="G156" s="583"/>
      <c r="H156" s="181"/>
      <c r="J156" s="86"/>
      <c r="K156" s="86"/>
      <c r="L156" s="86"/>
      <c r="M156" s="86"/>
      <c r="N156" s="86"/>
      <c r="O156" s="86"/>
      <c r="P156" s="86"/>
      <c r="Q156" s="86"/>
      <c r="R156" s="86"/>
      <c r="S156" s="86"/>
      <c r="T156" s="86"/>
      <c r="U156" s="86"/>
      <c r="V156" s="86"/>
      <c r="W156" s="86"/>
      <c r="X156" s="86"/>
      <c r="Y156" s="86"/>
      <c r="Z156" s="86"/>
      <c r="AA156" s="86"/>
      <c r="AB156" s="86"/>
      <c r="AC156" s="86"/>
      <c r="AD156" s="86"/>
      <c r="AE156" s="86"/>
    </row>
    <row r="157" spans="1:32" ht="19.5" thickBot="1">
      <c r="A157" s="141"/>
      <c r="B157" s="215" t="s">
        <v>655</v>
      </c>
      <c r="C157" s="216" t="s">
        <v>656</v>
      </c>
      <c r="D157" s="225">
        <f>IF(CREF_act="",CREF_rec,CREF_act)</f>
        <v>0.22</v>
      </c>
      <c r="E157" s="252" t="s">
        <v>54</v>
      </c>
      <c r="F157" s="253"/>
      <c r="G157" s="379"/>
      <c r="I157" s="181"/>
      <c r="J157" s="86"/>
      <c r="K157" s="419"/>
      <c r="M157" s="86"/>
      <c r="N157" s="86"/>
      <c r="O157" s="86"/>
      <c r="P157" s="86"/>
      <c r="Q157" s="86"/>
      <c r="R157" s="86"/>
      <c r="S157" s="86"/>
      <c r="T157" s="86"/>
      <c r="U157" s="86"/>
      <c r="V157" s="86"/>
      <c r="W157" s="86"/>
      <c r="X157" s="86"/>
      <c r="Y157" s="86"/>
      <c r="Z157" s="86"/>
      <c r="AA157" s="86"/>
      <c r="AB157" s="86"/>
      <c r="AC157" s="86"/>
      <c r="AD157" s="86"/>
      <c r="AE157" s="86"/>
    </row>
    <row r="158" spans="1:32" ht="15.75" thickBot="1">
      <c r="A158" s="141"/>
      <c r="B158" s="136"/>
      <c r="C158" s="211"/>
      <c r="D158" s="138"/>
      <c r="E158" s="139"/>
      <c r="F158" s="140"/>
      <c r="G158" s="158"/>
      <c r="H158" s="181"/>
      <c r="I158" s="181"/>
      <c r="J158" s="86"/>
      <c r="K158" s="86"/>
      <c r="L158" s="86"/>
      <c r="M158" s="86"/>
      <c r="N158" s="86"/>
      <c r="O158" s="86"/>
      <c r="P158" s="86"/>
      <c r="Q158" s="86"/>
      <c r="R158" s="86"/>
      <c r="S158" s="86"/>
      <c r="T158" s="86"/>
      <c r="U158" s="86"/>
      <c r="V158" s="86"/>
      <c r="W158" s="86"/>
      <c r="X158" s="86"/>
      <c r="Y158" s="86"/>
      <c r="Z158" s="86"/>
      <c r="AA158" s="86"/>
      <c r="AB158" s="86"/>
      <c r="AC158" s="86"/>
      <c r="AD158" s="86"/>
      <c r="AE158" s="86"/>
    </row>
    <row r="159" spans="1:32" ht="18" customHeight="1">
      <c r="A159" s="141"/>
      <c r="B159" s="228" t="s">
        <v>385</v>
      </c>
      <c r="C159" s="229"/>
      <c r="D159" s="230"/>
      <c r="E159" s="231"/>
      <c r="F159" s="232"/>
      <c r="G159" s="158"/>
      <c r="H159" s="181"/>
      <c r="I159" s="181"/>
      <c r="J159" s="86"/>
      <c r="K159" s="86"/>
      <c r="L159" s="86"/>
      <c r="M159" s="86"/>
      <c r="N159" s="86"/>
      <c r="O159" s="86"/>
      <c r="P159" s="86"/>
      <c r="Q159" s="86"/>
      <c r="R159" s="86"/>
      <c r="S159" s="86"/>
      <c r="T159" s="86"/>
      <c r="U159" s="86"/>
      <c r="V159" s="86"/>
      <c r="W159" s="86"/>
      <c r="X159" s="86"/>
      <c r="Y159" s="86"/>
      <c r="Z159" s="86"/>
      <c r="AA159" s="86"/>
      <c r="AB159" s="86"/>
      <c r="AC159" s="86"/>
      <c r="AD159" s="86"/>
      <c r="AE159" s="86"/>
    </row>
    <row r="160" spans="1:32" ht="18.75">
      <c r="A160" s="141"/>
      <c r="B160" s="143" t="s">
        <v>377</v>
      </c>
      <c r="C160" s="144" t="s">
        <v>904</v>
      </c>
      <c r="D160" s="194">
        <f>((0.1*(IVCC_qcc*10^-3)/fBUR_standyby)/(VDD-Vf_BootD-8.5))*10^9</f>
        <v>59.459459459459474</v>
      </c>
      <c r="E160" s="685" t="s">
        <v>53</v>
      </c>
      <c r="F160" s="686"/>
      <c r="G160" s="158"/>
      <c r="H160" s="181"/>
      <c r="I160" s="181"/>
      <c r="J160" s="86"/>
      <c r="K160" s="86"/>
      <c r="L160" s="86"/>
      <c r="M160" s="86"/>
      <c r="N160" s="86"/>
      <c r="O160" s="86"/>
      <c r="P160" s="86"/>
      <c r="Q160" s="86"/>
      <c r="R160" s="86"/>
      <c r="S160" s="86"/>
      <c r="T160" s="86"/>
      <c r="U160" s="86"/>
      <c r="V160" s="86"/>
      <c r="W160" s="86"/>
      <c r="X160" s="86"/>
      <c r="Y160" s="86"/>
      <c r="Z160" s="86"/>
      <c r="AA160" s="86"/>
      <c r="AB160" s="86"/>
      <c r="AC160" s="86"/>
      <c r="AD160" s="86"/>
      <c r="AE160" s="86"/>
    </row>
    <row r="161" spans="1:31" ht="18.75">
      <c r="A161" s="141"/>
      <c r="B161" s="143" t="s">
        <v>376</v>
      </c>
      <c r="C161" s="144" t="s">
        <v>902</v>
      </c>
      <c r="D161" s="194">
        <f>((Qg_Qh*10^-9+(IVCC_qcc*10^-3)/(fBUR_LR*10^3))/((VDD-Vf_BootD-11)-ipk_BUR_min*(RCS+RDSon_QL)))*10^9</f>
        <v>7.9931442102639814</v>
      </c>
      <c r="E161" s="685" t="s">
        <v>53</v>
      </c>
      <c r="F161" s="686"/>
      <c r="G161" s="158"/>
      <c r="H161" s="181"/>
      <c r="I161" s="181"/>
      <c r="J161" s="86"/>
      <c r="K161" s="86"/>
      <c r="L161" s="86"/>
      <c r="M161" s="86"/>
      <c r="N161" s="86"/>
      <c r="O161" s="86"/>
      <c r="P161" s="86"/>
      <c r="Q161" s="86"/>
      <c r="R161" s="86"/>
      <c r="S161" s="86"/>
      <c r="T161" s="86"/>
      <c r="U161" s="86"/>
      <c r="V161" s="86"/>
      <c r="W161" s="86"/>
      <c r="X161" s="86"/>
      <c r="Y161" s="86"/>
      <c r="Z161" s="86"/>
      <c r="AA161" s="86"/>
      <c r="AB161" s="86"/>
      <c r="AC161" s="86"/>
      <c r="AD161" s="86"/>
      <c r="AE161" s="86"/>
    </row>
    <row r="162" spans="1:31" ht="18.75">
      <c r="A162" s="141"/>
      <c r="B162" s="246" t="s">
        <v>1166</v>
      </c>
      <c r="C162" s="169" t="s">
        <v>903</v>
      </c>
      <c r="D162" s="27">
        <v>22</v>
      </c>
      <c r="E162" s="269" t="s">
        <v>53</v>
      </c>
      <c r="F162" s="270" t="s">
        <v>1167</v>
      </c>
      <c r="G162" s="158"/>
      <c r="H162" s="181"/>
      <c r="I162" s="181"/>
      <c r="J162" s="86"/>
      <c r="K162" s="86"/>
      <c r="L162" s="86"/>
      <c r="M162" s="86"/>
      <c r="N162" s="86"/>
      <c r="O162" s="86"/>
      <c r="P162" s="86"/>
      <c r="Q162" s="86"/>
      <c r="R162" s="86"/>
      <c r="S162" s="86"/>
      <c r="T162" s="86"/>
      <c r="U162" s="86"/>
      <c r="V162" s="86"/>
      <c r="W162" s="86"/>
      <c r="X162" s="86"/>
      <c r="Y162" s="86"/>
      <c r="Z162" s="86"/>
      <c r="AA162" s="86"/>
      <c r="AB162" s="86"/>
      <c r="AC162" s="86"/>
      <c r="AD162" s="86"/>
      <c r="AE162" s="86"/>
    </row>
    <row r="163" spans="1:31" ht="18.75">
      <c r="A163" s="141"/>
      <c r="B163" s="178" t="s">
        <v>1169</v>
      </c>
      <c r="C163" s="183" t="s">
        <v>1170</v>
      </c>
      <c r="D163" s="257">
        <f>10*RCS</f>
        <v>0.70000000000000007</v>
      </c>
      <c r="E163" s="195" t="s">
        <v>168</v>
      </c>
      <c r="F163" s="149" t="s">
        <v>1168</v>
      </c>
      <c r="G163" s="158"/>
      <c r="H163" s="181"/>
      <c r="I163" s="181"/>
      <c r="J163" s="86"/>
      <c r="K163" s="86"/>
      <c r="L163" s="86"/>
      <c r="M163" s="86"/>
      <c r="N163" s="86"/>
      <c r="O163" s="86"/>
      <c r="P163" s="86"/>
      <c r="Q163" s="86"/>
      <c r="R163" s="86"/>
      <c r="S163" s="86"/>
      <c r="T163" s="86"/>
      <c r="U163" s="86"/>
      <c r="V163" s="86"/>
      <c r="W163" s="86"/>
      <c r="X163" s="86"/>
      <c r="Y163" s="86"/>
      <c r="Z163" s="86"/>
      <c r="AA163" s="86"/>
      <c r="AB163" s="86"/>
      <c r="AC163" s="86"/>
      <c r="AD163" s="86"/>
      <c r="AE163" s="86"/>
    </row>
    <row r="164" spans="1:31" ht="18.75">
      <c r="A164" s="141"/>
      <c r="B164" s="184" t="s">
        <v>1171</v>
      </c>
      <c r="C164" s="185" t="s">
        <v>1170</v>
      </c>
      <c r="D164" s="61">
        <v>1.5</v>
      </c>
      <c r="E164" s="220" t="s">
        <v>139</v>
      </c>
      <c r="F164" s="270"/>
      <c r="G164" s="158"/>
      <c r="H164" s="181"/>
      <c r="I164" s="181"/>
      <c r="J164" s="86"/>
      <c r="K164" s="86"/>
      <c r="L164" s="86"/>
      <c r="M164" s="86"/>
      <c r="N164" s="86"/>
      <c r="O164" s="86"/>
      <c r="P164" s="86"/>
      <c r="Q164" s="86"/>
      <c r="R164" s="86"/>
      <c r="S164" s="86"/>
      <c r="T164" s="86"/>
      <c r="U164" s="86"/>
      <c r="V164" s="86"/>
      <c r="W164" s="86"/>
      <c r="X164" s="86"/>
      <c r="Y164" s="86"/>
      <c r="Z164" s="86"/>
      <c r="AA164" s="86"/>
      <c r="AB164" s="86"/>
      <c r="AC164" s="86"/>
      <c r="AD164" s="86"/>
      <c r="AE164" s="86"/>
    </row>
    <row r="165" spans="1:31" ht="18.75" customHeight="1">
      <c r="A165" s="141"/>
      <c r="B165" s="579" t="s">
        <v>657</v>
      </c>
      <c r="C165" s="497" t="s">
        <v>658</v>
      </c>
      <c r="D165" s="261">
        <f>(10*Cboot)*10^-3</f>
        <v>0.22</v>
      </c>
      <c r="E165" s="463" t="s">
        <v>138</v>
      </c>
      <c r="F165" s="149" t="s">
        <v>901</v>
      </c>
      <c r="G165" s="158"/>
      <c r="H165" s="181"/>
      <c r="I165" s="181"/>
      <c r="J165" s="86"/>
      <c r="K165" s="86"/>
      <c r="L165" s="86"/>
      <c r="M165" s="86"/>
      <c r="N165" s="86"/>
      <c r="O165" s="86"/>
      <c r="P165" s="86"/>
      <c r="Q165" s="86"/>
      <c r="R165" s="86"/>
      <c r="S165" s="86"/>
      <c r="T165" s="86"/>
      <c r="U165" s="86"/>
      <c r="V165" s="86"/>
      <c r="W165" s="86"/>
      <c r="X165" s="86"/>
      <c r="Y165" s="86"/>
      <c r="Z165" s="86"/>
      <c r="AA165" s="86"/>
      <c r="AB165" s="86"/>
      <c r="AC165" s="86"/>
      <c r="AD165" s="86"/>
      <c r="AE165" s="86"/>
    </row>
    <row r="166" spans="1:31" ht="19.5" thickBot="1">
      <c r="A166" s="141"/>
      <c r="B166" s="172" t="s">
        <v>659</v>
      </c>
      <c r="C166" s="173" t="s">
        <v>660</v>
      </c>
      <c r="D166" s="1">
        <v>1</v>
      </c>
      <c r="E166" s="580" t="s">
        <v>54</v>
      </c>
      <c r="F166" s="581" t="s">
        <v>344</v>
      </c>
      <c r="G166" s="158"/>
      <c r="H166" s="181"/>
      <c r="I166" s="181"/>
      <c r="J166" s="86"/>
      <c r="K166" s="86"/>
      <c r="L166" s="86"/>
      <c r="M166" s="86"/>
      <c r="N166" s="86"/>
      <c r="O166" s="86"/>
      <c r="P166" s="86"/>
      <c r="Q166" s="86"/>
      <c r="R166" s="86"/>
      <c r="S166" s="86"/>
      <c r="T166" s="86"/>
      <c r="U166" s="86"/>
      <c r="V166" s="86"/>
      <c r="W166" s="86"/>
      <c r="X166" s="86"/>
      <c r="Y166" s="86"/>
      <c r="Z166" s="86"/>
      <c r="AA166" s="86"/>
      <c r="AB166" s="86"/>
      <c r="AC166" s="86"/>
      <c r="AD166" s="86"/>
      <c r="AE166" s="86"/>
    </row>
    <row r="167" spans="1:31" ht="15.75" thickBot="1">
      <c r="A167" s="141"/>
      <c r="B167" s="136"/>
      <c r="C167" s="211"/>
      <c r="D167" s="138"/>
      <c r="E167" s="139"/>
      <c r="F167" s="140"/>
      <c r="G167" s="158"/>
      <c r="H167" s="181"/>
      <c r="I167" s="181"/>
      <c r="J167" s="86"/>
      <c r="K167" s="86"/>
      <c r="L167" s="86"/>
      <c r="M167" s="86"/>
      <c r="N167" s="86"/>
      <c r="O167" s="86"/>
      <c r="P167" s="86"/>
      <c r="Q167" s="86"/>
      <c r="R167" s="86"/>
      <c r="S167" s="86"/>
      <c r="T167" s="86"/>
      <c r="U167" s="86"/>
      <c r="V167" s="86"/>
      <c r="W167" s="86"/>
      <c r="X167" s="86"/>
      <c r="Y167" s="86"/>
      <c r="Z167" s="86"/>
      <c r="AA167" s="86"/>
      <c r="AB167" s="86"/>
      <c r="AC167" s="86"/>
      <c r="AD167" s="86"/>
      <c r="AE167" s="86"/>
    </row>
    <row r="168" spans="1:31" ht="18" customHeight="1">
      <c r="A168" s="141"/>
      <c r="B168" s="228" t="s">
        <v>56</v>
      </c>
      <c r="C168" s="229"/>
      <c r="D168" s="230"/>
      <c r="E168" s="231"/>
      <c r="F168" s="232"/>
      <c r="G168" s="158"/>
      <c r="H168" s="181"/>
      <c r="I168" s="181"/>
      <c r="J168" s="86"/>
      <c r="K168" s="86"/>
      <c r="L168" s="86"/>
      <c r="M168" s="86"/>
      <c r="N168" s="86"/>
      <c r="O168" s="86"/>
      <c r="P168" s="86"/>
      <c r="Q168" s="86"/>
      <c r="R168" s="86"/>
      <c r="S168" s="86"/>
      <c r="T168" s="86"/>
      <c r="U168" s="86"/>
      <c r="V168" s="86"/>
      <c r="W168" s="86"/>
      <c r="X168" s="86"/>
      <c r="Y168" s="86"/>
      <c r="Z168" s="86"/>
      <c r="AA168" s="86"/>
      <c r="AB168" s="86"/>
      <c r="AC168" s="86"/>
      <c r="AD168" s="86"/>
      <c r="AE168" s="86"/>
    </row>
    <row r="169" spans="1:31" ht="18.75">
      <c r="A169" s="141"/>
      <c r="B169" s="143" t="s">
        <v>263</v>
      </c>
      <c r="C169" s="144" t="s">
        <v>661</v>
      </c>
      <c r="D169" s="260">
        <f>(NA/NS)*VOUT-Vf_Daux</f>
        <v>18.75</v>
      </c>
      <c r="E169" s="685" t="s">
        <v>49</v>
      </c>
      <c r="F169" s="686"/>
      <c r="G169" s="122" t="s">
        <v>1108</v>
      </c>
      <c r="I169" s="181"/>
      <c r="J169" s="86"/>
      <c r="K169" s="86"/>
      <c r="L169" s="86"/>
      <c r="M169" s="86"/>
      <c r="N169" s="86"/>
      <c r="O169" s="86"/>
      <c r="P169" s="86"/>
      <c r="Q169" s="86"/>
      <c r="R169" s="86"/>
      <c r="S169" s="86"/>
      <c r="T169" s="86"/>
      <c r="U169" s="86"/>
      <c r="V169" s="86"/>
      <c r="W169" s="86"/>
      <c r="X169" s="86"/>
      <c r="Y169" s="86"/>
      <c r="Z169" s="86"/>
      <c r="AA169" s="86"/>
      <c r="AB169" s="86"/>
      <c r="AC169" s="86"/>
      <c r="AD169" s="86"/>
      <c r="AE169" s="86"/>
    </row>
    <row r="170" spans="1:31" ht="18.75">
      <c r="A170" s="141"/>
      <c r="B170" s="461" t="s">
        <v>814</v>
      </c>
      <c r="C170" s="196" t="s">
        <v>1050</v>
      </c>
      <c r="D170" s="587">
        <f>C_P13*10^-6*(VDD_on-VDD_off-Vth_Qs)/(IP13_START*10^-3)*10^3</f>
        <v>2</v>
      </c>
      <c r="E170" s="266" t="s">
        <v>57</v>
      </c>
      <c r="F170" s="267"/>
      <c r="G170" s="158" t="s">
        <v>1172</v>
      </c>
      <c r="H170" s="181"/>
      <c r="I170" s="181"/>
      <c r="J170" s="86"/>
      <c r="K170" s="86"/>
      <c r="L170" s="86"/>
      <c r="M170" s="86"/>
      <c r="N170" s="86"/>
      <c r="O170" s="86"/>
      <c r="P170" s="86"/>
      <c r="Q170" s="86"/>
      <c r="R170" s="86"/>
      <c r="S170" s="86"/>
      <c r="T170" s="86"/>
      <c r="U170" s="86"/>
      <c r="V170" s="86"/>
      <c r="W170" s="86"/>
      <c r="X170" s="86"/>
      <c r="Y170" s="86"/>
      <c r="Z170" s="86"/>
      <c r="AA170" s="86"/>
      <c r="AB170" s="86"/>
      <c r="AC170" s="86"/>
      <c r="AD170" s="86"/>
      <c r="AE170" s="86"/>
    </row>
    <row r="171" spans="1:31" ht="18.75">
      <c r="A171" s="141"/>
      <c r="B171" s="143" t="s">
        <v>662</v>
      </c>
      <c r="C171" s="144" t="s">
        <v>1051</v>
      </c>
      <c r="D171" s="257">
        <f>IF(Vin_type="AC",((COUT*10^-6)*VOUT/(NPS*VCST_max*VINPUT_Brownout*1.414/(2*RCS*(VINPUT_Brownout*1.414+NPS*VOUT))-IOUT)+0.001)*10^3,((COUT*10^-6)*VOUT/(NPS*VCST_max*VINPUT_Brownout/(2*RCS*(VINPUT_Brownout+NPS*VOUT))-IOUT)+0.001)*10^3)</f>
        <v>2.576673435480894</v>
      </c>
      <c r="E171" s="262" t="s">
        <v>57</v>
      </c>
      <c r="F171" s="268" t="s">
        <v>1049</v>
      </c>
      <c r="G171" s="158"/>
      <c r="H171" s="198"/>
      <c r="I171" s="199"/>
      <c r="J171" s="86"/>
      <c r="K171" s="86"/>
      <c r="L171" s="86"/>
      <c r="M171" s="86"/>
      <c r="N171" s="86"/>
      <c r="O171" s="86"/>
      <c r="P171" s="86"/>
      <c r="Q171" s="86"/>
      <c r="R171" s="86"/>
      <c r="S171" s="86"/>
      <c r="T171" s="86"/>
      <c r="U171" s="86"/>
      <c r="V171" s="86"/>
      <c r="W171" s="86"/>
      <c r="X171" s="86"/>
      <c r="Y171" s="86"/>
      <c r="Z171" s="86"/>
      <c r="AA171" s="86"/>
      <c r="AB171" s="86"/>
      <c r="AC171" s="86"/>
      <c r="AD171" s="86"/>
      <c r="AE171" s="86"/>
    </row>
    <row r="172" spans="1:31" ht="18.75">
      <c r="A172" s="141"/>
      <c r="B172" s="246" t="s">
        <v>663</v>
      </c>
      <c r="C172" s="169" t="s">
        <v>664</v>
      </c>
      <c r="D172" s="27">
        <v>-20</v>
      </c>
      <c r="E172" s="272" t="s">
        <v>140</v>
      </c>
      <c r="F172" s="273" t="s">
        <v>1048</v>
      </c>
      <c r="G172" s="158"/>
      <c r="H172" s="181"/>
      <c r="I172" s="181"/>
      <c r="J172" s="86"/>
      <c r="K172" s="86"/>
      <c r="L172" s="86"/>
      <c r="M172" s="86"/>
      <c r="N172" s="86"/>
      <c r="O172" s="86"/>
      <c r="P172" s="86"/>
      <c r="Q172" s="86"/>
      <c r="R172" s="86"/>
      <c r="S172" s="86"/>
      <c r="T172" s="86"/>
      <c r="U172" s="86"/>
      <c r="V172" s="86"/>
      <c r="W172" s="86"/>
      <c r="X172" s="86"/>
      <c r="Y172" s="86"/>
      <c r="Z172" s="86"/>
      <c r="AA172" s="86"/>
      <c r="AB172" s="86"/>
      <c r="AC172" s="86"/>
      <c r="AD172" s="86"/>
      <c r="AE172" s="86"/>
    </row>
    <row r="173" spans="1:31" ht="18.75">
      <c r="A173" s="141"/>
      <c r="B173" s="143" t="s">
        <v>665</v>
      </c>
      <c r="C173" s="144" t="s">
        <v>666</v>
      </c>
      <c r="D173" s="460">
        <f>(((1+IVCC_qcc)*TP13_*10^-3*0+(IRUN_VDD+IVCC_sw)*(TSS_max+tD_RUN_PWML)*10^-6+5*CREF*10^-6)/(VDD_on-VDD_off))*10^6/((100+Drea_CDD1)/100)</f>
        <v>5.3084461780021837</v>
      </c>
      <c r="E173" s="145" t="s">
        <v>24</v>
      </c>
      <c r="F173" s="146" t="s">
        <v>345</v>
      </c>
      <c r="G173" s="462"/>
      <c r="H173" s="181"/>
      <c r="I173" s="181"/>
      <c r="J173" s="86"/>
      <c r="K173" s="86"/>
      <c r="L173" s="86"/>
      <c r="M173" s="86"/>
      <c r="N173" s="86"/>
      <c r="O173" s="86"/>
      <c r="P173" s="86"/>
      <c r="Q173" s="86"/>
      <c r="R173" s="86"/>
      <c r="S173" s="86"/>
      <c r="T173" s="86"/>
      <c r="U173" s="86"/>
      <c r="V173" s="86"/>
      <c r="W173" s="86"/>
      <c r="X173" s="86"/>
      <c r="Y173" s="86"/>
      <c r="Z173" s="86"/>
      <c r="AA173" s="86"/>
      <c r="AB173" s="86"/>
      <c r="AC173" s="86"/>
      <c r="AD173" s="86"/>
      <c r="AE173" s="86"/>
    </row>
    <row r="174" spans="1:31" ht="18.75">
      <c r="A174" s="141"/>
      <c r="B174" s="246" t="s">
        <v>667</v>
      </c>
      <c r="C174" s="169" t="s">
        <v>668</v>
      </c>
      <c r="D174" s="61">
        <v>6.8</v>
      </c>
      <c r="E174" s="269" t="s">
        <v>54</v>
      </c>
      <c r="F174" s="270" t="s">
        <v>669</v>
      </c>
      <c r="G174" s="158"/>
      <c r="H174" s="181"/>
      <c r="I174" s="181"/>
      <c r="J174" s="86"/>
      <c r="K174" s="86"/>
      <c r="L174" s="86"/>
      <c r="M174" s="86"/>
      <c r="N174" s="86"/>
      <c r="O174" s="86"/>
      <c r="P174" s="86"/>
      <c r="Q174" s="86"/>
      <c r="R174" s="86"/>
      <c r="S174" s="86"/>
      <c r="T174" s="86"/>
      <c r="U174" s="86"/>
      <c r="V174" s="86"/>
      <c r="W174" s="86"/>
      <c r="X174" s="86"/>
      <c r="Y174" s="86"/>
      <c r="Z174" s="86"/>
      <c r="AA174" s="86"/>
      <c r="AB174" s="86"/>
      <c r="AC174" s="86"/>
      <c r="AD174" s="86"/>
      <c r="AE174" s="86"/>
    </row>
    <row r="175" spans="1:31" ht="19.5" thickBot="1">
      <c r="A175" s="141"/>
      <c r="B175" s="215" t="s">
        <v>670</v>
      </c>
      <c r="C175" s="216" t="s">
        <v>671</v>
      </c>
      <c r="D175" s="225">
        <f>IF(CDD1_act="",CDD1_rec,CDD1_act)</f>
        <v>6.8</v>
      </c>
      <c r="E175" s="252" t="s">
        <v>54</v>
      </c>
      <c r="F175" s="253"/>
      <c r="G175" s="158"/>
      <c r="H175" s="181"/>
      <c r="I175" s="181"/>
      <c r="J175" s="86"/>
      <c r="K175" s="86"/>
      <c r="L175" s="86"/>
      <c r="M175" s="86"/>
      <c r="N175" s="86"/>
      <c r="O175" s="86"/>
      <c r="P175" s="86"/>
      <c r="Q175" s="86"/>
      <c r="R175" s="86"/>
      <c r="S175" s="86"/>
      <c r="T175" s="86"/>
      <c r="U175" s="86"/>
      <c r="V175" s="86"/>
      <c r="W175" s="86"/>
      <c r="X175" s="86"/>
      <c r="Y175" s="86"/>
      <c r="Z175" s="86"/>
      <c r="AA175" s="86"/>
      <c r="AB175" s="86"/>
      <c r="AC175" s="86"/>
      <c r="AD175" s="86"/>
      <c r="AE175" s="86"/>
    </row>
    <row r="176" spans="1:31" ht="15.75" thickBot="1">
      <c r="A176" s="141"/>
      <c r="B176" s="136"/>
      <c r="C176" s="211"/>
      <c r="D176" s="138"/>
      <c r="E176" s="139"/>
      <c r="F176" s="140"/>
      <c r="G176" s="158"/>
      <c r="H176" s="181"/>
      <c r="I176" s="181"/>
      <c r="J176" s="86"/>
      <c r="K176" s="86"/>
      <c r="L176" s="86"/>
      <c r="M176" s="86"/>
      <c r="N176" s="86"/>
      <c r="O176" s="86"/>
      <c r="P176" s="86"/>
      <c r="Q176" s="86"/>
      <c r="R176" s="86"/>
      <c r="S176" s="86"/>
      <c r="T176" s="86"/>
      <c r="U176" s="86"/>
      <c r="V176" s="86"/>
      <c r="W176" s="86"/>
      <c r="X176" s="86"/>
      <c r="Y176" s="86"/>
      <c r="Z176" s="86"/>
      <c r="AA176" s="86"/>
      <c r="AB176" s="86"/>
      <c r="AC176" s="86"/>
      <c r="AD176" s="86"/>
      <c r="AE176" s="86"/>
    </row>
    <row r="177" spans="1:31" ht="18" customHeight="1">
      <c r="A177" s="141"/>
      <c r="B177" s="228" t="s">
        <v>60</v>
      </c>
      <c r="C177" s="229"/>
      <c r="D177" s="230"/>
      <c r="E177" s="231"/>
      <c r="F177" s="232"/>
      <c r="G177" s="158"/>
      <c r="H177" s="181"/>
      <c r="I177" s="181"/>
      <c r="J177" s="86"/>
      <c r="K177" s="86"/>
      <c r="L177" s="86"/>
      <c r="M177" s="86"/>
      <c r="N177" s="86"/>
      <c r="O177" s="86"/>
      <c r="P177" s="86"/>
      <c r="Q177" s="86"/>
      <c r="R177" s="86"/>
      <c r="S177" s="86"/>
      <c r="T177" s="86"/>
      <c r="U177" s="86"/>
      <c r="V177" s="86"/>
      <c r="W177" s="86"/>
      <c r="X177" s="86"/>
      <c r="Y177" s="86"/>
      <c r="Z177" s="86"/>
      <c r="AA177" s="86"/>
      <c r="AB177" s="86"/>
      <c r="AC177" s="86"/>
      <c r="AD177" s="86"/>
      <c r="AE177" s="86"/>
    </row>
    <row r="178" spans="1:31" ht="18.75">
      <c r="A178" s="141"/>
      <c r="B178" s="143" t="s">
        <v>672</v>
      </c>
      <c r="C178" s="144" t="s">
        <v>673</v>
      </c>
      <c r="D178" s="257">
        <f>((VFB_max-VCE_sat_opto)/(IFB_max*10^-6)-RFB_int)/1000</f>
        <v>45.7</v>
      </c>
      <c r="E178" s="685" t="s">
        <v>65</v>
      </c>
      <c r="F178" s="686"/>
      <c r="G178" s="158"/>
      <c r="H178" s="181"/>
      <c r="I178" s="181"/>
      <c r="J178" s="86"/>
      <c r="K178" s="86"/>
      <c r="L178" s="86"/>
      <c r="M178" s="86"/>
      <c r="N178" s="86"/>
      <c r="O178" s="86"/>
      <c r="P178" s="86"/>
      <c r="Q178" s="86"/>
      <c r="R178" s="86"/>
      <c r="S178" s="86"/>
      <c r="T178" s="86"/>
      <c r="U178" s="86"/>
      <c r="V178" s="86"/>
      <c r="W178" s="86"/>
      <c r="X178" s="86"/>
      <c r="Y178" s="86"/>
      <c r="Z178" s="86"/>
      <c r="AA178" s="86"/>
      <c r="AB178" s="86"/>
      <c r="AC178" s="86"/>
      <c r="AD178" s="86"/>
      <c r="AE178" s="86"/>
    </row>
    <row r="179" spans="1:31" ht="18.75">
      <c r="A179" s="141"/>
      <c r="B179" s="246" t="s">
        <v>674</v>
      </c>
      <c r="C179" s="169" t="s">
        <v>675</v>
      </c>
      <c r="D179" s="61">
        <v>20</v>
      </c>
      <c r="E179" s="269" t="s">
        <v>167</v>
      </c>
      <c r="F179" s="271" t="s">
        <v>1000</v>
      </c>
      <c r="G179" s="158"/>
      <c r="H179" s="181"/>
      <c r="I179" s="181"/>
      <c r="J179" s="86"/>
      <c r="K179" s="86"/>
      <c r="L179" s="86"/>
      <c r="M179" s="86"/>
      <c r="N179" s="86"/>
      <c r="O179" s="86"/>
      <c r="P179" s="86"/>
      <c r="Q179" s="86"/>
      <c r="R179" s="86"/>
      <c r="S179" s="86"/>
      <c r="T179" s="86"/>
      <c r="U179" s="86"/>
      <c r="V179" s="86"/>
      <c r="W179" s="86"/>
      <c r="X179" s="86"/>
      <c r="Y179" s="86"/>
      <c r="Z179" s="86"/>
      <c r="AA179" s="86"/>
      <c r="AB179" s="86"/>
      <c r="AC179" s="86"/>
      <c r="AD179" s="86"/>
      <c r="AE179" s="86"/>
    </row>
    <row r="180" spans="1:31" ht="18.75">
      <c r="A180" s="141"/>
      <c r="B180" s="143" t="s">
        <v>264</v>
      </c>
      <c r="C180" s="144" t="s">
        <v>676</v>
      </c>
      <c r="D180" s="213">
        <f>IF(RFB_act="",RFB_max,RFB_act)</f>
        <v>20</v>
      </c>
      <c r="E180" s="262" t="s">
        <v>65</v>
      </c>
      <c r="F180" s="263"/>
      <c r="G180" s="158"/>
      <c r="H180" s="181"/>
      <c r="I180" s="181"/>
      <c r="J180" s="86"/>
      <c r="K180" s="86"/>
      <c r="L180" s="86"/>
      <c r="M180" s="86"/>
      <c r="N180" s="86"/>
      <c r="O180" s="86"/>
      <c r="P180" s="86"/>
      <c r="Q180" s="86"/>
      <c r="R180" s="86"/>
      <c r="S180" s="86"/>
      <c r="T180" s="86"/>
      <c r="U180" s="86"/>
      <c r="V180" s="86"/>
      <c r="W180" s="86"/>
      <c r="X180" s="86"/>
      <c r="Y180" s="86"/>
      <c r="Z180" s="86"/>
      <c r="AA180" s="86"/>
      <c r="AB180" s="86"/>
      <c r="AC180" s="86"/>
      <c r="AD180" s="86"/>
      <c r="AE180" s="86"/>
    </row>
    <row r="181" spans="1:31" ht="18.75">
      <c r="A181" s="141"/>
      <c r="B181" s="143" t="s">
        <v>677</v>
      </c>
      <c r="C181" s="144" t="s">
        <v>678</v>
      </c>
      <c r="D181" s="264">
        <v>330</v>
      </c>
      <c r="E181" s="262" t="s">
        <v>104</v>
      </c>
      <c r="F181" s="268" t="s">
        <v>1065</v>
      </c>
      <c r="G181" s="572"/>
      <c r="H181" s="181"/>
      <c r="I181" s="181"/>
      <c r="J181" s="86"/>
      <c r="K181" s="86"/>
      <c r="L181" s="86"/>
      <c r="M181" s="86"/>
      <c r="N181" s="86"/>
      <c r="O181" s="86"/>
      <c r="P181" s="86"/>
      <c r="Q181" s="86"/>
      <c r="R181" s="86"/>
      <c r="S181" s="86"/>
      <c r="T181" s="86"/>
      <c r="U181" s="86"/>
      <c r="V181" s="86"/>
      <c r="W181" s="86"/>
      <c r="X181" s="86"/>
      <c r="Y181" s="86"/>
      <c r="Z181" s="86"/>
      <c r="AA181" s="86"/>
      <c r="AB181" s="86"/>
      <c r="AC181" s="86"/>
      <c r="AD181" s="86"/>
      <c r="AE181" s="86"/>
    </row>
    <row r="182" spans="1:31" ht="18.75">
      <c r="A182" s="141"/>
      <c r="B182" s="143" t="s">
        <v>1085</v>
      </c>
      <c r="C182" s="144" t="s">
        <v>679</v>
      </c>
      <c r="D182" s="274">
        <f>VD_LED_off/(IKA_min*10^-6)/1000</f>
        <v>14.285714285714286</v>
      </c>
      <c r="E182" s="262" t="s">
        <v>65</v>
      </c>
      <c r="F182" s="706" t="s">
        <v>1154</v>
      </c>
      <c r="G182" s="158"/>
      <c r="H182" s="181"/>
      <c r="I182" s="181"/>
      <c r="J182" s="86"/>
      <c r="K182" s="86"/>
      <c r="L182" s="86"/>
      <c r="M182" s="86"/>
      <c r="N182" s="86"/>
      <c r="O182" s="86"/>
      <c r="P182" s="86"/>
      <c r="Q182" s="86"/>
      <c r="R182" s="86"/>
      <c r="S182" s="86"/>
      <c r="T182" s="86"/>
      <c r="U182" s="86"/>
      <c r="V182" s="86"/>
      <c r="W182" s="86"/>
      <c r="X182" s="86"/>
      <c r="Y182" s="86"/>
      <c r="Z182" s="86"/>
      <c r="AA182" s="86"/>
      <c r="AB182" s="86"/>
      <c r="AC182" s="86"/>
      <c r="AD182" s="86"/>
      <c r="AE182" s="86"/>
    </row>
    <row r="183" spans="1:31" ht="18.75">
      <c r="A183" s="141"/>
      <c r="B183" s="246" t="s">
        <v>680</v>
      </c>
      <c r="C183" s="169" t="s">
        <v>681</v>
      </c>
      <c r="D183" s="84">
        <v>14.7</v>
      </c>
      <c r="E183" s="272" t="s">
        <v>65</v>
      </c>
      <c r="F183" s="707"/>
      <c r="G183" s="572"/>
      <c r="H183" s="181"/>
      <c r="I183" s="181"/>
      <c r="J183" s="86"/>
      <c r="K183" s="86"/>
      <c r="L183" s="86"/>
      <c r="M183" s="86"/>
      <c r="N183" s="86"/>
      <c r="O183" s="86"/>
      <c r="P183" s="86"/>
      <c r="Q183" s="86"/>
      <c r="R183" s="86"/>
      <c r="S183" s="86"/>
      <c r="T183" s="86"/>
      <c r="U183" s="86"/>
      <c r="V183" s="86"/>
      <c r="W183" s="86"/>
      <c r="X183" s="86"/>
      <c r="Y183" s="86"/>
      <c r="Z183" s="86"/>
      <c r="AA183" s="86"/>
      <c r="AB183" s="86"/>
      <c r="AC183" s="86"/>
      <c r="AD183" s="86"/>
      <c r="AE183" s="86"/>
    </row>
    <row r="184" spans="1:31" ht="18.75">
      <c r="A184" s="141"/>
      <c r="B184" s="143" t="s">
        <v>259</v>
      </c>
      <c r="C184" s="144" t="s">
        <v>682</v>
      </c>
      <c r="D184" s="257">
        <f>IF(Rbias2_act="",Rbias2_rec,Rbias2_act)</f>
        <v>14.7</v>
      </c>
      <c r="E184" s="262" t="s">
        <v>65</v>
      </c>
      <c r="F184" s="708"/>
      <c r="G184" s="158"/>
      <c r="H184" s="181"/>
      <c r="I184" s="181"/>
      <c r="J184" s="86"/>
      <c r="K184" s="86"/>
      <c r="L184" s="86"/>
      <c r="M184" s="86"/>
      <c r="N184" s="86"/>
      <c r="O184" s="86"/>
      <c r="P184" s="86"/>
      <c r="Q184" s="86"/>
      <c r="R184" s="86"/>
      <c r="S184" s="86"/>
      <c r="T184" s="86"/>
      <c r="U184" s="86"/>
      <c r="V184" s="86"/>
      <c r="W184" s="86"/>
      <c r="X184" s="86"/>
      <c r="Y184" s="86"/>
      <c r="Z184" s="86"/>
      <c r="AA184" s="86"/>
      <c r="AB184" s="86"/>
      <c r="AC184" s="86"/>
      <c r="AD184" s="86"/>
      <c r="AE184" s="86"/>
    </row>
    <row r="185" spans="1:31" ht="18.75">
      <c r="A185" s="141"/>
      <c r="B185" s="246" t="s">
        <v>1070</v>
      </c>
      <c r="C185" s="169" t="s">
        <v>1069</v>
      </c>
      <c r="D185" s="63">
        <v>5</v>
      </c>
      <c r="E185" s="272" t="s">
        <v>6</v>
      </c>
      <c r="F185" s="270" t="s">
        <v>1071</v>
      </c>
      <c r="G185" s="538"/>
      <c r="H185" s="539"/>
      <c r="I185" s="181"/>
      <c r="J185" s="86"/>
      <c r="K185" s="86"/>
      <c r="L185" s="86"/>
      <c r="M185" s="86"/>
      <c r="N185" s="86"/>
      <c r="O185" s="86"/>
      <c r="P185" s="86"/>
      <c r="Q185" s="86"/>
      <c r="R185" s="86"/>
      <c r="S185" s="86"/>
      <c r="T185" s="86"/>
      <c r="U185" s="86"/>
      <c r="V185" s="86"/>
      <c r="W185" s="86"/>
      <c r="X185" s="86"/>
      <c r="Y185" s="86"/>
      <c r="Z185" s="86"/>
      <c r="AA185" s="86"/>
      <c r="AB185" s="86"/>
      <c r="AC185" s="86"/>
      <c r="AD185" s="86"/>
      <c r="AE185" s="86"/>
    </row>
    <row r="186" spans="1:31" ht="18.75">
      <c r="A186" s="141"/>
      <c r="B186" s="148" t="s">
        <v>257</v>
      </c>
      <c r="C186" s="144" t="s">
        <v>683</v>
      </c>
      <c r="D186" s="260">
        <f>(VOUT_low-Vref_431-VD_LED)/(VD_LED/(Rbias2*1000)+(IFB_max*10^-6)/(CTRmin*KCTR_Temp))/1000</f>
        <v>5.8702163061564061</v>
      </c>
      <c r="E186" s="262" t="s">
        <v>65</v>
      </c>
      <c r="F186" s="275"/>
      <c r="G186" s="572"/>
      <c r="H186" s="539"/>
      <c r="I186" s="181"/>
      <c r="J186" s="86"/>
      <c r="K186" s="86"/>
      <c r="L186" s="86"/>
      <c r="M186" s="86"/>
      <c r="N186" s="86"/>
      <c r="O186" s="86"/>
      <c r="P186" s="86"/>
      <c r="Q186" s="86"/>
      <c r="R186" s="86"/>
      <c r="S186" s="86"/>
      <c r="T186" s="86"/>
      <c r="U186" s="86"/>
      <c r="V186" s="86"/>
      <c r="W186" s="86"/>
      <c r="X186" s="86"/>
      <c r="Y186" s="86"/>
      <c r="Z186" s="86"/>
      <c r="AA186" s="86"/>
      <c r="AB186" s="86"/>
      <c r="AC186" s="86"/>
      <c r="AD186" s="86"/>
      <c r="AE186" s="86"/>
    </row>
    <row r="187" spans="1:31" ht="18.75">
      <c r="A187" s="141"/>
      <c r="B187" s="148" t="s">
        <v>258</v>
      </c>
      <c r="C187" s="144" t="s">
        <v>684</v>
      </c>
      <c r="D187" s="260">
        <f>(CTRmax*_∆VO_ABM*10^-3/(5*10^-6))/1000</f>
        <v>22.000000000000004</v>
      </c>
      <c r="E187" s="262" t="s">
        <v>65</v>
      </c>
      <c r="F187" s="149"/>
      <c r="G187" s="572"/>
      <c r="H187" s="544"/>
      <c r="I187" s="544"/>
      <c r="J187" s="86"/>
      <c r="K187" s="86"/>
      <c r="L187" s="86"/>
      <c r="M187" s="86"/>
      <c r="N187" s="86"/>
      <c r="O187" s="86"/>
      <c r="P187" s="86"/>
      <c r="Q187" s="86"/>
      <c r="R187" s="86"/>
      <c r="S187" s="86"/>
      <c r="T187" s="86"/>
      <c r="U187" s="86"/>
      <c r="V187" s="86"/>
      <c r="W187" s="86"/>
      <c r="X187" s="86"/>
      <c r="Y187" s="86"/>
      <c r="Z187" s="86"/>
      <c r="AA187" s="86"/>
      <c r="AB187" s="86"/>
      <c r="AC187" s="86"/>
      <c r="AD187" s="86"/>
      <c r="AE187" s="86"/>
    </row>
    <row r="188" spans="1:31" ht="18.75">
      <c r="A188" s="141"/>
      <c r="B188" s="148" t="s">
        <v>1086</v>
      </c>
      <c r="C188" s="144" t="s">
        <v>685</v>
      </c>
      <c r="D188" s="260">
        <f>MIN(Rbias1_max_SBP,Rbias1_max_ABM)</f>
        <v>5.8702163061564061</v>
      </c>
      <c r="E188" s="262" t="s">
        <v>65</v>
      </c>
      <c r="F188" s="149"/>
      <c r="G188" s="158"/>
      <c r="H188" s="181"/>
      <c r="I188" s="181"/>
      <c r="J188" s="86"/>
      <c r="K188" s="86"/>
      <c r="L188" s="86"/>
      <c r="M188" s="86"/>
      <c r="N188" s="86"/>
      <c r="O188" s="86"/>
      <c r="P188" s="86"/>
      <c r="Q188" s="86"/>
      <c r="R188" s="86"/>
      <c r="S188" s="86"/>
      <c r="T188" s="86"/>
      <c r="U188" s="86"/>
      <c r="V188" s="86"/>
      <c r="W188" s="86"/>
      <c r="X188" s="86"/>
      <c r="Y188" s="86"/>
      <c r="Z188" s="86"/>
      <c r="AA188" s="86"/>
      <c r="AB188" s="86"/>
      <c r="AC188" s="86"/>
      <c r="AD188" s="86"/>
      <c r="AE188" s="86"/>
    </row>
    <row r="189" spans="1:31" ht="18.75">
      <c r="A189" s="141"/>
      <c r="B189" s="148" t="s">
        <v>1087</v>
      </c>
      <c r="C189" s="144" t="s">
        <v>686</v>
      </c>
      <c r="D189" s="260">
        <f>(KVC*68000*CTRmin/(KBUR_CST*2*3.1416*Fcr_min*1000))/1000</f>
        <v>27.453144656274858</v>
      </c>
      <c r="E189" s="262" t="s">
        <v>68</v>
      </c>
      <c r="F189" s="149" t="s">
        <v>1155</v>
      </c>
      <c r="G189" s="572"/>
      <c r="H189" s="181"/>
      <c r="I189" s="181"/>
      <c r="J189" s="86"/>
      <c r="K189" s="86"/>
      <c r="L189" s="86"/>
      <c r="M189" s="86"/>
      <c r="N189" s="86"/>
      <c r="O189" s="86"/>
      <c r="P189" s="86"/>
      <c r="Q189" s="86"/>
      <c r="R189" s="86"/>
      <c r="S189" s="86"/>
      <c r="T189" s="86"/>
      <c r="U189" s="86"/>
      <c r="V189" s="86"/>
      <c r="W189" s="86"/>
      <c r="X189" s="86"/>
      <c r="Y189" s="86"/>
      <c r="Z189" s="86"/>
      <c r="AA189" s="86"/>
      <c r="AB189" s="86"/>
      <c r="AC189" s="86"/>
      <c r="AD189" s="86"/>
      <c r="AE189" s="86"/>
    </row>
    <row r="190" spans="1:31" ht="19.5" thickBot="1">
      <c r="A190" s="141"/>
      <c r="B190" s="276" t="s">
        <v>687</v>
      </c>
      <c r="C190" s="173" t="s">
        <v>688</v>
      </c>
      <c r="D190" s="1">
        <v>5.6</v>
      </c>
      <c r="E190" s="277" t="s">
        <v>65</v>
      </c>
      <c r="F190" s="175" t="str">
        <f>IF(D188&lt;D189,IF(Rbias1&gt;D188,"Beware, Rbias1 should be ≤ the lower of Rbias1_min and Rbias1_max",IF(Rbias1&lt;0.7*MIN(D188,D189),"Beware, Rbias1 may be too low","")),IF(Rbias1&lt;0.7*MIN(D188,D189),"Beware, Rbias1 may be too low",(IF(Rbias1&gt;D188,"Beware, Rbias1 may be too high",""))))</f>
        <v/>
      </c>
      <c r="G190" s="572"/>
      <c r="H190" s="577"/>
      <c r="I190" s="181"/>
      <c r="J190" s="86"/>
      <c r="K190" s="86"/>
      <c r="L190" s="86"/>
      <c r="M190" s="86"/>
      <c r="N190" s="86"/>
      <c r="O190" s="86"/>
      <c r="P190" s="86"/>
      <c r="Q190" s="86"/>
      <c r="R190" s="86"/>
      <c r="S190" s="86"/>
      <c r="T190" s="86"/>
      <c r="U190" s="86"/>
      <c r="V190" s="86"/>
      <c r="W190" s="86"/>
      <c r="X190" s="86"/>
      <c r="Y190" s="86"/>
      <c r="Z190" s="86"/>
      <c r="AA190" s="86"/>
      <c r="AB190" s="86"/>
      <c r="AC190" s="86"/>
      <c r="AD190" s="86"/>
      <c r="AE190" s="86"/>
    </row>
    <row r="191" spans="1:31" ht="15.75" thickBot="1">
      <c r="A191" s="141"/>
      <c r="B191" s="136"/>
      <c r="C191" s="211"/>
      <c r="D191" s="138"/>
      <c r="E191" s="139"/>
      <c r="F191" s="140"/>
      <c r="G191" s="158"/>
      <c r="H191" s="181"/>
      <c r="I191" s="181"/>
      <c r="J191" s="86"/>
      <c r="K191" s="86"/>
      <c r="L191" s="86"/>
      <c r="M191" s="86"/>
      <c r="N191" s="86"/>
      <c r="O191" s="86"/>
      <c r="P191" s="86"/>
      <c r="Q191" s="86"/>
      <c r="R191" s="86"/>
      <c r="S191" s="86"/>
      <c r="T191" s="86"/>
      <c r="U191" s="86"/>
      <c r="V191" s="86"/>
      <c r="W191" s="86"/>
      <c r="X191" s="86"/>
      <c r="Y191" s="86"/>
      <c r="Z191" s="86"/>
      <c r="AA191" s="86"/>
      <c r="AB191" s="86"/>
      <c r="AC191" s="86"/>
      <c r="AD191" s="86"/>
      <c r="AE191" s="86"/>
    </row>
    <row r="192" spans="1:31" ht="18" customHeight="1">
      <c r="A192" s="141"/>
      <c r="B192" s="228" t="s">
        <v>221</v>
      </c>
      <c r="C192" s="229"/>
      <c r="D192" s="230"/>
      <c r="E192" s="231"/>
      <c r="F192" s="232"/>
      <c r="G192" s="158"/>
      <c r="H192" s="181"/>
      <c r="I192" s="181"/>
      <c r="J192" s="86"/>
      <c r="K192" s="86"/>
      <c r="L192" s="86"/>
      <c r="M192" s="86"/>
      <c r="N192" s="86"/>
      <c r="O192" s="86"/>
      <c r="P192" s="86"/>
      <c r="Q192" s="86"/>
      <c r="R192" s="86"/>
      <c r="S192" s="86"/>
      <c r="T192" s="86"/>
      <c r="U192" s="86"/>
      <c r="V192" s="86"/>
      <c r="W192" s="86"/>
      <c r="X192" s="86"/>
      <c r="Y192" s="86"/>
      <c r="Z192" s="86"/>
      <c r="AA192" s="86"/>
      <c r="AB192" s="86"/>
      <c r="AC192" s="86"/>
      <c r="AD192" s="86"/>
      <c r="AE192" s="86"/>
    </row>
    <row r="193" spans="1:31">
      <c r="A193" s="141"/>
      <c r="B193" s="148" t="s">
        <v>260</v>
      </c>
      <c r="C193" s="704" t="str">
        <f>'Begin Input Here'!C106</f>
        <v>ATL431</v>
      </c>
      <c r="D193" s="705"/>
      <c r="E193" s="262"/>
      <c r="F193" s="275"/>
      <c r="G193" s="158"/>
      <c r="H193" s="181"/>
      <c r="I193" s="181"/>
      <c r="J193" s="86"/>
      <c r="K193" s="86"/>
      <c r="L193" s="86"/>
      <c r="M193" s="86"/>
      <c r="N193" s="86"/>
      <c r="O193" s="86"/>
      <c r="P193" s="86"/>
      <c r="Q193" s="86"/>
      <c r="R193" s="86"/>
      <c r="S193" s="86"/>
      <c r="T193" s="86"/>
      <c r="U193" s="86"/>
      <c r="V193" s="86"/>
      <c r="W193" s="86"/>
      <c r="X193" s="86"/>
      <c r="Y193" s="86"/>
      <c r="Z193" s="86"/>
      <c r="AA193" s="86"/>
      <c r="AB193" s="86"/>
      <c r="AC193" s="86"/>
      <c r="AD193" s="86"/>
      <c r="AE193" s="86"/>
    </row>
    <row r="194" spans="1:31" ht="18.75">
      <c r="A194" s="141"/>
      <c r="B194" s="148" t="s">
        <v>1088</v>
      </c>
      <c r="C194" s="144" t="s">
        <v>689</v>
      </c>
      <c r="D194" s="257">
        <f>Vref_431/(500*Iref_431_max*10^-9)/1000</f>
        <v>33.333333333333329</v>
      </c>
      <c r="E194" s="262" t="s">
        <v>65</v>
      </c>
      <c r="F194" s="275"/>
      <c r="G194" s="158"/>
      <c r="H194" s="181"/>
      <c r="I194" s="181"/>
      <c r="J194" s="86"/>
      <c r="K194" s="86"/>
      <c r="L194" s="86"/>
      <c r="M194" s="86"/>
      <c r="N194" s="86"/>
      <c r="O194" s="86"/>
      <c r="P194" s="86"/>
      <c r="Q194" s="86"/>
      <c r="R194" s="86"/>
      <c r="S194" s="86"/>
      <c r="T194" s="86"/>
      <c r="U194" s="86"/>
      <c r="V194" s="86"/>
      <c r="W194" s="86"/>
      <c r="X194" s="86"/>
      <c r="Y194" s="86"/>
      <c r="Z194" s="86"/>
      <c r="AA194" s="86"/>
      <c r="AB194" s="86"/>
      <c r="AC194" s="86"/>
      <c r="AD194" s="86"/>
      <c r="AE194" s="86"/>
    </row>
    <row r="195" spans="1:31" ht="18.75">
      <c r="A195" s="141"/>
      <c r="B195" s="168" t="s">
        <v>690</v>
      </c>
      <c r="C195" s="169" t="s">
        <v>691</v>
      </c>
      <c r="D195" s="61">
        <v>33.200000000000003</v>
      </c>
      <c r="E195" s="272" t="s">
        <v>65</v>
      </c>
      <c r="F195" s="235" t="s">
        <v>1045</v>
      </c>
      <c r="G195" s="158"/>
      <c r="H195" s="544"/>
      <c r="I195" s="181"/>
      <c r="J195" s="86"/>
      <c r="K195" s="86"/>
      <c r="L195" s="86"/>
      <c r="N195" s="86"/>
      <c r="O195" s="86"/>
      <c r="P195" s="86"/>
      <c r="Q195" s="86"/>
      <c r="R195" s="86"/>
      <c r="S195" s="86"/>
      <c r="T195" s="86"/>
      <c r="U195" s="86"/>
      <c r="V195" s="86"/>
      <c r="W195" s="86"/>
      <c r="X195" s="86"/>
      <c r="Y195" s="86"/>
      <c r="Z195" s="86"/>
      <c r="AA195" s="86"/>
      <c r="AB195" s="86"/>
      <c r="AC195" s="86"/>
      <c r="AD195" s="86"/>
      <c r="AE195" s="86"/>
    </row>
    <row r="196" spans="1:31" ht="18.75">
      <c r="A196" s="141"/>
      <c r="B196" s="148" t="s">
        <v>692</v>
      </c>
      <c r="C196" s="144" t="s">
        <v>693</v>
      </c>
      <c r="D196" s="213">
        <f>IF(Rvo2_act="",Rvo2_rec,Rvo2_act)</f>
        <v>33.200000000000003</v>
      </c>
      <c r="E196" s="262" t="s">
        <v>65</v>
      </c>
      <c r="F196" s="149"/>
      <c r="G196" s="158"/>
      <c r="H196" s="86"/>
      <c r="I196" s="181"/>
      <c r="J196" s="86"/>
      <c r="K196" s="86"/>
      <c r="L196" s="86"/>
      <c r="M196" s="86"/>
      <c r="N196" s="86"/>
      <c r="O196" s="86"/>
      <c r="P196" s="86"/>
      <c r="Q196" s="86"/>
      <c r="R196" s="86"/>
      <c r="S196" s="86"/>
      <c r="T196" s="86"/>
      <c r="U196" s="86"/>
      <c r="V196" s="86"/>
      <c r="W196" s="86"/>
      <c r="X196" s="86"/>
      <c r="Y196" s="86"/>
      <c r="Z196" s="86"/>
      <c r="AA196" s="86"/>
      <c r="AB196" s="86"/>
      <c r="AC196" s="86"/>
      <c r="AD196" s="86"/>
      <c r="AE196" s="86"/>
    </row>
    <row r="197" spans="1:31" ht="18.75">
      <c r="A197" s="141"/>
      <c r="B197" s="148" t="s">
        <v>1089</v>
      </c>
      <c r="C197" s="144" t="s">
        <v>694</v>
      </c>
      <c r="D197" s="257">
        <f>(VOUT-Vref_431)/(Vref_431/(1000*Rvo2_)+Iref_431*10^-9)/1000</f>
        <v>232.30744871243297</v>
      </c>
      <c r="E197" s="262" t="s">
        <v>65</v>
      </c>
      <c r="F197" s="275"/>
      <c r="G197" s="158"/>
      <c r="H197" s="181"/>
      <c r="I197" s="181"/>
      <c r="J197" s="86"/>
      <c r="K197" s="86"/>
      <c r="L197" s="86"/>
      <c r="M197" s="86"/>
      <c r="N197" s="86"/>
      <c r="O197" s="86"/>
      <c r="P197" s="86"/>
      <c r="Q197" s="86"/>
      <c r="R197" s="86"/>
      <c r="S197" s="86"/>
      <c r="T197" s="86"/>
      <c r="U197" s="86"/>
      <c r="V197" s="86"/>
      <c r="W197" s="86"/>
      <c r="X197" s="86"/>
      <c r="Y197" s="86"/>
      <c r="Z197" s="86"/>
      <c r="AA197" s="86"/>
      <c r="AB197" s="86"/>
      <c r="AC197" s="86"/>
      <c r="AD197" s="86"/>
      <c r="AE197" s="86"/>
    </row>
    <row r="198" spans="1:31" ht="18.75">
      <c r="A198" s="141"/>
      <c r="B198" s="168" t="s">
        <v>695</v>
      </c>
      <c r="C198" s="169" t="s">
        <v>696</v>
      </c>
      <c r="D198" s="61">
        <v>232</v>
      </c>
      <c r="E198" s="272" t="s">
        <v>65</v>
      </c>
      <c r="F198" s="235" t="s">
        <v>1045</v>
      </c>
      <c r="G198" s="158"/>
      <c r="H198" s="544"/>
      <c r="I198" s="181"/>
      <c r="J198" s="86"/>
      <c r="K198" s="86"/>
      <c r="L198" s="86"/>
      <c r="N198" s="86"/>
      <c r="O198" s="86"/>
      <c r="P198" s="86"/>
      <c r="Q198" s="86"/>
      <c r="R198" s="86"/>
      <c r="S198" s="86"/>
      <c r="T198" s="86"/>
      <c r="U198" s="86"/>
      <c r="V198" s="86"/>
      <c r="W198" s="86"/>
      <c r="X198" s="86"/>
      <c r="Y198" s="86"/>
      <c r="Z198" s="86"/>
      <c r="AA198" s="86"/>
      <c r="AB198" s="86"/>
      <c r="AC198" s="86"/>
      <c r="AD198" s="86"/>
      <c r="AE198" s="86"/>
    </row>
    <row r="199" spans="1:31" ht="18.75">
      <c r="A199" s="141"/>
      <c r="B199" s="148" t="s">
        <v>697</v>
      </c>
      <c r="C199" s="144" t="s">
        <v>698</v>
      </c>
      <c r="D199" s="213">
        <f>IF(Rvo1_act="",Rvo1_rec,Rvo1_act)</f>
        <v>232</v>
      </c>
      <c r="E199" s="262" t="s">
        <v>65</v>
      </c>
      <c r="F199" s="149"/>
      <c r="G199" s="158"/>
      <c r="H199" s="86"/>
      <c r="I199" s="181"/>
      <c r="J199" s="86"/>
      <c r="K199" s="86"/>
      <c r="L199" s="86"/>
      <c r="M199" s="86"/>
      <c r="N199" s="86"/>
      <c r="O199" s="86"/>
      <c r="P199" s="86"/>
      <c r="Q199" s="86"/>
      <c r="R199" s="86"/>
      <c r="S199" s="86"/>
      <c r="T199" s="86"/>
      <c r="U199" s="86"/>
      <c r="V199" s="86"/>
      <c r="W199" s="86"/>
      <c r="X199" s="86"/>
      <c r="Y199" s="86"/>
      <c r="Z199" s="86"/>
      <c r="AA199" s="86"/>
      <c r="AB199" s="86"/>
      <c r="AC199" s="86"/>
      <c r="AD199" s="86"/>
      <c r="AE199" s="86"/>
    </row>
    <row r="200" spans="1:31" ht="19.5" thickBot="1">
      <c r="A200" s="141"/>
      <c r="B200" s="215" t="s">
        <v>130</v>
      </c>
      <c r="C200" s="216" t="s">
        <v>932</v>
      </c>
      <c r="D200" s="251">
        <f>Vref_431*(Rvo1_+Rvo2_)/Rvo2_+Iref_431*10^-9*Rvo1_*1000</f>
        <v>19.976839518072286</v>
      </c>
      <c r="E200" s="244" t="s">
        <v>12</v>
      </c>
      <c r="F200" s="245" t="s">
        <v>1076</v>
      </c>
      <c r="G200" s="158"/>
      <c r="H200" s="181"/>
      <c r="I200" s="181"/>
      <c r="J200" s="86"/>
      <c r="K200" s="86"/>
      <c r="L200" s="86"/>
      <c r="M200" s="86"/>
      <c r="N200" s="86"/>
      <c r="O200" s="86"/>
      <c r="P200" s="86"/>
      <c r="Q200" s="86"/>
      <c r="R200" s="86"/>
      <c r="S200" s="86"/>
      <c r="T200" s="86"/>
      <c r="U200" s="86"/>
      <c r="V200" s="86"/>
      <c r="W200" s="86"/>
      <c r="X200" s="86"/>
      <c r="Y200" s="86"/>
      <c r="Z200" s="86"/>
      <c r="AA200" s="86"/>
      <c r="AB200" s="86"/>
      <c r="AC200" s="86"/>
      <c r="AD200" s="86"/>
      <c r="AE200" s="86"/>
    </row>
    <row r="201" spans="1:31" ht="15.75" thickBot="1">
      <c r="A201" s="141"/>
      <c r="B201" s="136"/>
      <c r="C201" s="211"/>
      <c r="D201" s="138"/>
      <c r="E201" s="139"/>
      <c r="F201" s="140"/>
      <c r="G201" s="158"/>
      <c r="H201" s="181"/>
      <c r="I201" s="181"/>
      <c r="J201" s="86"/>
      <c r="K201" s="86"/>
      <c r="L201" s="86"/>
      <c r="M201" s="86"/>
      <c r="N201" s="86"/>
      <c r="O201" s="86"/>
      <c r="P201" s="86"/>
      <c r="Q201" s="86"/>
      <c r="R201" s="86"/>
      <c r="S201" s="86"/>
      <c r="T201" s="86"/>
      <c r="U201" s="86"/>
      <c r="V201" s="86"/>
      <c r="W201" s="86"/>
      <c r="X201" s="86"/>
      <c r="Y201" s="86"/>
      <c r="Z201" s="86"/>
      <c r="AA201" s="86"/>
      <c r="AB201" s="86"/>
      <c r="AC201" s="86"/>
      <c r="AD201" s="86"/>
      <c r="AE201" s="86"/>
    </row>
    <row r="202" spans="1:31" ht="18" customHeight="1">
      <c r="A202" s="141"/>
      <c r="B202" s="228" t="s">
        <v>220</v>
      </c>
      <c r="C202" s="229"/>
      <c r="D202" s="230"/>
      <c r="E202" s="231"/>
      <c r="F202" s="232"/>
      <c r="G202" s="158"/>
      <c r="H202" s="181"/>
      <c r="I202" s="181"/>
      <c r="J202" s="86"/>
      <c r="K202" s="86"/>
      <c r="L202" s="86"/>
      <c r="M202" s="86"/>
      <c r="N202" s="86"/>
      <c r="O202" s="86"/>
      <c r="P202" s="86"/>
      <c r="Q202" s="86"/>
      <c r="R202" s="86"/>
      <c r="S202" s="86"/>
      <c r="T202" s="86"/>
      <c r="U202" s="86"/>
      <c r="V202" s="86"/>
      <c r="W202" s="86"/>
      <c r="X202" s="86"/>
      <c r="Y202" s="86"/>
      <c r="Z202" s="86"/>
      <c r="AA202" s="86"/>
      <c r="AB202" s="86"/>
      <c r="AC202" s="86"/>
      <c r="AD202" s="86"/>
      <c r="AE202" s="86"/>
    </row>
    <row r="203" spans="1:31" ht="18" customHeight="1">
      <c r="A203" s="141"/>
      <c r="B203" s="278" t="s">
        <v>219</v>
      </c>
      <c r="C203" s="279"/>
      <c r="D203" s="280"/>
      <c r="E203" s="281"/>
      <c r="F203" s="282"/>
      <c r="G203" s="158"/>
      <c r="H203" s="181"/>
      <c r="I203" s="181"/>
      <c r="J203" s="86"/>
      <c r="K203" s="86"/>
      <c r="L203" s="86"/>
      <c r="M203" s="86"/>
      <c r="N203" s="86"/>
      <c r="O203" s="86"/>
      <c r="P203" s="86"/>
      <c r="Q203" s="86"/>
      <c r="R203" s="86"/>
      <c r="S203" s="86"/>
      <c r="T203" s="86"/>
      <c r="U203" s="86"/>
      <c r="V203" s="86"/>
      <c r="W203" s="86"/>
      <c r="X203" s="86"/>
      <c r="Y203" s="86"/>
      <c r="Z203" s="86"/>
      <c r="AA203" s="86"/>
      <c r="AB203" s="86"/>
      <c r="AC203" s="86"/>
      <c r="AD203" s="86"/>
      <c r="AE203" s="86"/>
    </row>
    <row r="204" spans="1:31" ht="18.75">
      <c r="A204" s="141"/>
      <c r="B204" s="148" t="s">
        <v>1092</v>
      </c>
      <c r="C204" s="144" t="s">
        <v>699</v>
      </c>
      <c r="D204" s="257">
        <f>((fBUR_UP*1000*2-fp_opto*1000)/(2*3.1416*Rbias1*1000*2*fBUR_UP*1000*fp_opto*1000))*10^9</f>
        <v>9.0603982960344123</v>
      </c>
      <c r="E204" s="262" t="s">
        <v>66</v>
      </c>
      <c r="F204" s="275"/>
      <c r="G204" s="158"/>
      <c r="H204" s="181"/>
      <c r="I204" s="181"/>
      <c r="J204" s="86"/>
      <c r="K204" s="86"/>
      <c r="L204" s="86"/>
      <c r="M204" s="86"/>
      <c r="N204" s="86"/>
      <c r="O204" s="86"/>
      <c r="P204" s="86"/>
      <c r="Q204" s="86"/>
      <c r="R204" s="86"/>
      <c r="S204" s="86"/>
      <c r="T204" s="86"/>
      <c r="U204" s="86"/>
      <c r="V204" s="86"/>
      <c r="W204" s="86"/>
      <c r="X204" s="86"/>
      <c r="Y204" s="86"/>
      <c r="Z204" s="86"/>
      <c r="AA204" s="86"/>
      <c r="AB204" s="86"/>
      <c r="AC204" s="86"/>
      <c r="AD204" s="86"/>
      <c r="AE204" s="86"/>
    </row>
    <row r="205" spans="1:31" ht="18.75">
      <c r="A205" s="141"/>
      <c r="B205" s="168" t="s">
        <v>700</v>
      </c>
      <c r="C205" s="169" t="s">
        <v>701</v>
      </c>
      <c r="D205" s="61">
        <v>4.7</v>
      </c>
      <c r="E205" s="272" t="s">
        <v>66</v>
      </c>
      <c r="F205" s="270" t="s">
        <v>1064</v>
      </c>
      <c r="G205" s="158"/>
      <c r="H205" s="181"/>
      <c r="I205" s="181"/>
      <c r="J205" s="86"/>
      <c r="K205" s="86"/>
      <c r="L205" s="86"/>
      <c r="M205" s="86"/>
      <c r="N205" s="86"/>
      <c r="O205" s="86"/>
      <c r="P205" s="86"/>
      <c r="Q205" s="86"/>
      <c r="R205" s="86"/>
      <c r="S205" s="86"/>
      <c r="T205" s="86"/>
      <c r="U205" s="86"/>
      <c r="V205" s="86"/>
      <c r="W205" s="86"/>
      <c r="X205" s="86"/>
      <c r="Y205" s="86"/>
      <c r="Z205" s="86"/>
      <c r="AA205" s="86"/>
      <c r="AB205" s="86"/>
      <c r="AC205" s="86"/>
      <c r="AD205" s="86"/>
      <c r="AE205" s="86"/>
    </row>
    <row r="206" spans="1:31" ht="18.75">
      <c r="A206" s="141"/>
      <c r="B206" s="148" t="s">
        <v>702</v>
      </c>
      <c r="C206" s="144" t="s">
        <v>703</v>
      </c>
      <c r="D206" s="213">
        <f>IF(Cdiff_act="",Cdiff_rec,Cdiff_act)</f>
        <v>4.7</v>
      </c>
      <c r="E206" s="262" t="s">
        <v>66</v>
      </c>
      <c r="F206" s="149"/>
      <c r="G206" s="158"/>
      <c r="H206" s="181"/>
      <c r="I206" s="181"/>
      <c r="J206" s="86"/>
      <c r="K206" s="86"/>
      <c r="L206" s="86"/>
      <c r="M206" s="86"/>
      <c r="N206" s="86"/>
      <c r="O206" s="86"/>
      <c r="P206" s="86"/>
      <c r="Q206" s="86"/>
      <c r="R206" s="86"/>
      <c r="S206" s="86"/>
      <c r="T206" s="86"/>
      <c r="U206" s="86"/>
      <c r="V206" s="86"/>
      <c r="W206" s="86"/>
      <c r="X206" s="86"/>
      <c r="Y206" s="86"/>
      <c r="Z206" s="86"/>
      <c r="AA206" s="86"/>
      <c r="AB206" s="86"/>
      <c r="AC206" s="86"/>
      <c r="AD206" s="86"/>
      <c r="AE206" s="86"/>
    </row>
    <row r="207" spans="1:31" ht="18.75">
      <c r="A207" s="141"/>
      <c r="B207" s="148" t="s">
        <v>1090</v>
      </c>
      <c r="C207" s="144" t="s">
        <v>704</v>
      </c>
      <c r="D207" s="194">
        <f>1/(2*3.1416*2*fBUR_UP*1000*Cdiff*10^-9)</f>
        <v>492.19003871621965</v>
      </c>
      <c r="E207" s="262" t="s">
        <v>61</v>
      </c>
      <c r="F207" s="275"/>
      <c r="G207" s="158"/>
      <c r="H207" s="181"/>
      <c r="I207" s="181"/>
      <c r="J207" s="86"/>
      <c r="K207" s="86"/>
      <c r="L207" s="86"/>
      <c r="M207" s="86"/>
      <c r="N207" s="86"/>
      <c r="O207" s="86"/>
      <c r="P207" s="86"/>
      <c r="Q207" s="86"/>
      <c r="R207" s="86"/>
      <c r="S207" s="86"/>
      <c r="T207" s="86"/>
      <c r="U207" s="86"/>
      <c r="V207" s="86"/>
      <c r="W207" s="86"/>
      <c r="X207" s="86"/>
      <c r="Y207" s="86"/>
      <c r="Z207" s="86"/>
      <c r="AA207" s="86"/>
      <c r="AB207" s="86"/>
      <c r="AC207" s="86"/>
      <c r="AD207" s="86"/>
      <c r="AE207" s="86"/>
    </row>
    <row r="208" spans="1:31" ht="18.75">
      <c r="A208" s="141"/>
      <c r="B208" s="168" t="s">
        <v>705</v>
      </c>
      <c r="C208" s="169" t="s">
        <v>706</v>
      </c>
      <c r="D208" s="61">
        <v>499</v>
      </c>
      <c r="E208" s="272" t="s">
        <v>61</v>
      </c>
      <c r="F208" s="171"/>
      <c r="G208" s="158"/>
      <c r="H208" s="181"/>
      <c r="I208" s="181"/>
      <c r="J208" s="86"/>
      <c r="K208" s="86"/>
      <c r="L208" s="86"/>
      <c r="M208" s="86"/>
      <c r="N208" s="86"/>
      <c r="O208" s="86"/>
      <c r="P208" s="86"/>
      <c r="Q208" s="86"/>
      <c r="R208" s="86"/>
      <c r="S208" s="86"/>
      <c r="T208" s="86"/>
      <c r="U208" s="86"/>
      <c r="V208" s="86"/>
      <c r="W208" s="86"/>
      <c r="X208" s="86"/>
      <c r="Y208" s="86"/>
      <c r="Z208" s="86"/>
      <c r="AA208" s="86"/>
      <c r="AB208" s="86"/>
      <c r="AC208" s="86"/>
      <c r="AD208" s="86"/>
      <c r="AE208" s="86"/>
    </row>
    <row r="209" spans="1:31" ht="18.75">
      <c r="A209" s="141"/>
      <c r="B209" s="148" t="s">
        <v>707</v>
      </c>
      <c r="C209" s="144" t="s">
        <v>708</v>
      </c>
      <c r="D209" s="213">
        <f>IF(Rdiff_act="",Rdiff_rec,Rdiff_act)</f>
        <v>499</v>
      </c>
      <c r="E209" s="262" t="s">
        <v>31</v>
      </c>
      <c r="F209" s="149"/>
      <c r="G209" s="158"/>
      <c r="H209" s="181"/>
      <c r="I209" s="181"/>
      <c r="J209" s="86"/>
      <c r="K209" s="86"/>
      <c r="L209" s="86"/>
      <c r="M209" s="86"/>
      <c r="N209" s="86"/>
      <c r="O209" s="86"/>
      <c r="P209" s="86"/>
      <c r="Q209" s="86"/>
      <c r="R209" s="86"/>
      <c r="S209" s="86"/>
      <c r="T209" s="86"/>
      <c r="U209" s="86"/>
      <c r="V209" s="86"/>
      <c r="W209" s="86"/>
      <c r="X209" s="86"/>
      <c r="Y209" s="86"/>
      <c r="Z209" s="86"/>
      <c r="AA209" s="86"/>
      <c r="AB209" s="86"/>
      <c r="AC209" s="86"/>
      <c r="AD209" s="86"/>
      <c r="AE209" s="86"/>
    </row>
    <row r="210" spans="1:31" ht="18" customHeight="1">
      <c r="A210" s="141"/>
      <c r="B210" s="283" t="s">
        <v>166</v>
      </c>
      <c r="C210" s="284"/>
      <c r="D210" s="285"/>
      <c r="E210" s="262"/>
      <c r="F210" s="275"/>
      <c r="G210" s="158"/>
      <c r="H210" s="181"/>
      <c r="I210" s="181"/>
      <c r="J210" s="86"/>
      <c r="K210" s="86"/>
      <c r="L210" s="86"/>
      <c r="M210" s="86"/>
      <c r="N210" s="86"/>
      <c r="O210" s="86"/>
      <c r="P210" s="86"/>
      <c r="Q210" s="86"/>
      <c r="R210" s="86"/>
      <c r="S210" s="86"/>
      <c r="T210" s="86"/>
      <c r="U210" s="86"/>
      <c r="V210" s="86"/>
      <c r="W210" s="86"/>
      <c r="X210" s="86"/>
      <c r="Y210" s="86"/>
      <c r="Z210" s="86"/>
      <c r="AA210" s="86"/>
      <c r="AB210" s="86"/>
      <c r="AC210" s="86"/>
      <c r="AD210" s="86"/>
      <c r="AE210" s="86"/>
    </row>
    <row r="211" spans="1:31" ht="18.75">
      <c r="A211" s="141"/>
      <c r="B211" s="148" t="s">
        <v>1091</v>
      </c>
      <c r="C211" s="144" t="s">
        <v>709</v>
      </c>
      <c r="D211" s="257">
        <f>(1/(Rvo1_*1000*2*3.1416*Fcr_min*1000/10))*10^9</f>
        <v>3.4300554077430343</v>
      </c>
      <c r="E211" s="262" t="s">
        <v>66</v>
      </c>
      <c r="F211" s="275"/>
      <c r="G211" s="158"/>
      <c r="H211" s="181"/>
      <c r="I211" s="181"/>
      <c r="J211" s="86"/>
      <c r="K211" s="86"/>
      <c r="L211" s="86"/>
      <c r="M211" s="86"/>
      <c r="N211" s="86"/>
      <c r="O211" s="86"/>
      <c r="P211" s="86"/>
      <c r="Q211" s="86"/>
      <c r="R211" s="86"/>
      <c r="S211" s="86"/>
      <c r="T211" s="86"/>
      <c r="U211" s="86"/>
      <c r="V211" s="86"/>
      <c r="W211" s="86"/>
      <c r="X211" s="86"/>
      <c r="Y211" s="86"/>
      <c r="Z211" s="86"/>
      <c r="AA211" s="86"/>
      <c r="AB211" s="86"/>
      <c r="AC211" s="86"/>
      <c r="AD211" s="86"/>
      <c r="AE211" s="86"/>
    </row>
    <row r="212" spans="1:31" ht="18.75">
      <c r="A212" s="141"/>
      <c r="B212" s="168" t="s">
        <v>710</v>
      </c>
      <c r="C212" s="169" t="s">
        <v>711</v>
      </c>
      <c r="D212" s="61">
        <v>10</v>
      </c>
      <c r="E212" s="272" t="s">
        <v>66</v>
      </c>
      <c r="F212" s="270" t="s">
        <v>1064</v>
      </c>
      <c r="G212" s="158"/>
      <c r="H212" s="181"/>
      <c r="I212" s="181"/>
      <c r="J212" s="86"/>
      <c r="K212" s="86"/>
      <c r="L212" s="86"/>
      <c r="M212" s="86"/>
      <c r="N212" s="86"/>
      <c r="O212" s="86"/>
      <c r="P212" s="86"/>
      <c r="Q212" s="86"/>
      <c r="R212" s="86"/>
      <c r="S212" s="86"/>
      <c r="T212" s="86"/>
      <c r="U212" s="86"/>
      <c r="V212" s="86"/>
      <c r="W212" s="86"/>
      <c r="X212" s="86"/>
      <c r="Y212" s="86"/>
      <c r="Z212" s="86"/>
      <c r="AA212" s="86"/>
      <c r="AB212" s="86"/>
      <c r="AC212" s="86"/>
      <c r="AD212" s="86"/>
      <c r="AE212" s="86"/>
    </row>
    <row r="213" spans="1:31" ht="18.75">
      <c r="A213" s="141"/>
      <c r="B213" s="148" t="s">
        <v>712</v>
      </c>
      <c r="C213" s="144" t="s">
        <v>713</v>
      </c>
      <c r="D213" s="213">
        <f>IF(Cint_act="",Cint_rec,Cint_act)</f>
        <v>10</v>
      </c>
      <c r="E213" s="262" t="s">
        <v>67</v>
      </c>
      <c r="F213" s="149"/>
      <c r="G213" s="158"/>
      <c r="H213" s="181"/>
      <c r="I213" s="181"/>
      <c r="J213" s="86"/>
      <c r="K213" s="86"/>
      <c r="L213" s="86"/>
      <c r="M213" s="86"/>
      <c r="N213" s="86"/>
      <c r="O213" s="86"/>
      <c r="P213" s="86"/>
      <c r="Q213" s="86"/>
      <c r="R213" s="86"/>
      <c r="S213" s="86"/>
      <c r="T213" s="86"/>
      <c r="U213" s="86"/>
      <c r="V213" s="86"/>
      <c r="W213" s="86"/>
      <c r="X213" s="86"/>
      <c r="Y213" s="86"/>
      <c r="Z213" s="86"/>
      <c r="AA213" s="86"/>
      <c r="AB213" s="86"/>
      <c r="AC213" s="86"/>
      <c r="AD213" s="86"/>
      <c r="AE213" s="86"/>
    </row>
    <row r="214" spans="1:31" ht="19.5" thickBot="1">
      <c r="A214" s="141"/>
      <c r="B214" s="286" t="s">
        <v>714</v>
      </c>
      <c r="C214" s="216" t="s">
        <v>715</v>
      </c>
      <c r="D214" s="225">
        <v>0</v>
      </c>
      <c r="E214" s="252" t="s">
        <v>61</v>
      </c>
      <c r="F214" s="227" t="s">
        <v>261</v>
      </c>
      <c r="G214" s="158"/>
      <c r="H214" s="181"/>
      <c r="I214" s="181"/>
      <c r="J214" s="86"/>
      <c r="K214" s="86"/>
      <c r="L214" s="86"/>
      <c r="M214" s="86"/>
      <c r="N214" s="86"/>
      <c r="O214" s="86"/>
      <c r="P214" s="86"/>
      <c r="Q214" s="86"/>
      <c r="R214" s="86"/>
      <c r="S214" s="86"/>
      <c r="T214" s="86"/>
      <c r="U214" s="86"/>
      <c r="V214" s="86"/>
      <c r="W214" s="86"/>
      <c r="X214" s="86"/>
      <c r="Y214" s="86"/>
      <c r="Z214" s="86"/>
      <c r="AA214" s="86"/>
      <c r="AB214" s="86"/>
      <c r="AC214" s="86"/>
      <c r="AD214" s="86"/>
      <c r="AE214" s="86"/>
    </row>
    <row r="215" spans="1:31" ht="15.75" thickBot="1">
      <c r="A215" s="141"/>
      <c r="B215" s="141"/>
      <c r="C215" s="397"/>
      <c r="D215" s="398"/>
      <c r="E215" s="141"/>
      <c r="F215" s="141"/>
      <c r="G215" s="158"/>
      <c r="H215" s="181"/>
      <c r="I215" s="181"/>
      <c r="J215" s="86"/>
      <c r="K215" s="86"/>
      <c r="L215" s="86"/>
      <c r="M215" s="86"/>
      <c r="N215" s="86"/>
      <c r="O215" s="86"/>
      <c r="P215" s="86"/>
      <c r="Q215" s="86"/>
      <c r="R215" s="86"/>
      <c r="S215" s="86"/>
      <c r="T215" s="86"/>
      <c r="U215" s="86"/>
      <c r="V215" s="86"/>
      <c r="W215" s="86"/>
      <c r="X215" s="86"/>
      <c r="Y215" s="86"/>
      <c r="Z215" s="86"/>
      <c r="AA215" s="86"/>
      <c r="AB215" s="86"/>
      <c r="AC215" s="86"/>
      <c r="AD215" s="86"/>
      <c r="AE215" s="86"/>
    </row>
    <row r="216" spans="1:31">
      <c r="A216" s="141"/>
      <c r="B216" s="228" t="s">
        <v>760</v>
      </c>
      <c r="C216" s="229"/>
      <c r="D216" s="230"/>
      <c r="E216" s="231"/>
      <c r="F216" s="232"/>
      <c r="G216" s="158"/>
      <c r="H216" s="181"/>
      <c r="I216" s="181"/>
      <c r="J216" s="86"/>
      <c r="K216" s="86"/>
      <c r="L216" s="86"/>
      <c r="M216" s="86"/>
      <c r="N216" s="86"/>
      <c r="O216" s="86"/>
      <c r="P216" s="86"/>
      <c r="Q216" s="86"/>
      <c r="R216" s="86"/>
      <c r="S216" s="86"/>
      <c r="T216" s="86"/>
      <c r="U216" s="86"/>
      <c r="V216" s="86"/>
      <c r="W216" s="86"/>
      <c r="X216" s="86"/>
      <c r="Y216" s="86"/>
      <c r="Z216" s="86"/>
      <c r="AA216" s="86"/>
      <c r="AB216" s="86"/>
      <c r="AC216" s="86"/>
      <c r="AD216" s="86"/>
      <c r="AE216" s="86"/>
    </row>
    <row r="217" spans="1:31" ht="18.75">
      <c r="A217" s="141"/>
      <c r="B217" s="143" t="s">
        <v>765</v>
      </c>
      <c r="C217" s="144" t="s">
        <v>762</v>
      </c>
      <c r="D217" s="257">
        <v>0</v>
      </c>
      <c r="E217" s="159" t="s">
        <v>65</v>
      </c>
      <c r="F217" s="233" t="s">
        <v>767</v>
      </c>
      <c r="G217" s="158"/>
      <c r="H217" s="181"/>
      <c r="I217" s="181"/>
      <c r="J217" s="86"/>
      <c r="K217" s="86"/>
      <c r="L217" s="86"/>
      <c r="M217" s="86"/>
      <c r="N217" s="86"/>
      <c r="O217" s="86"/>
      <c r="P217" s="86"/>
      <c r="Q217" s="86"/>
      <c r="R217" s="86"/>
      <c r="S217" s="86"/>
      <c r="T217" s="86"/>
      <c r="U217" s="86"/>
      <c r="V217" s="86"/>
      <c r="W217" s="86"/>
      <c r="X217" s="86"/>
      <c r="Y217" s="86"/>
      <c r="Z217" s="86"/>
      <c r="AA217" s="86"/>
      <c r="AB217" s="86"/>
      <c r="AC217" s="86"/>
      <c r="AD217" s="86"/>
      <c r="AE217" s="86"/>
    </row>
    <row r="218" spans="1:31" ht="18.75">
      <c r="A218" s="141"/>
      <c r="B218" s="246" t="s">
        <v>766</v>
      </c>
      <c r="C218" s="169" t="s">
        <v>763</v>
      </c>
      <c r="D218" s="61">
        <v>0</v>
      </c>
      <c r="E218" s="234" t="s">
        <v>65</v>
      </c>
      <c r="F218" s="235" t="s">
        <v>1046</v>
      </c>
      <c r="G218" s="158"/>
      <c r="H218" s="181"/>
      <c r="I218" s="181"/>
      <c r="J218" s="86"/>
      <c r="K218" s="86"/>
      <c r="L218" s="86"/>
      <c r="M218" s="86"/>
      <c r="N218" s="86"/>
      <c r="O218" s="86"/>
      <c r="P218" s="86"/>
      <c r="Q218" s="86"/>
      <c r="R218" s="86"/>
      <c r="S218" s="86"/>
      <c r="T218" s="86"/>
      <c r="U218" s="86"/>
      <c r="V218" s="86"/>
      <c r="W218" s="86"/>
      <c r="X218" s="86"/>
      <c r="Y218" s="86"/>
      <c r="Z218" s="86"/>
      <c r="AA218" s="86"/>
      <c r="AB218" s="86"/>
      <c r="AC218" s="86"/>
      <c r="AD218" s="86"/>
      <c r="AE218" s="86"/>
    </row>
    <row r="219" spans="1:31" ht="19.5" thickBot="1">
      <c r="A219" s="141"/>
      <c r="B219" s="215" t="s">
        <v>761</v>
      </c>
      <c r="C219" s="216" t="s">
        <v>764</v>
      </c>
      <c r="D219" s="225">
        <f>IF(RIPC_act="",RIPC_rec,0*RIPC_act)</f>
        <v>0</v>
      </c>
      <c r="E219" s="244" t="s">
        <v>65</v>
      </c>
      <c r="F219" s="227" t="s">
        <v>767</v>
      </c>
      <c r="G219" s="158"/>
      <c r="H219" s="181"/>
      <c r="I219" s="181"/>
      <c r="J219" s="86"/>
      <c r="K219" s="86"/>
      <c r="L219" s="86"/>
      <c r="M219" s="86"/>
      <c r="N219" s="86"/>
      <c r="O219" s="86"/>
      <c r="P219" s="86"/>
      <c r="Q219" s="86"/>
      <c r="R219" s="86"/>
      <c r="S219" s="86"/>
      <c r="T219" s="86"/>
      <c r="U219" s="86"/>
      <c r="V219" s="86"/>
      <c r="W219" s="86"/>
      <c r="X219" s="86"/>
      <c r="Y219" s="86"/>
      <c r="Z219" s="86"/>
      <c r="AA219" s="86"/>
      <c r="AB219" s="86"/>
      <c r="AC219" s="86"/>
      <c r="AD219" s="86"/>
      <c r="AE219" s="86"/>
    </row>
    <row r="220" spans="1:31" ht="15.75" thickBot="1">
      <c r="A220" s="141"/>
      <c r="B220" s="141"/>
      <c r="C220" s="397"/>
      <c r="D220" s="398"/>
      <c r="E220" s="141"/>
      <c r="F220" s="141"/>
      <c r="G220" s="158"/>
      <c r="H220" s="181"/>
      <c r="I220" s="181"/>
      <c r="J220" s="86"/>
      <c r="K220" s="86"/>
      <c r="L220" s="86"/>
      <c r="M220" s="86"/>
      <c r="N220" s="86"/>
      <c r="O220" s="86"/>
      <c r="P220" s="86"/>
      <c r="Q220" s="86"/>
      <c r="R220" s="86"/>
      <c r="S220" s="86"/>
      <c r="T220" s="86"/>
      <c r="U220" s="86"/>
      <c r="V220" s="86"/>
      <c r="W220" s="86"/>
      <c r="X220" s="86"/>
      <c r="Y220" s="86"/>
      <c r="Z220" s="86"/>
      <c r="AA220" s="86"/>
      <c r="AB220" s="86"/>
      <c r="AC220" s="86"/>
      <c r="AD220" s="86"/>
      <c r="AE220" s="86"/>
    </row>
    <row r="221" spans="1:31">
      <c r="A221" s="141"/>
      <c r="B221" s="481" t="s">
        <v>933</v>
      </c>
      <c r="C221" s="482"/>
      <c r="D221" s="483"/>
      <c r="E221" s="484"/>
      <c r="F221" s="485" t="s">
        <v>990</v>
      </c>
      <c r="G221" s="488"/>
      <c r="H221" s="181"/>
      <c r="I221" s="181"/>
      <c r="J221" s="86"/>
      <c r="K221" s="86"/>
      <c r="L221" s="86"/>
      <c r="M221" s="86"/>
      <c r="N221" s="86"/>
      <c r="O221" s="86"/>
      <c r="P221" s="86"/>
      <c r="Q221" s="86"/>
      <c r="R221" s="86"/>
      <c r="S221" s="86"/>
      <c r="T221" s="86"/>
      <c r="U221" s="86"/>
      <c r="V221" s="86"/>
      <c r="W221" s="86"/>
      <c r="X221" s="86"/>
      <c r="Y221" s="86"/>
      <c r="Z221" s="86"/>
      <c r="AA221" s="86"/>
      <c r="AB221" s="86"/>
      <c r="AC221" s="86"/>
      <c r="AD221" s="86"/>
      <c r="AE221" s="86"/>
    </row>
    <row r="222" spans="1:31" ht="17.45" customHeight="1">
      <c r="A222" s="141"/>
      <c r="B222" s="489" t="s">
        <v>934</v>
      </c>
      <c r="C222" s="693" t="str">
        <f>NTC_pn</f>
        <v>NTHS0603N01N1003F</v>
      </c>
      <c r="D222" s="694"/>
      <c r="E222" s="486"/>
      <c r="F222" s="490" t="s">
        <v>1077</v>
      </c>
      <c r="H222" s="86"/>
      <c r="I222" s="86"/>
      <c r="J222" s="86"/>
      <c r="K222" s="86"/>
      <c r="L222" s="86"/>
      <c r="M222" s="86"/>
      <c r="N222" s="86"/>
      <c r="O222" s="86"/>
      <c r="P222" s="86"/>
      <c r="Q222" s="86"/>
      <c r="R222" s="86"/>
      <c r="S222" s="86"/>
      <c r="T222" s="86"/>
      <c r="U222" s="86"/>
      <c r="V222" s="86"/>
      <c r="W222" s="86"/>
      <c r="X222" s="86"/>
      <c r="Y222" s="86"/>
      <c r="Z222" s="86"/>
      <c r="AA222" s="86"/>
      <c r="AB222" s="86"/>
      <c r="AC222" s="86"/>
      <c r="AD222" s="86"/>
      <c r="AE222" s="86"/>
    </row>
    <row r="223" spans="1:31" ht="4.9000000000000004" customHeight="1">
      <c r="A223" s="141"/>
      <c r="B223" s="491"/>
      <c r="C223" s="492"/>
      <c r="D223" s="493"/>
      <c r="E223" s="494"/>
      <c r="F223" s="495"/>
      <c r="H223" s="86"/>
      <c r="I223" s="86"/>
      <c r="J223" s="86"/>
      <c r="K223" s="86"/>
      <c r="L223" s="86"/>
      <c r="M223" s="86"/>
      <c r="N223" s="86"/>
      <c r="O223" s="86"/>
      <c r="P223" s="86"/>
      <c r="Q223" s="86"/>
      <c r="R223" s="86"/>
      <c r="S223" s="86"/>
      <c r="T223" s="86"/>
      <c r="U223" s="86"/>
      <c r="V223" s="86"/>
      <c r="W223" s="86"/>
      <c r="X223" s="86"/>
      <c r="Y223" s="86"/>
      <c r="Z223" s="86"/>
      <c r="AA223" s="86"/>
      <c r="AB223" s="86"/>
      <c r="AC223" s="86"/>
      <c r="AD223" s="86"/>
      <c r="AE223" s="86"/>
    </row>
    <row r="224" spans="1:31" ht="19.899999999999999" customHeight="1">
      <c r="A224" s="141"/>
      <c r="B224" s="496" t="s">
        <v>947</v>
      </c>
      <c r="C224" s="497" t="s">
        <v>991</v>
      </c>
      <c r="D224" s="498">
        <f>1/((LN(RNTCTH_min/(_R25*(1+0.01*KRtol)))/(B25_85*(1-0.01*KBtol)))+(1/298.15)) - 273.15</f>
        <v>93.974484004594558</v>
      </c>
      <c r="E224" s="463" t="s">
        <v>938</v>
      </c>
      <c r="F224" s="695" t="s">
        <v>997</v>
      </c>
    </row>
    <row r="225" spans="1:6" ht="19.899999999999999" customHeight="1">
      <c r="A225" s="141"/>
      <c r="B225" s="337" t="s">
        <v>948</v>
      </c>
      <c r="C225" s="152" t="s">
        <v>992</v>
      </c>
      <c r="D225" s="499">
        <f>1/((LN(RNTCR_min/(_R25*(1+0.01*KRtol)))/(B25_85*(1-0.01*KBtol)))+(1/298.15)) - 273.15</f>
        <v>65.944123965909739</v>
      </c>
      <c r="E225" s="154" t="s">
        <v>938</v>
      </c>
      <c r="F225" s="695"/>
    </row>
    <row r="226" spans="1:6" ht="5.45" customHeight="1">
      <c r="A226" s="141"/>
      <c r="B226" s="323"/>
      <c r="C226" s="500"/>
      <c r="D226" s="501"/>
      <c r="E226" s="324"/>
      <c r="F226" s="495"/>
    </row>
    <row r="227" spans="1:6" ht="19.149999999999999" customHeight="1">
      <c r="A227" s="141"/>
      <c r="B227" s="496" t="s">
        <v>943</v>
      </c>
      <c r="C227" s="497" t="s">
        <v>993</v>
      </c>
      <c r="D227" s="498">
        <f>1/((LN(RNTCTH/_R25)/B25_85)+(1/298.15)) - 273.15</f>
        <v>87.557548591462194</v>
      </c>
      <c r="E227" s="463" t="s">
        <v>938</v>
      </c>
      <c r="F227" s="696" t="s">
        <v>998</v>
      </c>
    </row>
    <row r="228" spans="1:6" ht="19.149999999999999" customHeight="1">
      <c r="A228" s="141"/>
      <c r="B228" s="337" t="s">
        <v>944</v>
      </c>
      <c r="C228" s="152" t="s">
        <v>994</v>
      </c>
      <c r="D228" s="499">
        <f>1/((LN(RNTCR/_R25)/B25_85)+(1/298.15)) - 273.15</f>
        <v>61.948903137959348</v>
      </c>
      <c r="E228" s="154" t="s">
        <v>938</v>
      </c>
      <c r="F228" s="696"/>
    </row>
    <row r="229" spans="1:6" ht="4.9000000000000004" customHeight="1">
      <c r="A229" s="141"/>
      <c r="B229" s="323"/>
      <c r="C229" s="500"/>
      <c r="D229" s="501"/>
      <c r="E229" s="324"/>
      <c r="F229" s="502"/>
    </row>
    <row r="230" spans="1:6" ht="19.149999999999999" customHeight="1">
      <c r="A230" s="141"/>
      <c r="B230" s="496" t="s">
        <v>945</v>
      </c>
      <c r="C230" s="497" t="s">
        <v>995</v>
      </c>
      <c r="D230" s="498">
        <f>1/((LN(RNTCTH_max/(_R25*(1+ -0.01*KRtol)))/(B25_85*(1- -0.01*KBtol)))+(1/298.15)) - 273.15</f>
        <v>81.310890951328645</v>
      </c>
      <c r="E230" s="463" t="s">
        <v>938</v>
      </c>
      <c r="F230" s="696" t="s">
        <v>999</v>
      </c>
    </row>
    <row r="231" spans="1:6" ht="19.149999999999999" customHeight="1" thickBot="1">
      <c r="A231" s="141"/>
      <c r="B231" s="333" t="s">
        <v>946</v>
      </c>
      <c r="C231" s="216" t="s">
        <v>996</v>
      </c>
      <c r="D231" s="503">
        <f>1/((LN(RNTCR_max/(_R25*(1+ -0.01*KRtol)))/(B25_85*(1- -0.01*KBtol)))+(1/298.15)) - 273.15</f>
        <v>56.76290924025119</v>
      </c>
      <c r="E231" s="226" t="s">
        <v>938</v>
      </c>
      <c r="F231" s="697"/>
    </row>
    <row r="232" spans="1:6">
      <c r="A232" s="11"/>
    </row>
    <row r="233" spans="1:6">
      <c r="A233" s="11"/>
    </row>
    <row r="234" spans="1:6">
      <c r="A234" s="11"/>
    </row>
    <row r="235" spans="1:6">
      <c r="A235" s="11"/>
    </row>
    <row r="236" spans="1:6">
      <c r="A236" s="11"/>
    </row>
    <row r="237" spans="1:6">
      <c r="A237" s="11"/>
    </row>
    <row r="238" spans="1:6">
      <c r="A238" s="11"/>
    </row>
    <row r="239" spans="1:6">
      <c r="A239" s="11"/>
    </row>
    <row r="240" spans="1:6">
      <c r="A240" s="11"/>
    </row>
    <row r="241" spans="1:1">
      <c r="A241" s="11"/>
    </row>
    <row r="242" spans="1:1">
      <c r="A242" s="11"/>
    </row>
    <row r="243" spans="1:1">
      <c r="A243" s="11"/>
    </row>
    <row r="244" spans="1:1">
      <c r="A244" s="11"/>
    </row>
    <row r="245" spans="1:1">
      <c r="A245" s="11"/>
    </row>
    <row r="246" spans="1:1">
      <c r="A246" s="11"/>
    </row>
    <row r="247" spans="1:1">
      <c r="A247" s="11"/>
    </row>
    <row r="248" spans="1:1">
      <c r="A248" s="11"/>
    </row>
    <row r="249" spans="1:1">
      <c r="A249" s="11"/>
    </row>
    <row r="250" spans="1:1">
      <c r="A250" s="11"/>
    </row>
    <row r="251" spans="1:1">
      <c r="A251" s="11"/>
    </row>
    <row r="252" spans="1:1">
      <c r="A252" s="11"/>
    </row>
    <row r="253" spans="1:1">
      <c r="A253" s="11"/>
    </row>
    <row r="254" spans="1:1">
      <c r="A254" s="11"/>
    </row>
    <row r="255" spans="1:1">
      <c r="A255" s="11"/>
    </row>
    <row r="256" spans="1:1">
      <c r="A256" s="11"/>
    </row>
    <row r="257" spans="1:1">
      <c r="A257" s="11"/>
    </row>
    <row r="258" spans="1:1">
      <c r="A258" s="11"/>
    </row>
    <row r="259" spans="1:1">
      <c r="A259" s="11"/>
    </row>
    <row r="260" spans="1:1">
      <c r="A260" s="11"/>
    </row>
    <row r="261" spans="1:1">
      <c r="A261" s="11"/>
    </row>
    <row r="262" spans="1:1">
      <c r="A262" s="11"/>
    </row>
    <row r="263" spans="1:1">
      <c r="A263" s="11"/>
    </row>
    <row r="264" spans="1:1">
      <c r="A264" s="11"/>
    </row>
    <row r="265" spans="1:1">
      <c r="A265" s="11"/>
    </row>
    <row r="266" spans="1:1">
      <c r="A266" s="11"/>
    </row>
    <row r="267" spans="1:1">
      <c r="A267" s="11"/>
    </row>
    <row r="268" spans="1:1">
      <c r="A268" s="11"/>
    </row>
    <row r="269" spans="1:1">
      <c r="A269" s="11"/>
    </row>
    <row r="270" spans="1:1">
      <c r="A270" s="11"/>
    </row>
    <row r="271" spans="1:1">
      <c r="A271" s="11"/>
    </row>
    <row r="272" spans="1:1">
      <c r="A272" s="11"/>
    </row>
    <row r="273" spans="1:1">
      <c r="A273" s="11"/>
    </row>
    <row r="274" spans="1:1">
      <c r="A274" s="11"/>
    </row>
    <row r="275" spans="1:1">
      <c r="A275" s="11"/>
    </row>
    <row r="276" spans="1:1">
      <c r="A276" s="11"/>
    </row>
    <row r="277" spans="1:1">
      <c r="A277" s="11"/>
    </row>
    <row r="278" spans="1:1">
      <c r="A278" s="11"/>
    </row>
    <row r="279" spans="1:1">
      <c r="A279" s="11"/>
    </row>
    <row r="280" spans="1:1">
      <c r="A280" s="11"/>
    </row>
    <row r="281" spans="1:1">
      <c r="A281" s="11"/>
    </row>
    <row r="282" spans="1:1">
      <c r="A282" s="11"/>
    </row>
    <row r="283" spans="1:1">
      <c r="A283" s="11"/>
    </row>
    <row r="284" spans="1:1">
      <c r="A284" s="11"/>
    </row>
    <row r="285" spans="1:1">
      <c r="A285" s="11"/>
    </row>
    <row r="286" spans="1:1">
      <c r="A286" s="11"/>
    </row>
    <row r="287" spans="1:1">
      <c r="A287" s="11"/>
    </row>
    <row r="288" spans="1:1">
      <c r="A288" s="11"/>
    </row>
    <row r="289" spans="1:1">
      <c r="A289" s="11"/>
    </row>
    <row r="290" spans="1:1">
      <c r="A290" s="11"/>
    </row>
    <row r="291" spans="1:1">
      <c r="A291" s="11"/>
    </row>
    <row r="292" spans="1:1">
      <c r="A292" s="11"/>
    </row>
    <row r="293" spans="1:1">
      <c r="A293" s="11"/>
    </row>
    <row r="294" spans="1:1">
      <c r="A294" s="11"/>
    </row>
    <row r="295" spans="1:1">
      <c r="A295" s="11"/>
    </row>
    <row r="296" spans="1:1">
      <c r="A296" s="11"/>
    </row>
    <row r="297" spans="1:1">
      <c r="A297" s="11"/>
    </row>
    <row r="298" spans="1:1">
      <c r="A298" s="11"/>
    </row>
    <row r="299" spans="1:1">
      <c r="A299" s="11"/>
    </row>
    <row r="300" spans="1:1">
      <c r="A300" s="11"/>
    </row>
    <row r="301" spans="1:1">
      <c r="A301" s="11"/>
    </row>
    <row r="302" spans="1:1">
      <c r="A302" s="11"/>
    </row>
    <row r="303" spans="1:1">
      <c r="A303" s="11"/>
    </row>
    <row r="304" spans="1:1">
      <c r="A304" s="11"/>
    </row>
    <row r="305" spans="1:1">
      <c r="A305" s="11"/>
    </row>
    <row r="306" spans="1:1">
      <c r="A306" s="11"/>
    </row>
    <row r="307" spans="1:1">
      <c r="A307" s="11"/>
    </row>
    <row r="308" spans="1:1">
      <c r="A308" s="11"/>
    </row>
    <row r="309" spans="1:1">
      <c r="A309" s="11"/>
    </row>
    <row r="310" spans="1:1">
      <c r="A310" s="11"/>
    </row>
    <row r="311" spans="1:1">
      <c r="A311" s="11"/>
    </row>
    <row r="312" spans="1:1">
      <c r="A312" s="11"/>
    </row>
    <row r="313" spans="1:1">
      <c r="A313" s="11"/>
    </row>
    <row r="314" spans="1:1">
      <c r="A314" s="11"/>
    </row>
    <row r="315" spans="1:1">
      <c r="A315" s="11"/>
    </row>
    <row r="316" spans="1:1">
      <c r="A316" s="11"/>
    </row>
    <row r="317" spans="1:1">
      <c r="A317" s="11"/>
    </row>
    <row r="318" spans="1:1">
      <c r="A318" s="11"/>
    </row>
  </sheetData>
  <sheetProtection algorithmName="SHA-512" hashValue="96WSTU1IbWkuJSl4GZFOKi0giSmxOkMFOF9P8oHTZ+tEYjjBavPIxZUStcoD6fj4k7PFd7gJ9I8XqG8akV+fEg==" saltValue="sx/mVynBfAxnKtGY965H1w==" spinCount="100000" sheet="1" selectLockedCells="1"/>
  <mergeCells count="22">
    <mergeCell ref="C222:D222"/>
    <mergeCell ref="F224:F225"/>
    <mergeCell ref="F227:F228"/>
    <mergeCell ref="F230:F231"/>
    <mergeCell ref="E47:F47"/>
    <mergeCell ref="E48:F48"/>
    <mergeCell ref="E139:F139"/>
    <mergeCell ref="E141:F141"/>
    <mergeCell ref="E149:F149"/>
    <mergeCell ref="E137:F137"/>
    <mergeCell ref="E134:F134"/>
    <mergeCell ref="C193:D193"/>
    <mergeCell ref="F182:F184"/>
    <mergeCell ref="E160:F160"/>
    <mergeCell ref="E178:F178"/>
    <mergeCell ref="E161:F161"/>
    <mergeCell ref="E169:F169"/>
    <mergeCell ref="B2:F2"/>
    <mergeCell ref="B46:F46"/>
    <mergeCell ref="B66:F66"/>
    <mergeCell ref="B75:F75"/>
    <mergeCell ref="E124:F124"/>
  </mergeCells>
  <phoneticPr fontId="32" type="noConversion"/>
  <conditionalFormatting sqref="F120">
    <cfRule type="containsText" dxfId="3" priority="4" operator="containsText" text="Beware">
      <formula>NOT(ISERROR(SEARCH("Beware",F120)))</formula>
    </cfRule>
  </conditionalFormatting>
  <conditionalFormatting sqref="F126">
    <cfRule type="containsText" dxfId="2" priority="3" operator="containsText" text="Beware">
      <formula>NOT(ISERROR(SEARCH("Beware",F126)))</formula>
    </cfRule>
  </conditionalFormatting>
  <conditionalFormatting sqref="F131">
    <cfRule type="containsText" dxfId="1" priority="2" operator="containsText" text="Beware">
      <formula>NOT(ISERROR(SEARCH("Beware",F131)))</formula>
    </cfRule>
  </conditionalFormatting>
  <conditionalFormatting sqref="F190">
    <cfRule type="containsText" dxfId="0" priority="1" operator="containsText" text="Beware">
      <formula>NOT(ISERROR(SEARCH("Beware",F190)))</formula>
    </cfRule>
  </conditionalFormatting>
  <pageMargins left="0.7" right="0.7" top="0.75" bottom="0.75" header="0.3" footer="0.3"/>
  <pageSetup orientation="portrait" r:id="rId1"/>
  <drawing r:id="rId2"/>
  <legacyDrawing r:id="rId3"/>
  <oleObjects>
    <mc:AlternateContent xmlns:mc="http://schemas.openxmlformats.org/markup-compatibility/2006">
      <mc:Choice Requires="x14">
        <oleObject progId="Visio.Drawing.15" shapeId="4173" r:id="rId4">
          <objectPr defaultSize="0" autoPict="0" r:id="rId5">
            <anchor moveWithCells="1">
              <from>
                <xdr:col>6</xdr:col>
                <xdr:colOff>114300</xdr:colOff>
                <xdr:row>79</xdr:row>
                <xdr:rowOff>19050</xdr:rowOff>
              </from>
              <to>
                <xdr:col>12</xdr:col>
                <xdr:colOff>228600</xdr:colOff>
                <xdr:row>90</xdr:row>
                <xdr:rowOff>152400</xdr:rowOff>
              </to>
            </anchor>
          </objectPr>
        </oleObject>
      </mc:Choice>
      <mc:Fallback>
        <oleObject progId="Visio.Drawing.15" shapeId="41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2:M33"/>
  <sheetViews>
    <sheetView zoomScaleNormal="100" workbookViewId="0">
      <selection activeCell="C24" sqref="C24"/>
    </sheetView>
  </sheetViews>
  <sheetFormatPr defaultRowHeight="15"/>
  <cols>
    <col min="1" max="1" width="3.7109375" customWidth="1"/>
    <col min="2" max="2" width="19.7109375" customWidth="1"/>
    <col min="4" max="4" width="5.7109375" customWidth="1"/>
    <col min="5" max="5" width="58.7109375" customWidth="1"/>
    <col min="13" max="13" width="8.85546875" customWidth="1"/>
  </cols>
  <sheetData>
    <row r="2" spans="2:13">
      <c r="B2" s="709" t="s">
        <v>1035</v>
      </c>
      <c r="C2" s="709"/>
      <c r="F2" s="572"/>
    </row>
    <row r="3" spans="2:13" ht="18.75">
      <c r="B3" s="75" t="s">
        <v>1107</v>
      </c>
      <c r="F3" s="572"/>
      <c r="M3" s="412"/>
    </row>
    <row r="4" spans="2:13" ht="18.75">
      <c r="B4" s="75" t="s">
        <v>1036</v>
      </c>
      <c r="F4" s="572"/>
      <c r="M4" s="75"/>
    </row>
    <row r="5" spans="2:13" ht="18.75">
      <c r="B5" s="75" t="s">
        <v>1038</v>
      </c>
      <c r="F5" s="572"/>
      <c r="M5" s="75"/>
    </row>
    <row r="6" spans="2:13" ht="18.75">
      <c r="B6" s="75" t="s">
        <v>915</v>
      </c>
      <c r="F6" s="542"/>
      <c r="M6" s="75"/>
    </row>
    <row r="7" spans="2:13" ht="18.75">
      <c r="B7" s="75" t="s">
        <v>794</v>
      </c>
      <c r="F7" s="542"/>
      <c r="M7" s="75"/>
    </row>
    <row r="8" spans="2:13" ht="18.75">
      <c r="B8" s="75" t="s">
        <v>1039</v>
      </c>
      <c r="F8" s="572"/>
    </row>
    <row r="9" spans="2:13" ht="18.75">
      <c r="B9" s="75" t="s">
        <v>1037</v>
      </c>
      <c r="F9" s="542"/>
    </row>
    <row r="10" spans="2:13" ht="18.75">
      <c r="B10" s="75" t="s">
        <v>1040</v>
      </c>
      <c r="F10" s="572"/>
    </row>
    <row r="11" spans="2:13">
      <c r="F11" s="542"/>
    </row>
    <row r="12" spans="2:13" ht="19.899999999999999" customHeight="1">
      <c r="B12" s="382" t="s">
        <v>803</v>
      </c>
      <c r="C12" s="383" t="s">
        <v>747</v>
      </c>
      <c r="D12" s="384" t="s">
        <v>801</v>
      </c>
      <c r="E12" s="420" t="s">
        <v>800</v>
      </c>
      <c r="F12" s="542"/>
    </row>
    <row r="13" spans="2:13" ht="19.899999999999999" customHeight="1">
      <c r="B13" s="382" t="s">
        <v>799</v>
      </c>
      <c r="C13" s="383">
        <f>VREF</f>
        <v>5</v>
      </c>
      <c r="D13" s="384" t="s">
        <v>6</v>
      </c>
      <c r="E13" s="420" t="s">
        <v>739</v>
      </c>
      <c r="F13" s="542"/>
    </row>
    <row r="14" spans="2:13" ht="19.899999999999999" customHeight="1">
      <c r="B14" s="382" t="s">
        <v>741</v>
      </c>
      <c r="C14" s="383">
        <v>5</v>
      </c>
      <c r="D14" s="384" t="s">
        <v>165</v>
      </c>
      <c r="E14" s="420" t="s">
        <v>739</v>
      </c>
      <c r="F14" s="542"/>
    </row>
    <row r="15" spans="2:13" ht="19.899999999999999" customHeight="1">
      <c r="B15" s="382" t="s">
        <v>743</v>
      </c>
      <c r="C15" s="383">
        <v>2.7</v>
      </c>
      <c r="D15" s="384" t="s">
        <v>165</v>
      </c>
      <c r="E15" s="420" t="s">
        <v>739</v>
      </c>
      <c r="F15" s="542"/>
    </row>
    <row r="16" spans="2:13" ht="19.899999999999999" customHeight="1">
      <c r="B16" s="382" t="s">
        <v>1043</v>
      </c>
      <c r="C16" s="383">
        <f>BUR</f>
        <v>40</v>
      </c>
      <c r="D16" s="384" t="s">
        <v>371</v>
      </c>
      <c r="E16" s="420" t="s">
        <v>1073</v>
      </c>
      <c r="F16" s="572"/>
    </row>
    <row r="17" spans="2:7" ht="19.899999999999999" customHeight="1">
      <c r="B17" s="382" t="s">
        <v>623</v>
      </c>
      <c r="C17" s="422">
        <f>VBUR_tgt</f>
        <v>0.7</v>
      </c>
      <c r="D17" s="384" t="s">
        <v>6</v>
      </c>
      <c r="E17" s="420" t="s">
        <v>1103</v>
      </c>
      <c r="F17" s="572"/>
      <c r="G17" s="135"/>
    </row>
    <row r="18" spans="2:7" ht="19.899999999999999" customHeight="1">
      <c r="B18" s="382" t="s">
        <v>740</v>
      </c>
      <c r="C18" s="478">
        <v>155</v>
      </c>
      <c r="D18" s="384" t="s">
        <v>738</v>
      </c>
      <c r="E18" s="420" t="s">
        <v>805</v>
      </c>
      <c r="F18" s="542"/>
      <c r="G18" s="476"/>
    </row>
    <row r="19" spans="2:7" ht="19.899999999999999" customHeight="1">
      <c r="B19" s="382" t="s">
        <v>744</v>
      </c>
      <c r="C19" s="387">
        <f>(C15/C14)*C18</f>
        <v>83.7</v>
      </c>
      <c r="D19" s="384" t="s">
        <v>738</v>
      </c>
      <c r="E19" s="420" t="s">
        <v>914</v>
      </c>
      <c r="F19" s="542"/>
    </row>
    <row r="20" spans="2:7" ht="7.15" customHeight="1">
      <c r="F20" s="542"/>
    </row>
    <row r="21" spans="2:7" ht="19.899999999999999" customHeight="1">
      <c r="B21" s="382" t="s">
        <v>742</v>
      </c>
      <c r="C21" s="386">
        <f>(C18/1000)/(C14/10^6)/1000</f>
        <v>30.999999999999996</v>
      </c>
      <c r="D21" s="384" t="s">
        <v>76</v>
      </c>
      <c r="E21" s="420" t="s">
        <v>1042</v>
      </c>
      <c r="F21" s="572"/>
    </row>
    <row r="22" spans="2:7" ht="19.899999999999999" customHeight="1">
      <c r="B22" s="382" t="s">
        <v>911</v>
      </c>
      <c r="C22" s="385">
        <f>(C17+C18/1000)/VREF</f>
        <v>0.17099999999999999</v>
      </c>
      <c r="D22" s="384"/>
      <c r="E22" s="420" t="s">
        <v>1041</v>
      </c>
      <c r="F22" s="572"/>
    </row>
    <row r="23" spans="2:7" ht="19.899999999999999" customHeight="1">
      <c r="B23" s="382" t="s">
        <v>631</v>
      </c>
      <c r="C23" s="386">
        <f>((C18/1000)/(C14/10^6))*(VREF/(C17+C18/1000))/1000</f>
        <v>181.28654970760232</v>
      </c>
      <c r="D23" s="384" t="s">
        <v>76</v>
      </c>
      <c r="E23" s="420" t="s">
        <v>913</v>
      </c>
    </row>
    <row r="24" spans="2:7" ht="19.899999999999999" customHeight="1">
      <c r="B24" s="382" t="s">
        <v>633</v>
      </c>
      <c r="C24" s="428">
        <v>162</v>
      </c>
      <c r="D24" s="384" t="s">
        <v>76</v>
      </c>
      <c r="E24" s="420" t="s">
        <v>802</v>
      </c>
    </row>
    <row r="25" spans="2:7" ht="19.899999999999999" customHeight="1">
      <c r="B25" s="382" t="s">
        <v>625</v>
      </c>
      <c r="C25" s="477">
        <f>C24*(C17+C18/1000)/(VREF-(C17+C18/1000))</f>
        <v>33.416164053075995</v>
      </c>
      <c r="D25" s="384" t="s">
        <v>76</v>
      </c>
      <c r="E25" s="420" t="s">
        <v>912</v>
      </c>
    </row>
    <row r="26" spans="2:7" ht="19.899999999999999" customHeight="1">
      <c r="B26" s="382" t="s">
        <v>627</v>
      </c>
      <c r="C26" s="428">
        <v>38.299999999999997</v>
      </c>
      <c r="D26" s="384" t="s">
        <v>76</v>
      </c>
      <c r="E26" s="420" t="s">
        <v>802</v>
      </c>
    </row>
    <row r="27" spans="2:7" ht="7.9" customHeight="1"/>
    <row r="28" spans="2:7" ht="33" customHeight="1">
      <c r="B28" s="144" t="s">
        <v>910</v>
      </c>
      <c r="C28" s="422">
        <f>VREF*RBUR2/(RBUR2+RBUR1) - (C14/10^6)*(RBUR1_act2*RBUR2_act2/(RBUR1_act2+RBUR2_act2))*1000</f>
        <v>0.8011832251622566</v>
      </c>
      <c r="D28" s="384" t="s">
        <v>6</v>
      </c>
      <c r="E28" s="514" t="s">
        <v>1024</v>
      </c>
    </row>
    <row r="29" spans="2:7" ht="33" customHeight="1">
      <c r="B29" s="382" t="s">
        <v>740</v>
      </c>
      <c r="C29" s="387">
        <f>C14*(C26*C24)/(C26+C24)</f>
        <v>154.88267598602093</v>
      </c>
      <c r="D29" s="384" t="s">
        <v>738</v>
      </c>
      <c r="E29" s="421" t="s">
        <v>1033</v>
      </c>
      <c r="F29" s="572"/>
      <c r="G29" s="135"/>
    </row>
    <row r="30" spans="2:7" ht="33" customHeight="1">
      <c r="B30" s="382" t="s">
        <v>744</v>
      </c>
      <c r="C30" s="387">
        <f>C15*(C26*C24)/(C26+C24)</f>
        <v>83.636645032451312</v>
      </c>
      <c r="D30" s="384" t="s">
        <v>738</v>
      </c>
      <c r="E30" s="421" t="s">
        <v>1034</v>
      </c>
      <c r="F30" s="572"/>
      <c r="G30" s="135"/>
    </row>
    <row r="31" spans="2:7" ht="18">
      <c r="C31" s="426"/>
      <c r="D31" s="399"/>
      <c r="E31" s="425"/>
      <c r="G31" s="424"/>
    </row>
    <row r="32" spans="2:7">
      <c r="G32" s="423"/>
    </row>
    <row r="33" spans="3:5">
      <c r="C33" s="476"/>
      <c r="D33" s="399"/>
      <c r="E33" s="476"/>
    </row>
  </sheetData>
  <sheetProtection algorithmName="SHA-512" hashValue="itegdwm7ydlOxJu7rn7G2FhO3e5kF385dXqfIxXGN8JyopsyyUYwf4uwQwh/vx8mLmlVuGVNJ7dQcSnydsvFSw==" saltValue="djQlmx1yNlBSoGQ0D66jgw==" spinCount="100000" sheet="1" selectLockedCells="1"/>
  <mergeCells count="1">
    <mergeCell ref="B2:C2"/>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69"/>
  <sheetViews>
    <sheetView zoomScaleNormal="100" workbookViewId="0">
      <selection activeCell="E7" sqref="E7:G7"/>
    </sheetView>
  </sheetViews>
  <sheetFormatPr defaultRowHeight="15"/>
  <cols>
    <col min="1" max="1" width="3.7109375" customWidth="1"/>
    <col min="2" max="2" width="9" customWidth="1"/>
    <col min="3" max="3" width="14.140625" bestFit="1" customWidth="1"/>
    <col min="4" max="4" width="11.42578125" customWidth="1"/>
    <col min="5" max="7" width="7.7109375" customWidth="1"/>
    <col min="8" max="8" width="5.7109375" customWidth="1"/>
    <col min="9" max="9" width="10.28515625" bestFit="1" customWidth="1"/>
    <col min="13" max="13" width="9.7109375" customWidth="1"/>
    <col min="14" max="14" width="11.140625" customWidth="1"/>
    <col min="15" max="15" width="10.28515625" bestFit="1" customWidth="1"/>
  </cols>
  <sheetData>
    <row r="2" spans="1:18" ht="27.75">
      <c r="B2" s="121" t="s">
        <v>734</v>
      </c>
      <c r="N2" s="21"/>
      <c r="R2" s="119"/>
    </row>
    <row r="3" spans="1:18">
      <c r="O3" s="122"/>
    </row>
    <row r="4" spans="1:18">
      <c r="F4" s="19"/>
      <c r="G4" s="19"/>
      <c r="H4" s="19"/>
      <c r="J4" s="19"/>
      <c r="K4" s="19"/>
      <c r="O4" s="122" t="s">
        <v>1109</v>
      </c>
    </row>
    <row r="5" spans="1:18" ht="19.149999999999999" customHeight="1">
      <c r="B5" s="123" t="s">
        <v>238</v>
      </c>
      <c r="C5" s="123"/>
      <c r="D5" s="123"/>
      <c r="E5" s="123"/>
      <c r="F5" s="19"/>
      <c r="G5" s="19"/>
      <c r="I5" s="124"/>
    </row>
    <row r="6" spans="1:18" ht="18" customHeight="1">
      <c r="B6" s="714" t="s">
        <v>339</v>
      </c>
      <c r="C6" s="714"/>
      <c r="D6" s="714"/>
      <c r="E6" s="722" t="s">
        <v>1175</v>
      </c>
      <c r="F6" s="723"/>
      <c r="G6" s="723"/>
      <c r="H6" s="724"/>
      <c r="I6" s="718"/>
      <c r="J6" s="718"/>
      <c r="K6" s="718"/>
      <c r="L6" s="718"/>
      <c r="M6" s="718"/>
      <c r="N6" s="718"/>
    </row>
    <row r="7" spans="1:18" ht="18" customHeight="1">
      <c r="B7" s="714" t="s">
        <v>492</v>
      </c>
      <c r="C7" s="714"/>
      <c r="D7" s="714"/>
      <c r="E7" s="713">
        <v>-70</v>
      </c>
      <c r="F7" s="713"/>
      <c r="G7" s="713"/>
      <c r="H7" s="377" t="s">
        <v>113</v>
      </c>
      <c r="I7" s="714" t="s">
        <v>737</v>
      </c>
      <c r="J7" s="714"/>
      <c r="K7" s="714"/>
      <c r="L7" s="714"/>
      <c r="M7" s="714"/>
      <c r="N7" s="714"/>
    </row>
    <row r="8" spans="1:18" ht="18" customHeight="1">
      <c r="A8" s="19"/>
      <c r="B8" s="714" t="s">
        <v>1177</v>
      </c>
      <c r="C8" s="714"/>
      <c r="D8" s="714"/>
      <c r="E8" s="715">
        <f>(((NPS^2)/(4*(3.1416^2)*LK_act*10^-6*(fsw_OPP_min*1000)^2))*10^6)</f>
        <v>31.294120291770838</v>
      </c>
      <c r="F8" s="715"/>
      <c r="G8" s="715"/>
      <c r="H8" s="40" t="s">
        <v>54</v>
      </c>
      <c r="I8" s="714" t="s">
        <v>1028</v>
      </c>
      <c r="J8" s="714"/>
      <c r="K8" s="714"/>
      <c r="L8" s="714"/>
      <c r="M8" s="714"/>
      <c r="N8" s="714"/>
    </row>
    <row r="9" spans="1:18" ht="18" customHeight="1">
      <c r="A9" s="19"/>
      <c r="B9" s="710" t="s">
        <v>1179</v>
      </c>
      <c r="C9" s="711"/>
      <c r="D9" s="712"/>
      <c r="E9" s="730">
        <f>(((NPS^2)/(4*(3.1416^2)*LK_act*10^-6*(fsw_OPP_min*1000)^2))*10^6)/((100+Co1_dec)/100)</f>
        <v>104.3137343059028</v>
      </c>
      <c r="F9" s="731"/>
      <c r="G9" s="732"/>
      <c r="H9" s="40" t="s">
        <v>54</v>
      </c>
      <c r="I9" s="710" t="s">
        <v>1180</v>
      </c>
      <c r="J9" s="711"/>
      <c r="K9" s="711"/>
      <c r="L9" s="711"/>
      <c r="M9" s="711"/>
      <c r="N9" s="712"/>
    </row>
    <row r="10" spans="1:18" ht="18" customHeight="1">
      <c r="A10" s="19"/>
      <c r="B10" s="710" t="s">
        <v>1176</v>
      </c>
      <c r="C10" s="711"/>
      <c r="D10" s="712"/>
      <c r="E10" s="713">
        <v>165</v>
      </c>
      <c r="F10" s="713"/>
      <c r="G10" s="713"/>
      <c r="H10" s="40" t="s">
        <v>54</v>
      </c>
      <c r="I10" s="714" t="s">
        <v>338</v>
      </c>
      <c r="J10" s="714"/>
      <c r="K10" s="714"/>
      <c r="L10" s="714"/>
      <c r="M10" s="714"/>
      <c r="N10" s="714"/>
    </row>
    <row r="11" spans="1:18" ht="18" customHeight="1">
      <c r="A11" s="19"/>
      <c r="B11" s="714" t="s">
        <v>1178</v>
      </c>
      <c r="C11" s="714"/>
      <c r="D11" s="714"/>
      <c r="E11" s="716">
        <f>E10*(1+(Co1_dec/100))</f>
        <v>49.500000000000007</v>
      </c>
      <c r="F11" s="716"/>
      <c r="G11" s="716"/>
      <c r="H11" s="40" t="s">
        <v>54</v>
      </c>
      <c r="I11" s="714" t="s">
        <v>1029</v>
      </c>
      <c r="J11" s="714"/>
      <c r="K11" s="714"/>
      <c r="L11" s="714"/>
      <c r="M11" s="714"/>
      <c r="N11" s="714"/>
    </row>
    <row r="12" spans="1:18" ht="12" customHeight="1">
      <c r="A12" s="19"/>
      <c r="B12" s="125"/>
      <c r="C12" s="125"/>
      <c r="D12" s="125"/>
      <c r="E12" s="126"/>
      <c r="F12" s="126"/>
      <c r="G12" s="126"/>
      <c r="H12" s="126"/>
      <c r="I12" s="127"/>
      <c r="J12" s="128"/>
      <c r="K12" s="12"/>
      <c r="L12" s="12"/>
      <c r="M12" s="12"/>
    </row>
    <row r="13" spans="1:18" ht="18" customHeight="1">
      <c r="A13" s="19"/>
      <c r="B13" s="718" t="s">
        <v>489</v>
      </c>
      <c r="C13" s="718"/>
      <c r="D13" s="718"/>
      <c r="E13" s="719">
        <f>(1/((2*3.1416*1000*fsw_OPP_min)^2*Co_1*10^-6)-1/((2*3.1416*1000*fsw_OPP_min)^2*COUT*10^-6)-0.001*RCO/(2*3.1416*fsw_OPP_min*1000))*10^6*10</f>
        <v>0.2118183310531305</v>
      </c>
      <c r="F13" s="719"/>
      <c r="G13" s="719"/>
      <c r="H13" s="41" t="s">
        <v>114</v>
      </c>
      <c r="I13" s="729"/>
      <c r="J13" s="729"/>
      <c r="K13" s="729"/>
      <c r="L13" s="729"/>
      <c r="M13" s="729"/>
      <c r="N13" s="729"/>
      <c r="O13" s="21"/>
      <c r="P13" s="122"/>
      <c r="R13" s="119"/>
    </row>
    <row r="14" spans="1:18" ht="18" customHeight="1">
      <c r="A14" s="19"/>
      <c r="B14" s="718" t="s">
        <v>490</v>
      </c>
      <c r="C14" s="718"/>
      <c r="D14" s="718"/>
      <c r="E14" s="713">
        <v>1</v>
      </c>
      <c r="F14" s="713"/>
      <c r="G14" s="713"/>
      <c r="H14" s="41" t="s">
        <v>114</v>
      </c>
      <c r="I14" s="718" t="s">
        <v>1068</v>
      </c>
      <c r="J14" s="718"/>
      <c r="K14" s="718"/>
      <c r="L14" s="718"/>
      <c r="M14" s="718"/>
      <c r="N14" s="718"/>
      <c r="O14" s="21"/>
    </row>
    <row r="15" spans="1:18" ht="12" customHeight="1">
      <c r="A15" s="19"/>
      <c r="B15" s="125"/>
      <c r="C15" s="125"/>
      <c r="D15" s="125"/>
      <c r="E15" s="126"/>
      <c r="F15" s="126"/>
      <c r="G15" s="126"/>
      <c r="H15" s="126"/>
      <c r="I15" s="128"/>
      <c r="J15" s="128"/>
      <c r="K15" s="12"/>
      <c r="L15" s="12"/>
      <c r="M15" s="12"/>
      <c r="O15" t="s">
        <v>357</v>
      </c>
    </row>
    <row r="16" spans="1:18" ht="18" customHeight="1">
      <c r="A16" s="19"/>
      <c r="B16" s="714" t="s">
        <v>189</v>
      </c>
      <c r="C16" s="714"/>
      <c r="D16" s="714"/>
      <c r="E16" s="717">
        <f>Lo*0.13</f>
        <v>0.13</v>
      </c>
      <c r="F16" s="717"/>
      <c r="G16" s="717"/>
      <c r="H16" s="40" t="s">
        <v>114</v>
      </c>
      <c r="I16" s="725" t="s">
        <v>1127</v>
      </c>
      <c r="J16" s="725"/>
      <c r="K16" s="725"/>
      <c r="L16" s="725"/>
      <c r="M16" s="725"/>
      <c r="N16" s="725"/>
      <c r="P16" s="119"/>
    </row>
    <row r="17" spans="1:18" ht="18" customHeight="1">
      <c r="A17" s="19"/>
      <c r="B17" s="714" t="s">
        <v>190</v>
      </c>
      <c r="C17" s="714"/>
      <c r="D17" s="714"/>
      <c r="E17" s="713">
        <v>0.68</v>
      </c>
      <c r="F17" s="713"/>
      <c r="G17" s="713"/>
      <c r="H17" s="40" t="s">
        <v>20</v>
      </c>
      <c r="I17" s="714" t="s">
        <v>358</v>
      </c>
      <c r="J17" s="714"/>
      <c r="K17" s="714"/>
      <c r="L17" s="714"/>
      <c r="M17" s="714"/>
      <c r="N17" s="714"/>
    </row>
    <row r="18" spans="1:18" ht="18" customHeight="1">
      <c r="A18" s="19"/>
      <c r="B18" s="714" t="s">
        <v>191</v>
      </c>
      <c r="C18" s="714"/>
      <c r="D18" s="714"/>
      <c r="E18" s="719">
        <f>SQRT(Lo/(Co_1))</f>
        <v>0.14213381090374028</v>
      </c>
      <c r="F18" s="719"/>
      <c r="G18" s="719"/>
      <c r="H18" s="40" t="s">
        <v>31</v>
      </c>
      <c r="I18" s="726" t="s">
        <v>491</v>
      </c>
      <c r="J18" s="727"/>
      <c r="K18" s="727"/>
      <c r="L18" s="727"/>
      <c r="M18" s="727"/>
      <c r="N18" s="728"/>
      <c r="R18" s="119"/>
    </row>
    <row r="19" spans="1:18" ht="18" customHeight="1">
      <c r="A19" s="19"/>
      <c r="B19" s="714" t="s">
        <v>192</v>
      </c>
      <c r="C19" s="714"/>
      <c r="D19" s="714"/>
      <c r="E19" s="713">
        <v>0.67</v>
      </c>
      <c r="F19" s="713"/>
      <c r="G19" s="713"/>
      <c r="H19" s="40" t="s">
        <v>168</v>
      </c>
      <c r="I19" s="718" t="s">
        <v>1128</v>
      </c>
      <c r="J19" s="718"/>
      <c r="K19" s="718"/>
      <c r="L19" s="718"/>
      <c r="M19" s="718"/>
      <c r="N19" s="718"/>
      <c r="Q19" s="119"/>
    </row>
    <row r="20" spans="1:18">
      <c r="A20" s="19"/>
      <c r="B20" s="129"/>
      <c r="C20" s="129"/>
      <c r="D20" s="129"/>
      <c r="I20" s="19"/>
      <c r="J20" s="19"/>
      <c r="K20" s="19"/>
      <c r="L20" s="19"/>
      <c r="M20" s="19"/>
    </row>
    <row r="21" spans="1:18">
      <c r="B21" s="75"/>
      <c r="C21" s="75"/>
      <c r="D21" s="75"/>
      <c r="E21" s="75"/>
      <c r="F21" s="75"/>
      <c r="G21" s="75"/>
      <c r="H21" s="75"/>
      <c r="I21" s="75"/>
      <c r="J21" s="75"/>
      <c r="K21" s="75"/>
      <c r="L21" s="75"/>
      <c r="M21" s="75"/>
      <c r="N21" s="75"/>
    </row>
    <row r="22" spans="1:18" ht="16.5">
      <c r="B22" s="130" t="s">
        <v>736</v>
      </c>
      <c r="C22" s="120"/>
      <c r="D22" s="75"/>
      <c r="E22" s="75"/>
      <c r="F22" s="75"/>
      <c r="G22" s="75"/>
      <c r="H22" s="75"/>
      <c r="I22" s="75"/>
      <c r="J22" s="75"/>
      <c r="K22" s="75"/>
      <c r="L22" s="75"/>
      <c r="M22" s="75"/>
      <c r="N22" s="75"/>
    </row>
    <row r="23" spans="1:18" ht="18.75">
      <c r="B23" s="75" t="s">
        <v>1129</v>
      </c>
      <c r="C23" s="75"/>
      <c r="D23" s="75"/>
      <c r="E23" s="75"/>
      <c r="F23" s="75"/>
      <c r="G23" s="75"/>
      <c r="H23" s="75"/>
      <c r="I23" s="75"/>
      <c r="J23" s="75"/>
      <c r="K23" s="75"/>
      <c r="L23" s="75"/>
      <c r="M23" s="75"/>
      <c r="N23" s="75"/>
    </row>
    <row r="24" spans="1:18" ht="18.75">
      <c r="B24" s="75" t="s">
        <v>1030</v>
      </c>
      <c r="C24" s="75"/>
      <c r="D24" s="75"/>
      <c r="E24" s="75"/>
      <c r="F24" s="75"/>
      <c r="G24" s="75"/>
      <c r="H24" s="75"/>
      <c r="I24" s="132"/>
      <c r="J24" s="132"/>
      <c r="K24" s="132"/>
      <c r="L24" s="75"/>
      <c r="M24" s="75"/>
      <c r="N24" s="75"/>
    </row>
    <row r="25" spans="1:18">
      <c r="B25" s="75"/>
      <c r="C25" s="75"/>
      <c r="D25" s="75"/>
      <c r="E25" s="75"/>
      <c r="F25" s="75"/>
      <c r="G25" s="75"/>
      <c r="H25" s="75"/>
      <c r="I25" s="75"/>
      <c r="J25" s="75"/>
      <c r="K25" s="75"/>
      <c r="L25" s="75"/>
      <c r="M25" s="75"/>
      <c r="N25" s="75"/>
    </row>
    <row r="26" spans="1:18" ht="18.75">
      <c r="B26" s="75"/>
      <c r="C26" s="75"/>
      <c r="D26" s="75"/>
      <c r="E26" s="75"/>
      <c r="F26" s="75"/>
      <c r="G26" s="75"/>
      <c r="H26" s="721" t="s">
        <v>240</v>
      </c>
      <c r="I26" s="721"/>
      <c r="J26" s="75"/>
      <c r="K26" s="75"/>
      <c r="L26" s="75"/>
      <c r="M26" s="75"/>
      <c r="N26" s="75"/>
    </row>
    <row r="41" spans="1:16">
      <c r="A41" s="131"/>
      <c r="B41" s="131"/>
      <c r="C41" s="131"/>
      <c r="D41" s="131"/>
      <c r="E41" s="131"/>
    </row>
    <row r="42" spans="1:16" ht="13.9" customHeight="1">
      <c r="A42" s="131"/>
      <c r="B42" s="130" t="s">
        <v>735</v>
      </c>
      <c r="C42" s="131"/>
      <c r="E42" s="720" t="s">
        <v>136</v>
      </c>
      <c r="F42" s="720"/>
      <c r="G42" s="720"/>
      <c r="H42" s="75">
        <f>E16</f>
        <v>0.13</v>
      </c>
      <c r="I42" s="75" t="s">
        <v>11</v>
      </c>
      <c r="J42" s="75"/>
      <c r="K42" s="132"/>
      <c r="L42" s="132"/>
      <c r="N42" s="75"/>
      <c r="O42" s="75"/>
      <c r="P42" s="75"/>
    </row>
    <row r="43" spans="1:16" ht="4.9000000000000004" customHeight="1">
      <c r="A43" s="131"/>
      <c r="B43" s="130"/>
      <c r="C43" s="131"/>
      <c r="E43" s="381"/>
      <c r="F43" s="381"/>
      <c r="G43" s="381"/>
      <c r="H43" s="75"/>
      <c r="I43" s="75"/>
      <c r="J43" s="75"/>
      <c r="K43" s="132"/>
      <c r="L43" s="132"/>
      <c r="N43" s="75"/>
      <c r="O43" s="75"/>
      <c r="P43" s="75"/>
    </row>
    <row r="44" spans="1:16" ht="13.9" customHeight="1">
      <c r="A44" s="131"/>
      <c r="B44" s="87" t="s">
        <v>493</v>
      </c>
      <c r="E44" s="75" t="s">
        <v>494</v>
      </c>
      <c r="F44" s="75"/>
      <c r="G44" s="75"/>
      <c r="H44" s="75"/>
      <c r="I44" s="75"/>
      <c r="J44" s="75"/>
      <c r="K44" s="75"/>
      <c r="L44" s="75"/>
      <c r="M44" s="75"/>
      <c r="N44" s="75"/>
      <c r="O44" s="132"/>
      <c r="P44" s="75"/>
    </row>
    <row r="45" spans="1:16">
      <c r="O45" s="21"/>
    </row>
    <row r="47" spans="1:16" ht="14.45" customHeight="1"/>
    <row r="58" spans="2:14">
      <c r="B58" s="75"/>
      <c r="C58" s="75"/>
      <c r="D58" s="75"/>
      <c r="E58" s="75"/>
      <c r="F58" s="75"/>
      <c r="G58" s="75"/>
      <c r="H58" s="75"/>
      <c r="I58" s="75"/>
      <c r="J58" s="75"/>
      <c r="K58" s="75"/>
      <c r="L58" s="75"/>
      <c r="M58" s="75"/>
      <c r="N58" s="75"/>
    </row>
    <row r="59" spans="2:14" ht="18.75">
      <c r="B59" s="75"/>
      <c r="C59" s="75"/>
      <c r="D59" s="75"/>
      <c r="E59" s="75" t="s">
        <v>239</v>
      </c>
      <c r="F59" s="75"/>
      <c r="G59" s="75"/>
      <c r="H59" s="75"/>
      <c r="I59" s="75"/>
      <c r="J59" s="75"/>
      <c r="K59" s="75"/>
      <c r="L59" s="75"/>
      <c r="M59" s="75"/>
      <c r="N59" s="75"/>
    </row>
    <row r="60" spans="2:14">
      <c r="B60" s="75"/>
      <c r="C60" s="75"/>
      <c r="D60" s="75"/>
      <c r="E60" s="75"/>
      <c r="F60" s="75"/>
      <c r="G60" s="75"/>
      <c r="H60" s="75"/>
      <c r="I60" s="75"/>
      <c r="J60" s="75"/>
      <c r="K60" s="75"/>
      <c r="L60" s="75"/>
      <c r="M60" s="75"/>
      <c r="N60" s="75"/>
    </row>
    <row r="68" spans="4:13" ht="18.75">
      <c r="D68" s="133"/>
      <c r="L68" s="134"/>
    </row>
    <row r="69" spans="4:13" ht="18.75">
      <c r="D69" s="133"/>
      <c r="E69" s="133"/>
      <c r="F69" s="133"/>
      <c r="K69" s="134"/>
      <c r="L69" s="134"/>
      <c r="M69" s="134"/>
    </row>
  </sheetData>
  <sheetProtection algorithmName="SHA-512" hashValue="1IlRknL8opn1AMZYEuHVrUUINaLIMdrJ6AIC8GZk3f1r+3OM7zJofImHgCeb8Gyos9GqkOmbrjhedJzhmJQzhg==" saltValue="VARXVsNc5swOfeZl86JN9g==" spinCount="100000" sheet="1" selectLockedCells="1"/>
  <mergeCells count="38">
    <mergeCell ref="H26:I26"/>
    <mergeCell ref="E6:H6"/>
    <mergeCell ref="I8:N8"/>
    <mergeCell ref="I11:N11"/>
    <mergeCell ref="I7:N7"/>
    <mergeCell ref="I6:N6"/>
    <mergeCell ref="I16:N16"/>
    <mergeCell ref="I17:N17"/>
    <mergeCell ref="I18:N18"/>
    <mergeCell ref="I19:N19"/>
    <mergeCell ref="I13:N13"/>
    <mergeCell ref="I14:N14"/>
    <mergeCell ref="E9:G9"/>
    <mergeCell ref="I9:N9"/>
    <mergeCell ref="E42:G42"/>
    <mergeCell ref="B18:D18"/>
    <mergeCell ref="E18:G18"/>
    <mergeCell ref="B19:D19"/>
    <mergeCell ref="E19:G19"/>
    <mergeCell ref="B17:D17"/>
    <mergeCell ref="E17:G17"/>
    <mergeCell ref="B11:D11"/>
    <mergeCell ref="E11:G11"/>
    <mergeCell ref="B16:D16"/>
    <mergeCell ref="E16:G16"/>
    <mergeCell ref="B14:D14"/>
    <mergeCell ref="E14:G14"/>
    <mergeCell ref="B13:D13"/>
    <mergeCell ref="E13:G13"/>
    <mergeCell ref="B10:D10"/>
    <mergeCell ref="E10:G10"/>
    <mergeCell ref="I10:N10"/>
    <mergeCell ref="B6:D6"/>
    <mergeCell ref="B7:D7"/>
    <mergeCell ref="E7:G7"/>
    <mergeCell ref="B8:D8"/>
    <mergeCell ref="E8:G8"/>
    <mergeCell ref="B9:D9"/>
  </mergeCells>
  <phoneticPr fontId="32"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X150"/>
  <sheetViews>
    <sheetView zoomScaleNormal="100" workbookViewId="0"/>
  </sheetViews>
  <sheetFormatPr defaultRowHeight="15"/>
  <cols>
    <col min="1" max="1" width="3.7109375" customWidth="1"/>
    <col min="2" max="2" width="38.85546875" customWidth="1"/>
    <col min="3" max="3" width="40.42578125" customWidth="1"/>
    <col min="4" max="4" width="11.85546875" customWidth="1"/>
    <col min="5" max="5" width="5.42578125" customWidth="1"/>
    <col min="6" max="6" width="16.7109375" customWidth="1"/>
    <col min="7" max="7" width="7.7109375" customWidth="1"/>
    <col min="8" max="8" width="17.5703125" customWidth="1"/>
    <col min="9" max="9" width="14.28515625" customWidth="1"/>
    <col min="14" max="14" width="13.42578125" customWidth="1"/>
    <col min="18" max="18" width="27" customWidth="1"/>
  </cols>
  <sheetData>
    <row r="2" spans="2:24" ht="15.75" thickBot="1"/>
    <row r="3" spans="2:24" ht="24" customHeight="1">
      <c r="B3" s="760" t="s">
        <v>356</v>
      </c>
      <c r="C3" s="761"/>
      <c r="D3" s="761"/>
      <c r="E3" s="761"/>
      <c r="F3" s="762"/>
      <c r="G3" s="21"/>
      <c r="H3" s="288"/>
      <c r="I3" s="288"/>
      <c r="V3" s="741" t="s">
        <v>268</v>
      </c>
      <c r="W3" s="741"/>
      <c r="X3" s="130"/>
    </row>
    <row r="4" spans="2:24" ht="18.75" thickBot="1">
      <c r="B4" s="289" t="s">
        <v>70</v>
      </c>
      <c r="C4" s="763" t="s">
        <v>71</v>
      </c>
      <c r="D4" s="763"/>
      <c r="E4" s="763"/>
      <c r="F4" s="764"/>
      <c r="V4" s="741"/>
      <c r="W4" s="741"/>
      <c r="X4" s="130"/>
    </row>
    <row r="5" spans="2:24" ht="15.75" thickBot="1">
      <c r="B5" s="748"/>
      <c r="C5" s="749"/>
      <c r="D5" s="749"/>
      <c r="E5" s="749"/>
      <c r="F5" s="750"/>
      <c r="G5" s="21"/>
      <c r="V5" s="741"/>
      <c r="W5" s="741"/>
      <c r="X5" s="130"/>
    </row>
    <row r="6" spans="2:24" ht="15" customHeight="1">
      <c r="B6" s="751" t="s">
        <v>72</v>
      </c>
      <c r="C6" s="290" t="s">
        <v>73</v>
      </c>
      <c r="D6" s="291">
        <f>RCS</f>
        <v>7.0000000000000007E-2</v>
      </c>
      <c r="E6" s="292" t="s">
        <v>10</v>
      </c>
      <c r="F6" s="293" t="s">
        <v>74</v>
      </c>
      <c r="V6" s="130"/>
      <c r="W6" s="130"/>
      <c r="X6" s="130"/>
    </row>
    <row r="7" spans="2:24" ht="15" customHeight="1" thickBot="1">
      <c r="B7" s="752"/>
      <c r="C7" s="294" t="s">
        <v>267</v>
      </c>
      <c r="D7" s="295">
        <f>PRcs</f>
        <v>0.2434921056437033</v>
      </c>
      <c r="E7" s="756" t="s">
        <v>7</v>
      </c>
      <c r="F7" s="757"/>
    </row>
    <row r="8" spans="2:24" ht="15.75" thickBot="1">
      <c r="B8" s="748"/>
      <c r="C8" s="749"/>
      <c r="D8" s="749"/>
      <c r="E8" s="749"/>
      <c r="F8" s="750"/>
    </row>
    <row r="9" spans="2:24" ht="19.5" thickBot="1">
      <c r="B9" s="296" t="s">
        <v>77</v>
      </c>
      <c r="C9" s="290" t="s">
        <v>73</v>
      </c>
      <c r="D9" s="292">
        <f>RFB</f>
        <v>20</v>
      </c>
      <c r="E9" s="292" t="s">
        <v>76</v>
      </c>
      <c r="F9" s="393"/>
      <c r="G9" s="394"/>
    </row>
    <row r="10" spans="2:24" ht="15.75" thickBot="1">
      <c r="B10" s="748"/>
      <c r="C10" s="749"/>
      <c r="D10" s="749"/>
      <c r="E10" s="749"/>
      <c r="F10" s="750"/>
    </row>
    <row r="11" spans="2:24" ht="19.5" thickBot="1">
      <c r="B11" s="297" t="s">
        <v>350</v>
      </c>
      <c r="C11" s="290" t="s">
        <v>73</v>
      </c>
      <c r="D11" s="298">
        <f>RBLEED</f>
        <v>1</v>
      </c>
      <c r="E11" s="299" t="s">
        <v>78</v>
      </c>
      <c r="F11" s="293"/>
    </row>
    <row r="12" spans="2:24" ht="15.75" thickBot="1">
      <c r="B12" s="748"/>
      <c r="C12" s="749"/>
      <c r="D12" s="749"/>
      <c r="E12" s="749"/>
      <c r="F12" s="750"/>
    </row>
    <row r="13" spans="2:24" ht="19.5" thickBot="1">
      <c r="B13" s="297" t="s">
        <v>79</v>
      </c>
      <c r="C13" s="290" t="s">
        <v>73</v>
      </c>
      <c r="D13" s="298">
        <f>RVS_1</f>
        <v>41.2</v>
      </c>
      <c r="E13" s="299" t="s">
        <v>76</v>
      </c>
      <c r="F13" s="293" t="s">
        <v>74</v>
      </c>
    </row>
    <row r="14" spans="2:24" ht="15.75" thickBot="1">
      <c r="B14" s="748"/>
      <c r="C14" s="749"/>
      <c r="D14" s="749"/>
      <c r="E14" s="749"/>
      <c r="F14" s="750"/>
    </row>
    <row r="15" spans="2:24" ht="19.5" thickBot="1">
      <c r="B15" s="296" t="s">
        <v>80</v>
      </c>
      <c r="C15" s="290" t="s">
        <v>73</v>
      </c>
      <c r="D15" s="292">
        <f>RVS_2</f>
        <v>14</v>
      </c>
      <c r="E15" s="292" t="s">
        <v>76</v>
      </c>
      <c r="F15" s="293" t="s">
        <v>74</v>
      </c>
    </row>
    <row r="16" spans="2:24" ht="15.6" customHeight="1" thickBot="1">
      <c r="B16" s="748"/>
      <c r="C16" s="749"/>
      <c r="D16" s="749"/>
      <c r="E16" s="749"/>
      <c r="F16" s="750"/>
    </row>
    <row r="17" spans="2:7" ht="19.5" thickBot="1">
      <c r="B17" s="297" t="s">
        <v>81</v>
      </c>
      <c r="C17" s="290" t="s">
        <v>73</v>
      </c>
      <c r="D17" s="298">
        <f>R_OPP</f>
        <v>523</v>
      </c>
      <c r="E17" s="292" t="s">
        <v>10</v>
      </c>
      <c r="F17" s="293" t="s">
        <v>74</v>
      </c>
    </row>
    <row r="18" spans="2:7" ht="15.75" thickBot="1">
      <c r="B18" s="748"/>
      <c r="C18" s="749"/>
      <c r="D18" s="749"/>
      <c r="E18" s="749"/>
      <c r="F18" s="750"/>
    </row>
    <row r="19" spans="2:7" ht="19.5" thickBot="1">
      <c r="B19" s="297" t="s">
        <v>770</v>
      </c>
      <c r="C19" s="290" t="s">
        <v>73</v>
      </c>
      <c r="D19" s="298">
        <f>RDM</f>
        <v>470</v>
      </c>
      <c r="E19" s="299" t="s">
        <v>76</v>
      </c>
      <c r="F19" s="293" t="s">
        <v>74</v>
      </c>
    </row>
    <row r="20" spans="2:7" ht="15.75" thickBot="1">
      <c r="B20" s="748"/>
      <c r="C20" s="749"/>
      <c r="D20" s="749"/>
      <c r="E20" s="749"/>
      <c r="F20" s="750"/>
    </row>
    <row r="21" spans="2:7" ht="19.5" thickBot="1">
      <c r="B21" s="296" t="s">
        <v>771</v>
      </c>
      <c r="C21" s="290" t="s">
        <v>73</v>
      </c>
      <c r="D21" s="292">
        <f>RTZ</f>
        <v>340</v>
      </c>
      <c r="E21" s="292" t="s">
        <v>76</v>
      </c>
      <c r="F21" s="293" t="s">
        <v>74</v>
      </c>
    </row>
    <row r="22" spans="2:7" ht="15.6" customHeight="1" thickBot="1">
      <c r="B22" s="748"/>
      <c r="C22" s="749"/>
      <c r="D22" s="749"/>
      <c r="E22" s="749"/>
      <c r="F22" s="750"/>
    </row>
    <row r="23" spans="2:7" ht="19.5" thickBot="1">
      <c r="B23" s="297" t="s">
        <v>82</v>
      </c>
      <c r="C23" s="290" t="s">
        <v>73</v>
      </c>
      <c r="D23" s="298">
        <f>RBUR1</f>
        <v>162</v>
      </c>
      <c r="E23" s="299" t="s">
        <v>76</v>
      </c>
      <c r="F23" s="293" t="s">
        <v>74</v>
      </c>
    </row>
    <row r="24" spans="2:7" ht="15" customHeight="1" thickBot="1">
      <c r="B24" s="748"/>
      <c r="C24" s="749"/>
      <c r="D24" s="749"/>
      <c r="E24" s="749"/>
      <c r="F24" s="750"/>
    </row>
    <row r="25" spans="2:7" ht="19.5" thickBot="1">
      <c r="B25" s="297" t="s">
        <v>83</v>
      </c>
      <c r="C25" s="290" t="s">
        <v>73</v>
      </c>
      <c r="D25" s="298">
        <f>RBUR2</f>
        <v>38.299999999999997</v>
      </c>
      <c r="E25" s="299" t="s">
        <v>76</v>
      </c>
      <c r="F25" s="293" t="s">
        <v>74</v>
      </c>
    </row>
    <row r="26" spans="2:7" ht="15.75" thickBot="1">
      <c r="B26" s="748"/>
      <c r="C26" s="749"/>
      <c r="D26" s="749"/>
      <c r="E26" s="749"/>
      <c r="F26" s="750"/>
    </row>
    <row r="27" spans="2:7" ht="19.5" thickBot="1">
      <c r="B27" s="296" t="s">
        <v>84</v>
      </c>
      <c r="C27" s="290" t="s">
        <v>73</v>
      </c>
      <c r="D27" s="292">
        <f>RSWS</f>
        <v>510</v>
      </c>
      <c r="E27" s="292" t="s">
        <v>10</v>
      </c>
      <c r="F27" s="293"/>
    </row>
    <row r="28" spans="2:7" ht="15.6" customHeight="1" thickBot="1">
      <c r="B28" s="748"/>
      <c r="C28" s="749"/>
      <c r="D28" s="749"/>
      <c r="E28" s="749"/>
      <c r="F28" s="750"/>
    </row>
    <row r="29" spans="2:7" ht="19.5" thickBot="1">
      <c r="B29" s="297" t="s">
        <v>812</v>
      </c>
      <c r="C29" s="290" t="s">
        <v>73</v>
      </c>
      <c r="D29" s="298">
        <f>RIPC</f>
        <v>0</v>
      </c>
      <c r="E29" s="457" t="s">
        <v>167</v>
      </c>
      <c r="F29" s="293"/>
      <c r="G29" s="394"/>
    </row>
    <row r="30" spans="2:7" ht="16.5" thickBot="1">
      <c r="B30" s="748"/>
      <c r="C30" s="749"/>
      <c r="D30" s="749"/>
      <c r="E30" s="749"/>
      <c r="F30" s="750"/>
      <c r="G30" s="418"/>
    </row>
    <row r="31" spans="2:7" ht="19.5" thickBot="1">
      <c r="B31" s="297" t="s">
        <v>1173</v>
      </c>
      <c r="C31" s="290" t="s">
        <v>73</v>
      </c>
      <c r="D31" s="298">
        <f>RBOOT</f>
        <v>1.5</v>
      </c>
      <c r="E31" s="292" t="s">
        <v>10</v>
      </c>
      <c r="F31" s="293"/>
    </row>
    <row r="32" spans="2:7" ht="15.75" thickBot="1">
      <c r="B32" s="748"/>
      <c r="C32" s="749"/>
      <c r="D32" s="749"/>
      <c r="E32" s="749"/>
      <c r="F32" s="750"/>
    </row>
    <row r="33" spans="2:8" ht="16.5" thickBot="1">
      <c r="B33" s="296"/>
      <c r="C33" s="290"/>
      <c r="D33" s="292"/>
      <c r="E33" s="292"/>
      <c r="F33" s="293"/>
    </row>
    <row r="34" spans="2:8" ht="15.6" customHeight="1" thickBot="1">
      <c r="B34" s="748"/>
      <c r="C34" s="749"/>
      <c r="D34" s="749"/>
      <c r="E34" s="749"/>
      <c r="F34" s="750"/>
    </row>
    <row r="35" spans="2:8" ht="19.5" thickBot="1">
      <c r="B35" s="297" t="s">
        <v>352</v>
      </c>
      <c r="C35" s="290" t="s">
        <v>73</v>
      </c>
      <c r="D35" s="298">
        <f>Rbias1</f>
        <v>5.6</v>
      </c>
      <c r="E35" s="299" t="s">
        <v>76</v>
      </c>
      <c r="F35" s="293" t="s">
        <v>74</v>
      </c>
    </row>
    <row r="36" spans="2:8" ht="15" customHeight="1" thickBot="1">
      <c r="B36" s="748"/>
      <c r="C36" s="749"/>
      <c r="D36" s="749"/>
      <c r="E36" s="749"/>
      <c r="F36" s="750"/>
    </row>
    <row r="37" spans="2:8" ht="19.5" thickBot="1">
      <c r="B37" s="297" t="s">
        <v>351</v>
      </c>
      <c r="C37" s="290" t="s">
        <v>73</v>
      </c>
      <c r="D37" s="298">
        <f>Rbias2</f>
        <v>14.7</v>
      </c>
      <c r="E37" s="299" t="s">
        <v>76</v>
      </c>
      <c r="F37" s="293"/>
    </row>
    <row r="38" spans="2:8" ht="15.75" thickBot="1">
      <c r="B38" s="748"/>
      <c r="C38" s="749"/>
      <c r="D38" s="749"/>
      <c r="E38" s="749"/>
      <c r="F38" s="750"/>
    </row>
    <row r="39" spans="2:8" ht="19.5" thickBot="1">
      <c r="B39" s="296" t="s">
        <v>85</v>
      </c>
      <c r="C39" s="290" t="s">
        <v>73</v>
      </c>
      <c r="D39" s="292">
        <f>Rvo1_</f>
        <v>232</v>
      </c>
      <c r="E39" s="292" t="s">
        <v>76</v>
      </c>
      <c r="F39" s="293" t="s">
        <v>74</v>
      </c>
    </row>
    <row r="40" spans="2:8" ht="15.75" thickBot="1">
      <c r="B40" s="748"/>
      <c r="C40" s="749"/>
      <c r="D40" s="749"/>
      <c r="E40" s="749"/>
      <c r="F40" s="750"/>
    </row>
    <row r="41" spans="2:8" ht="19.5" thickBot="1">
      <c r="B41" s="297" t="s">
        <v>86</v>
      </c>
      <c r="C41" s="290" t="s">
        <v>73</v>
      </c>
      <c r="D41" s="298">
        <f>Rvo2_</f>
        <v>33.200000000000003</v>
      </c>
      <c r="E41" s="299" t="s">
        <v>76</v>
      </c>
      <c r="F41" s="293" t="s">
        <v>74</v>
      </c>
    </row>
    <row r="42" spans="2:8" ht="15.75" thickBot="1">
      <c r="B42" s="748"/>
      <c r="C42" s="749"/>
      <c r="D42" s="749"/>
      <c r="E42" s="749"/>
      <c r="F42" s="750"/>
    </row>
    <row r="43" spans="2:8" ht="16.5" thickBot="1">
      <c r="B43" s="458"/>
      <c r="C43" s="290"/>
      <c r="D43" s="298"/>
      <c r="E43" s="299"/>
      <c r="F43" s="293"/>
      <c r="G43" s="394"/>
    </row>
    <row r="44" spans="2:8" ht="15.75" thickBot="1">
      <c r="B44" s="748"/>
      <c r="C44" s="749"/>
      <c r="D44" s="749"/>
      <c r="E44" s="749"/>
      <c r="F44" s="750"/>
    </row>
    <row r="45" spans="2:8" ht="16.5" thickBot="1">
      <c r="B45" s="458"/>
      <c r="C45" s="290"/>
      <c r="D45" s="298"/>
      <c r="E45" s="292"/>
      <c r="F45" s="293"/>
      <c r="G45" s="394"/>
    </row>
    <row r="46" spans="2:8" ht="15.75" thickBot="1">
      <c r="B46" s="748"/>
      <c r="C46" s="749"/>
      <c r="D46" s="749"/>
      <c r="E46" s="749"/>
      <c r="F46" s="750"/>
      <c r="G46" s="21"/>
    </row>
    <row r="47" spans="2:8">
      <c r="B47" s="751" t="s">
        <v>89</v>
      </c>
      <c r="C47" s="300" t="s">
        <v>75</v>
      </c>
      <c r="D47" s="753" t="s">
        <v>87</v>
      </c>
      <c r="E47" s="754"/>
      <c r="F47" s="755"/>
      <c r="G47" s="21"/>
    </row>
    <row r="48" spans="2:8">
      <c r="B48" s="752"/>
      <c r="C48" s="294" t="s">
        <v>73</v>
      </c>
      <c r="D48" s="301">
        <f>CBULK</f>
        <v>100</v>
      </c>
      <c r="E48" s="301" t="s">
        <v>54</v>
      </c>
      <c r="F48" s="302"/>
      <c r="H48" s="21"/>
    </row>
    <row r="49" spans="2:7" ht="15.75" thickBot="1">
      <c r="B49" s="752"/>
      <c r="C49" s="294" t="s">
        <v>88</v>
      </c>
      <c r="D49" s="301">
        <f>VCbulk_rated</f>
        <v>400</v>
      </c>
      <c r="E49" s="756" t="s">
        <v>6</v>
      </c>
      <c r="F49" s="757"/>
    </row>
    <row r="50" spans="2:7" ht="15.75" thickBot="1">
      <c r="B50" s="748"/>
      <c r="C50" s="749"/>
      <c r="D50" s="749"/>
      <c r="E50" s="749"/>
      <c r="F50" s="750"/>
    </row>
    <row r="51" spans="2:7">
      <c r="B51" s="758" t="s">
        <v>772</v>
      </c>
      <c r="C51" s="300" t="s">
        <v>75</v>
      </c>
      <c r="D51" s="753" t="s">
        <v>1025</v>
      </c>
      <c r="E51" s="754"/>
      <c r="F51" s="755"/>
      <c r="G51" s="21"/>
    </row>
    <row r="52" spans="2:7" ht="15.75">
      <c r="B52" s="752"/>
      <c r="C52" s="294" t="s">
        <v>73</v>
      </c>
      <c r="D52" s="301">
        <f>COUT</f>
        <v>470</v>
      </c>
      <c r="E52" s="301" t="s">
        <v>54</v>
      </c>
      <c r="F52" s="302"/>
      <c r="G52" s="303"/>
    </row>
    <row r="53" spans="2:7" ht="15.75">
      <c r="B53" s="752"/>
      <c r="C53" s="294" t="s">
        <v>88</v>
      </c>
      <c r="D53" s="301">
        <f>VOUT*1.25</f>
        <v>25</v>
      </c>
      <c r="E53" s="301" t="s">
        <v>6</v>
      </c>
      <c r="F53" s="302"/>
      <c r="G53" s="303"/>
    </row>
    <row r="54" spans="2:7" ht="15.75" thickBot="1">
      <c r="B54" s="752"/>
      <c r="C54" s="294" t="s">
        <v>349</v>
      </c>
      <c r="D54" s="301">
        <f>RCO</f>
        <v>20</v>
      </c>
      <c r="E54" s="756" t="s">
        <v>348</v>
      </c>
      <c r="F54" s="757"/>
      <c r="G54" s="21"/>
    </row>
    <row r="55" spans="2:7" ht="15.75" thickBot="1">
      <c r="B55" s="748"/>
      <c r="C55" s="749"/>
      <c r="D55" s="749"/>
      <c r="E55" s="749"/>
      <c r="F55" s="750"/>
    </row>
    <row r="56" spans="2:7">
      <c r="B56" s="751" t="s">
        <v>353</v>
      </c>
      <c r="C56" s="300" t="s">
        <v>75</v>
      </c>
      <c r="D56" s="753" t="s">
        <v>90</v>
      </c>
      <c r="E56" s="754"/>
      <c r="F56" s="755"/>
      <c r="G56" s="21"/>
    </row>
    <row r="57" spans="2:7">
      <c r="B57" s="752"/>
      <c r="C57" s="294" t="s">
        <v>73</v>
      </c>
      <c r="D57" s="301">
        <f>Cclamp_act</f>
        <v>0.66</v>
      </c>
      <c r="E57" s="301" t="s">
        <v>54</v>
      </c>
      <c r="F57" s="302"/>
    </row>
    <row r="58" spans="2:7" ht="15.75" thickBot="1">
      <c r="B58" s="752"/>
      <c r="C58" s="294" t="s">
        <v>88</v>
      </c>
      <c r="D58" s="301">
        <f>VOUT*NPS*2+50</f>
        <v>250</v>
      </c>
      <c r="E58" s="756" t="s">
        <v>6</v>
      </c>
      <c r="F58" s="757"/>
      <c r="G58" s="21"/>
    </row>
    <row r="59" spans="2:7" ht="15.75" thickBot="1">
      <c r="B59" s="748"/>
      <c r="C59" s="749"/>
      <c r="D59" s="749"/>
      <c r="E59" s="749"/>
      <c r="F59" s="750"/>
    </row>
    <row r="60" spans="2:7">
      <c r="B60" s="751" t="s">
        <v>91</v>
      </c>
      <c r="C60" s="300" t="s">
        <v>75</v>
      </c>
      <c r="D60" s="753" t="s">
        <v>90</v>
      </c>
      <c r="E60" s="754"/>
      <c r="F60" s="755"/>
      <c r="G60" s="21"/>
    </row>
    <row r="61" spans="2:7">
      <c r="B61" s="752"/>
      <c r="C61" s="294" t="s">
        <v>73</v>
      </c>
      <c r="D61" s="301">
        <f>CCS</f>
        <v>39</v>
      </c>
      <c r="E61" s="301" t="s">
        <v>92</v>
      </c>
      <c r="F61" s="302"/>
    </row>
    <row r="62" spans="2:7" ht="15.75" thickBot="1">
      <c r="B62" s="752"/>
      <c r="C62" s="294" t="s">
        <v>88</v>
      </c>
      <c r="D62" s="301">
        <v>50</v>
      </c>
      <c r="E62" s="756" t="s">
        <v>6</v>
      </c>
      <c r="F62" s="757"/>
    </row>
    <row r="63" spans="2:7" ht="15.75" thickBot="1">
      <c r="B63" s="748"/>
      <c r="C63" s="749"/>
      <c r="D63" s="749"/>
      <c r="E63" s="749"/>
      <c r="F63" s="750"/>
    </row>
    <row r="64" spans="2:7">
      <c r="B64" s="751" t="s">
        <v>93</v>
      </c>
      <c r="C64" s="300" t="s">
        <v>75</v>
      </c>
      <c r="D64" s="753" t="s">
        <v>90</v>
      </c>
      <c r="E64" s="754"/>
      <c r="F64" s="755"/>
      <c r="G64" s="21"/>
    </row>
    <row r="65" spans="2:8">
      <c r="B65" s="752"/>
      <c r="C65" s="294" t="s">
        <v>73</v>
      </c>
      <c r="D65" s="301">
        <f>CSWS</f>
        <v>22</v>
      </c>
      <c r="E65" s="301" t="s">
        <v>92</v>
      </c>
      <c r="F65" s="302"/>
    </row>
    <row r="66" spans="2:8" ht="15.75" thickBot="1">
      <c r="B66" s="752"/>
      <c r="C66" s="294" t="s">
        <v>88</v>
      </c>
      <c r="D66" s="301">
        <v>50</v>
      </c>
      <c r="E66" s="756" t="s">
        <v>6</v>
      </c>
      <c r="F66" s="757"/>
    </row>
    <row r="67" spans="2:8" ht="15.75" thickBot="1">
      <c r="B67" s="748"/>
      <c r="C67" s="749"/>
      <c r="D67" s="749"/>
      <c r="E67" s="749"/>
      <c r="F67" s="750"/>
    </row>
    <row r="68" spans="2:8">
      <c r="B68" s="751" t="s">
        <v>102</v>
      </c>
      <c r="C68" s="300" t="s">
        <v>75</v>
      </c>
      <c r="D68" s="753" t="s">
        <v>90</v>
      </c>
      <c r="E68" s="754"/>
      <c r="F68" s="755"/>
      <c r="G68" s="21"/>
    </row>
    <row r="69" spans="2:8">
      <c r="B69" s="752"/>
      <c r="C69" s="294" t="s">
        <v>73</v>
      </c>
      <c r="D69" s="301">
        <f>CBUR</f>
        <v>330</v>
      </c>
      <c r="E69" s="301" t="s">
        <v>13</v>
      </c>
      <c r="F69" s="302"/>
    </row>
    <row r="70" spans="2:8" ht="15.75" thickBot="1">
      <c r="B70" s="752"/>
      <c r="C70" s="294" t="s">
        <v>88</v>
      </c>
      <c r="D70" s="301">
        <v>50</v>
      </c>
      <c r="E70" s="756" t="s">
        <v>6</v>
      </c>
      <c r="F70" s="757"/>
      <c r="G70" s="21"/>
    </row>
    <row r="71" spans="2:8" ht="15.75" thickBot="1">
      <c r="B71" s="748"/>
      <c r="C71" s="749"/>
      <c r="D71" s="749"/>
      <c r="E71" s="749"/>
      <c r="F71" s="750"/>
    </row>
    <row r="72" spans="2:8">
      <c r="B72" s="751" t="s">
        <v>813</v>
      </c>
      <c r="C72" s="300" t="s">
        <v>75</v>
      </c>
      <c r="D72" s="753" t="s">
        <v>90</v>
      </c>
      <c r="E72" s="754"/>
      <c r="F72" s="755"/>
      <c r="G72" s="21"/>
    </row>
    <row r="73" spans="2:8" ht="15.75">
      <c r="B73" s="752"/>
      <c r="C73" s="294" t="s">
        <v>73</v>
      </c>
      <c r="D73" s="459">
        <f>C_P13</f>
        <v>1</v>
      </c>
      <c r="E73" s="301" t="s">
        <v>54</v>
      </c>
      <c r="F73" s="302"/>
      <c r="G73" s="584"/>
      <c r="H73" s="585"/>
    </row>
    <row r="74" spans="2:8" ht="16.5" thickBot="1">
      <c r="B74" s="752"/>
      <c r="C74" s="294" t="s">
        <v>88</v>
      </c>
      <c r="D74" s="301">
        <v>50</v>
      </c>
      <c r="E74" s="756" t="s">
        <v>6</v>
      </c>
      <c r="F74" s="757"/>
      <c r="G74" s="418"/>
    </row>
    <row r="75" spans="2:8" ht="15.75" thickBot="1">
      <c r="B75" s="748"/>
      <c r="C75" s="749"/>
      <c r="D75" s="749"/>
      <c r="E75" s="749"/>
      <c r="F75" s="750"/>
    </row>
    <row r="76" spans="2:8">
      <c r="B76" s="751" t="s">
        <v>94</v>
      </c>
      <c r="C76" s="300" t="s">
        <v>75</v>
      </c>
      <c r="D76" s="753" t="s">
        <v>90</v>
      </c>
      <c r="E76" s="754"/>
      <c r="F76" s="755"/>
      <c r="G76" s="21"/>
    </row>
    <row r="77" spans="2:8">
      <c r="B77" s="752"/>
      <c r="C77" s="294" t="s">
        <v>73</v>
      </c>
      <c r="D77" s="301">
        <f>CREF</f>
        <v>0.22</v>
      </c>
      <c r="E77" s="301" t="s">
        <v>54</v>
      </c>
      <c r="F77" s="302"/>
    </row>
    <row r="78" spans="2:8" ht="15.75" thickBot="1">
      <c r="B78" s="752"/>
      <c r="C78" s="294" t="s">
        <v>88</v>
      </c>
      <c r="D78" s="301">
        <v>25</v>
      </c>
      <c r="E78" s="756" t="s">
        <v>6</v>
      </c>
      <c r="F78" s="757"/>
    </row>
    <row r="79" spans="2:8" ht="15.75" thickBot="1">
      <c r="B79" s="748"/>
      <c r="C79" s="749"/>
      <c r="D79" s="749"/>
      <c r="E79" s="749"/>
      <c r="F79" s="750"/>
    </row>
    <row r="80" spans="2:8">
      <c r="B80" s="751" t="s">
        <v>354</v>
      </c>
      <c r="C80" s="300" t="s">
        <v>75</v>
      </c>
      <c r="D80" s="753" t="s">
        <v>90</v>
      </c>
      <c r="E80" s="754"/>
      <c r="F80" s="755"/>
      <c r="G80" s="21"/>
    </row>
    <row r="81" spans="2:7">
      <c r="B81" s="752"/>
      <c r="C81" s="294" t="s">
        <v>73</v>
      </c>
      <c r="D81" s="301">
        <f>Cboot</f>
        <v>22</v>
      </c>
      <c r="E81" s="301" t="s">
        <v>53</v>
      </c>
      <c r="F81" s="302"/>
    </row>
    <row r="82" spans="2:7" ht="15.75" thickBot="1">
      <c r="B82" s="752"/>
      <c r="C82" s="294" t="s">
        <v>88</v>
      </c>
      <c r="D82" s="301">
        <v>50</v>
      </c>
      <c r="E82" s="756" t="s">
        <v>6</v>
      </c>
      <c r="F82" s="757"/>
      <c r="G82" s="21"/>
    </row>
    <row r="83" spans="2:7" ht="15.75" thickBot="1">
      <c r="B83" s="748"/>
      <c r="C83" s="749"/>
      <c r="D83" s="749"/>
      <c r="E83" s="749"/>
      <c r="F83" s="750"/>
    </row>
    <row r="84" spans="2:7">
      <c r="B84" s="751" t="s">
        <v>95</v>
      </c>
      <c r="C84" s="300" t="s">
        <v>75</v>
      </c>
      <c r="D84" s="753" t="s">
        <v>90</v>
      </c>
      <c r="E84" s="754"/>
      <c r="F84" s="755"/>
      <c r="G84" s="21"/>
    </row>
    <row r="85" spans="2:7">
      <c r="B85" s="752"/>
      <c r="C85" s="294" t="s">
        <v>73</v>
      </c>
      <c r="D85" s="301">
        <f>CDD2_</f>
        <v>1</v>
      </c>
      <c r="E85" s="301" t="s">
        <v>54</v>
      </c>
      <c r="F85" s="302"/>
    </row>
    <row r="86" spans="2:7" ht="15.75" thickBot="1">
      <c r="B86" s="752"/>
      <c r="C86" s="294" t="s">
        <v>88</v>
      </c>
      <c r="D86" s="301">
        <v>25</v>
      </c>
      <c r="E86" s="756" t="s">
        <v>6</v>
      </c>
      <c r="F86" s="757"/>
    </row>
    <row r="87" spans="2:7" ht="15.75" thickBot="1">
      <c r="B87" s="748"/>
      <c r="C87" s="749"/>
      <c r="D87" s="749"/>
      <c r="E87" s="749"/>
      <c r="F87" s="750"/>
    </row>
    <row r="88" spans="2:7">
      <c r="B88" s="751" t="s">
        <v>96</v>
      </c>
      <c r="C88" s="300" t="s">
        <v>75</v>
      </c>
      <c r="D88" s="753" t="s">
        <v>90</v>
      </c>
      <c r="E88" s="754"/>
      <c r="F88" s="755"/>
      <c r="G88" s="21"/>
    </row>
    <row r="89" spans="2:7">
      <c r="B89" s="752"/>
      <c r="C89" s="294" t="s">
        <v>73</v>
      </c>
      <c r="D89" s="301">
        <f>CDD_1</f>
        <v>6.8</v>
      </c>
      <c r="E89" s="301" t="s">
        <v>54</v>
      </c>
      <c r="F89" s="302"/>
    </row>
    <row r="90" spans="2:7" ht="15.75" thickBot="1">
      <c r="B90" s="752"/>
      <c r="C90" s="294" t="s">
        <v>88</v>
      </c>
      <c r="D90" s="301">
        <v>35</v>
      </c>
      <c r="E90" s="756" t="s">
        <v>6</v>
      </c>
      <c r="F90" s="757"/>
      <c r="G90" s="21"/>
    </row>
    <row r="91" spans="2:7" ht="15.75" thickBot="1">
      <c r="B91" s="748"/>
      <c r="C91" s="749"/>
      <c r="D91" s="749"/>
      <c r="E91" s="749"/>
      <c r="F91" s="750"/>
    </row>
    <row r="92" spans="2:7">
      <c r="B92" s="751"/>
      <c r="C92" s="300"/>
      <c r="D92" s="753"/>
      <c r="E92" s="754"/>
      <c r="F92" s="755"/>
      <c r="G92" s="21"/>
    </row>
    <row r="93" spans="2:7" ht="15.75">
      <c r="B93" s="752"/>
      <c r="C93" s="294"/>
      <c r="D93" s="301"/>
      <c r="E93" s="301"/>
      <c r="F93" s="302"/>
      <c r="G93" s="394"/>
    </row>
    <row r="94" spans="2:7" ht="15.75" thickBot="1">
      <c r="B94" s="752"/>
      <c r="C94" s="294"/>
      <c r="D94" s="301"/>
      <c r="E94" s="756"/>
      <c r="F94" s="757"/>
    </row>
    <row r="95" spans="2:7" ht="15.75" thickBot="1">
      <c r="B95" s="748"/>
      <c r="C95" s="749"/>
      <c r="D95" s="749"/>
      <c r="E95" s="749"/>
      <c r="F95" s="750"/>
    </row>
    <row r="96" spans="2:7">
      <c r="B96" s="751" t="s">
        <v>112</v>
      </c>
      <c r="C96" s="300" t="s">
        <v>75</v>
      </c>
      <c r="D96" s="753" t="s">
        <v>90</v>
      </c>
      <c r="E96" s="754"/>
      <c r="F96" s="755"/>
      <c r="G96" s="21"/>
    </row>
    <row r="97" spans="2:7">
      <c r="B97" s="752"/>
      <c r="C97" s="294" t="s">
        <v>73</v>
      </c>
      <c r="D97" s="301">
        <f>CFB</f>
        <v>330</v>
      </c>
      <c r="E97" s="301" t="s">
        <v>107</v>
      </c>
      <c r="F97" s="302"/>
    </row>
    <row r="98" spans="2:7" ht="15.75" thickBot="1">
      <c r="B98" s="752"/>
      <c r="C98" s="294" t="s">
        <v>88</v>
      </c>
      <c r="D98" s="301">
        <v>50</v>
      </c>
      <c r="E98" s="756" t="s">
        <v>6</v>
      </c>
      <c r="F98" s="757"/>
    </row>
    <row r="99" spans="2:7" ht="15.75" thickBot="1">
      <c r="B99" s="748"/>
      <c r="C99" s="749"/>
      <c r="D99" s="749"/>
      <c r="E99" s="749"/>
      <c r="F99" s="750"/>
    </row>
    <row r="100" spans="2:7">
      <c r="B100" s="751" t="s">
        <v>355</v>
      </c>
      <c r="C100" s="300" t="s">
        <v>75</v>
      </c>
      <c r="D100" s="753" t="s">
        <v>90</v>
      </c>
      <c r="E100" s="754"/>
      <c r="F100" s="755"/>
      <c r="G100" s="21"/>
    </row>
    <row r="101" spans="2:7">
      <c r="B101" s="752"/>
      <c r="C101" s="294" t="s">
        <v>73</v>
      </c>
      <c r="D101" s="301">
        <f>Cint</f>
        <v>10</v>
      </c>
      <c r="E101" s="301" t="s">
        <v>53</v>
      </c>
      <c r="F101" s="302"/>
    </row>
    <row r="102" spans="2:7" ht="15.75" thickBot="1">
      <c r="B102" s="752"/>
      <c r="C102" s="294" t="s">
        <v>88</v>
      </c>
      <c r="D102" s="301">
        <v>50</v>
      </c>
      <c r="E102" s="756" t="s">
        <v>6</v>
      </c>
      <c r="F102" s="757"/>
    </row>
    <row r="103" spans="2:7" ht="15.75" thickBot="1">
      <c r="B103" s="748"/>
      <c r="C103" s="749"/>
      <c r="D103" s="749"/>
      <c r="E103" s="749"/>
      <c r="F103" s="750"/>
    </row>
    <row r="104" spans="2:7">
      <c r="B104" s="758" t="s">
        <v>718</v>
      </c>
      <c r="C104" s="304" t="s">
        <v>97</v>
      </c>
      <c r="D104" s="305">
        <f>LM</f>
        <v>120</v>
      </c>
      <c r="E104" s="306" t="s">
        <v>20</v>
      </c>
      <c r="F104" s="307"/>
      <c r="G104" s="21"/>
    </row>
    <row r="105" spans="2:7">
      <c r="B105" s="759"/>
      <c r="C105" s="304" t="s">
        <v>719</v>
      </c>
      <c r="D105" s="308">
        <f>LK_act</f>
        <v>2.5</v>
      </c>
      <c r="E105" s="306" t="s">
        <v>20</v>
      </c>
      <c r="F105" s="307"/>
    </row>
    <row r="106" spans="2:7" ht="19.5">
      <c r="B106" s="752"/>
      <c r="C106" s="304" t="s">
        <v>720</v>
      </c>
      <c r="D106" s="309">
        <f>NPS</f>
        <v>5</v>
      </c>
      <c r="E106" s="306"/>
      <c r="F106" s="307" t="s">
        <v>185</v>
      </c>
    </row>
    <row r="107" spans="2:7" ht="19.5">
      <c r="B107" s="752"/>
      <c r="C107" s="304" t="s">
        <v>721</v>
      </c>
      <c r="D107" s="309">
        <f>NA/NS</f>
        <v>1</v>
      </c>
      <c r="E107" s="306"/>
      <c r="F107" s="307" t="s">
        <v>269</v>
      </c>
    </row>
    <row r="108" spans="2:7" ht="19.5">
      <c r="B108" s="752"/>
      <c r="C108" s="304" t="s">
        <v>755</v>
      </c>
      <c r="D108" s="310">
        <f>NP</f>
        <v>25</v>
      </c>
      <c r="E108" s="306"/>
      <c r="F108" s="307" t="s">
        <v>186</v>
      </c>
    </row>
    <row r="109" spans="2:7" ht="19.5">
      <c r="B109" s="752"/>
      <c r="C109" s="304" t="s">
        <v>756</v>
      </c>
      <c r="D109" s="310">
        <f>NS</f>
        <v>5</v>
      </c>
      <c r="E109" s="306"/>
      <c r="F109" s="307" t="s">
        <v>187</v>
      </c>
      <c r="G109" s="21"/>
    </row>
    <row r="110" spans="2:7" ht="19.5">
      <c r="B110" s="752"/>
      <c r="C110" s="304" t="s">
        <v>757</v>
      </c>
      <c r="D110" s="310">
        <f>NA</f>
        <v>5</v>
      </c>
      <c r="E110" s="306"/>
      <c r="F110" s="307" t="s">
        <v>188</v>
      </c>
      <c r="G110" s="21"/>
    </row>
    <row r="111" spans="2:7" ht="20.25" thickBot="1">
      <c r="B111" s="752"/>
      <c r="C111" s="395" t="s">
        <v>758</v>
      </c>
      <c r="D111" s="396" t="s">
        <v>745</v>
      </c>
      <c r="E111" s="301" t="s">
        <v>10</v>
      </c>
      <c r="F111" s="302" t="s">
        <v>759</v>
      </c>
      <c r="G111" s="21"/>
    </row>
    <row r="112" spans="2:7" ht="15.75" thickBot="1">
      <c r="B112" s="748"/>
      <c r="C112" s="749"/>
      <c r="D112" s="749"/>
      <c r="E112" s="749"/>
      <c r="F112" s="750"/>
      <c r="G112" s="21"/>
    </row>
    <row r="113" spans="2:18">
      <c r="B113" s="390"/>
      <c r="C113" s="391"/>
      <c r="D113" s="392"/>
      <c r="E113" s="389"/>
      <c r="F113" s="388"/>
    </row>
    <row r="114" spans="2:18">
      <c r="C114" s="21"/>
    </row>
    <row r="115" spans="2:18" ht="15.75" thickBot="1">
      <c r="H115" s="473"/>
      <c r="I115" s="403"/>
      <c r="J115" s="404"/>
      <c r="N115" s="473"/>
      <c r="O115" s="403"/>
      <c r="P115" s="404"/>
    </row>
    <row r="116" spans="2:18">
      <c r="B116" s="742" t="s">
        <v>779</v>
      </c>
      <c r="C116" s="455" t="s">
        <v>75</v>
      </c>
      <c r="D116" s="445" t="s">
        <v>746</v>
      </c>
      <c r="E116" s="439"/>
      <c r="F116" s="515"/>
      <c r="H116" s="473"/>
      <c r="I116" s="401"/>
      <c r="J116" s="402"/>
      <c r="K116" s="472"/>
      <c r="L116" s="472"/>
      <c r="N116" s="473"/>
      <c r="O116" s="401"/>
      <c r="P116" s="402"/>
    </row>
    <row r="117" spans="2:18">
      <c r="B117" s="743"/>
      <c r="C117" s="429" t="s">
        <v>807</v>
      </c>
      <c r="D117" s="430">
        <v>600</v>
      </c>
      <c r="E117" s="430" t="s">
        <v>6</v>
      </c>
      <c r="F117" s="516"/>
      <c r="H117" s="473"/>
      <c r="I117" s="403"/>
      <c r="J117" s="404"/>
      <c r="K117" s="765"/>
      <c r="L117" s="765"/>
      <c r="N117" s="473"/>
      <c r="O117" s="403"/>
      <c r="P117" s="404"/>
      <c r="Q117" s="413"/>
      <c r="R117" s="413"/>
    </row>
    <row r="118" spans="2:18" ht="15.75" thickBot="1">
      <c r="B118" s="744"/>
      <c r="C118" s="431" t="s">
        <v>808</v>
      </c>
      <c r="D118" s="432">
        <v>1</v>
      </c>
      <c r="E118" s="432" t="s">
        <v>5</v>
      </c>
      <c r="F118" s="449"/>
      <c r="H118" s="473"/>
      <c r="I118" s="403"/>
      <c r="J118" s="404"/>
      <c r="K118" s="399"/>
      <c r="L118" s="399"/>
      <c r="N118" s="473"/>
      <c r="O118" s="403"/>
      <c r="P118" s="404"/>
    </row>
    <row r="119" spans="2:18">
      <c r="B119" s="739" t="s">
        <v>780</v>
      </c>
      <c r="C119" s="455" t="s">
        <v>75</v>
      </c>
      <c r="D119" s="433">
        <v>1206</v>
      </c>
      <c r="E119" s="433"/>
      <c r="F119" s="448"/>
      <c r="H119" s="473"/>
      <c r="I119" s="403"/>
      <c r="J119" s="404"/>
      <c r="K119" s="765"/>
      <c r="L119" s="765"/>
      <c r="N119" s="473"/>
      <c r="O119" s="403"/>
      <c r="P119" s="404"/>
      <c r="Q119" s="413"/>
      <c r="R119" s="413"/>
    </row>
    <row r="120" spans="2:18" ht="15.75" thickBot="1">
      <c r="B120" s="740"/>
      <c r="C120" s="431" t="s">
        <v>73</v>
      </c>
      <c r="D120" s="432">
        <v>13</v>
      </c>
      <c r="E120" s="432" t="s">
        <v>76</v>
      </c>
      <c r="F120" s="449"/>
      <c r="N120" s="473"/>
      <c r="O120" s="474"/>
      <c r="P120" s="404"/>
      <c r="Q120" s="413"/>
      <c r="R120" s="413"/>
    </row>
    <row r="121" spans="2:18" ht="19.5" thickBot="1">
      <c r="B121" s="517" t="s">
        <v>781</v>
      </c>
      <c r="C121" s="434"/>
      <c r="D121" s="435" t="s">
        <v>162</v>
      </c>
      <c r="E121" s="436"/>
      <c r="F121" s="518"/>
    </row>
    <row r="122" spans="2:18">
      <c r="B122" s="745" t="s">
        <v>782</v>
      </c>
      <c r="C122" s="437" t="s">
        <v>811</v>
      </c>
      <c r="D122" s="438" t="s">
        <v>748</v>
      </c>
      <c r="E122" s="439" t="s">
        <v>20</v>
      </c>
      <c r="F122" s="515"/>
    </row>
    <row r="123" spans="2:18">
      <c r="B123" s="746"/>
      <c r="C123" s="440" t="s">
        <v>810</v>
      </c>
      <c r="D123" s="441">
        <v>0.35</v>
      </c>
      <c r="E123" s="442" t="s">
        <v>5</v>
      </c>
      <c r="F123" s="519"/>
    </row>
    <row r="124" spans="2:18" ht="20.25" thickBot="1">
      <c r="B124" s="747"/>
      <c r="C124" s="443" t="s">
        <v>906</v>
      </c>
      <c r="D124" s="444" t="s">
        <v>792</v>
      </c>
      <c r="E124" s="432" t="s">
        <v>10</v>
      </c>
      <c r="F124" s="449"/>
      <c r="G124" s="418"/>
    </row>
    <row r="125" spans="2:18">
      <c r="B125" s="733" t="s">
        <v>783</v>
      </c>
      <c r="C125" s="455" t="s">
        <v>75</v>
      </c>
      <c r="D125" s="445" t="s">
        <v>749</v>
      </c>
      <c r="E125" s="439"/>
      <c r="F125" s="515"/>
    </row>
    <row r="126" spans="2:18">
      <c r="B126" s="734"/>
      <c r="C126" s="429" t="s">
        <v>807</v>
      </c>
      <c r="D126" s="430">
        <v>30</v>
      </c>
      <c r="E126" s="430" t="s">
        <v>6</v>
      </c>
      <c r="F126" s="516"/>
    </row>
    <row r="127" spans="2:18" ht="15.75" thickBot="1">
      <c r="B127" s="735"/>
      <c r="C127" s="431" t="s">
        <v>808</v>
      </c>
      <c r="D127" s="432">
        <v>0.8</v>
      </c>
      <c r="E127" s="432" t="s">
        <v>5</v>
      </c>
      <c r="F127" s="449"/>
    </row>
    <row r="128" spans="2:18" ht="19.5" thickBot="1">
      <c r="B128" s="520" t="s">
        <v>784</v>
      </c>
      <c r="C128" s="446"/>
      <c r="D128" s="436">
        <v>47</v>
      </c>
      <c r="E128" s="436" t="s">
        <v>54</v>
      </c>
      <c r="F128" s="518"/>
    </row>
    <row r="129" spans="2:9">
      <c r="B129" s="738" t="s">
        <v>785</v>
      </c>
      <c r="C129" s="455" t="s">
        <v>75</v>
      </c>
      <c r="D129" s="445" t="s">
        <v>749</v>
      </c>
      <c r="E129" s="439"/>
      <c r="F129" s="515"/>
    </row>
    <row r="130" spans="2:9">
      <c r="B130" s="736"/>
      <c r="C130" s="429" t="s">
        <v>807</v>
      </c>
      <c r="D130" s="430">
        <v>150</v>
      </c>
      <c r="E130" s="430" t="s">
        <v>6</v>
      </c>
      <c r="F130" s="516"/>
    </row>
    <row r="131" spans="2:9" ht="15.75" thickBot="1">
      <c r="B131" s="736"/>
      <c r="C131" s="431" t="s">
        <v>808</v>
      </c>
      <c r="D131" s="430">
        <v>1</v>
      </c>
      <c r="E131" s="430" t="s">
        <v>5</v>
      </c>
      <c r="F131" s="516"/>
    </row>
    <row r="132" spans="2:9" ht="16.899999999999999" customHeight="1">
      <c r="B132" s="738" t="s">
        <v>786</v>
      </c>
      <c r="C132" s="455" t="s">
        <v>75</v>
      </c>
      <c r="D132" s="447" t="s">
        <v>750</v>
      </c>
      <c r="E132" s="433"/>
      <c r="F132" s="448" t="s">
        <v>769</v>
      </c>
    </row>
    <row r="133" spans="2:9" ht="15.75" thickBot="1">
      <c r="B133" s="737"/>
      <c r="C133" s="431" t="s">
        <v>806</v>
      </c>
      <c r="D133" s="432">
        <v>24</v>
      </c>
      <c r="E133" s="432" t="s">
        <v>6</v>
      </c>
      <c r="F133" s="449"/>
    </row>
    <row r="134" spans="2:9" ht="16.5" thickBot="1">
      <c r="B134" s="479"/>
      <c r="C134" s="450"/>
      <c r="D134" s="451"/>
      <c r="E134" s="451"/>
      <c r="F134" s="521"/>
      <c r="G134" s="577"/>
      <c r="H134" s="21"/>
      <c r="I134" s="21"/>
    </row>
    <row r="135" spans="2:9" ht="19.5" thickBot="1">
      <c r="B135" s="522" t="s">
        <v>787</v>
      </c>
      <c r="C135" s="446"/>
      <c r="D135" s="436">
        <v>22</v>
      </c>
      <c r="E135" s="436" t="s">
        <v>751</v>
      </c>
      <c r="F135" s="518"/>
    </row>
    <row r="136" spans="2:9">
      <c r="B136" s="738" t="s">
        <v>788</v>
      </c>
      <c r="C136" s="455" t="s">
        <v>75</v>
      </c>
      <c r="D136" s="447" t="s">
        <v>752</v>
      </c>
      <c r="E136" s="433"/>
      <c r="F136" s="448" t="s">
        <v>768</v>
      </c>
    </row>
    <row r="137" spans="2:9">
      <c r="B137" s="736"/>
      <c r="C137" s="526" t="s">
        <v>806</v>
      </c>
      <c r="D137" s="442">
        <v>20</v>
      </c>
      <c r="E137" s="442" t="s">
        <v>6</v>
      </c>
      <c r="F137" s="519"/>
    </row>
    <row r="138" spans="2:9" ht="15.75" thickBot="1">
      <c r="B138" s="737"/>
      <c r="C138" s="450" t="s">
        <v>809</v>
      </c>
      <c r="D138" s="451">
        <v>300</v>
      </c>
      <c r="E138" s="451" t="s">
        <v>753</v>
      </c>
      <c r="F138" s="521"/>
    </row>
    <row r="139" spans="2:9" ht="16.5" thickBot="1">
      <c r="B139" s="524"/>
      <c r="C139" s="453"/>
      <c r="D139" s="454"/>
      <c r="E139" s="454"/>
      <c r="F139" s="518"/>
      <c r="G139" s="399"/>
    </row>
    <row r="140" spans="2:9" ht="16.5" thickBot="1">
      <c r="B140" s="524"/>
      <c r="C140" s="453"/>
      <c r="D140" s="454"/>
      <c r="E140" s="454"/>
      <c r="F140" s="518"/>
      <c r="G140" s="399"/>
    </row>
    <row r="141" spans="2:9">
      <c r="B141" s="733" t="s">
        <v>789</v>
      </c>
      <c r="C141" s="455" t="s">
        <v>75</v>
      </c>
      <c r="D141" s="447" t="s">
        <v>749</v>
      </c>
      <c r="E141" s="433"/>
      <c r="F141" s="448"/>
    </row>
    <row r="142" spans="2:9">
      <c r="B142" s="736"/>
      <c r="C142" s="429" t="s">
        <v>807</v>
      </c>
      <c r="D142" s="452">
        <v>30</v>
      </c>
      <c r="E142" s="452" t="s">
        <v>6</v>
      </c>
      <c r="F142" s="523"/>
    </row>
    <row r="143" spans="2:9" ht="15.75" thickBot="1">
      <c r="B143" s="737"/>
      <c r="C143" s="431" t="s">
        <v>808</v>
      </c>
      <c r="D143" s="432">
        <v>0.2</v>
      </c>
      <c r="E143" s="432" t="s">
        <v>5</v>
      </c>
      <c r="F143" s="449"/>
    </row>
    <row r="144" spans="2:9" ht="19.5" thickBot="1">
      <c r="B144" s="522" t="s">
        <v>790</v>
      </c>
      <c r="C144" s="446"/>
      <c r="D144" s="436">
        <v>22</v>
      </c>
      <c r="E144" s="436" t="s">
        <v>751</v>
      </c>
      <c r="F144" s="518"/>
    </row>
    <row r="145" spans="2:7">
      <c r="B145" s="733" t="s">
        <v>791</v>
      </c>
      <c r="C145" s="455" t="s">
        <v>75</v>
      </c>
      <c r="D145" s="445" t="s">
        <v>754</v>
      </c>
      <c r="E145" s="439"/>
      <c r="F145" s="515"/>
    </row>
    <row r="146" spans="2:7">
      <c r="B146" s="734"/>
      <c r="C146" s="429" t="s">
        <v>807</v>
      </c>
      <c r="D146" s="430">
        <v>600</v>
      </c>
      <c r="E146" s="430" t="s">
        <v>6</v>
      </c>
      <c r="F146" s="516"/>
    </row>
    <row r="147" spans="2:7" ht="15.75" thickBot="1">
      <c r="B147" s="735"/>
      <c r="C147" s="431" t="s">
        <v>808</v>
      </c>
      <c r="D147" s="432">
        <v>1</v>
      </c>
      <c r="E147" s="432" t="s">
        <v>5</v>
      </c>
      <c r="F147" s="449"/>
    </row>
    <row r="148" spans="2:7" ht="16.5" thickBot="1">
      <c r="B148" s="522"/>
      <c r="C148" s="446"/>
      <c r="D148" s="436"/>
      <c r="E148" s="436"/>
      <c r="F148" s="518"/>
      <c r="G148" s="577"/>
    </row>
    <row r="149" spans="2:7" ht="16.5" thickBot="1">
      <c r="B149" s="520"/>
      <c r="C149" s="434"/>
      <c r="D149" s="436"/>
      <c r="E149" s="436"/>
      <c r="F149" s="518"/>
      <c r="G149" s="577"/>
    </row>
    <row r="150" spans="2:7" ht="16.5" thickBot="1">
      <c r="B150" s="525"/>
      <c r="C150" s="456"/>
      <c r="D150" s="436"/>
      <c r="E150" s="436"/>
      <c r="F150" s="518"/>
    </row>
  </sheetData>
  <sheetProtection algorithmName="SHA-512" hashValue="bWTkuFraF7Ns5Flyte+CMdctYbHydw8unY/GDfdXhqg8KnCEpA67Sv4LO9VuwY2QqwmCQkIUP2GNcCk/QbgNEg==" saltValue="6wNlHHjpui6YFeHxuODmYA==" spinCount="100000" sheet="1" objects="1" scenarios="1"/>
  <mergeCells count="95">
    <mergeCell ref="K117:L117"/>
    <mergeCell ref="K119:L119"/>
    <mergeCell ref="B44:F44"/>
    <mergeCell ref="B51:B54"/>
    <mergeCell ref="D51:F51"/>
    <mergeCell ref="E54:F54"/>
    <mergeCell ref="B75:F75"/>
    <mergeCell ref="B76:B78"/>
    <mergeCell ref="D76:F76"/>
    <mergeCell ref="E78:F78"/>
    <mergeCell ref="B55:F55"/>
    <mergeCell ref="B56:B58"/>
    <mergeCell ref="D56:F56"/>
    <mergeCell ref="E58:F58"/>
    <mergeCell ref="B59:F59"/>
    <mergeCell ref="B60:B62"/>
    <mergeCell ref="B3:F3"/>
    <mergeCell ref="C4:F4"/>
    <mergeCell ref="B5:F5"/>
    <mergeCell ref="E7:F7"/>
    <mergeCell ref="B6:B7"/>
    <mergeCell ref="B10:F10"/>
    <mergeCell ref="B8:F8"/>
    <mergeCell ref="B16:F16"/>
    <mergeCell ref="B18:F18"/>
    <mergeCell ref="B22:F22"/>
    <mergeCell ref="B20:F20"/>
    <mergeCell ref="B14:F14"/>
    <mergeCell ref="B12:F12"/>
    <mergeCell ref="B24:F24"/>
    <mergeCell ref="B28:F28"/>
    <mergeCell ref="B38:F38"/>
    <mergeCell ref="B32:F32"/>
    <mergeCell ref="B26:F26"/>
    <mergeCell ref="B30:F30"/>
    <mergeCell ref="B34:F34"/>
    <mergeCell ref="B36:F36"/>
    <mergeCell ref="B40:F40"/>
    <mergeCell ref="B46:F46"/>
    <mergeCell ref="D47:F47"/>
    <mergeCell ref="B42:F42"/>
    <mergeCell ref="B47:B49"/>
    <mergeCell ref="E49:F49"/>
    <mergeCell ref="D60:F60"/>
    <mergeCell ref="E62:F62"/>
    <mergeCell ref="B63:F63"/>
    <mergeCell ref="B50:F50"/>
    <mergeCell ref="B87:F87"/>
    <mergeCell ref="D80:F80"/>
    <mergeCell ref="E82:F82"/>
    <mergeCell ref="B84:B86"/>
    <mergeCell ref="D84:F84"/>
    <mergeCell ref="E86:F86"/>
    <mergeCell ref="B83:F83"/>
    <mergeCell ref="B88:B90"/>
    <mergeCell ref="D88:F88"/>
    <mergeCell ref="E90:F90"/>
    <mergeCell ref="B64:B66"/>
    <mergeCell ref="D64:F64"/>
    <mergeCell ref="E66:F66"/>
    <mergeCell ref="B71:F71"/>
    <mergeCell ref="B72:B74"/>
    <mergeCell ref="D72:F72"/>
    <mergeCell ref="E74:F74"/>
    <mergeCell ref="B67:F67"/>
    <mergeCell ref="B68:B70"/>
    <mergeCell ref="D68:F68"/>
    <mergeCell ref="E70:F70"/>
    <mergeCell ref="B79:F79"/>
    <mergeCell ref="B80:B82"/>
    <mergeCell ref="B104:B111"/>
    <mergeCell ref="B92:B94"/>
    <mergeCell ref="D92:F92"/>
    <mergeCell ref="E94:F94"/>
    <mergeCell ref="B99:F99"/>
    <mergeCell ref="B95:F95"/>
    <mergeCell ref="B96:B98"/>
    <mergeCell ref="D96:F96"/>
    <mergeCell ref="E98:F98"/>
    <mergeCell ref="B145:B147"/>
    <mergeCell ref="B141:B143"/>
    <mergeCell ref="B136:B138"/>
    <mergeCell ref="B119:B120"/>
    <mergeCell ref="V3:W5"/>
    <mergeCell ref="B132:B133"/>
    <mergeCell ref="B116:B118"/>
    <mergeCell ref="B122:B124"/>
    <mergeCell ref="B125:B127"/>
    <mergeCell ref="B129:B131"/>
    <mergeCell ref="B91:F91"/>
    <mergeCell ref="B112:F112"/>
    <mergeCell ref="B100:B102"/>
    <mergeCell ref="D100:F100"/>
    <mergeCell ref="E102:F102"/>
    <mergeCell ref="B103:F103"/>
  </mergeCells>
  <phoneticPr fontId="32"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T137"/>
  <sheetViews>
    <sheetView zoomScaleNormal="100" workbookViewId="0"/>
  </sheetViews>
  <sheetFormatPr defaultRowHeight="15"/>
  <cols>
    <col min="1" max="1" width="5.28515625" customWidth="1"/>
    <col min="2" max="2" width="64.7109375" customWidth="1"/>
    <col min="3" max="3" width="16.7109375" style="18" customWidth="1"/>
    <col min="4" max="4" width="13.5703125" customWidth="1"/>
    <col min="5" max="5" width="5.7109375" customWidth="1"/>
    <col min="6" max="6" width="25.7109375" customWidth="1"/>
    <col min="7" max="7" width="9.7109375" customWidth="1"/>
    <col min="18" max="18" width="8.85546875" customWidth="1"/>
  </cols>
  <sheetData>
    <row r="1" spans="2:20" ht="19.5" thickBot="1">
      <c r="C1" s="88"/>
      <c r="T1" s="54"/>
    </row>
    <row r="2" spans="2:20" ht="21.75" thickBot="1">
      <c r="B2" s="766" t="s">
        <v>46</v>
      </c>
      <c r="C2" s="767"/>
      <c r="D2" s="767"/>
      <c r="E2" s="767"/>
      <c r="F2" s="768"/>
      <c r="G2" s="55"/>
      <c r="H2" s="378"/>
      <c r="I2" s="21"/>
      <c r="J2" s="75" t="s">
        <v>908</v>
      </c>
    </row>
    <row r="3" spans="2:20" ht="18.75">
      <c r="B3" s="10" t="s">
        <v>852</v>
      </c>
      <c r="C3" s="14" t="s">
        <v>486</v>
      </c>
      <c r="D3" s="89">
        <f>SQRT(LK_act/Cclamp)*(ID_SR_max*0.9)/NPS</f>
        <v>132.2331436443786</v>
      </c>
      <c r="E3" s="71" t="s">
        <v>12</v>
      </c>
      <c r="F3" s="72"/>
      <c r="G3" s="55"/>
      <c r="H3" s="55"/>
      <c r="I3" s="21"/>
      <c r="J3" s="405"/>
      <c r="K3" s="406"/>
      <c r="L3" s="406"/>
      <c r="M3" s="406"/>
      <c r="N3" s="407"/>
    </row>
    <row r="4" spans="2:20" ht="18.75">
      <c r="B4" s="10" t="s">
        <v>853</v>
      </c>
      <c r="C4" s="14" t="s">
        <v>487</v>
      </c>
      <c r="D4" s="89">
        <f>SQRT(LK_act/Cclamp)*(IQH_max*0.9)</f>
        <v>30.398423826293932</v>
      </c>
      <c r="E4" s="71" t="s">
        <v>12</v>
      </c>
      <c r="F4" s="72"/>
      <c r="G4" s="55"/>
      <c r="H4" s="55"/>
      <c r="I4" s="21"/>
      <c r="J4" s="408"/>
      <c r="N4" s="409"/>
    </row>
    <row r="5" spans="2:20" ht="19.5" thickBot="1">
      <c r="B5" s="3" t="s">
        <v>854</v>
      </c>
      <c r="C5" s="15" t="s">
        <v>488</v>
      </c>
      <c r="D5" s="90">
        <f>MIN(Vclamp_max_SR,Vclamp_max_QH)</f>
        <v>30.398423826293932</v>
      </c>
      <c r="E5" s="79" t="s">
        <v>12</v>
      </c>
      <c r="F5" s="78"/>
      <c r="G5" s="55"/>
      <c r="J5" s="408"/>
      <c r="N5" s="409"/>
      <c r="P5" s="75" t="s">
        <v>907</v>
      </c>
    </row>
    <row r="6" spans="2:20" ht="15.75" thickBot="1">
      <c r="B6" s="11"/>
      <c r="C6" s="91"/>
      <c r="D6" s="11"/>
      <c r="E6" s="11"/>
      <c r="F6" s="11"/>
      <c r="G6" s="55"/>
      <c r="H6" s="55"/>
      <c r="J6" s="408"/>
      <c r="N6" s="409"/>
    </row>
    <row r="7" spans="2:20" ht="21">
      <c r="B7" s="43" t="s">
        <v>717</v>
      </c>
      <c r="C7" s="92"/>
      <c r="D7" s="44" t="s">
        <v>362</v>
      </c>
      <c r="E7" s="44"/>
      <c r="F7" s="45"/>
      <c r="G7" s="56"/>
      <c r="H7" s="55"/>
      <c r="J7" s="414" t="s">
        <v>774</v>
      </c>
      <c r="K7" s="403">
        <v>2.2000000000000002</v>
      </c>
      <c r="L7" s="404" t="s">
        <v>6</v>
      </c>
      <c r="M7" s="452" t="s">
        <v>1114</v>
      </c>
      <c r="N7" s="554"/>
      <c r="P7" s="560" t="s">
        <v>774</v>
      </c>
      <c r="Q7" s="561">
        <v>2.2000000000000002</v>
      </c>
      <c r="R7" s="562" t="s">
        <v>6</v>
      </c>
      <c r="S7" s="452" t="s">
        <v>1114</v>
      </c>
      <c r="T7" s="563"/>
    </row>
    <row r="8" spans="2:20" ht="18.75">
      <c r="B8" s="2" t="s">
        <v>855</v>
      </c>
      <c r="C8" s="13" t="s">
        <v>481</v>
      </c>
      <c r="D8" s="93">
        <f>IF(Vin_type="AC",(NPS*(VOUT+Vf_SR))/(VINPUT_Brownin*1.414+NPS*(VOUT+Vf_SR)),(NPS*(VOUT+Vf_SR))/(VINPUT_Brownin+NPS*(VOUT+Vf_SR)))</f>
        <v>0.5714285714285714</v>
      </c>
      <c r="E8" s="41"/>
      <c r="F8" s="94"/>
      <c r="G8" s="55"/>
      <c r="H8" s="57"/>
      <c r="J8" s="414" t="s">
        <v>775</v>
      </c>
      <c r="K8" s="401">
        <v>1.23</v>
      </c>
      <c r="L8" s="402" t="s">
        <v>6</v>
      </c>
      <c r="M8" s="555" t="s">
        <v>1112</v>
      </c>
      <c r="N8" s="556"/>
      <c r="P8" s="414" t="s">
        <v>775</v>
      </c>
      <c r="Q8" s="401">
        <v>1.23</v>
      </c>
      <c r="R8" s="402" t="s">
        <v>6</v>
      </c>
      <c r="S8" s="555" t="s">
        <v>1112</v>
      </c>
      <c r="T8" s="554"/>
    </row>
    <row r="9" spans="2:20" ht="18.75">
      <c r="B9" s="95" t="s">
        <v>856</v>
      </c>
      <c r="C9" s="96" t="s">
        <v>482</v>
      </c>
      <c r="D9" s="97">
        <f>IF(Vin_type="AC",PO_FL*OPP*0.01/(ηXFMR*1.414*VINPUT_Brownin),PO_FL*OPP*0.01/(ηXFMR*VINPUT_Brownin))</f>
        <v>2.0833333333333335</v>
      </c>
      <c r="E9" s="98" t="s">
        <v>22</v>
      </c>
      <c r="F9" s="94"/>
      <c r="G9" s="55"/>
      <c r="H9" s="57"/>
      <c r="J9" s="414" t="s">
        <v>776</v>
      </c>
      <c r="K9" s="403">
        <f>1.4*1</f>
        <v>1.4</v>
      </c>
      <c r="L9" s="404" t="s">
        <v>10</v>
      </c>
      <c r="M9" s="769" t="s">
        <v>778</v>
      </c>
      <c r="N9" s="770"/>
      <c r="P9" s="414" t="s">
        <v>776</v>
      </c>
      <c r="Q9" s="403">
        <f>1.4*1.2</f>
        <v>1.68</v>
      </c>
      <c r="R9" s="404" t="s">
        <v>10</v>
      </c>
      <c r="S9" s="559" t="s">
        <v>1113</v>
      </c>
      <c r="T9" s="564"/>
    </row>
    <row r="10" spans="2:20" ht="18.75">
      <c r="B10" s="2" t="s">
        <v>857</v>
      </c>
      <c r="C10" s="13" t="s">
        <v>483</v>
      </c>
      <c r="D10" s="99">
        <f>IF(Vin_type="AC",-SQRT(CSWN_T_vbi*(10^-12)/(LM*(10^-6)))*1.414*VINPUT_Brownin,-SQRT(CSWN_T_vbi*(10^-12)/(LM*(10^-6)))*VINPUT_Brownin)</f>
        <v>-0.10974026966302884</v>
      </c>
      <c r="E10" s="100" t="s">
        <v>22</v>
      </c>
      <c r="F10" s="101"/>
      <c r="G10" s="55"/>
      <c r="H10" s="57"/>
      <c r="J10" s="414" t="s">
        <v>777</v>
      </c>
      <c r="K10" s="403">
        <v>0.33500000000000002</v>
      </c>
      <c r="L10" s="404" t="s">
        <v>5</v>
      </c>
      <c r="M10" s="557"/>
      <c r="N10" s="558"/>
      <c r="P10" s="414" t="s">
        <v>777</v>
      </c>
      <c r="Q10" s="403">
        <v>0.33500000000000002</v>
      </c>
      <c r="R10" s="404" t="s">
        <v>5</v>
      </c>
      <c r="S10" s="452"/>
      <c r="T10" s="554"/>
    </row>
    <row r="11" spans="2:20" ht="19.5" thickBot="1">
      <c r="B11" s="2" t="s">
        <v>858</v>
      </c>
      <c r="C11" s="13" t="s">
        <v>484</v>
      </c>
      <c r="D11" s="99">
        <f>IF(Vin_type="AC",(1.414*VINPUT_Brownin*DOPP_run^2)/(2*(LM*10^-6)*IIN_OPP_run-DOPP_run*(LM*10^-6)*(IM_nega_run)+DOPP_run*1.414*VINPUT_Brownin*(IF(VINPUT_Brownin&gt;NPS*(VOUT+Vf_SR),3.1416-ACOS(NPS*(VOUT+Vf_SR)/VINPUT_Brownin),3.1416-ACOS(VINPUT_Brownin/(NPS*(VOUT+Vf_SR)))))*SQRT((LM*10^-6)*(CSWN_T_vbi*10^-12)))/1000,(VINPUT_Brownin*DOPP_run^2)/(2*(LM*10^-6)*IIN_OPP_run-DOPP_run*(LM*10^-6)*(IM_nega_run)+DOPP_run*VINPUT_Brownin*(IF(VINPUT_Brownin&gt;NPS*(VOUT+Vf_SR),3.1416-ACOS(NPS*(VOUT+Vf_SR)/VINPUT_Brownin),3.1416-ACOS(VINPUT_Brownin/(NPS*(VOUT+Vf_SR)))))*SQRT((LM*10^-6)*(CSWN_T_vbi*10^-12)))/1000)</f>
        <v>46.582713202051956</v>
      </c>
      <c r="E11" s="100" t="s">
        <v>8</v>
      </c>
      <c r="F11" s="102"/>
      <c r="G11" s="55"/>
      <c r="H11" s="57"/>
      <c r="J11" s="415" t="s">
        <v>773</v>
      </c>
      <c r="K11" s="410">
        <f>(K7-K8-K9*K10)/K10</f>
        <v>1.4955223880597022</v>
      </c>
      <c r="L11" s="411" t="s">
        <v>10</v>
      </c>
      <c r="M11" s="771" t="s">
        <v>778</v>
      </c>
      <c r="N11" s="772"/>
      <c r="P11" s="414" t="s">
        <v>773</v>
      </c>
      <c r="Q11" s="403">
        <f>(Q7-Q8-Q9*Q10)/Q10</f>
        <v>1.2155223880597021</v>
      </c>
      <c r="R11" s="404" t="s">
        <v>10</v>
      </c>
      <c r="S11" s="413" t="s">
        <v>1111</v>
      </c>
      <c r="T11" s="565"/>
    </row>
    <row r="12" spans="2:20" ht="19.5" thickBot="1">
      <c r="B12" s="3" t="s">
        <v>859</v>
      </c>
      <c r="C12" s="15" t="s">
        <v>485</v>
      </c>
      <c r="D12" s="90">
        <f>SQRT(IM_nega_run^2+2*(PO_FL*OPP*0.01/ηXFMR)*(1/(fsw_OPP_run*1000*LM*10^-6)))</f>
        <v>7.4777126225960853</v>
      </c>
      <c r="E12" s="42" t="s">
        <v>22</v>
      </c>
      <c r="F12" s="103"/>
      <c r="G12" s="55"/>
      <c r="H12" s="54"/>
      <c r="P12" s="566" t="s">
        <v>773</v>
      </c>
      <c r="Q12" s="567">
        <f>Q11/1.2</f>
        <v>1.0129353233830851</v>
      </c>
      <c r="R12" s="568" t="s">
        <v>10</v>
      </c>
      <c r="S12" s="569" t="s">
        <v>793</v>
      </c>
      <c r="T12" s="570"/>
    </row>
    <row r="13" spans="2:20" ht="15.75" thickBot="1">
      <c r="B13" s="11"/>
      <c r="C13" s="91"/>
      <c r="D13" s="11"/>
      <c r="E13" s="11"/>
      <c r="F13" s="11"/>
      <c r="G13" s="55"/>
      <c r="H13" s="55"/>
    </row>
    <row r="14" spans="2:20" ht="21">
      <c r="B14" s="43" t="s">
        <v>34</v>
      </c>
      <c r="C14" s="16"/>
      <c r="D14" s="44" t="s">
        <v>363</v>
      </c>
      <c r="E14" s="44"/>
      <c r="F14" s="45"/>
      <c r="G14" s="56"/>
      <c r="H14" s="55"/>
    </row>
    <row r="15" spans="2:20" ht="18.75">
      <c r="B15" s="70" t="s">
        <v>860</v>
      </c>
      <c r="C15" s="13" t="s">
        <v>472</v>
      </c>
      <c r="D15" s="99">
        <f>IF(Vin_type="AC",-SQRT(CSWN_T_vmin*(10^-12)/(LM*(10^-6)))*NPS*VOUT,-SQRT(CSWN_T_vmin*(10^-12)/(LM*(10^-6)))*NPS*VOUT)</f>
        <v>-0.13538959926723912</v>
      </c>
      <c r="E15" s="104" t="s">
        <v>22</v>
      </c>
      <c r="F15" s="94"/>
      <c r="G15" s="53"/>
      <c r="H15" s="57"/>
      <c r="P15" s="55"/>
    </row>
    <row r="16" spans="2:20" ht="18.75">
      <c r="B16" s="2" t="s">
        <v>861</v>
      </c>
      <c r="C16" s="13" t="s">
        <v>473</v>
      </c>
      <c r="D16" s="99">
        <f>SQRT(IM_nega_OPP_min^2+2*(PO_FL*OPP*0.01/ηXFMR)*(1/(fsw_OPP_min*1000*LM*10^-6)))</f>
        <v>5.3818053515297537</v>
      </c>
      <c r="E16" s="104" t="s">
        <v>22</v>
      </c>
      <c r="F16" s="94"/>
      <c r="G16" s="55"/>
      <c r="H16" s="57"/>
    </row>
    <row r="17" spans="2:18" ht="18.75">
      <c r="B17" s="2" t="s">
        <v>862</v>
      </c>
      <c r="C17" s="13" t="s">
        <v>474</v>
      </c>
      <c r="D17" s="99">
        <f>IF(Vin_type="AC",(VBulk_min_tgt*DOPP_min^2)/(2*(LM*10^-6)*IIN_OPP_min-DOPP_min*(LM*10^-6)*(IM_nega_OPP_min)+DOPP_min*VBulk_min_tgt*(IF(VBulk_min_tgt&gt;NPS*(VOUT+Vf_SR),3.1416-ACOS(NPS*(VOUT+Vf_SR)/VBulk_min_tgt),3.1416-ACOS(VBulk_min_tgt/(NPS*(VOUT+Vf_SR)))))*SQRT((LM*10^-6)*(CSWN_T_vmin*10^-12)))/1000,(VBulk_min_tgt*DOPP_min^2)/(2*(LM*10^-6)*IIN_OPP_min-DOPP_min*(LM*10^-6)*(IM_nega_OPP_min)+DOPP_min*VBulk_min_tgt*(IF(VBulk_min_tgt&gt;NPS*(VOUT+Vf_SR),3.1416-ACOS(NPS*(VOUT+Vf_SR)/VBulk_min_tgt),3.1416-ACOS(VBulk_min_tgt/(NPS*(VOUT+Vf_SR)))))*SQRT((LM*10^-6)*(CSWN_T_vmin*10^-12)))/1000)</f>
        <v>89.96793290092404</v>
      </c>
      <c r="E17" s="104" t="s">
        <v>8</v>
      </c>
      <c r="F17" s="94"/>
      <c r="G17" s="55"/>
      <c r="I17" s="57"/>
      <c r="N17" s="57"/>
    </row>
    <row r="18" spans="2:18" ht="18.75">
      <c r="B18" s="2" t="s">
        <v>863</v>
      </c>
      <c r="C18" s="13" t="s">
        <v>475</v>
      </c>
      <c r="D18" s="93">
        <f>IF(Vin_type="AC",PO_FL*OPP*0.01/(ηXFMR*VBulk_min_tgt),PO_FL*OPP*0.01/(ηXFMR*VBulk_min_tgt))</f>
        <v>0.9765625</v>
      </c>
      <c r="E18" s="38" t="s">
        <v>22</v>
      </c>
      <c r="F18" s="94"/>
      <c r="G18" s="55"/>
      <c r="H18" s="57"/>
      <c r="K18" s="47"/>
      <c r="O18" s="53"/>
    </row>
    <row r="19" spans="2:18" ht="18.75">
      <c r="B19" s="10" t="s">
        <v>864</v>
      </c>
      <c r="C19" s="13" t="s">
        <v>476</v>
      </c>
      <c r="D19" s="93">
        <f>IF(Vin_type="AC",(NPS*(VOUT+Vf_SR))/(VBulk_min_tgt+NPS*(VOUT+Vf_SR)),(NPS*(VOUT+Vf_SR))/(VBulk_min_tgt+NPS*(VOUT+Vf_SR)))</f>
        <v>0.38461538461538464</v>
      </c>
      <c r="E19" s="80"/>
      <c r="F19" s="105"/>
      <c r="G19" s="55"/>
      <c r="H19" s="57"/>
      <c r="Q19" s="18"/>
      <c r="R19" s="46"/>
    </row>
    <row r="20" spans="2:18" ht="18.75">
      <c r="B20" s="10" t="s">
        <v>865</v>
      </c>
      <c r="C20" s="13" t="s">
        <v>477</v>
      </c>
      <c r="D20" s="93">
        <f>IF(Vin_type="AC",ipk_OPP_min*LM/(VBulk_min_tgt),ipk_OPP_min*LM/(VBulk_min_tgt))</f>
        <v>4.0363540136473155</v>
      </c>
      <c r="E20" s="38" t="s">
        <v>25</v>
      </c>
      <c r="F20" s="94"/>
      <c r="G20" s="55"/>
      <c r="H20" s="57"/>
    </row>
    <row r="21" spans="2:18" ht="18.75">
      <c r="B21" s="10" t="s">
        <v>266</v>
      </c>
      <c r="C21" s="13" t="s">
        <v>478</v>
      </c>
      <c r="D21" s="93">
        <f>(Vxl*CSW_0toVx*(10^-12)/ipk_OPP_min)/(10^-9)</f>
        <v>3.6169275416969491</v>
      </c>
      <c r="E21" s="38" t="s">
        <v>222</v>
      </c>
      <c r="F21" s="94"/>
      <c r="G21" s="55"/>
      <c r="H21" s="57"/>
    </row>
    <row r="22" spans="2:18" ht="18.75">
      <c r="B22" s="10" t="s">
        <v>866</v>
      </c>
      <c r="C22" s="14" t="s">
        <v>479</v>
      </c>
      <c r="D22" s="89">
        <f>COSS_QL_bg + COSS_QH_sm + CTr+CBootD_T + (COSS_SR_H)/NPS^2 + (CDaux_H)/(NP/NA)^2</f>
        <v>278.08</v>
      </c>
      <c r="E22" s="80" t="s">
        <v>37</v>
      </c>
      <c r="F22" s="82"/>
      <c r="G22" s="55"/>
    </row>
    <row r="23" spans="2:18" ht="19.5" thickBot="1">
      <c r="B23" s="3" t="s">
        <v>867</v>
      </c>
      <c r="C23" s="15" t="s">
        <v>480</v>
      </c>
      <c r="D23" s="90">
        <f>TD_CS_filter + tD_CS + TD_LDr + TD_Ql_Coss_vmin</f>
        <v>59.616927541696953</v>
      </c>
      <c r="E23" s="17" t="s">
        <v>39</v>
      </c>
      <c r="F23" s="103"/>
      <c r="G23" s="58"/>
      <c r="H23" s="57"/>
      <c r="J23" s="47"/>
    </row>
    <row r="24" spans="2:18" ht="15.75" thickBot="1">
      <c r="B24" s="11"/>
      <c r="C24" s="91"/>
      <c r="D24" s="11"/>
      <c r="E24" s="11"/>
      <c r="F24" s="11"/>
      <c r="G24" s="55"/>
    </row>
    <row r="25" spans="2:18" ht="21">
      <c r="B25" s="43" t="s">
        <v>40</v>
      </c>
      <c r="C25" s="16"/>
      <c r="D25" s="44" t="s">
        <v>364</v>
      </c>
      <c r="E25" s="44"/>
      <c r="F25" s="45"/>
      <c r="G25" s="56"/>
    </row>
    <row r="26" spans="2:18" ht="21">
      <c r="B26" s="10" t="s">
        <v>265</v>
      </c>
      <c r="C26" s="13" t="s">
        <v>461</v>
      </c>
      <c r="D26" s="93">
        <f>(Vxl*CSW_0toVx*(10^-12)/ipk_OPP_max)/(10^-9)</f>
        <v>4.2519884014731382</v>
      </c>
      <c r="E26" s="41" t="s">
        <v>222</v>
      </c>
      <c r="F26" s="106"/>
      <c r="G26" s="56"/>
    </row>
    <row r="27" spans="2:18" ht="21">
      <c r="B27" s="2" t="s">
        <v>867</v>
      </c>
      <c r="C27" s="77" t="s">
        <v>462</v>
      </c>
      <c r="D27" s="93">
        <f>TD_CS_filter+tD_CS+TD_LDr+TD_Ql_Coss_vmax</f>
        <v>60.251988401473142</v>
      </c>
      <c r="E27" s="41" t="s">
        <v>222</v>
      </c>
      <c r="F27" s="106"/>
      <c r="G27" s="56"/>
    </row>
    <row r="28" spans="2:18" ht="18.75">
      <c r="B28" s="95" t="s">
        <v>868</v>
      </c>
      <c r="C28" s="96" t="s">
        <v>463</v>
      </c>
      <c r="D28" s="107">
        <f>IF(Vin_type="AC",-SQRT(CSWN_T_vmax*(10^-12)/(LM*(10^-6)))*1.414*VINPUT_max,-SQRT(CSWN_T_vmax*(10^-12)/(LM*(10^-6)))*VINPUT_max)</f>
        <v>-0.4945667464222262</v>
      </c>
      <c r="E28" s="108" t="s">
        <v>22</v>
      </c>
      <c r="F28" s="94"/>
      <c r="G28" s="55"/>
      <c r="H28" s="57"/>
      <c r="K28" s="53"/>
    </row>
    <row r="29" spans="2:18" ht="18.75">
      <c r="B29" s="2" t="s">
        <v>869</v>
      </c>
      <c r="C29" s="13" t="s">
        <v>464</v>
      </c>
      <c r="D29" s="99">
        <f>IF(Vin_type="AC",(1.414*VINPUT_max*DOPP_max^2)/(2*(LM*10^-6)*IIN_OPP_max-DOPP_max*(LM*10^-6)*(IM_nega_max)+DOPP_max*1.414*VINPUT_max*(IF(VINPUT_max&gt;NPS*(VOUT+Vf_SR),3.1416-ACOS(NPS*(VOUT+Vf_SR)/VINPUT_max),3.1416-ACOS(VINPUT_max/(NPS*(VOUT+Vf_SR)))))*SQRT((LM*10^-6)*(CSWN_T_vmax*10^-12)))/1000,(VINPUT_max*DOPP_max^2)/(2*(LM*10^-6)*IIN_OPP_max-DOPP_max*(LM*10^-6)*(IM_nega_max)+DOPP_max*VINPUT_max*(IF(VINPUT_max&gt;NPS*(VOUT+Vf_SR),3.1416-ACOS(NPS*(VOUT+Vf_SR)/VINPUT_max),3.1416-ACOS(VINPUT_max/(NPS*(VOUT+Vf_SR)))))*SQRT((LM*10^-6)*(CSWN_T_vmax*10^-12)))/1000)</f>
        <v>125.72327199665584</v>
      </c>
      <c r="E29" s="104" t="s">
        <v>8</v>
      </c>
      <c r="F29" s="94"/>
      <c r="G29" s="55"/>
      <c r="H29" s="57"/>
      <c r="L29" s="52"/>
    </row>
    <row r="30" spans="2:18" ht="18.75">
      <c r="B30" s="2" t="s">
        <v>870</v>
      </c>
      <c r="C30" s="13" t="s">
        <v>465</v>
      </c>
      <c r="D30" s="93">
        <f>SQRT(IM_nega_max^2+2*(PO_FL*OPP*0.01/ηXFMR)*(1/(fsw_OPP_max*1000*LM*10^-6)))</f>
        <v>4.57799931750895</v>
      </c>
      <c r="E30" s="38" t="s">
        <v>22</v>
      </c>
      <c r="F30" s="94"/>
      <c r="G30" s="55"/>
      <c r="H30" s="57"/>
      <c r="O30" s="57"/>
      <c r="P30" s="53"/>
      <c r="Q30" s="18"/>
      <c r="R30" s="46"/>
    </row>
    <row r="31" spans="2:18" ht="18.75">
      <c r="B31" s="10" t="s">
        <v>871</v>
      </c>
      <c r="C31" s="13" t="s">
        <v>466</v>
      </c>
      <c r="D31" s="93">
        <f>IF(Vin_type="AC",(NPS*(VOUT+Vf_SR))/(1.414*VINPUT_max+NPS*(VOUT+Vf_SR)),(NPS*(VOUT+Vf_SR))/(VINPUT_max+NPS*(VOUT+Vf_SR)))</f>
        <v>0.2</v>
      </c>
      <c r="E31" s="38"/>
      <c r="F31" s="105"/>
      <c r="G31" s="55"/>
      <c r="H31" s="57"/>
    </row>
    <row r="32" spans="2:18" ht="18.75">
      <c r="B32" s="2" t="s">
        <v>872</v>
      </c>
      <c r="C32" s="13" t="s">
        <v>467</v>
      </c>
      <c r="D32" s="93">
        <f>IF(Vin_type="AC",PO_FL*OPP*0.01/(ηXFMR*1.414*VINPUT_max),PO_FL*OPP*0.01/(ηXFMR*VINPUT_max))</f>
        <v>0.390625</v>
      </c>
      <c r="E32" s="38" t="s">
        <v>22</v>
      </c>
      <c r="F32" s="94"/>
      <c r="G32" s="55"/>
      <c r="H32" s="57"/>
    </row>
    <row r="33" spans="2:18" ht="18.75" customHeight="1">
      <c r="B33" s="74" t="s">
        <v>873</v>
      </c>
      <c r="C33" s="13" t="s">
        <v>468</v>
      </c>
      <c r="D33" s="93">
        <f>IF(Vin_type="AC", 1.414*VINPUT_max*RCS*(tD_CST_vmax*10^-9)/(LM*10^-6), VINPUT_max*RCS*(tD_CST_vmax*10^-9)/(LM*10^-6))</f>
        <v>1.405879729367707E-2</v>
      </c>
      <c r="E33" s="80" t="s">
        <v>38</v>
      </c>
      <c r="F33" s="105"/>
      <c r="G33" s="55"/>
      <c r="H33" s="57"/>
    </row>
    <row r="34" spans="2:18" ht="18.75">
      <c r="B34" s="10" t="s">
        <v>874</v>
      </c>
      <c r="C34" s="13" t="s">
        <v>469</v>
      </c>
      <c r="D34" s="93">
        <f>IF(Vin_type="AC",(((1.414*VINPUT_max-VR_pri_max-VLk_pri_max)*NA/NP-Vs_clamp)/(RVS_1*1000)-Vs_clamp/(RVS_2*1000))*10^3,(((VINPUT_max-VR_pri_max-VLk_pri_max)*NA/NP-Vs_clamp)/(RVS_1*1000)-Vs_clamp/(RVS_2*1000))*10^3)</f>
        <v>1.8673837226436363</v>
      </c>
      <c r="E34" s="38" t="s">
        <v>41</v>
      </c>
      <c r="F34" s="109"/>
      <c r="G34" s="55"/>
      <c r="H34" s="57"/>
    </row>
    <row r="35" spans="2:18" ht="18.75">
      <c r="B35" s="10" t="s">
        <v>875</v>
      </c>
      <c r="C35" s="14" t="s">
        <v>470</v>
      </c>
      <c r="D35" s="89">
        <f>ipk_OPP_max*(Rpri_dc + RDSon_QL + RCS )</f>
        <v>1.3276198020775956</v>
      </c>
      <c r="E35" s="80" t="s">
        <v>38</v>
      </c>
      <c r="F35" s="105"/>
      <c r="G35" s="57"/>
    </row>
    <row r="36" spans="2:18" ht="19.5" thickBot="1">
      <c r="B36" s="3" t="s">
        <v>876</v>
      </c>
      <c r="C36" s="15" t="s">
        <v>471</v>
      </c>
      <c r="D36" s="90">
        <f>IF(Vin_type="AC",1.414*VINPUT_max/LM*LK_act,VINPUT_max/LM*LK_act)</f>
        <v>8.3333333333333339</v>
      </c>
      <c r="E36" s="17" t="s">
        <v>38</v>
      </c>
      <c r="F36" s="110"/>
      <c r="G36" s="55"/>
      <c r="H36" s="57"/>
    </row>
    <row r="37" spans="2:18" ht="15.75" thickBot="1">
      <c r="B37" s="11"/>
      <c r="C37" s="91"/>
      <c r="D37" s="11"/>
      <c r="E37" s="11"/>
      <c r="F37" s="11"/>
      <c r="G37" s="55"/>
      <c r="H37" s="55"/>
    </row>
    <row r="38" spans="2:18" ht="21">
      <c r="B38" s="43" t="s">
        <v>48</v>
      </c>
      <c r="C38" s="16"/>
      <c r="D38" s="44" t="s">
        <v>365</v>
      </c>
      <c r="E38" s="44"/>
      <c r="F38" s="45"/>
      <c r="G38" s="56"/>
      <c r="H38" s="55"/>
    </row>
    <row r="39" spans="2:18" ht="18.75">
      <c r="B39" s="70" t="s">
        <v>877</v>
      </c>
      <c r="C39" s="13" t="s">
        <v>451</v>
      </c>
      <c r="D39" s="93">
        <f>IF(Vin_type="AC",-SQRT(CSWN_T_vbur*(10^-12)/(LM*(10^-6)))*1.414*VINPUT_BUR,-SQRT(CSWN_T_vbur*(10^-12)/(LM*(10^-6)))*VINPUT_BUR)</f>
        <v>-0.47194451486494793</v>
      </c>
      <c r="E39" s="38" t="s">
        <v>22</v>
      </c>
      <c r="F39" s="94"/>
      <c r="G39" s="55"/>
      <c r="H39" s="57"/>
      <c r="K39" s="53"/>
    </row>
    <row r="40" spans="2:18" ht="18.75">
      <c r="B40" s="2" t="s">
        <v>883</v>
      </c>
      <c r="C40" s="13" t="s">
        <v>452</v>
      </c>
      <c r="D40" s="99">
        <f>IF(Vin_type="AC",(1.414*VINPUT_BUR*DBUR^2)/(2*(LM*10^-6)*IIN_BUR-DBUR*(LM*10^-6)*(IM_nega_BUR)+DBUR*1.414*VINPUT_BUR*(IF(VINPUT_BUR&gt;NPS*(VOUT+Vf_SR),3.1416-ACOS(NPS*(VOUT+Vf_SR)/VINPUT_BUR),3.1416-ACOS(VINPUT_BUR/(NPS*(VOUT+Vf_SR)))))*SQRT((LM*10^-6)*(CSWN_T_vbur*10^-12)))/1000,(VINPUT_BUR*DBUR^2)/(2*(LM*10^-6)*IIN_BUR-DBUR*(LM*10^-6)*(IM_nega_BUR)+DBUR*VINPUT_BUR*(IF(VINPUT_BUR&gt;NPS*(VOUT+Vf_SR),3.1416-ACOS(NPS*(VOUT+Vf_SR)/VINPUT_BUR),3.1416-ACOS(VINPUT_BUR/(NPS*(VOUT+Vf_SR)))))*SQRT((LM*10^-6)*(CSWN_T_vbur*10^-12)))/1000)</f>
        <v>275.85154741875016</v>
      </c>
      <c r="E40" s="38" t="s">
        <v>8</v>
      </c>
      <c r="F40" s="94"/>
      <c r="G40" s="55"/>
      <c r="H40" s="57"/>
      <c r="L40" s="52"/>
      <c r="M40" s="54"/>
      <c r="N40" s="55"/>
    </row>
    <row r="41" spans="2:18" ht="18.75">
      <c r="B41" s="2" t="s">
        <v>882</v>
      </c>
      <c r="C41" s="13" t="s">
        <v>453</v>
      </c>
      <c r="D41" s="93">
        <f>SQRT(IM_nega_BUR^2+2*(PO_FL*BUR*0.01/ηXFMR)*(1/(fsw_BUR*1000*LM*10^-6)))</f>
        <v>1.6553515498422913</v>
      </c>
      <c r="E41" s="38" t="s">
        <v>22</v>
      </c>
      <c r="F41" s="94"/>
      <c r="G41" s="55"/>
      <c r="H41" s="55"/>
      <c r="M41" s="57"/>
      <c r="Q41" s="18"/>
      <c r="R41" s="46"/>
    </row>
    <row r="42" spans="2:18" ht="18.75">
      <c r="B42" s="10" t="s">
        <v>454</v>
      </c>
      <c r="C42" s="13" t="s">
        <v>455</v>
      </c>
      <c r="D42" s="93">
        <f>(Vxl*CSW_0toVx*(10^-12)/ipk_BUR)/(10^-9)</f>
        <v>11.759193992269815</v>
      </c>
      <c r="E42" s="38" t="s">
        <v>222</v>
      </c>
      <c r="F42" s="94"/>
      <c r="H42" s="55"/>
      <c r="M42" s="57"/>
    </row>
    <row r="43" spans="2:18" ht="18.75">
      <c r="B43" s="10" t="s">
        <v>456</v>
      </c>
      <c r="C43" s="13" t="s">
        <v>457</v>
      </c>
      <c r="D43" s="93">
        <f>TD_CS_filter + tD_CS + TD_LDr + TD_Ql_Coss_BUR</f>
        <v>67.759193992269815</v>
      </c>
      <c r="E43" s="38" t="s">
        <v>222</v>
      </c>
      <c r="F43" s="94"/>
      <c r="G43" s="55"/>
      <c r="H43" s="55"/>
      <c r="M43" s="57"/>
    </row>
    <row r="44" spans="2:18" ht="18.75">
      <c r="B44" s="10" t="s">
        <v>881</v>
      </c>
      <c r="C44" s="96" t="s">
        <v>458</v>
      </c>
      <c r="D44" s="97">
        <f>IF(Vin_type="AC",(NPS*(VOUT+Vf_SR))/(1.414*VINPUT_BUR+NPS*(VOUT+Vf_SR)),(NPS*(VOUT+Vf_SR))/(VINPUT_BUR+NPS*(VOUT+Vf_SR)))</f>
        <v>0.20833333333333334</v>
      </c>
      <c r="E44" s="38"/>
      <c r="F44" s="105"/>
      <c r="G44" s="55"/>
      <c r="H44" s="57"/>
    </row>
    <row r="45" spans="2:18" ht="18.75">
      <c r="B45" s="2" t="s">
        <v>880</v>
      </c>
      <c r="C45" s="13" t="s">
        <v>459</v>
      </c>
      <c r="D45" s="93">
        <f>IF(Vin_type="AC",PO_FL*BUR*0.01/(ηXFMR*1.414*VINPUT_BUR),PO_FL*BUR*0.01/(ηXFMR*VINPUT_BUR))</f>
        <v>0.10964912280701754</v>
      </c>
      <c r="E45" s="38" t="s">
        <v>22</v>
      </c>
      <c r="F45" s="94"/>
      <c r="G45" s="55"/>
      <c r="H45" s="57"/>
    </row>
    <row r="46" spans="2:18" ht="19.5" thickBot="1">
      <c r="B46" s="3" t="s">
        <v>879</v>
      </c>
      <c r="C46" s="15" t="s">
        <v>460</v>
      </c>
      <c r="D46" s="90">
        <f>IF(Vin_type="AC",(((1.414*VINPUT_BUR-VR_pri_max-VLk_pri_max)*NA/NP-Vs_clamp)/(RVS_1*1000)-Vs_clamp/(RVS_2*1000))*10^3,(((VINPUT_BUR-VR_pri_max-VLk_pri_max)*NA/NP-Vs_clamp)/(RVS_1*1000)-Vs_clamp/(RVS_2*1000))*10^3)</f>
        <v>1.7702963440028596</v>
      </c>
      <c r="E46" s="79" t="s">
        <v>41</v>
      </c>
      <c r="F46" s="110"/>
      <c r="G46" s="55"/>
      <c r="H46" s="57"/>
    </row>
    <row r="47" spans="2:18" ht="15.75" thickBot="1">
      <c r="B47" s="11"/>
      <c r="C47" s="91"/>
      <c r="D47" s="11"/>
      <c r="E47" s="11"/>
      <c r="F47" s="11"/>
      <c r="G47" s="55"/>
      <c r="H47" s="55"/>
    </row>
    <row r="48" spans="2:18" ht="21">
      <c r="B48" s="43" t="s">
        <v>52</v>
      </c>
      <c r="C48" s="16"/>
      <c r="D48" s="44" t="s">
        <v>364</v>
      </c>
      <c r="E48" s="44"/>
      <c r="F48" s="45"/>
      <c r="G48" s="56"/>
      <c r="H48" s="55"/>
    </row>
    <row r="49" spans="2:18" ht="19.5" thickBot="1">
      <c r="B49" s="3" t="s">
        <v>878</v>
      </c>
      <c r="C49" s="15" t="s">
        <v>450</v>
      </c>
      <c r="D49" s="90">
        <f>IF(Vin_type="AC",((CSWN_T_vmax*10^-12)*(1.414*VINPUT_max+NPS*VOUT)/ipk_BUR)*10^9,((CSWN_T_vmax*10^-12)*(VINPUT_max+NPS*VOUT)/ipk_BUR)*10^9)</f>
        <v>55.410344714232252</v>
      </c>
      <c r="E49" s="79" t="s">
        <v>111</v>
      </c>
      <c r="F49" s="78"/>
      <c r="G49" s="31"/>
      <c r="H49" s="57"/>
      <c r="L49" s="52"/>
      <c r="M49" s="53"/>
    </row>
    <row r="50" spans="2:18" ht="15.75" thickBot="1">
      <c r="B50" s="11"/>
      <c r="C50" s="91"/>
      <c r="D50" s="11"/>
      <c r="E50" s="11"/>
      <c r="F50" s="11"/>
      <c r="G50" s="55"/>
      <c r="H50" s="55"/>
    </row>
    <row r="51" spans="2:18" ht="21">
      <c r="B51" s="43" t="s">
        <v>55</v>
      </c>
      <c r="C51" s="16"/>
      <c r="D51" s="44" t="s">
        <v>362</v>
      </c>
      <c r="E51" s="111"/>
      <c r="F51" s="112"/>
      <c r="G51" s="56"/>
      <c r="H51" s="55"/>
    </row>
    <row r="52" spans="2:18" ht="18.75">
      <c r="B52" s="2" t="s">
        <v>884</v>
      </c>
      <c r="C52" s="13" t="s">
        <v>444</v>
      </c>
      <c r="D52" s="93">
        <f>(RDSon_QL/(RDSon_QH+RDSon_QL))*(((15-IVCC_qcc)*10^-3)/10^6)*10^9</f>
        <v>5.7517241379310331</v>
      </c>
      <c r="E52" s="80" t="s">
        <v>62</v>
      </c>
      <c r="F52" s="81"/>
      <c r="G52" s="571" t="s">
        <v>1126</v>
      </c>
      <c r="H52" s="55"/>
    </row>
    <row r="53" spans="2:18" ht="18.75">
      <c r="B53" s="70" t="s">
        <v>885</v>
      </c>
      <c r="C53" s="13" t="s">
        <v>445</v>
      </c>
      <c r="D53" s="93">
        <f>IF(Vin_type="AC",-SQRT(CSWN_T_vbi*(10^-12)/(LM*(10^-6)))*1.414*VINPUT_Brownin,-SQRT(CSWN_T_vbi*(10^-12)/(LM*(10^-6)))*VINPUT_Brownin)</f>
        <v>-0.10974026966302884</v>
      </c>
      <c r="E53" s="38" t="s">
        <v>14</v>
      </c>
      <c r="F53" s="113"/>
      <c r="G53" s="55"/>
      <c r="H53" s="57"/>
      <c r="M53" s="47"/>
      <c r="P53" s="53"/>
    </row>
    <row r="54" spans="2:18" ht="18.75">
      <c r="B54" s="70" t="s">
        <v>886</v>
      </c>
      <c r="C54" s="13" t="s">
        <v>446</v>
      </c>
      <c r="D54" s="99">
        <f>IF(Vin_type="AC",(1.414*VINPUT_Brownin*DBUR_min^2)/(2*(LM*10^-6)*IIN_BUR_min-DBUR_min*(LM*10^-6)*(IM_nega_BUR_min)+DBUR_min*1.414*VINPUT_Brownin*(IF(VINPUT_Brownin&gt;NPS*(VOUT+Vf_SR),3.1416-ACOS(NPS*(VOUT+Vf_SR)/VINPUT_Brownin),3.1416-ACOS(VINPUT_Brownin/(NPS*(VOUT+Vf_SR)))))*SQRT((LM*10^-6)*(CSWN_T_vbi*10^-12)))/1000,(VINPUT_Brownin*DBUR_min^2)/(2*(LM*10^-6)*IIN_BUR_min-DBUR_min*(LM*10^-6)*(IM_nega_BUR_min)+DBUR_min*VINPUT_Brownin*(IF(VINPUT_Brownin&gt;NPS*(VOUT+Vf_SR),3.1416-ACOS(NPS*(VOUT+Vf_SR)/VINPUT_Brownin),3.1416-ACOS(VINPUT_Brownin/(NPS*(VOUT+Vf_SR)))))*SQRT((LM*10^-6)*(CSWN_T_vbi*10^-12)))/1000)</f>
        <v>153.96532909162335</v>
      </c>
      <c r="E54" s="38" t="s">
        <v>8</v>
      </c>
      <c r="F54" s="94"/>
      <c r="G54" s="55"/>
      <c r="H54" s="57"/>
      <c r="M54" s="47"/>
    </row>
    <row r="55" spans="2:18" ht="18.75">
      <c r="B55" s="2" t="s">
        <v>887</v>
      </c>
      <c r="C55" s="13" t="s">
        <v>447</v>
      </c>
      <c r="D55" s="93">
        <f>SQRT(IM_nega_BUR^2+2*(PO_FL*BUR*0.01/ηXFMR)*(1/(fsw_BUR_min*1000*LM*10^-6)))</f>
        <v>2.1755750011725929</v>
      </c>
      <c r="E55" s="114" t="s">
        <v>14</v>
      </c>
      <c r="F55" s="113"/>
      <c r="G55" s="31"/>
      <c r="H55" s="55"/>
      <c r="M55" s="57"/>
      <c r="Q55" s="18"/>
      <c r="R55" s="46"/>
    </row>
    <row r="56" spans="2:18" ht="18.75">
      <c r="B56" s="2" t="s">
        <v>888</v>
      </c>
      <c r="C56" s="13" t="s">
        <v>448</v>
      </c>
      <c r="D56" s="93">
        <f>IF(Vin_type="AC",(NPS*(VOUT+Vf_SR))/(1.414*VINPUT_Brownin+NPS*(VOUT+Vf_SR)),(NPS*(VOUT+Vf_SR))/(VINPUT_Brownin+NPS*(VOUT+Vf_SR)))</f>
        <v>0.5714285714285714</v>
      </c>
      <c r="E56" s="38"/>
      <c r="F56" s="105"/>
      <c r="G56" s="55"/>
      <c r="H56" s="57"/>
    </row>
    <row r="57" spans="2:18" ht="19.5" thickBot="1">
      <c r="B57" s="3" t="s">
        <v>889</v>
      </c>
      <c r="C57" s="15" t="s">
        <v>449</v>
      </c>
      <c r="D57" s="90">
        <f>IF(Vin_type="AC",PO_FL*BUR*0.01/(ηXFMR*1.414*VINPUT_Brownin),PO_FL*BUR*0.01/(ηXFMR*VINPUT_Brownin))</f>
        <v>0.55555555555555558</v>
      </c>
      <c r="E57" s="79" t="s">
        <v>14</v>
      </c>
      <c r="F57" s="103"/>
      <c r="G57" s="55"/>
      <c r="H57" s="57"/>
    </row>
    <row r="58" spans="2:18" ht="15.75" thickBot="1">
      <c r="B58" s="11"/>
      <c r="C58" s="91"/>
      <c r="D58" s="11"/>
      <c r="E58" s="11"/>
      <c r="F58" s="11"/>
      <c r="G58" s="55"/>
      <c r="H58" s="55"/>
    </row>
    <row r="59" spans="2:18" ht="21">
      <c r="B59" s="43" t="s">
        <v>716</v>
      </c>
      <c r="C59" s="115"/>
      <c r="D59" s="44" t="s">
        <v>367</v>
      </c>
      <c r="E59" s="44"/>
      <c r="F59" s="45"/>
      <c r="G59" s="56"/>
      <c r="H59" s="55"/>
    </row>
    <row r="60" spans="2:18" ht="18.75">
      <c r="B60" s="70" t="s">
        <v>890</v>
      </c>
      <c r="C60" s="13" t="s">
        <v>438</v>
      </c>
      <c r="D60" s="93">
        <f>IF(Vin_type="AC",-SQRT(CSWN_T_vbi_30*(10^-12)/(LM*(10^-6)))*(1.414*VINPUT_Brownin+30),-SQRT(CSWN_T_vbi_30*(10^-12)/(LM*(10^-6)))*(VINPUT_Brownin+30))</f>
        <v>-0.14860838998243245</v>
      </c>
      <c r="E60" s="38" t="s">
        <v>22</v>
      </c>
      <c r="F60" s="94"/>
      <c r="G60" s="55"/>
      <c r="H60" s="57"/>
    </row>
    <row r="61" spans="2:18" ht="18.75">
      <c r="B61" s="2" t="s">
        <v>891</v>
      </c>
      <c r="C61" s="13" t="s">
        <v>439</v>
      </c>
      <c r="D61" s="99">
        <f>IF(Vin_type="AC",((1.414*VINPUT_Brownin+30)*DOPP_start^2)/(2*(LM*10^-6)*IIN_OPP_start-DOPP_start*(LM*10^-6)*(IM_nega_start)+DOPP_start*(1.414*VINPUT_Brownin+30)*(IF((VINPUT_Brownin+30)&gt;NPS*(VOUT+Vf_SR),3.1416-ACOS(NPS*(VOUT+Vf_SR)/(VINPUT_Brownin+30)),3.1416-ACOS((VINPUT_Brownin+30)/(NPS*(VOUT+Vf_SR)))))*SQRT((LM*10^-6)*(CSWN_T_vbi_30*10^-12)))/1000,((VINPUT_Brownin+30)*DOPP_start^2)/(2*(LM*10^-6)*IIN_OPP_start-DOPP_start*(LM*10^-6)*(IM_nega_start)+DOPP_start*(VINPUT_Brownin+30)*(IF((VINPUT_Brownin+30)&gt;NPS*(VOUT+Vf_SR),3.1416-ACOS(NPS*(VOUT+Vf_SR)/(VINPUT_Brownin+30)),3.1416-ACOS((VINPUT_Brownin+30)/(NPS*(VOUT+Vf_SR)))))*SQRT((LM*10^-6)*(CSWN_T_vbi_30*10^-12)))/1000)</f>
        <v>42.010896880764413</v>
      </c>
      <c r="E61" s="38" t="s">
        <v>8</v>
      </c>
      <c r="F61" s="94"/>
      <c r="G61" s="55"/>
      <c r="H61" s="57"/>
    </row>
    <row r="62" spans="2:18" ht="18.75">
      <c r="B62" s="2" t="s">
        <v>892</v>
      </c>
      <c r="C62" s="13" t="s">
        <v>440</v>
      </c>
      <c r="D62" s="93">
        <f>SQRT(IM_nega_start^2+2*(PO_FL*OPP*0.5*0.01*1.333/ηXFMR)*(1/(fsw_OPP_start*1000*LM*10^-6)))</f>
        <v>6.4293864525544953</v>
      </c>
      <c r="E62" s="38" t="s">
        <v>22</v>
      </c>
      <c r="F62" s="94"/>
      <c r="G62" s="55"/>
      <c r="H62" s="55"/>
      <c r="K62" s="47"/>
      <c r="N62" s="57"/>
      <c r="Q62" s="18"/>
      <c r="R62" s="46"/>
    </row>
    <row r="63" spans="2:18" ht="18.75">
      <c r="B63" s="2" t="s">
        <v>893</v>
      </c>
      <c r="C63" s="13" t="s">
        <v>441</v>
      </c>
      <c r="D63" s="93">
        <f>IF(Vin_type="AC",PO_FL*OPP*0.01*1.333*0.5/(ηXFMR*(1.414*VINPUT_Brownin+30)),PO_FL*OPP*0.01*1.333*0.5/(ηXFMR*(VINPUT_Brownin+30)))</f>
        <v>0.99181547619047616</v>
      </c>
      <c r="E63" s="38" t="s">
        <v>22</v>
      </c>
      <c r="F63" s="94"/>
      <c r="G63" s="55"/>
      <c r="H63" s="57"/>
      <c r="K63" s="55"/>
    </row>
    <row r="64" spans="2:18" ht="18.75">
      <c r="B64" s="10" t="s">
        <v>894</v>
      </c>
      <c r="C64" s="13" t="s">
        <v>442</v>
      </c>
      <c r="D64" s="93">
        <f>IF(Vin_type="AC",(NPS*(VOUT/2+Vf_SR))/((1.414*VINPUT_Brownin+30)+NPS*(VOUT/2+Vf_SR)),(NPS*(VOUT/2+Vf_SR))/((VINPUT_Brownin+30)+NPS*(VOUT/2+Vf_SR)))</f>
        <v>0.32258064516129031</v>
      </c>
      <c r="E64" s="80"/>
      <c r="F64" s="105"/>
      <c r="G64" s="55"/>
      <c r="H64" s="57"/>
    </row>
    <row r="65" spans="2:18" ht="19.5" thickBot="1">
      <c r="B65" s="3" t="s">
        <v>895</v>
      </c>
      <c r="C65" s="15" t="s">
        <v>443</v>
      </c>
      <c r="D65" s="90">
        <f>(((15-IVCC_qcc)*10^-3)/10^6)*fsw_OPP_start*1000*10^3</f>
        <v>0.58395146664262532</v>
      </c>
      <c r="E65" s="17" t="s">
        <v>59</v>
      </c>
      <c r="F65" s="83"/>
      <c r="G65" s="31"/>
      <c r="H65" s="55"/>
    </row>
    <row r="66" spans="2:18" ht="15.75" thickBot="1">
      <c r="B66" s="11"/>
      <c r="C66" s="91"/>
      <c r="D66" s="11"/>
      <c r="E66" s="11"/>
      <c r="F66" s="11"/>
      <c r="G66" s="55"/>
      <c r="H66" s="55"/>
    </row>
    <row r="67" spans="2:18" ht="21">
      <c r="B67" s="43" t="s">
        <v>60</v>
      </c>
      <c r="C67" s="16"/>
      <c r="D67" s="44" t="s">
        <v>362</v>
      </c>
      <c r="E67" s="44"/>
      <c r="F67" s="45"/>
      <c r="G67" s="56"/>
      <c r="H67" s="55"/>
    </row>
    <row r="68" spans="2:18" ht="18.75">
      <c r="B68" s="2" t="s">
        <v>860</v>
      </c>
      <c r="C68" s="13" t="s">
        <v>388</v>
      </c>
      <c r="D68" s="99">
        <f>IF(Vin_type="AC",-SQRT(CSWN_T_vbi*(10^-12)/(LM*(10^-6)))*1.414*VINPUT_Brownin,-SQRT(CSWN_T_vbi*(10^-12)/(LM*(10^-6)))*VINPUT_Brownin)</f>
        <v>-0.10974026966302884</v>
      </c>
      <c r="E68" s="38" t="s">
        <v>14</v>
      </c>
      <c r="F68" s="94"/>
      <c r="G68" s="55"/>
      <c r="H68" s="57"/>
    </row>
    <row r="69" spans="2:18" ht="18.75">
      <c r="B69" s="2" t="s">
        <v>896</v>
      </c>
      <c r="C69" s="13" t="s">
        <v>389</v>
      </c>
      <c r="D69" s="99">
        <f>IF(Vin_type="AC",(1.414*VINPUT_Brownin*Dmin^2)/(2*(LM*10^-6)*IIN_min-Dmin*(LM*10^-6)*(IM_nega_min)+Dmin*1.414*VINPUT_Brownin*(IF(VINPUT_Brownin&gt;NPS*(VOUT+Vf_SR),3.1416-ACOS(NPS*(VOUT+Vf_SR)/VINPUT_Brownin),3.1416-ACOS(VINPUT_Brownin/(NPS*(VOUT+Vf_SR)))))*SQRT((LM*10^-6)*(CSWN_T_vbi*10^-12))),(VINPUT_Brownin*Dmin^2)/(2*(LM*10^-6)*IIN_min-Dmin*(LM*10^-6)*(IM_nega_min)+Dmin*VINPUT_Brownin*(IF(VINPUT_Brownin&gt;NPS*(VOUT+Vf_SR),3.1416-ACOS(NPS*(VOUT+Vf_SR)/VINPUT_Brownin),3.1416-ACOS(VINPUT_Brownin/(NPS*(VOUT+Vf_SR)))))*SQRT((LM*10^-6)*(CSWN_T_vbi*10^-12))))</f>
        <v>68205.215314596062</v>
      </c>
      <c r="E69" s="38" t="s">
        <v>23</v>
      </c>
      <c r="F69" s="94"/>
      <c r="G69" s="55"/>
      <c r="H69" s="57"/>
      <c r="Q69" s="18"/>
      <c r="R69" s="46"/>
    </row>
    <row r="70" spans="2:18" ht="18.75">
      <c r="B70" s="2" t="s">
        <v>897</v>
      </c>
      <c r="C70" s="13" t="s">
        <v>390</v>
      </c>
      <c r="D70" s="93">
        <f>SQRT(IM_nega_min^2+2*(PO_FL/ηXFMR)*(1/(fsw_min*LM*10^-6)))</f>
        <v>5.0464117022956509</v>
      </c>
      <c r="E70" s="38" t="s">
        <v>14</v>
      </c>
      <c r="F70" s="94"/>
      <c r="G70" s="55"/>
      <c r="H70" s="57"/>
      <c r="J70" s="57"/>
      <c r="L70" s="58"/>
    </row>
    <row r="71" spans="2:18" ht="18.75">
      <c r="B71" s="2" t="s">
        <v>898</v>
      </c>
      <c r="C71" s="13" t="s">
        <v>391</v>
      </c>
      <c r="D71" s="93">
        <f>IF(Vin_type="AC",PO_FL/(ηXFMR*1.414*VINPUT_Brownin),PO_FL/(ηXFMR*VINPUT_Brownin))</f>
        <v>1.3888888888888888</v>
      </c>
      <c r="E71" s="38" t="s">
        <v>14</v>
      </c>
      <c r="F71" s="94"/>
      <c r="G71" s="55"/>
      <c r="H71" s="57"/>
      <c r="L71" s="47"/>
    </row>
    <row r="72" spans="2:18" ht="18.75">
      <c r="B72" s="10" t="s">
        <v>899</v>
      </c>
      <c r="C72" s="13" t="s">
        <v>392</v>
      </c>
      <c r="D72" s="93">
        <f>IF(Vin_type="AC",(NPS*(VOUT+Vf_SR))/(1.414*VINPUT_Brownin+NPS*(VOUT+Vf_SR)),(NPS*(VOUT+Vf_SR))/(VINPUT_Brownin+NPS*(VOUT+Vf_SR)))</f>
        <v>0.5714285714285714</v>
      </c>
      <c r="E72" s="80"/>
      <c r="F72" s="105"/>
      <c r="G72" s="55"/>
      <c r="H72" s="57"/>
    </row>
    <row r="73" spans="2:18" ht="19.5" thickBot="1">
      <c r="B73" s="85" t="s">
        <v>900</v>
      </c>
      <c r="C73" s="15" t="s">
        <v>393</v>
      </c>
      <c r="D73" s="90">
        <f>IF(Vin_type="AC",(NPS*1.414*VINPUT_Brownin/(2*RCS*(1.414*VINPUT_Brownin+NPS*VOUT)))/(0.8*(COUT*10^-6)*(((1.414*VINPUT_Brownin*NPS^2*(ipk_min+IM_nega_min))/(2*(1.414*VINPUT_Brownin+NPS*VOUT)^2)+IOUT/VOUT)*RCO*0.001+1)),(NPS*VINPUT_Brownin/(2*RCS*(VINPUT_Brownin+NPS*VOUT)))/(0.8*(COUT*10^-6)*(((VINPUT_Brownin*NPS^2*(ipk_min+IM_nega_min))/(2*(VINPUT_Brownin+NPS*VOUT)^2)+IOUT/VOUT)*RCO*0.001+1)))</f>
        <v>40383.795414537562</v>
      </c>
      <c r="E73" s="17"/>
      <c r="F73" s="110"/>
      <c r="G73" s="31"/>
      <c r="H73" s="57"/>
      <c r="K73" s="31"/>
    </row>
    <row r="76" spans="2:18">
      <c r="C76" s="19" t="s">
        <v>342</v>
      </c>
      <c r="D76" s="116" t="s">
        <v>341</v>
      </c>
    </row>
    <row r="77" spans="2:18">
      <c r="C77" s="19" t="s">
        <v>115</v>
      </c>
      <c r="D77" s="117">
        <v>0</v>
      </c>
    </row>
    <row r="78" spans="2:18">
      <c r="C78" s="19" t="s">
        <v>143</v>
      </c>
      <c r="D78" s="118">
        <v>1</v>
      </c>
    </row>
    <row r="79" spans="2:18" ht="15.75" thickBot="1"/>
    <row r="80" spans="2:18" ht="18">
      <c r="B80" s="43" t="s">
        <v>340</v>
      </c>
      <c r="C80" s="16"/>
      <c r="D80" s="44" t="s">
        <v>366</v>
      </c>
      <c r="E80" s="44"/>
      <c r="F80" s="45"/>
    </row>
    <row r="81" spans="2:13" ht="18.75">
      <c r="B81" s="2" t="s">
        <v>1026</v>
      </c>
      <c r="C81" s="13" t="s">
        <v>434</v>
      </c>
      <c r="D81" s="93">
        <f>IF(Vin_type="AC", 106/(1.414*VINPUT_Brownin), 106/VINPUT_Brownin)</f>
        <v>1.4133333333333333</v>
      </c>
      <c r="E81" s="38"/>
      <c r="F81" s="94" t="s">
        <v>1027</v>
      </c>
      <c r="H81" t="s">
        <v>1174</v>
      </c>
      <c r="L81" t="s">
        <v>1165</v>
      </c>
    </row>
    <row r="82" spans="2:13" ht="18.75">
      <c r="B82" s="2" t="s">
        <v>1159</v>
      </c>
      <c r="C82" s="13" t="s">
        <v>435</v>
      </c>
      <c r="D82" s="93">
        <f>IF(Vin_type="AC", (IF(Kvsl*1.414*VIN_min&gt;290, VCST_OPP4, IF(Kvsl*1.414*VIN_min&gt;130, 0.475-0.00003125*(Kvsl*1.414*VIN_min-130), IF(Kvsl*1.414*VIN_min&gt;70, VCST_OPP1-0.002083*(Kvsl*1.414*VIN_min-70), VCST_OPP1)))),  (IF(Kvsl*VIN_min&gt;290, VCST_OPP4, IF(Kvsl*VIN_min&gt;130, 0.475-0.00003125*(Kvsl*VIN_min-130), IF(Kvsl*VIN_min&gt;70, VCST_OPP1-0.002083*(Kvsl*VIN_min-70), VCST_OPP1)))))</f>
        <v>0.47398333333333331</v>
      </c>
      <c r="E82" s="38" t="s">
        <v>6</v>
      </c>
      <c r="F82" s="94" t="s">
        <v>386</v>
      </c>
      <c r="G82" s="586" t="s">
        <v>1160</v>
      </c>
      <c r="L82" t="s">
        <v>1158</v>
      </c>
      <c r="M82" t="s">
        <v>1157</v>
      </c>
    </row>
    <row r="83" spans="2:13" ht="18.75">
      <c r="B83" s="2" t="s">
        <v>436</v>
      </c>
      <c r="C83" s="13" t="s">
        <v>437</v>
      </c>
      <c r="D83" s="93">
        <f>IF(Vin_type="AC", (IF(Kvsl*1.414*VINPUT_max&gt;290, VCST_OPP4, IF(Kvsl*1.414*VINPUT_max&gt;130, 0.475-0.00003125*(Kvsl*1.414*VINPUT_max-130), IF(Kvsl*1.414*VINPUT_max&gt;70, VCST_OPP1-0.002083*(Kvsl*1.414*VINPUT_max-70), VCST_OPP1)))),  (IF(Kvsl*VINPUT_max&gt;290, VCST_OPP4, IF(Kvsl*VINPUT_max&gt;130, 0.475-0.00003125*(Kvsl*VINPUT_max-130), IF(Kvsl*VINPUT_max&gt;70, VCST_OPP1-0.002083*(Kvsl*VINPUT_max-70), VCST_OPP1)))))</f>
        <v>0.42749999999999999</v>
      </c>
      <c r="E83" s="38" t="s">
        <v>6</v>
      </c>
      <c r="F83" s="94" t="s">
        <v>387</v>
      </c>
    </row>
    <row r="84" spans="2:13">
      <c r="B84" s="2"/>
      <c r="C84" s="13"/>
      <c r="D84" s="93"/>
      <c r="E84" s="38"/>
      <c r="F84" s="94"/>
    </row>
    <row r="85" spans="2:13">
      <c r="B85" s="10"/>
      <c r="C85" s="13"/>
      <c r="D85" s="93"/>
      <c r="E85" s="80"/>
      <c r="F85" s="105"/>
    </row>
    <row r="86" spans="2:13" ht="15.75" thickBot="1">
      <c r="B86" s="85"/>
      <c r="C86" s="15"/>
      <c r="D86" s="90"/>
      <c r="E86" s="17"/>
      <c r="F86" s="110"/>
    </row>
    <row r="88" spans="2:13" ht="15.75" thickBot="1"/>
    <row r="89" spans="2:13" ht="18">
      <c r="B89" s="33" t="s">
        <v>69</v>
      </c>
      <c r="C89" s="34"/>
      <c r="D89" s="34" t="s">
        <v>363</v>
      </c>
      <c r="E89" s="34"/>
      <c r="F89" s="35"/>
    </row>
    <row r="90" spans="2:13" ht="18.75">
      <c r="B90" s="2" t="s">
        <v>217</v>
      </c>
      <c r="C90" s="13" t="s">
        <v>426</v>
      </c>
      <c r="D90" s="48">
        <f>IF(Vin_type="AC",((COSS_QH_bg*Vxh*(10^-12)+COSS_QH_sm*(10^-12)*(VBulk_min_tgt+NPS*VOUT-Vxh))/(VBulk_min_tgt+VOUT*NPS))*10^12,((COSS_QH_bg*Vxh*(10^-12)+COSS_QH_sm*(10^-12)*(VBulk_min_tgt+NPS*VOUT-Vxh))/(VBulk_min_tgt+VOUT*NPS))*10^12)</f>
        <v>48.07692307692308</v>
      </c>
      <c r="E90" s="5" t="s">
        <v>233</v>
      </c>
      <c r="F90" s="7"/>
    </row>
    <row r="91" spans="2:13" ht="18.75">
      <c r="B91" s="2" t="s">
        <v>218</v>
      </c>
      <c r="C91" s="13" t="s">
        <v>427</v>
      </c>
      <c r="D91" s="48">
        <f>IF(Vin_type="AC",((COSS_QL_bg*Vxl*(10^-12)+COSS_QL_sm*(10^-12)*(VBulk_min_tgt+NPS*VOUT-Vxl))/(VBulk_min_tgt+VOUT*NPS))*10^12,((COSS_QL_bg*Vxl*(10^-12)+COSS_QL_sm*(10^-12)*(VBulk_min_tgt+NPS*VOUT-Vxl))/(VBulk_min_tgt+VOUT*NPS))*10^12)</f>
        <v>83.07692307692308</v>
      </c>
      <c r="E91" s="5" t="s">
        <v>233</v>
      </c>
      <c r="F91" s="7"/>
    </row>
    <row r="92" spans="2:13" ht="18.75">
      <c r="B92" s="2" t="s">
        <v>120</v>
      </c>
      <c r="C92" s="13" t="s">
        <v>428</v>
      </c>
      <c r="D92" s="48">
        <f>CTr</f>
        <v>30</v>
      </c>
      <c r="E92" s="5" t="s">
        <v>21</v>
      </c>
      <c r="F92" s="7"/>
    </row>
    <row r="93" spans="2:13" ht="18.75">
      <c r="B93" s="2" t="s">
        <v>334</v>
      </c>
      <c r="C93" s="13" t="s">
        <v>429</v>
      </c>
      <c r="D93" s="8">
        <f>CBootD_T</f>
        <v>10</v>
      </c>
      <c r="E93" s="5" t="s">
        <v>27</v>
      </c>
      <c r="F93" s="7"/>
    </row>
    <row r="94" spans="2:13" ht="18.75">
      <c r="B94" s="2" t="s">
        <v>121</v>
      </c>
      <c r="C94" s="13" t="s">
        <v>430</v>
      </c>
      <c r="D94" s="49">
        <f>COSS_Qs</f>
        <v>1.7</v>
      </c>
      <c r="E94" s="5" t="s">
        <v>13</v>
      </c>
      <c r="F94" s="39"/>
    </row>
    <row r="95" spans="2:13" ht="18.75">
      <c r="B95" s="10" t="s">
        <v>368</v>
      </c>
      <c r="C95" s="14" t="s">
        <v>431</v>
      </c>
      <c r="D95" s="50">
        <f>IF(Vin_type="AC",(Coss_SR_bg*Vx_SR+Coss_SR_sm*(VOUT+VBulk_min_tgt/NPS-Vx_SR))/(VOUT+VBulk_min_tgt/NPS),(Coss_SR_bg*Vx_SR+Coss_SR_sm*(VOUT+VBulk_min_tgt/NPS-Vx_SR))/(VOUT+VBulk_min_tgt/NPS))</f>
        <v>1173.0769230769231</v>
      </c>
      <c r="E95" s="5" t="s">
        <v>21</v>
      </c>
      <c r="F95" s="39"/>
    </row>
    <row r="96" spans="2:13" ht="18.75">
      <c r="B96" s="10" t="s">
        <v>369</v>
      </c>
      <c r="C96" s="14" t="s">
        <v>432</v>
      </c>
      <c r="D96" s="50">
        <f>CDaux_T</f>
        <v>4.68</v>
      </c>
      <c r="E96" s="5" t="s">
        <v>21</v>
      </c>
      <c r="F96" s="7"/>
    </row>
    <row r="97" spans="2:6" ht="19.5" thickBot="1">
      <c r="B97" s="3" t="s">
        <v>335</v>
      </c>
      <c r="C97" s="15" t="s">
        <v>433</v>
      </c>
      <c r="D97" s="51">
        <f>COSS_QH_T_vmin + COSS_QL_T_vmin + CTr_vmin + CBootD_T_vmin + COSS_Qs_vmin + COSS_SR_vmin/(NP/NS)^2 + C_Daux_vmin/(NP/NA)^2</f>
        <v>219.96412307692307</v>
      </c>
      <c r="E97" s="6" t="s">
        <v>21</v>
      </c>
      <c r="F97" s="9"/>
    </row>
    <row r="98" spans="2:6" ht="15.75" thickBot="1"/>
    <row r="99" spans="2:6" ht="18">
      <c r="B99" s="33" t="s">
        <v>69</v>
      </c>
      <c r="C99" s="34"/>
      <c r="D99" s="34" t="s">
        <v>362</v>
      </c>
      <c r="E99" s="34"/>
      <c r="F99" s="35"/>
    </row>
    <row r="100" spans="2:6" ht="18.75">
      <c r="B100" s="2" t="s">
        <v>217</v>
      </c>
      <c r="C100" s="13" t="s">
        <v>418</v>
      </c>
      <c r="D100" s="48">
        <f>IF(Vin_type="AC",((COSS_QH_bg*Vxh*(10^-12)+COSS_QH_sm*(10^-12)*(VINPUT_Brownin+NPS*VOUT-Vxh))/(VINPUT_Brownin+VOUT*NPS))*10^12,((COSS_QH_bg*Vxh*(10^-12)+COSS_QH_sm*(10^-12)*(VINPUT_Brownin+NPS*VOUT-Vxh))/(VINPUT_Brownin+VOUT*NPS))*10^12)</f>
        <v>60.742857142857147</v>
      </c>
      <c r="E100" s="5" t="s">
        <v>233</v>
      </c>
      <c r="F100" s="7"/>
    </row>
    <row r="101" spans="2:6" ht="18.75">
      <c r="B101" s="2" t="s">
        <v>218</v>
      </c>
      <c r="C101" s="13" t="s">
        <v>419</v>
      </c>
      <c r="D101" s="48">
        <f>IF(Vin_type="AC",((COSS_QL_bg*Vxl*(10^-12)+COSS_QL_sm*(10^-12)*(VINPUT_Brownin+NPS*VOUT-Vxl))/(VINPUT_Brownin+VOUT*NPS))*10^12,((COSS_QL_bg*Vxl*(10^-12)+COSS_QL_sm*(10^-12)*(VINPUT_Brownin+NPS*VOUT-Vxl))/(VINPUT_Brownin+VOUT*NPS))*10^12)</f>
        <v>103.99999999999999</v>
      </c>
      <c r="E101" s="5" t="s">
        <v>233</v>
      </c>
      <c r="F101" s="7"/>
    </row>
    <row r="102" spans="2:6" ht="18.75">
      <c r="B102" s="2" t="s">
        <v>120</v>
      </c>
      <c r="C102" s="13" t="s">
        <v>420</v>
      </c>
      <c r="D102" s="48">
        <f>CTr</f>
        <v>30</v>
      </c>
      <c r="E102" s="5" t="s">
        <v>21</v>
      </c>
      <c r="F102" s="7"/>
    </row>
    <row r="103" spans="2:6" ht="18.75">
      <c r="B103" s="2" t="s">
        <v>334</v>
      </c>
      <c r="C103" s="13" t="s">
        <v>421</v>
      </c>
      <c r="D103" s="8">
        <f>CBootD_T</f>
        <v>10</v>
      </c>
      <c r="E103" s="5" t="s">
        <v>27</v>
      </c>
      <c r="F103" s="7"/>
    </row>
    <row r="104" spans="2:6" ht="18.75">
      <c r="B104" s="2" t="s">
        <v>121</v>
      </c>
      <c r="C104" s="13" t="s">
        <v>422</v>
      </c>
      <c r="D104" s="49">
        <f>COSS_Qs</f>
        <v>1.7</v>
      </c>
      <c r="E104" s="5" t="s">
        <v>13</v>
      </c>
      <c r="F104" s="39"/>
    </row>
    <row r="105" spans="2:6" ht="18.75">
      <c r="B105" s="10" t="s">
        <v>368</v>
      </c>
      <c r="C105" s="14" t="s">
        <v>423</v>
      </c>
      <c r="D105" s="50">
        <f>IF(Vin_type="AC",(Coss_SR_bg*Vx_SR+Coss_SR_sm*(VOUT+VINPUT_Brownin/NPS-Vx_SR))/(VOUT+VINPUT_Brownin/NPS),(Coss_SR_bg*Vx_SR+Coss_SR_sm*(VOUT+VINPUT_Brownin/NPS-Vx_SR))/(VOUT+VINPUT_Brownin/NPS))</f>
        <v>1257.1428571428571</v>
      </c>
      <c r="E105" s="5" t="s">
        <v>21</v>
      </c>
      <c r="F105" s="39"/>
    </row>
    <row r="106" spans="2:6" ht="18.75">
      <c r="B106" s="10" t="s">
        <v>369</v>
      </c>
      <c r="C106" s="14" t="s">
        <v>424</v>
      </c>
      <c r="D106" s="50">
        <f>CDaux_T</f>
        <v>4.68</v>
      </c>
      <c r="E106" s="5" t="s">
        <v>21</v>
      </c>
      <c r="F106" s="7"/>
    </row>
    <row r="107" spans="2:6" ht="19.5" thickBot="1">
      <c r="B107" s="3" t="s">
        <v>335</v>
      </c>
      <c r="C107" s="15" t="s">
        <v>425</v>
      </c>
      <c r="D107" s="51">
        <f>COSS_QH_T_vbi + COSS_QL_T_vbi + CTr_vbi + CBootD_T_vbi + COSS_Qs_vbi + COSS_SR_vbi/(NP/NS)^2 + C_Daux_vbi/(NP/NA)^2</f>
        <v>256.91577142857142</v>
      </c>
      <c r="E107" s="6" t="s">
        <v>21</v>
      </c>
      <c r="F107" s="9"/>
    </row>
    <row r="108" spans="2:6" ht="15.75" thickBot="1"/>
    <row r="109" spans="2:6" ht="18">
      <c r="B109" s="33" t="s">
        <v>69</v>
      </c>
      <c r="C109" s="34"/>
      <c r="D109" s="34" t="s">
        <v>367</v>
      </c>
      <c r="E109" s="34"/>
      <c r="F109" s="35"/>
    </row>
    <row r="110" spans="2:6" ht="18.75">
      <c r="B110" s="2" t="s">
        <v>217</v>
      </c>
      <c r="C110" s="13" t="s">
        <v>410</v>
      </c>
      <c r="D110" s="48">
        <f>IF(Vin_type="AC",((COSS_QH_bg*Vxh*(10^-12)+COSS_QH_sm*(10^-12)*((VINPUT_Brownin+30)+NPS*VOUT-Vxh))/((VINPUT_Brownin+30)+VOUT*NPS))*10^12,((COSS_QH_bg*Vxh*(10^-12)+COSS_QH_sm*(10^-12)*((VINPUT_Brownin+30)+NPS*VOUT-Vxh))/((VINPUT_Brownin+30)+VOUT*NPS))*10^12)</f>
        <v>55.073170731707322</v>
      </c>
      <c r="E110" s="5" t="s">
        <v>233</v>
      </c>
      <c r="F110" s="7"/>
    </row>
    <row r="111" spans="2:6" ht="18.75">
      <c r="B111" s="2" t="s">
        <v>218</v>
      </c>
      <c r="C111" s="13" t="s">
        <v>411</v>
      </c>
      <c r="D111" s="48">
        <f>IF(Vin_type="AC",((COSS_QL_bg*Vxl*(10^-12)+COSS_QL_sm*(10^-12)*((VINPUT_Brownin+30)+NPS*VOUT-Vxl))/((VINPUT_Brownin+30)+VOUT*NPS))*10^12,((COSS_QL_bg*Vxl*(10^-12)+COSS_QL_sm*(10^-12)*((VINPUT_Brownin+30)+NPS*VOUT-Vxl))/((VINPUT_Brownin+30)+VOUT*NPS))*10^12)</f>
        <v>94.634146341463406</v>
      </c>
      <c r="E111" s="5" t="s">
        <v>233</v>
      </c>
      <c r="F111" s="7"/>
    </row>
    <row r="112" spans="2:6" ht="18.75">
      <c r="B112" s="2" t="s">
        <v>120</v>
      </c>
      <c r="C112" s="13" t="s">
        <v>412</v>
      </c>
      <c r="D112" s="48">
        <f>CTr</f>
        <v>30</v>
      </c>
      <c r="E112" s="5" t="s">
        <v>21</v>
      </c>
      <c r="F112" s="7"/>
    </row>
    <row r="113" spans="2:6" ht="18.75">
      <c r="B113" s="2" t="s">
        <v>334</v>
      </c>
      <c r="C113" s="13" t="s">
        <v>413</v>
      </c>
      <c r="D113" s="8">
        <f>CBootD_T</f>
        <v>10</v>
      </c>
      <c r="E113" s="5" t="s">
        <v>27</v>
      </c>
      <c r="F113" s="7"/>
    </row>
    <row r="114" spans="2:6" ht="18.75">
      <c r="B114" s="2" t="s">
        <v>121</v>
      </c>
      <c r="C114" s="13" t="s">
        <v>414</v>
      </c>
      <c r="D114" s="49">
        <f>COSS_Qs</f>
        <v>1.7</v>
      </c>
      <c r="E114" s="5" t="s">
        <v>13</v>
      </c>
      <c r="F114" s="39"/>
    </row>
    <row r="115" spans="2:6" ht="18.75">
      <c r="B115" s="10" t="s">
        <v>368</v>
      </c>
      <c r="C115" s="14" t="s">
        <v>415</v>
      </c>
      <c r="D115" s="50">
        <f>IF(Vin_type="AC",(Coss_SR_bg*Vx_SR+Coss_SR_sm*(VOUT+(VINPUT_Brownin+30)/NPS-Vx_SR))/(VOUT+(VINPUT_Brownin+30)/NPS),(Coss_SR_bg*Vx_SR+Coss_SR_sm*(VOUT+(VINPUT_Brownin+30)/NPS-Vx_SR))/(VOUT+(VINPUT_Brownin+30)/NPS))</f>
        <v>1219.5121951219512</v>
      </c>
      <c r="E115" s="5" t="s">
        <v>21</v>
      </c>
      <c r="F115" s="39"/>
    </row>
    <row r="116" spans="2:6" ht="18.75">
      <c r="B116" s="10" t="s">
        <v>369</v>
      </c>
      <c r="C116" s="14" t="s">
        <v>416</v>
      </c>
      <c r="D116" s="50">
        <f>CDaux_T</f>
        <v>4.68</v>
      </c>
      <c r="E116" s="5" t="s">
        <v>21</v>
      </c>
      <c r="F116" s="7"/>
    </row>
    <row r="117" spans="2:6" ht="19.5" thickBot="1">
      <c r="B117" s="3" t="s">
        <v>335</v>
      </c>
      <c r="C117" s="15" t="s">
        <v>417</v>
      </c>
      <c r="D117" s="51">
        <f>COSS_QH_T_vbi_30 + COSS_QL_T_vbi_30 + CTr_vbi_30 + CBootD_T_vbi_30 + COSS_Qs_vbi_30 + COSS_SR_vbi_30/(NP/NS)^2 + C_Daux_vbi_30/(NP/NA)^2</f>
        <v>240.37500487804874</v>
      </c>
      <c r="E117" s="6" t="s">
        <v>21</v>
      </c>
      <c r="F117" s="9"/>
    </row>
    <row r="118" spans="2:6" ht="15.75" thickBot="1"/>
    <row r="119" spans="2:6" ht="18">
      <c r="B119" s="33" t="s">
        <v>69</v>
      </c>
      <c r="C119" s="34"/>
      <c r="D119" s="34" t="s">
        <v>365</v>
      </c>
      <c r="E119" s="34"/>
      <c r="F119" s="35"/>
    </row>
    <row r="120" spans="2:6" ht="18.75">
      <c r="B120" s="2" t="s">
        <v>217</v>
      </c>
      <c r="C120" s="13" t="s">
        <v>402</v>
      </c>
      <c r="D120" s="48">
        <f>IF(Vin_type="AC",((COSS_QH_bg*Vxh*(10^-12)+COSS_QH_sm*(10^-12)*(VINPUT_BUR+NPS*VOUT-Vxh))/(VINPUT_BUR+VOUT*NPS))*10^12,((COSS_QH_bg*Vxh*(10^-12)+COSS_QH_sm*(10^-12)*(VINPUT_BUR+NPS*VOUT-Vxh))/(VINPUT_BUR+VOUT*NPS))*10^12)</f>
        <v>36.125</v>
      </c>
      <c r="E120" s="5" t="s">
        <v>233</v>
      </c>
      <c r="F120" s="7"/>
    </row>
    <row r="121" spans="2:6" ht="18.75">
      <c r="B121" s="2" t="s">
        <v>218</v>
      </c>
      <c r="C121" s="13" t="s">
        <v>403</v>
      </c>
      <c r="D121" s="48">
        <f>IF(Vin_type="AC",((COSS_QL_bg*Vxl*(10^-12)+COSS_QL_sm*(10^-12)*(VINPUT_BUR+NPS*VOUT-Vxl))/(VINPUT_BUR+VOUT*NPS))*10^12,((COSS_QL_bg*Vxl*(10^-12)+COSS_QL_sm*(10^-12)*(VINPUT_BUR+NPS*VOUT-Vxl))/(VINPUT_BUR+VOUT*NPS))*10^12)</f>
        <v>63.333333333333321</v>
      </c>
      <c r="E121" s="5" t="s">
        <v>233</v>
      </c>
      <c r="F121" s="7"/>
    </row>
    <row r="122" spans="2:6" ht="18.75">
      <c r="B122" s="2" t="s">
        <v>120</v>
      </c>
      <c r="C122" s="13" t="s">
        <v>404</v>
      </c>
      <c r="D122" s="48">
        <f>CTr</f>
        <v>30</v>
      </c>
      <c r="E122" s="5" t="s">
        <v>21</v>
      </c>
      <c r="F122" s="7"/>
    </row>
    <row r="123" spans="2:6" ht="18.75">
      <c r="B123" s="2" t="s">
        <v>334</v>
      </c>
      <c r="C123" s="13" t="s">
        <v>405</v>
      </c>
      <c r="D123" s="8">
        <f>CBootD_T</f>
        <v>10</v>
      </c>
      <c r="E123" s="5" t="s">
        <v>27</v>
      </c>
      <c r="F123" s="7"/>
    </row>
    <row r="124" spans="2:6" ht="18.75">
      <c r="B124" s="2" t="s">
        <v>121</v>
      </c>
      <c r="C124" s="13" t="s">
        <v>406</v>
      </c>
      <c r="D124" s="49">
        <f>COSS_Qs</f>
        <v>1.7</v>
      </c>
      <c r="E124" s="5" t="s">
        <v>13</v>
      </c>
      <c r="F124" s="39"/>
    </row>
    <row r="125" spans="2:6" ht="18.75">
      <c r="B125" s="10" t="s">
        <v>368</v>
      </c>
      <c r="C125" s="14" t="s">
        <v>407</v>
      </c>
      <c r="D125" s="50">
        <f>IF(Vin_type="AC",(Coss_SR_bg*Vx_SR+Coss_SR_sm*(VOUT+(VINPUT_BUR)/NPS-Vx_SR))/(VOUT+(VINPUT_BUR)/NPS),(Coss_SR_bg*Vx_SR+Coss_SR_sm*(VOUT+(VINPUT_BUR)/NPS-Vx_SR))/(VOUT+(VINPUT_BUR)/NPS))</f>
        <v>1093.75</v>
      </c>
      <c r="E125" s="5" t="s">
        <v>21</v>
      </c>
      <c r="F125" s="39"/>
    </row>
    <row r="126" spans="2:6" ht="18.75">
      <c r="B126" s="10" t="s">
        <v>369</v>
      </c>
      <c r="C126" s="14" t="s">
        <v>408</v>
      </c>
      <c r="D126" s="50">
        <f>CDaux_T</f>
        <v>4.68</v>
      </c>
      <c r="E126" s="5" t="s">
        <v>21</v>
      </c>
      <c r="F126" s="7"/>
    </row>
    <row r="127" spans="2:6" ht="19.5" thickBot="1">
      <c r="B127" s="3" t="s">
        <v>335</v>
      </c>
      <c r="C127" s="15" t="s">
        <v>409</v>
      </c>
      <c r="D127" s="51">
        <f>COSS_QH_T_vbur + COSS_QL_T_vbur + CTr_vbur + CBootD_T_vbur + COSS_Qs_vbur + COSS_SR_vbur/(NP/NS)^2 + C_Daux_vbur/(NP/NA)^2</f>
        <v>185.09553333333329</v>
      </c>
      <c r="E127" s="6" t="s">
        <v>21</v>
      </c>
      <c r="F127" s="9"/>
    </row>
    <row r="128" spans="2:6" ht="15.75" thickBot="1"/>
    <row r="129" spans="2:6" ht="18">
      <c r="B129" s="33" t="s">
        <v>69</v>
      </c>
      <c r="C129" s="34"/>
      <c r="D129" s="34" t="s">
        <v>364</v>
      </c>
      <c r="E129" s="34"/>
      <c r="F129" s="35"/>
    </row>
    <row r="130" spans="2:6" ht="18.75">
      <c r="B130" s="2" t="s">
        <v>217</v>
      </c>
      <c r="C130" s="13" t="s">
        <v>394</v>
      </c>
      <c r="D130" s="48">
        <f>IF(Vin_type="AC",((COSS_QH_bg*Vxh*(10^-12)+COSS_QH_sm*(10^-12)*(VINPUT_max+NPS*VOUT-Vxh))/(VINPUT_max+VOUT*NPS))*10^12,((COSS_QH_bg*Vxh*(10^-12)+COSS_QH_sm*(10^-12)*(VINPUT_max+NPS*VOUT-Vxh))/(VINPUT_max+VOUT*NPS))*10^12)</f>
        <v>35.559999999999995</v>
      </c>
      <c r="E130" s="5" t="s">
        <v>233</v>
      </c>
      <c r="F130" s="7"/>
    </row>
    <row r="131" spans="2:6" ht="18.75">
      <c r="B131" s="2" t="s">
        <v>218</v>
      </c>
      <c r="C131" s="13" t="s">
        <v>395</v>
      </c>
      <c r="D131" s="48">
        <f>IF(Vin_type="AC",((COSS_QL_bg*Vxl*(10^-12)+COSS_QL_sm*(10^-12)*(VINPUT_max+NPS*VOUT-Vxl))/(VINPUT_max+VOUT*NPS))*10^12,((COSS_QL_bg*Vxl*(10^-12)+COSS_QL_sm*(10^-12)*(VINPUT_max+NPS*VOUT-Vxl))/(VINPUT_max+VOUT*NPS))*10^12)</f>
        <v>62.4</v>
      </c>
      <c r="E131" s="5" t="s">
        <v>233</v>
      </c>
      <c r="F131" s="7"/>
    </row>
    <row r="132" spans="2:6" ht="18.75">
      <c r="B132" s="2" t="s">
        <v>120</v>
      </c>
      <c r="C132" s="13" t="s">
        <v>396</v>
      </c>
      <c r="D132" s="48">
        <f>CTr</f>
        <v>30</v>
      </c>
      <c r="E132" s="5" t="s">
        <v>21</v>
      </c>
      <c r="F132" s="7"/>
    </row>
    <row r="133" spans="2:6" ht="18.75">
      <c r="B133" s="2" t="s">
        <v>334</v>
      </c>
      <c r="C133" s="13" t="s">
        <v>397</v>
      </c>
      <c r="D133" s="8">
        <f>CBootD_T</f>
        <v>10</v>
      </c>
      <c r="E133" s="5" t="s">
        <v>27</v>
      </c>
      <c r="F133" s="7"/>
    </row>
    <row r="134" spans="2:6" ht="18.75">
      <c r="B134" s="2" t="s">
        <v>121</v>
      </c>
      <c r="C134" s="13" t="s">
        <v>398</v>
      </c>
      <c r="D134" s="49">
        <f>COSS_Qs</f>
        <v>1.7</v>
      </c>
      <c r="E134" s="5" t="s">
        <v>13</v>
      </c>
      <c r="F134" s="39"/>
    </row>
    <row r="135" spans="2:6" ht="18.75">
      <c r="B135" s="10" t="s">
        <v>368</v>
      </c>
      <c r="C135" s="14" t="s">
        <v>399</v>
      </c>
      <c r="D135" s="50">
        <f>IF(Vin_type="AC",(Coss_SR_bg*Vx_SR+Coss_SR_sm*(VOUT+(VINPUT_max)/NPS-Vx_SR))/(VOUT+(VINPUT_max)/NPS),(Coss_SR_bg*Vx_SR+Coss_SR_sm*(VOUT+(VINPUT_max)/NPS-Vx_SR))/(VOUT+(VINPUT_max)/NPS))</f>
        <v>1090</v>
      </c>
      <c r="E135" s="5" t="s">
        <v>21</v>
      </c>
      <c r="F135" s="39"/>
    </row>
    <row r="136" spans="2:6" ht="18.75">
      <c r="B136" s="10" t="s">
        <v>369</v>
      </c>
      <c r="C136" s="14" t="s">
        <v>400</v>
      </c>
      <c r="D136" s="50">
        <f>CDaux_T</f>
        <v>4.68</v>
      </c>
      <c r="E136" s="5" t="s">
        <v>21</v>
      </c>
      <c r="F136" s="7"/>
    </row>
    <row r="137" spans="2:6" ht="19.5" thickBot="1">
      <c r="B137" s="3" t="s">
        <v>335</v>
      </c>
      <c r="C137" s="15" t="s">
        <v>401</v>
      </c>
      <c r="D137" s="51">
        <f>COSS_QH_T_vmax + COSS_QL_T_vmax + CTr_vmax + CBootD_T_vmax + COSS_Qs_vmax + COSS_SR_vmax/(NP/NS)^2 + C_Daux_vmax/(NP/NA)^2</f>
        <v>183.44719999999995</v>
      </c>
      <c r="E137" s="6" t="s">
        <v>21</v>
      </c>
      <c r="F137" s="9"/>
    </row>
  </sheetData>
  <autoFilter ref="D76:D78" xr:uid="{00000000-0009-0000-0000-000005000000}"/>
  <mergeCells count="3">
    <mergeCell ref="B2:F2"/>
    <mergeCell ref="M9:N9"/>
    <mergeCell ref="M11:N11"/>
  </mergeCells>
  <phoneticPr fontId="32" type="noConversion"/>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24"/>
  <sheetViews>
    <sheetView zoomScaleNormal="100" workbookViewId="0"/>
  </sheetViews>
  <sheetFormatPr defaultRowHeight="15"/>
  <cols>
    <col min="1" max="1" width="3.28515625" customWidth="1"/>
    <col min="2" max="2" width="12.7109375" customWidth="1"/>
    <col min="3" max="3" width="7.7109375" customWidth="1"/>
    <col min="4" max="4" width="14.7109375" customWidth="1"/>
    <col min="5" max="5" width="82.7109375" customWidth="1"/>
  </cols>
  <sheetData>
    <row r="1" spans="1:7" ht="15.75" thickBot="1">
      <c r="A1" s="135"/>
      <c r="B1" s="135"/>
      <c r="C1" s="135"/>
      <c r="D1" s="135"/>
      <c r="E1" s="539"/>
      <c r="F1" s="135"/>
    </row>
    <row r="2" spans="1:7" ht="30.75" thickBot="1">
      <c r="A2" s="135"/>
      <c r="B2" s="545" t="s">
        <v>956</v>
      </c>
      <c r="C2" s="546" t="s">
        <v>961</v>
      </c>
      <c r="D2" s="547" t="s">
        <v>957</v>
      </c>
      <c r="E2" s="548" t="s">
        <v>960</v>
      </c>
      <c r="F2" s="135"/>
    </row>
    <row r="3" spans="1:7" ht="129" customHeight="1">
      <c r="A3" s="135"/>
      <c r="B3" s="531" t="s">
        <v>951</v>
      </c>
      <c r="C3" s="532" t="s">
        <v>1161</v>
      </c>
      <c r="D3" s="533" t="s">
        <v>1125</v>
      </c>
      <c r="E3" s="588" t="s">
        <v>1181</v>
      </c>
      <c r="F3" s="539"/>
    </row>
    <row r="4" spans="1:7" ht="169.9" customHeight="1">
      <c r="A4" s="135"/>
      <c r="B4" s="531" t="s">
        <v>951</v>
      </c>
      <c r="C4" s="532" t="s">
        <v>1032</v>
      </c>
      <c r="D4" s="533" t="s">
        <v>1125</v>
      </c>
      <c r="E4" s="589" t="s">
        <v>1162</v>
      </c>
      <c r="F4" s="538"/>
      <c r="G4" s="135"/>
    </row>
    <row r="5" spans="1:7" ht="135.6" customHeight="1">
      <c r="A5" s="135"/>
      <c r="B5" s="531" t="s">
        <v>951</v>
      </c>
      <c r="C5" s="532" t="s">
        <v>5</v>
      </c>
      <c r="D5" s="533" t="s">
        <v>1031</v>
      </c>
      <c r="E5" s="534" t="s">
        <v>1072</v>
      </c>
      <c r="F5" s="135"/>
    </row>
    <row r="6" spans="1:7" ht="18" customHeight="1">
      <c r="A6" s="135"/>
      <c r="B6" s="527" t="s">
        <v>951</v>
      </c>
      <c r="C6" s="528"/>
      <c r="D6" s="529" t="s">
        <v>958</v>
      </c>
      <c r="E6" s="530" t="s">
        <v>959</v>
      </c>
      <c r="F6" s="538"/>
      <c r="G6" s="135"/>
    </row>
    <row r="7" spans="1:7" ht="18" customHeight="1">
      <c r="A7" s="135"/>
      <c r="B7" s="527"/>
      <c r="C7" s="528"/>
      <c r="D7" s="529"/>
      <c r="E7" s="530"/>
      <c r="F7" s="135"/>
    </row>
    <row r="8" spans="1:7" ht="18" customHeight="1" thickBot="1">
      <c r="A8" s="135"/>
      <c r="B8" s="535"/>
      <c r="C8" s="536"/>
      <c r="D8" s="536"/>
      <c r="E8" s="537"/>
      <c r="F8" s="135"/>
    </row>
    <row r="9" spans="1:7">
      <c r="A9" s="135"/>
      <c r="B9" s="135"/>
      <c r="C9" s="135"/>
      <c r="D9" s="135"/>
      <c r="E9" s="539"/>
      <c r="F9" s="135"/>
    </row>
    <row r="10" spans="1:7">
      <c r="A10" s="135"/>
      <c r="B10" s="135"/>
      <c r="C10" s="135"/>
      <c r="D10" s="135"/>
      <c r="E10" s="135"/>
      <c r="F10" s="135"/>
    </row>
    <row r="12" spans="1:7">
      <c r="B12" s="21"/>
      <c r="C12" s="21"/>
      <c r="D12" s="21"/>
      <c r="E12" s="131"/>
    </row>
    <row r="13" spans="1:7">
      <c r="B13" s="21"/>
      <c r="C13" s="21"/>
      <c r="D13" s="21"/>
      <c r="E13" s="131"/>
    </row>
    <row r="14" spans="1:7">
      <c r="F14" s="476"/>
    </row>
    <row r="15" spans="1:7">
      <c r="B15" s="476"/>
      <c r="C15" s="21"/>
      <c r="D15" s="476"/>
      <c r="F15" s="541"/>
    </row>
    <row r="16" spans="1:7">
      <c r="E16" s="549"/>
    </row>
    <row r="17" spans="2:6">
      <c r="C17" s="21"/>
      <c r="D17" s="476"/>
      <c r="F17" s="541"/>
    </row>
    <row r="18" spans="2:6">
      <c r="E18" s="549"/>
    </row>
    <row r="19" spans="2:6">
      <c r="B19" s="476"/>
      <c r="C19" s="21"/>
      <c r="D19" s="476"/>
      <c r="F19" s="541"/>
    </row>
    <row r="20" spans="2:6">
      <c r="E20" s="550"/>
    </row>
    <row r="21" spans="2:6">
      <c r="C21" s="21"/>
      <c r="D21" s="476"/>
      <c r="E21" s="540"/>
      <c r="F21" s="541"/>
    </row>
    <row r="22" spans="2:6">
      <c r="E22" s="550"/>
    </row>
    <row r="23" spans="2:6">
      <c r="C23" s="21"/>
      <c r="D23" s="476"/>
      <c r="F23" s="541"/>
    </row>
    <row r="24" spans="2:6">
      <c r="C24" s="21"/>
      <c r="D24" s="476"/>
      <c r="E24" s="540"/>
      <c r="F24" s="541"/>
    </row>
  </sheetData>
  <sheetProtection algorithmName="SHA-512" hashValue="hsxy+53YBZNCbHWtLAZrbgfsRCmX0xSuejMpheKXMVBhYzhwG55S4Dw0Suy29oIkhxXYfsvTuxcyeDlYMhiebA==" saltValue="ukx2ARAjcrgvD8lZLBfbT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366</vt:i4>
      </vt:variant>
    </vt:vector>
  </HeadingPairs>
  <TitlesOfParts>
    <vt:vector size="373" baseType="lpstr">
      <vt:lpstr>Begin Input Here</vt:lpstr>
      <vt:lpstr>Calculations</vt:lpstr>
      <vt:lpstr>Optimize BUR Pin</vt:lpstr>
      <vt:lpstr>Tune Secondary Resonance</vt:lpstr>
      <vt:lpstr>Schematic and Values</vt:lpstr>
      <vt:lpstr>Hidden</vt:lpstr>
      <vt:lpstr>Revision History</vt:lpstr>
      <vt:lpstr>_∆V_MIN</vt:lpstr>
      <vt:lpstr>_∆VO_ABM</vt:lpstr>
      <vt:lpstr>_R25</vt:lpstr>
      <vt:lpstr>B25_85</vt:lpstr>
      <vt:lpstr>BUR</vt:lpstr>
      <vt:lpstr>C_01_act</vt:lpstr>
      <vt:lpstr>C_Daux_vbi</vt:lpstr>
      <vt:lpstr>C_Daux_vbi_30</vt:lpstr>
      <vt:lpstr>C_Daux_vbur</vt:lpstr>
      <vt:lpstr>C_Daux_vmax</vt:lpstr>
      <vt:lpstr>C_Daux_vmin</vt:lpstr>
      <vt:lpstr>C_P13</vt:lpstr>
      <vt:lpstr>Cboot</vt:lpstr>
      <vt:lpstr>CBootD_T</vt:lpstr>
      <vt:lpstr>CBootD_T_vbi</vt:lpstr>
      <vt:lpstr>CBootD_T_vbi_30</vt:lpstr>
      <vt:lpstr>CBootD_T_vbur</vt:lpstr>
      <vt:lpstr>CBootD_T_vmax</vt:lpstr>
      <vt:lpstr>CBootD_T_vmin</vt:lpstr>
      <vt:lpstr>CBULK</vt:lpstr>
      <vt:lpstr>CBULK_act</vt:lpstr>
      <vt:lpstr>CBULK_rec</vt:lpstr>
      <vt:lpstr>CBUR</vt:lpstr>
      <vt:lpstr>CBUR_act</vt:lpstr>
      <vt:lpstr>CBUR_max</vt:lpstr>
      <vt:lpstr>Cclamp</vt:lpstr>
      <vt:lpstr>Cclamp_act</vt:lpstr>
      <vt:lpstr>Cclamp_eff</vt:lpstr>
      <vt:lpstr>Cclamp_rec</vt:lpstr>
      <vt:lpstr>CCS</vt:lpstr>
      <vt:lpstr>CCS_act</vt:lpstr>
      <vt:lpstr>CCS_rec</vt:lpstr>
      <vt:lpstr>CDaux_H</vt:lpstr>
      <vt:lpstr>CDaux_T</vt:lpstr>
      <vt:lpstr>CDD_1</vt:lpstr>
      <vt:lpstr>CDD1_act</vt:lpstr>
      <vt:lpstr>CDD1_rec</vt:lpstr>
      <vt:lpstr>CDD2_</vt:lpstr>
      <vt:lpstr>Cdiff</vt:lpstr>
      <vt:lpstr>Cdiff_act</vt:lpstr>
      <vt:lpstr>Cdiff_rec</vt:lpstr>
      <vt:lpstr>CFB</vt:lpstr>
      <vt:lpstr>Cint</vt:lpstr>
      <vt:lpstr>Cint_act</vt:lpstr>
      <vt:lpstr>Cint_rec</vt:lpstr>
      <vt:lpstr>Ciss_Qs</vt:lpstr>
      <vt:lpstr>Co_1</vt:lpstr>
      <vt:lpstr>Co1_dec</vt:lpstr>
      <vt:lpstr>Co1_rec</vt:lpstr>
      <vt:lpstr>COSS_QH_bg</vt:lpstr>
      <vt:lpstr>COSS_QH_sm</vt:lpstr>
      <vt:lpstr>Coss_QH_T</vt:lpstr>
      <vt:lpstr>COSS_QH_T_vbi</vt:lpstr>
      <vt:lpstr>COSS_QH_T_vbi_30</vt:lpstr>
      <vt:lpstr>COSS_QH_T_vbur</vt:lpstr>
      <vt:lpstr>COSS_QH_T_vmax</vt:lpstr>
      <vt:lpstr>COSS_QH_T_vmin</vt:lpstr>
      <vt:lpstr>COSS_QL_bg</vt:lpstr>
      <vt:lpstr>COSS_QL_sm</vt:lpstr>
      <vt:lpstr>Coss_QL_T</vt:lpstr>
      <vt:lpstr>COSS_QL_T_vbi</vt:lpstr>
      <vt:lpstr>COSS_QL_T_vbi_30</vt:lpstr>
      <vt:lpstr>COSS_QL_T_vbur</vt:lpstr>
      <vt:lpstr>COSS_QL_T_vmax</vt:lpstr>
      <vt:lpstr>COSS_QL_T_vmin</vt:lpstr>
      <vt:lpstr>COSS_Qs</vt:lpstr>
      <vt:lpstr>COSS_Qs_vbi</vt:lpstr>
      <vt:lpstr>COSS_Qs_vbi_30</vt:lpstr>
      <vt:lpstr>COSS_Qs_vbur</vt:lpstr>
      <vt:lpstr>COSS_Qs_vmax</vt:lpstr>
      <vt:lpstr>COSS_Qs_vmin</vt:lpstr>
      <vt:lpstr>Coss_SR_bg</vt:lpstr>
      <vt:lpstr>COSS_SR_H</vt:lpstr>
      <vt:lpstr>Coss_SR_sm</vt:lpstr>
      <vt:lpstr>Coss_SR_T</vt:lpstr>
      <vt:lpstr>COSS_SR_vbi</vt:lpstr>
      <vt:lpstr>COSS_SR_vbi_30</vt:lpstr>
      <vt:lpstr>COSS_SR_vbur</vt:lpstr>
      <vt:lpstr>COSS_SR_vmax</vt:lpstr>
      <vt:lpstr>COSS_SR_vmin</vt:lpstr>
      <vt:lpstr>COUT</vt:lpstr>
      <vt:lpstr>COUT_act</vt:lpstr>
      <vt:lpstr>COUT_rec</vt:lpstr>
      <vt:lpstr>CP13_act</vt:lpstr>
      <vt:lpstr>CP13_rec</vt:lpstr>
      <vt:lpstr>CREF</vt:lpstr>
      <vt:lpstr>CREF_act</vt:lpstr>
      <vt:lpstr>CREF_rec</vt:lpstr>
      <vt:lpstr>Crfl_Daux_vbi</vt:lpstr>
      <vt:lpstr>Crfl_Daux_vbi_30</vt:lpstr>
      <vt:lpstr>Crfl_Daux_vbur</vt:lpstr>
      <vt:lpstr>Crfl_Daux_vmin</vt:lpstr>
      <vt:lpstr>Crfl_sr_vbi</vt:lpstr>
      <vt:lpstr>Crfl_sr_vbi_30</vt:lpstr>
      <vt:lpstr>Crfl_sr_vbur</vt:lpstr>
      <vt:lpstr>Crfl_sr_vmin</vt:lpstr>
      <vt:lpstr>CSW_0toVx</vt:lpstr>
      <vt:lpstr>CSWN_T</vt:lpstr>
      <vt:lpstr>CSWN_T_vbi</vt:lpstr>
      <vt:lpstr>CSWN_T_vbi_30</vt:lpstr>
      <vt:lpstr>CSWN_T_vbur</vt:lpstr>
      <vt:lpstr>CSWN_T_vmax</vt:lpstr>
      <vt:lpstr>CSWN_T_vmin</vt:lpstr>
      <vt:lpstr>CSWS</vt:lpstr>
      <vt:lpstr>CSWS_act</vt:lpstr>
      <vt:lpstr>CSWS_rec</vt:lpstr>
      <vt:lpstr>CTr</vt:lpstr>
      <vt:lpstr>CTr_vbi</vt:lpstr>
      <vt:lpstr>CTr_vbi_30</vt:lpstr>
      <vt:lpstr>CTr_vbur</vt:lpstr>
      <vt:lpstr>CTr_vmax</vt:lpstr>
      <vt:lpstr>CTr_vmin</vt:lpstr>
      <vt:lpstr>CTRmax</vt:lpstr>
      <vt:lpstr>CTRmin</vt:lpstr>
      <vt:lpstr>D_max</vt:lpstr>
      <vt:lpstr>DBUR</vt:lpstr>
      <vt:lpstr>DBUR_min</vt:lpstr>
      <vt:lpstr>Dmin</vt:lpstr>
      <vt:lpstr>DOPP_max</vt:lpstr>
      <vt:lpstr>DOPP_min</vt:lpstr>
      <vt:lpstr>DOPP_run</vt:lpstr>
      <vt:lpstr>DOPP_start</vt:lpstr>
      <vt:lpstr>Drea_CDD1</vt:lpstr>
      <vt:lpstr>Drea_clamp</vt:lpstr>
      <vt:lpstr>fBUR_LR</vt:lpstr>
      <vt:lpstr>fBUR_standyby</vt:lpstr>
      <vt:lpstr>fBUR_UP</vt:lpstr>
      <vt:lpstr>Fcr_min</vt:lpstr>
      <vt:lpstr>fLINE_min</vt:lpstr>
      <vt:lpstr>fp_opto</vt:lpstr>
      <vt:lpstr>fsw_BUR</vt:lpstr>
      <vt:lpstr>fsw_BUR_min</vt:lpstr>
      <vt:lpstr>fsw_min</vt:lpstr>
      <vt:lpstr>fsw_OPP_max</vt:lpstr>
      <vt:lpstr>fsw_OPP_min</vt:lpstr>
      <vt:lpstr>fsw_OPP_run</vt:lpstr>
      <vt:lpstr>fsw_OPP_start</vt:lpstr>
      <vt:lpstr>fSWmin</vt:lpstr>
      <vt:lpstr>ID_SR_max</vt:lpstr>
      <vt:lpstr>IDaux_max</vt:lpstr>
      <vt:lpstr>IFB_max</vt:lpstr>
      <vt:lpstr>IIN_BUR</vt:lpstr>
      <vt:lpstr>IIN_BUR_min</vt:lpstr>
      <vt:lpstr>IIN_min</vt:lpstr>
      <vt:lpstr>IIN_OPP_max</vt:lpstr>
      <vt:lpstr>IIN_OPP_min</vt:lpstr>
      <vt:lpstr>IIN_OPP_run</vt:lpstr>
      <vt:lpstr>IIN_OPP_start</vt:lpstr>
      <vt:lpstr>IKA_min</vt:lpstr>
      <vt:lpstr>IM_nega_BUR</vt:lpstr>
      <vt:lpstr>IM_nega_BUR_min</vt:lpstr>
      <vt:lpstr>IM_nega_max</vt:lpstr>
      <vt:lpstr>IM_nega_min</vt:lpstr>
      <vt:lpstr>IM_nega_OPP_min</vt:lpstr>
      <vt:lpstr>IM_nega_run</vt:lpstr>
      <vt:lpstr>IM_nega_start</vt:lpstr>
      <vt:lpstr>IOUT</vt:lpstr>
      <vt:lpstr>IOUT_OPP</vt:lpstr>
      <vt:lpstr>IP13_START</vt:lpstr>
      <vt:lpstr>ipk_BUR</vt:lpstr>
      <vt:lpstr>ipk_BUR_min</vt:lpstr>
      <vt:lpstr>ipk_min</vt:lpstr>
      <vt:lpstr>ipk_OPP_max</vt:lpstr>
      <vt:lpstr>ipk_OPP_min</vt:lpstr>
      <vt:lpstr>ipk_OPP_run</vt:lpstr>
      <vt:lpstr>ipk_OPP_start</vt:lpstr>
      <vt:lpstr>IQH_max</vt:lpstr>
      <vt:lpstr>IQL_max</vt:lpstr>
      <vt:lpstr>iQL_RMS</vt:lpstr>
      <vt:lpstr>Iref_431</vt:lpstr>
      <vt:lpstr>Iref_431_max</vt:lpstr>
      <vt:lpstr>IRUN_VDD</vt:lpstr>
      <vt:lpstr>IVCC_qcc</vt:lpstr>
      <vt:lpstr>IVCC_sw</vt:lpstr>
      <vt:lpstr>iVSL_BUR</vt:lpstr>
      <vt:lpstr>iVSL_max</vt:lpstr>
      <vt:lpstr>IVSL_run</vt:lpstr>
      <vt:lpstr>IVSL_run_max</vt:lpstr>
      <vt:lpstr>IVSL_run_min</vt:lpstr>
      <vt:lpstr>IVSL_stop</vt:lpstr>
      <vt:lpstr>IVSL_stop_max</vt:lpstr>
      <vt:lpstr>IVSL_stop_min</vt:lpstr>
      <vt:lpstr>Iwait_VDD</vt:lpstr>
      <vt:lpstr>KBtol</vt:lpstr>
      <vt:lpstr>KBUR_CST</vt:lpstr>
      <vt:lpstr>KCTR_Temp</vt:lpstr>
      <vt:lpstr>Kder_HB</vt:lpstr>
      <vt:lpstr>Kder_SR</vt:lpstr>
      <vt:lpstr>KDM</vt:lpstr>
      <vt:lpstr>KLC</vt:lpstr>
      <vt:lpstr>KRES</vt:lpstr>
      <vt:lpstr>KRtol</vt:lpstr>
      <vt:lpstr>KTZ</vt:lpstr>
      <vt:lpstr>KVC</vt:lpstr>
      <vt:lpstr>Kvsl</vt:lpstr>
      <vt:lpstr>LK_act</vt:lpstr>
      <vt:lpstr>LM</vt:lpstr>
      <vt:lpstr>LM_act</vt:lpstr>
      <vt:lpstr>LM_rec</vt:lpstr>
      <vt:lpstr>Lo</vt:lpstr>
      <vt:lpstr>LQs</vt:lpstr>
      <vt:lpstr>NA</vt:lpstr>
      <vt:lpstr>NA_max</vt:lpstr>
      <vt:lpstr>NA_min</vt:lpstr>
      <vt:lpstr>NP</vt:lpstr>
      <vt:lpstr>NPS</vt:lpstr>
      <vt:lpstr>NPS_min</vt:lpstr>
      <vt:lpstr>NS</vt:lpstr>
      <vt:lpstr>NS_rec</vt:lpstr>
      <vt:lpstr>NSS</vt:lpstr>
      <vt:lpstr>NTC_pn</vt:lpstr>
      <vt:lpstr>NTHS0603N01N1003F</vt:lpstr>
      <vt:lpstr>OPP</vt:lpstr>
      <vt:lpstr>OVP</vt:lpstr>
      <vt:lpstr>OVP_tgt</vt:lpstr>
      <vt:lpstr>PO_FL</vt:lpstr>
      <vt:lpstr>PRcs</vt:lpstr>
      <vt:lpstr>Qg_Qh</vt:lpstr>
      <vt:lpstr>R_OPP</vt:lpstr>
      <vt:lpstr>R_OPP_act</vt:lpstr>
      <vt:lpstr>R_OPP_rec</vt:lpstr>
      <vt:lpstr>Rbias1</vt:lpstr>
      <vt:lpstr>Rbias1_max_ABM</vt:lpstr>
      <vt:lpstr>Rbias1_max_SBP</vt:lpstr>
      <vt:lpstr>Rbias2</vt:lpstr>
      <vt:lpstr>Rbias2_act</vt:lpstr>
      <vt:lpstr>Rbias2_rec</vt:lpstr>
      <vt:lpstr>RBLEED</vt:lpstr>
      <vt:lpstr>RBLEED_act</vt:lpstr>
      <vt:lpstr>RBLEED_rec</vt:lpstr>
      <vt:lpstr>RBOOT</vt:lpstr>
      <vt:lpstr>RBOOT_rec</vt:lpstr>
      <vt:lpstr>RBUR1</vt:lpstr>
      <vt:lpstr>RBUR1_act</vt:lpstr>
      <vt:lpstr>RBUR1_act2</vt:lpstr>
      <vt:lpstr>RBUR1_rec</vt:lpstr>
      <vt:lpstr>RBUR1_rec2</vt:lpstr>
      <vt:lpstr>RBUR2</vt:lpstr>
      <vt:lpstr>RBUR2_act</vt:lpstr>
      <vt:lpstr>RBUR2_act2</vt:lpstr>
      <vt:lpstr>RBUR2_rec</vt:lpstr>
      <vt:lpstr>RBUR2_rec2</vt:lpstr>
      <vt:lpstr>RCO</vt:lpstr>
      <vt:lpstr>RCS</vt:lpstr>
      <vt:lpstr>RCS_act</vt:lpstr>
      <vt:lpstr>RCS_rec</vt:lpstr>
      <vt:lpstr>Rdiff</vt:lpstr>
      <vt:lpstr>Rdiff_act</vt:lpstr>
      <vt:lpstr>Rdiff_rec</vt:lpstr>
      <vt:lpstr>RDM</vt:lpstr>
      <vt:lpstr>RDM_act</vt:lpstr>
      <vt:lpstr>RDM_rec</vt:lpstr>
      <vt:lpstr>RDSon_QH</vt:lpstr>
      <vt:lpstr>RDSon_QL</vt:lpstr>
      <vt:lpstr>RFB</vt:lpstr>
      <vt:lpstr>RFB_act</vt:lpstr>
      <vt:lpstr>RFB_int</vt:lpstr>
      <vt:lpstr>RFB_max</vt:lpstr>
      <vt:lpstr>RIPC</vt:lpstr>
      <vt:lpstr>RIPC_act</vt:lpstr>
      <vt:lpstr>RIPC_rec</vt:lpstr>
      <vt:lpstr>RNTCR</vt:lpstr>
      <vt:lpstr>RNTCR_max</vt:lpstr>
      <vt:lpstr>RNTCR_min</vt:lpstr>
      <vt:lpstr>RNTCTH</vt:lpstr>
      <vt:lpstr>RNTCTH_max</vt:lpstr>
      <vt:lpstr>RNTCTH_min</vt:lpstr>
      <vt:lpstr>Rpri_dc</vt:lpstr>
      <vt:lpstr>RSWS</vt:lpstr>
      <vt:lpstr>RSWS_act</vt:lpstr>
      <vt:lpstr>RSWS_rec</vt:lpstr>
      <vt:lpstr>RTZ</vt:lpstr>
      <vt:lpstr>RTZ_act</vt:lpstr>
      <vt:lpstr>RTZ_rec</vt:lpstr>
      <vt:lpstr>Rvo1_</vt:lpstr>
      <vt:lpstr>Rvo1_act</vt:lpstr>
      <vt:lpstr>Rvo1_rec</vt:lpstr>
      <vt:lpstr>Rvo2_</vt:lpstr>
      <vt:lpstr>Rvo2_act</vt:lpstr>
      <vt:lpstr>Rvo2_rec</vt:lpstr>
      <vt:lpstr>RVS_1</vt:lpstr>
      <vt:lpstr>RVS_2</vt:lpstr>
      <vt:lpstr>RVS1_act</vt:lpstr>
      <vt:lpstr>RVS1_rec</vt:lpstr>
      <vt:lpstr>RVS2_act</vt:lpstr>
      <vt:lpstr>RVS2_rec</vt:lpstr>
      <vt:lpstr>SET</vt:lpstr>
      <vt:lpstr>T_on_min</vt:lpstr>
      <vt:lpstr>tD_CS</vt:lpstr>
      <vt:lpstr>TD_CS_filter</vt:lpstr>
      <vt:lpstr>tD_CST_BUR</vt:lpstr>
      <vt:lpstr>tD_CST_vmax</vt:lpstr>
      <vt:lpstr>tD_CST_vmin</vt:lpstr>
      <vt:lpstr>TD_HDr</vt:lpstr>
      <vt:lpstr>TD_LDr</vt:lpstr>
      <vt:lpstr>TD_Ql_Coss_BUR</vt:lpstr>
      <vt:lpstr>TD_Ql_Coss_vmax</vt:lpstr>
      <vt:lpstr>TD_Ql_Coss_vmin</vt:lpstr>
      <vt:lpstr>tD_RUN_PWML</vt:lpstr>
      <vt:lpstr>TFDR</vt:lpstr>
      <vt:lpstr>TOTP_tgt</vt:lpstr>
      <vt:lpstr>TP13_</vt:lpstr>
      <vt:lpstr>Trise_max</vt:lpstr>
      <vt:lpstr>TSS_max</vt:lpstr>
      <vt:lpstr>TZ_min</vt:lpstr>
      <vt:lpstr>V_P13</vt:lpstr>
      <vt:lpstr>VBrownin</vt:lpstr>
      <vt:lpstr>VBrownin_max</vt:lpstr>
      <vt:lpstr>VBrownin_min</vt:lpstr>
      <vt:lpstr>VBrownout</vt:lpstr>
      <vt:lpstr>VBrownout_max</vt:lpstr>
      <vt:lpstr>VBrownout_min</vt:lpstr>
      <vt:lpstr>VBulk_min_tgt</vt:lpstr>
      <vt:lpstr>VBUR</vt:lpstr>
      <vt:lpstr>VBUR_tgt</vt:lpstr>
      <vt:lpstr>VBUR2</vt:lpstr>
      <vt:lpstr>VCbulk_rated</vt:lpstr>
      <vt:lpstr>VCE_sat_opto</vt:lpstr>
      <vt:lpstr>Vclamp_max</vt:lpstr>
      <vt:lpstr>Vclamp_max_QH</vt:lpstr>
      <vt:lpstr>Vclamp_max_SR</vt:lpstr>
      <vt:lpstr>VCST_BUR</vt:lpstr>
      <vt:lpstr>VCST_max</vt:lpstr>
      <vt:lpstr>VCST_OPP_adj_Rcs</vt:lpstr>
      <vt:lpstr>VCST_OPP_adj_Ropp</vt:lpstr>
      <vt:lpstr>VCST_OPP1</vt:lpstr>
      <vt:lpstr>VCST_OPP4</vt:lpstr>
      <vt:lpstr>VD_LED</vt:lpstr>
      <vt:lpstr>VD_LED_off</vt:lpstr>
      <vt:lpstr>VDD</vt:lpstr>
      <vt:lpstr>VDD_max</vt:lpstr>
      <vt:lpstr>VDD_off</vt:lpstr>
      <vt:lpstr>VDD_on</vt:lpstr>
      <vt:lpstr>VDD_PCT</vt:lpstr>
      <vt:lpstr>VDS_actual</vt:lpstr>
      <vt:lpstr>Vf_BootD</vt:lpstr>
      <vt:lpstr>Vf_Daux</vt:lpstr>
      <vt:lpstr>Vf_SR</vt:lpstr>
      <vt:lpstr>VFB_max</vt:lpstr>
      <vt:lpstr>Vgs_Qs</vt:lpstr>
      <vt:lpstr>VIN_min</vt:lpstr>
      <vt:lpstr>Vin_type</vt:lpstr>
      <vt:lpstr>VINPUT_Brownin</vt:lpstr>
      <vt:lpstr>VINPUT_Brownout</vt:lpstr>
      <vt:lpstr>VINPUT_BUR</vt:lpstr>
      <vt:lpstr>VINPUT_max</vt:lpstr>
      <vt:lpstr>VLk_pri_max</vt:lpstr>
      <vt:lpstr>Vo_drop</vt:lpstr>
      <vt:lpstr>Voffset_CS_OPP</vt:lpstr>
      <vt:lpstr>VOUT</vt:lpstr>
      <vt:lpstr>VOUT_low</vt:lpstr>
      <vt:lpstr>VR_pri_max</vt:lpstr>
      <vt:lpstr>VREF</vt:lpstr>
      <vt:lpstr>Vref_431</vt:lpstr>
      <vt:lpstr>VRfl</vt:lpstr>
      <vt:lpstr>Vs_clamp</vt:lpstr>
      <vt:lpstr>VSR_actual</vt:lpstr>
      <vt:lpstr>Vth_Qs</vt:lpstr>
      <vt:lpstr>VVS_OVP</vt:lpstr>
      <vt:lpstr>Vx_SR</vt:lpstr>
      <vt:lpstr>Vxh</vt:lpstr>
      <vt:lpstr>Vxl</vt:lpstr>
      <vt:lpstr>ΔVCLAMP</vt:lpstr>
      <vt:lpstr>ΔVSPIKE_SR</vt:lpstr>
      <vt:lpstr>η_min</vt:lpstr>
      <vt:lpstr>ηXFMR</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Kuan Wei</dc:creator>
  <cp:lastModifiedBy>Robin Gangopadhya</cp:lastModifiedBy>
  <cp:lastPrinted>2019-12-05T17:01:24Z</cp:lastPrinted>
  <dcterms:created xsi:type="dcterms:W3CDTF">2018-06-20T15:06:35Z</dcterms:created>
  <dcterms:modified xsi:type="dcterms:W3CDTF">2025-01-08T00:40:20Z</dcterms:modified>
</cp:coreProperties>
</file>