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813\Desktop\"/>
    </mc:Choice>
  </mc:AlternateContent>
  <xr:revisionPtr revIDLastSave="0" documentId="8_{F05444A5-09C0-43DA-9284-CBDA95BBE1C6}" xr6:coauthVersionLast="47" xr6:coauthVersionMax="47" xr10:uidLastSave="{00000000-0000-0000-0000-000000000000}"/>
  <bookViews>
    <workbookView xWindow="19140" yWindow="0" windowWidth="19260" windowHeight="15600" tabRatio="806" activeTab="2" xr2:uid="{00000000-000D-0000-FFFF-FFFF00000000}"/>
  </bookViews>
  <sheets>
    <sheet name="Instructions" sheetId="2" r:id="rId1"/>
    <sheet name="Functional Schematic" sheetId="7" r:id="rId2"/>
    <sheet name="Design Information" sheetId="1" r:id="rId3"/>
    <sheet name="Figure of T1 Current" sheetId="8" r:id="rId4"/>
    <sheet name="TABSET Valley Switching" sheetId="9" r:id="rId5"/>
    <sheet name="TCDSET Valley Switching" sheetId="10" r:id="rId6"/>
    <sheet name="Voltage Loop" sheetId="6" state="hidden" r:id="rId7"/>
    <sheet name="Standard R and C Look Up Table" sheetId="3" state="hidden" r:id="rId8"/>
  </sheets>
  <externalReferences>
    <externalReference r:id="rId9"/>
  </externalReferences>
  <definedNames>
    <definedName name="_imp2">'Design Information'!$C$40</definedName>
    <definedName name="_ims2">'Design Information'!$C$32</definedName>
    <definedName name="_ipp1">'Design Information'!$C$112</definedName>
    <definedName name="_st1">'Design Information'!#REF!</definedName>
    <definedName name="_st10">'Standard R and C Look Up Table'!#REF!</definedName>
    <definedName name="_st11">'Standard R and C Look Up Table'!#REF!</definedName>
    <definedName name="_st12">'Standard R and C Look Up Table'!#REF!</definedName>
    <definedName name="_st13">'Standard R and C Look Up Table'!#REF!</definedName>
    <definedName name="_st14">'Standard R and C Look Up Table'!#REF!</definedName>
    <definedName name="_st15">'Standard R and C Look Up Table'!#REF!</definedName>
    <definedName name="_st16">'Standard R and C Look Up Table'!#REF!</definedName>
    <definedName name="_st17">'Standard R and C Look Up Table'!#REF!</definedName>
    <definedName name="_st18">'Standard R and C Look Up Table'!#REF!</definedName>
    <definedName name="_st2">'Design Information'!#REF!</definedName>
    <definedName name="_st3">'Standard R and C Look Up Table'!#REF!</definedName>
    <definedName name="_st4">'Standard R and C Look Up Table'!#REF!</definedName>
    <definedName name="_st5">'Standard R and C Look Up Table'!#REF!</definedName>
    <definedName name="_st6">'Standard R and C Look Up Table'!#REF!</definedName>
    <definedName name="_st7">'Standard R and C Look Up Table'!#REF!</definedName>
    <definedName name="_st8">'Standard R and C Look Up Table'!#REF!</definedName>
    <definedName name="_st9">'Standard R and C Look Up Table'!#REF!</definedName>
    <definedName name="_std2">'Design Information'!#REF!</definedName>
    <definedName name="_ta1">'Design Information'!$C$25</definedName>
    <definedName name="_ta11">'Design Information'!$C$25</definedName>
    <definedName name="_ta2">'Design Information'!$C$111</definedName>
    <definedName name="_taa1">'Design Information'!$C$26</definedName>
    <definedName name="_va1">'Design Information'!$C$120</definedName>
    <definedName name="C_enter">'Standard R and C Look Up Table'!$K$2</definedName>
    <definedName name="C_f1">'Standard R and C Look Up Table'!$K$17</definedName>
    <definedName name="C_f2">'Standard R and C Look Up Table'!$K$24</definedName>
    <definedName name="c_s1">'Standard R and C Look Up Table'!$J$6</definedName>
    <definedName name="C_s2">'Standard R and C Look Up Table'!$J$19</definedName>
    <definedName name="Center">'Standard R and C Look Up Table'!$K$2</definedName>
    <definedName name="constant">'Design Information'!$C$132</definedName>
    <definedName name="cossqaavg">'Design Information'!$C$56</definedName>
    <definedName name="cossqaspec">'Design Information'!$C$53</definedName>
    <definedName name="cossqeavg">'Design Information'!$C$90</definedName>
    <definedName name="cout">'Design Information'!$C$80</definedName>
    <definedName name="Cp">'Design Information'!$C$151</definedName>
    <definedName name="CPC">'[1]Design Information'!$C$87</definedName>
    <definedName name="Cstandard">'Standard R and C Look Up Table'!$K$3</definedName>
    <definedName name="Cz">'Design Information'!$C$146</definedName>
    <definedName name="CZC">'[1]Design Information'!$C$85</definedName>
    <definedName name="d2a">'Design Information'!$C$135</definedName>
    <definedName name="dclamp">'Design Information'!$C$102</definedName>
    <definedName name="dcrlout">'Design Information'!$C$69</definedName>
    <definedName name="dcrp">'Design Information'!$C$45</definedName>
    <definedName name="dcrs">'Design Information'!$C$46</definedName>
    <definedName name="dilmag">'Design Information'!$C$37</definedName>
    <definedName name="dilout">'Design Information'!$C$28</definedName>
    <definedName name="dmax">'Design Information'!$C$24</definedName>
    <definedName name="dtyp">'Design Information'!$C$27</definedName>
    <definedName name="E12_f">'Standard R and C Look Up Table'!$F$21</definedName>
    <definedName name="E12_s">'Standard R and C Look Up Table'!$E$10</definedName>
    <definedName name="E24_f">'Standard R and C Look Up Table'!$F$46</definedName>
    <definedName name="E24_s">'Standard R and C Look Up Table'!$E$23</definedName>
    <definedName name="E48_f">'Standard R and C Look Up Table'!$F$95</definedName>
    <definedName name="E48_s">'Standard R and C Look Up Table'!$E$48</definedName>
    <definedName name="E6_f">'Standard R and C Look Up Table'!$F$8</definedName>
    <definedName name="E6_s">'Standard R and C Look Up Table'!$E$3</definedName>
    <definedName name="E96_f">'Standard R and C Look Up Table'!$H$98</definedName>
    <definedName name="E96_s">'Standard R and C Look Up Table'!$G$3</definedName>
    <definedName name="Eff">'Design Information'!$B$17</definedName>
    <definedName name="esrcout">'Design Information'!$C$81</definedName>
    <definedName name="fc">'Design Information'!$C$130</definedName>
    <definedName name="fpp">'Design Information'!$C$129</definedName>
    <definedName name="fs">'Design Information'!$C$18</definedName>
    <definedName name="iloutrms">'Design Information'!$C$67</definedName>
    <definedName name="imp">'Design Information'!$C$39</definedName>
    <definedName name="ims">'Design Information'!$C$31</definedName>
    <definedName name="ipp">'Design Information'!$C$38</definedName>
    <definedName name="iprms">'Design Information'!$C$43</definedName>
    <definedName name="iprms1">'Design Information'!$C$41</definedName>
    <definedName name="iprms2">'Design Information'!$C$42</definedName>
    <definedName name="ips">'Design Information'!$C$30</definedName>
    <definedName name="isrms">'Design Information'!$C$36</definedName>
    <definedName name="isrms1">'Design Information'!$C$33</definedName>
    <definedName name="isrms2">'Design Information'!$C$34</definedName>
    <definedName name="isrms3">'Design Information'!$C$35</definedName>
    <definedName name="LAVG">'[1]Design Information'!$C$29</definedName>
    <definedName name="llk">'Design Information'!$C$47</definedName>
    <definedName name="lmag">'Design Information'!$C$29</definedName>
    <definedName name="lmag1">'Design Information'!$C$29</definedName>
    <definedName name="lmag2">'Design Information'!$C$44</definedName>
    <definedName name="lout">'Design Information'!$C$68</definedName>
    <definedName name="ls">'Design Information'!$C$61</definedName>
    <definedName name="n1divd1">'Design Information'!$C$134</definedName>
    <definedName name="NCT">'[1]Design Information'!$C$40</definedName>
    <definedName name="pbudget">'Design Information'!$C$22</definedName>
    <definedName name="pout">'Design Information'!$D$16</definedName>
    <definedName name="QAg">'Design Information'!$C$54</definedName>
    <definedName name="qeg">'Design Information'!$C$86</definedName>
    <definedName name="rdsonqa">'Design Information'!$C$52</definedName>
    <definedName name="rdsonqe">'Design Information'!$C$87</definedName>
    <definedName name="rf">'Design Information'!$C$141</definedName>
    <definedName name="RII">'Design Information'!$C$128</definedName>
    <definedName name="rload">'Design Information'!$C$131</definedName>
    <definedName name="RS">'Design Information'!$C$115</definedName>
    <definedName name="RZC">'[1]Design Information'!$C$83</definedName>
    <definedName name="sta">'Standard R and C Look Up Table'!$L$6</definedName>
    <definedName name="stb">'Standard R and C Look Up Table'!$L$19</definedName>
    <definedName name="std">'Design Information'!#REF!</definedName>
    <definedName name="tabset">'Design Information'!$C$182</definedName>
    <definedName name="tafset">'Design Information'!$C$200</definedName>
    <definedName name="tcdset">'Design Information'!$C$194</definedName>
    <definedName name="tdelay">'Design Information'!$C$100</definedName>
    <definedName name="temp">#REF!</definedName>
    <definedName name="thu">'Design Information'!$C$73</definedName>
    <definedName name="tr">'Design Information'!$C$95</definedName>
    <definedName name="vadel">'Design Information'!$C$188</definedName>
    <definedName name="vdsqe">'Design Information'!$C$85</definedName>
    <definedName name="vg">'Design Information'!$C$51</definedName>
    <definedName name="vin">'Design Information'!$C$13</definedName>
    <definedName name="vinerror">'Design Information'!#REF!</definedName>
    <definedName name="VINMAX">'Design Information'!$D$13</definedName>
    <definedName name="VINMIAX">'Design Information'!$D$13</definedName>
    <definedName name="VINMIN">'Design Information'!$B$13</definedName>
    <definedName name="VOUT">'Design Information'!$C$14</definedName>
    <definedName name="voutmin">'Design Information'!$B$14</definedName>
    <definedName name="vrdson">'Design Information'!$C$23</definedName>
    <definedName name="Vslope1">'Design Information'!$C$221</definedName>
    <definedName name="Vslope2">'Design Information'!$C$222</definedName>
    <definedName name="VTRAN">'Design Information'!$D$15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53" i="6" s="1"/>
  <c r="C27" i="1"/>
  <c r="D27" i="1" s="1"/>
  <c r="C85" i="1"/>
  <c r="C90" i="1" s="1"/>
  <c r="C74" i="1"/>
  <c r="C28" i="1"/>
  <c r="C112" i="1" s="1"/>
  <c r="C113" i="1" s="1"/>
  <c r="C114" i="1" s="1"/>
  <c r="C221" i="1"/>
  <c r="C206" i="1"/>
  <c r="C207" i="1" s="1"/>
  <c r="C208" i="1" s="1"/>
  <c r="C202" i="1"/>
  <c r="C203" i="1" s="1"/>
  <c r="C204" i="1" s="1"/>
  <c r="C184" i="1"/>
  <c r="C185" i="1"/>
  <c r="C186" i="1" s="1"/>
  <c r="C56" i="1"/>
  <c r="C99" i="1" s="1"/>
  <c r="C100" i="1" s="1"/>
  <c r="C188" i="1"/>
  <c r="C195" i="1" s="1"/>
  <c r="C196" i="1" s="1"/>
  <c r="C189" i="1"/>
  <c r="F18" i="1"/>
  <c r="F13" i="1"/>
  <c r="C22" i="1"/>
  <c r="C81" i="1"/>
  <c r="C95" i="1"/>
  <c r="F17" i="1"/>
  <c r="E121" i="1"/>
  <c r="E120" i="1"/>
  <c r="C199" i="1"/>
  <c r="F14" i="1"/>
  <c r="C101" i="1"/>
  <c r="E104" i="1"/>
  <c r="C4" i="3"/>
  <c r="C216" i="1"/>
  <c r="C131" i="1"/>
  <c r="C80" i="1"/>
  <c r="C129" i="1"/>
  <c r="E3" i="6"/>
  <c r="I3" i="6"/>
  <c r="K3" i="6" s="1"/>
  <c r="J3" i="6"/>
  <c r="E2" i="6"/>
  <c r="I2" i="6"/>
  <c r="K2" i="6" s="1"/>
  <c r="J2" i="6"/>
  <c r="R2" i="6"/>
  <c r="C130" i="1"/>
  <c r="A2" i="6"/>
  <c r="A3" i="6"/>
  <c r="A4" i="6"/>
  <c r="B4" i="6" s="1"/>
  <c r="C7" i="3"/>
  <c r="C217" i="1"/>
  <c r="C212" i="1"/>
  <c r="C213" i="1"/>
  <c r="C190" i="1"/>
  <c r="C175" i="1"/>
  <c r="L6" i="3"/>
  <c r="K3" i="3" s="1"/>
  <c r="L19" i="3"/>
  <c r="C5" i="3"/>
  <c r="C8" i="3"/>
  <c r="C126" i="1"/>
  <c r="C127" i="1"/>
  <c r="C122" i="1"/>
  <c r="C123" i="1" s="1"/>
  <c r="C118" i="1"/>
  <c r="C6" i="3"/>
  <c r="C73" i="1"/>
  <c r="C75" i="1" s="1"/>
  <c r="A5" i="6"/>
  <c r="B5" i="6" s="1"/>
  <c r="J5" i="6"/>
  <c r="C133" i="1"/>
  <c r="C84" i="6"/>
  <c r="C12" i="6"/>
  <c r="C54" i="6"/>
  <c r="C10" i="6"/>
  <c r="C96" i="6"/>
  <c r="C57" i="6"/>
  <c r="C47" i="6"/>
  <c r="C77" i="6"/>
  <c r="C31" i="1"/>
  <c r="C33" i="1" s="1"/>
  <c r="C67" i="1"/>
  <c r="C70" i="1" s="1"/>
  <c r="C32" i="6"/>
  <c r="C49" i="6"/>
  <c r="C74" i="6"/>
  <c r="C30" i="1"/>
  <c r="C14" i="6"/>
  <c r="C34" i="6"/>
  <c r="C76" i="1"/>
  <c r="C35" i="1"/>
  <c r="C48" i="6"/>
  <c r="C85" i="6"/>
  <c r="C79" i="6"/>
  <c r="C75" i="6"/>
  <c r="C33" i="6"/>
  <c r="C56" i="6"/>
  <c r="D5" i="6"/>
  <c r="C65" i="6"/>
  <c r="C32" i="1"/>
  <c r="C34" i="1"/>
  <c r="C93" i="6"/>
  <c r="C43" i="6"/>
  <c r="C87" i="6"/>
  <c r="C27" i="6"/>
  <c r="C9" i="6"/>
  <c r="C35" i="6"/>
  <c r="C69" i="6"/>
  <c r="C8" i="6"/>
  <c r="C11" i="6"/>
  <c r="C23" i="6"/>
  <c r="C82" i="6"/>
  <c r="C89" i="6"/>
  <c r="C46" i="6"/>
  <c r="C83" i="6"/>
  <c r="C18" i="6"/>
  <c r="C62" i="6"/>
  <c r="C31" i="6"/>
  <c r="C94" i="6"/>
  <c r="C78" i="6"/>
  <c r="C36" i="6"/>
  <c r="C88" i="6"/>
  <c r="C70" i="6"/>
  <c r="C42" i="6"/>
  <c r="C58" i="6"/>
  <c r="C50" i="6"/>
  <c r="C95" i="6"/>
  <c r="C29" i="6"/>
  <c r="C81" i="6"/>
  <c r="C41" i="6"/>
  <c r="C132" i="1"/>
  <c r="C37" i="6"/>
  <c r="C6" i="6"/>
  <c r="C16" i="6"/>
  <c r="C19" i="6"/>
  <c r="C68" i="6"/>
  <c r="C2" i="6"/>
  <c r="C92" i="6"/>
  <c r="C67" i="6"/>
  <c r="C64" i="6"/>
  <c r="C100" i="6"/>
  <c r="C21" i="6"/>
  <c r="C40" i="6"/>
  <c r="C5" i="6"/>
  <c r="C61" i="6"/>
  <c r="C15" i="6"/>
  <c r="C44" i="6"/>
  <c r="C3" i="6"/>
  <c r="C59" i="6"/>
  <c r="C55" i="6"/>
  <c r="C71" i="6"/>
  <c r="C13" i="6"/>
  <c r="C22" i="6"/>
  <c r="C63" i="6"/>
  <c r="C52" i="6"/>
  <c r="C25" i="6"/>
  <c r="C28" i="6"/>
  <c r="C99" i="6"/>
  <c r="C30" i="6"/>
  <c r="C90" i="6"/>
  <c r="C72" i="6"/>
  <c r="C73" i="6"/>
  <c r="C7" i="6"/>
  <c r="C26" i="6"/>
  <c r="C98" i="6"/>
  <c r="C228" i="1"/>
  <c r="C230" i="1" s="1"/>
  <c r="C231" i="1" s="1"/>
  <c r="C24" i="6"/>
  <c r="C20" i="6"/>
  <c r="C36" i="1"/>
  <c r="C91" i="6"/>
  <c r="C86" i="6"/>
  <c r="C38" i="6"/>
  <c r="C39" i="6"/>
  <c r="C17" i="6"/>
  <c r="C60" i="6"/>
  <c r="C97" i="6"/>
  <c r="C4" i="6"/>
  <c r="C51" i="6"/>
  <c r="C101" i="6"/>
  <c r="C76" i="6"/>
  <c r="C82" i="1" l="1"/>
  <c r="C134" i="1"/>
  <c r="D4" i="6"/>
  <c r="F4" i="6" s="1"/>
  <c r="G4" i="6" s="1"/>
  <c r="D2" i="6"/>
  <c r="F2" i="6" s="1"/>
  <c r="G2" i="6" s="1"/>
  <c r="L2" i="6" s="1"/>
  <c r="D3" i="6"/>
  <c r="F3" i="6" s="1"/>
  <c r="G3" i="6" s="1"/>
  <c r="L3" i="6" s="1"/>
  <c r="M3" i="6" s="1"/>
  <c r="C193" i="1"/>
  <c r="C102" i="1"/>
  <c r="C181" i="1"/>
  <c r="C66" i="1"/>
  <c r="E68" i="1" s="1"/>
  <c r="C29" i="1"/>
  <c r="C220" i="1"/>
  <c r="C222" i="1" s="1"/>
  <c r="C223" i="1" s="1"/>
  <c r="C224" i="1" s="1"/>
  <c r="C225" i="1" s="1"/>
  <c r="C80" i="6"/>
  <c r="C45" i="6"/>
  <c r="C96" i="1"/>
  <c r="C91" i="1"/>
  <c r="C178" i="1"/>
  <c r="C177" i="1"/>
  <c r="C176" i="1" s="1"/>
  <c r="A6" i="6"/>
  <c r="C135" i="1"/>
  <c r="C147" i="1"/>
  <c r="C142" i="1"/>
  <c r="I5" i="6"/>
  <c r="K5" i="6" s="1"/>
  <c r="E5" i="6"/>
  <c r="F5" i="6" s="1"/>
  <c r="G5" i="6" s="1"/>
  <c r="E4" i="6"/>
  <c r="J4" i="6"/>
  <c r="I4" i="6"/>
  <c r="K4" i="6" s="1"/>
  <c r="C66" i="6"/>
  <c r="M2" i="6" l="1"/>
  <c r="N2" i="6"/>
  <c r="O2" i="6" s="1"/>
  <c r="H2" i="6"/>
  <c r="H3" i="6"/>
  <c r="C136" i="1"/>
  <c r="C137" i="1" s="1"/>
  <c r="C138" i="1" s="1"/>
  <c r="C139" i="1" s="1"/>
  <c r="C140" i="1" s="1"/>
  <c r="N3" i="6"/>
  <c r="O3" i="6" s="1"/>
  <c r="C103" i="1"/>
  <c r="C104" i="1" s="1"/>
  <c r="C117" i="1"/>
  <c r="C37" i="1"/>
  <c r="E44" i="1"/>
  <c r="L4" i="6"/>
  <c r="H4" i="6"/>
  <c r="L5" i="6"/>
  <c r="H5" i="6"/>
  <c r="B6" i="6"/>
  <c r="A7" i="6"/>
  <c r="C145" i="1"/>
  <c r="C144" i="1"/>
  <c r="C143" i="1" s="1"/>
  <c r="C150" i="1"/>
  <c r="C149" i="1"/>
  <c r="C148" i="1" s="1"/>
  <c r="C38" i="1" l="1"/>
  <c r="C39" i="1"/>
  <c r="C41" i="1" s="1"/>
  <c r="M5" i="6"/>
  <c r="N5" i="6"/>
  <c r="O5" i="6" s="1"/>
  <c r="B7" i="6"/>
  <c r="A8" i="6"/>
  <c r="E6" i="6"/>
  <c r="J6" i="6"/>
  <c r="I6" i="6"/>
  <c r="K6" i="6" s="1"/>
  <c r="D6" i="6"/>
  <c r="N4" i="6"/>
  <c r="O4" i="6" s="1"/>
  <c r="M4" i="6"/>
  <c r="C105" i="1" l="1"/>
  <c r="C108" i="1" s="1"/>
  <c r="C116" i="1"/>
  <c r="C40" i="1"/>
  <c r="C42" i="1" s="1"/>
  <c r="C43" i="1" s="1"/>
  <c r="C60" i="1"/>
  <c r="E60" i="1" s="1"/>
  <c r="I7" i="6"/>
  <c r="E7" i="6"/>
  <c r="J7" i="6"/>
  <c r="D7" i="6"/>
  <c r="F7" i="6" s="1"/>
  <c r="G7" i="6" s="1"/>
  <c r="B8" i="6"/>
  <c r="A9" i="6"/>
  <c r="F6" i="6"/>
  <c r="G6" i="6" s="1"/>
  <c r="C48" i="1" l="1"/>
  <c r="C49" i="1" s="1"/>
  <c r="C57" i="1"/>
  <c r="C63" i="1"/>
  <c r="L6" i="6"/>
  <c r="H6" i="6"/>
  <c r="B9" i="6"/>
  <c r="A10" i="6"/>
  <c r="L7" i="6"/>
  <c r="H7" i="6"/>
  <c r="E8" i="6"/>
  <c r="J8" i="6"/>
  <c r="I8" i="6"/>
  <c r="K8" i="6" s="1"/>
  <c r="D8" i="6"/>
  <c r="F8" i="6" s="1"/>
  <c r="G8" i="6" s="1"/>
  <c r="K7" i="6"/>
  <c r="C58" i="1" l="1"/>
  <c r="E49" i="1"/>
  <c r="L8" i="6"/>
  <c r="H8" i="6"/>
  <c r="M7" i="6"/>
  <c r="N7" i="6"/>
  <c r="O7" i="6" s="1"/>
  <c r="M6" i="6"/>
  <c r="N6" i="6"/>
  <c r="O6" i="6" s="1"/>
  <c r="B10" i="6"/>
  <c r="A11" i="6"/>
  <c r="I9" i="6"/>
  <c r="K9" i="6" s="1"/>
  <c r="E9" i="6"/>
  <c r="J9" i="6"/>
  <c r="D9" i="6"/>
  <c r="E58" i="1" l="1"/>
  <c r="C64" i="1"/>
  <c r="E10" i="6"/>
  <c r="J10" i="6"/>
  <c r="I10" i="6"/>
  <c r="K10" i="6" s="1"/>
  <c r="D10" i="6"/>
  <c r="F10" i="6" s="1"/>
  <c r="G10" i="6" s="1"/>
  <c r="F9" i="6"/>
  <c r="G9" i="6" s="1"/>
  <c r="B11" i="6"/>
  <c r="A12" i="6"/>
  <c r="N8" i="6"/>
  <c r="O8" i="6" s="1"/>
  <c r="M8" i="6"/>
  <c r="C71" i="1" l="1"/>
  <c r="E64" i="1"/>
  <c r="I11" i="6"/>
  <c r="E11" i="6"/>
  <c r="J11" i="6"/>
  <c r="D11" i="6"/>
  <c r="F11" i="6" s="1"/>
  <c r="G11" i="6" s="1"/>
  <c r="L10" i="6"/>
  <c r="H10" i="6"/>
  <c r="B12" i="6"/>
  <c r="A13" i="6"/>
  <c r="H9" i="6"/>
  <c r="L9" i="6"/>
  <c r="E71" i="1" l="1"/>
  <c r="C83" i="1"/>
  <c r="N9" i="6"/>
  <c r="O9" i="6" s="1"/>
  <c r="M9" i="6"/>
  <c r="H11" i="6"/>
  <c r="L11" i="6"/>
  <c r="B13" i="6"/>
  <c r="A14" i="6"/>
  <c r="E12" i="6"/>
  <c r="J12" i="6"/>
  <c r="I12" i="6"/>
  <c r="D12" i="6"/>
  <c r="N10" i="6"/>
  <c r="O10" i="6" s="1"/>
  <c r="M10" i="6"/>
  <c r="K11" i="6"/>
  <c r="C97" i="1" l="1"/>
  <c r="E83" i="1"/>
  <c r="M11" i="6"/>
  <c r="N11" i="6"/>
  <c r="O11" i="6" s="1"/>
  <c r="F12" i="6"/>
  <c r="G12" i="6" s="1"/>
  <c r="B14" i="6"/>
  <c r="A15" i="6"/>
  <c r="K12" i="6"/>
  <c r="I13" i="6"/>
  <c r="K13" i="6" s="1"/>
  <c r="E13" i="6"/>
  <c r="J13" i="6"/>
  <c r="D13" i="6"/>
  <c r="F13" i="6" s="1"/>
  <c r="G13" i="6" s="1"/>
  <c r="C109" i="1" l="1"/>
  <c r="E109" i="1" s="1"/>
  <c r="E97" i="1"/>
  <c r="L13" i="6"/>
  <c r="H13" i="6"/>
  <c r="B15" i="6"/>
  <c r="A16" i="6"/>
  <c r="E14" i="6"/>
  <c r="J14" i="6"/>
  <c r="I14" i="6"/>
  <c r="K14" i="6" s="1"/>
  <c r="D14" i="6"/>
  <c r="F14" i="6" s="1"/>
  <c r="G14" i="6" s="1"/>
  <c r="L12" i="6"/>
  <c r="H12" i="6"/>
  <c r="I15" i="6" l="1"/>
  <c r="E15" i="6"/>
  <c r="D15" i="6"/>
  <c r="F15" i="6" s="1"/>
  <c r="G15" i="6" s="1"/>
  <c r="J15" i="6"/>
  <c r="H14" i="6"/>
  <c r="L14" i="6"/>
  <c r="B16" i="6"/>
  <c r="A17" i="6"/>
  <c r="N12" i="6"/>
  <c r="O12" i="6" s="1"/>
  <c r="M12" i="6"/>
  <c r="N13" i="6"/>
  <c r="O13" i="6" s="1"/>
  <c r="M13" i="6"/>
  <c r="H15" i="6" l="1"/>
  <c r="N14" i="6"/>
  <c r="O14" i="6" s="1"/>
  <c r="M14" i="6"/>
  <c r="B17" i="6"/>
  <c r="A18" i="6"/>
  <c r="E16" i="6"/>
  <c r="J16" i="6"/>
  <c r="I16" i="6"/>
  <c r="D16" i="6"/>
  <c r="K15" i="6"/>
  <c r="L15" i="6" s="1"/>
  <c r="M15" i="6" l="1"/>
  <c r="N15" i="6"/>
  <c r="O15" i="6" s="1"/>
  <c r="F16" i="6"/>
  <c r="G16" i="6" s="1"/>
  <c r="B18" i="6"/>
  <c r="A19" i="6"/>
  <c r="K16" i="6"/>
  <c r="I17" i="6"/>
  <c r="K17" i="6" s="1"/>
  <c r="E17" i="6"/>
  <c r="J17" i="6"/>
  <c r="D17" i="6"/>
  <c r="F17" i="6" l="1"/>
  <c r="G17" i="6" s="1"/>
  <c r="E18" i="6"/>
  <c r="J18" i="6"/>
  <c r="I18" i="6"/>
  <c r="K18" i="6" s="1"/>
  <c r="D18" i="6"/>
  <c r="F18" i="6" s="1"/>
  <c r="G18" i="6" s="1"/>
  <c r="L16" i="6"/>
  <c r="H16" i="6"/>
  <c r="B19" i="6"/>
  <c r="A20" i="6"/>
  <c r="M16" i="6" l="1"/>
  <c r="N16" i="6"/>
  <c r="O16" i="6" s="1"/>
  <c r="I19" i="6"/>
  <c r="K19" i="6" s="1"/>
  <c r="E19" i="6"/>
  <c r="J19" i="6"/>
  <c r="D19" i="6"/>
  <c r="B20" i="6"/>
  <c r="A21" i="6"/>
  <c r="H18" i="6"/>
  <c r="L18" i="6"/>
  <c r="L17" i="6"/>
  <c r="H17" i="6"/>
  <c r="B21" i="6" l="1"/>
  <c r="A22" i="6"/>
  <c r="M17" i="6"/>
  <c r="N17" i="6"/>
  <c r="O17" i="6" s="1"/>
  <c r="E20" i="6"/>
  <c r="J20" i="6"/>
  <c r="I20" i="6"/>
  <c r="K20" i="6" s="1"/>
  <c r="D20" i="6"/>
  <c r="F20" i="6" s="1"/>
  <c r="G20" i="6" s="1"/>
  <c r="N18" i="6"/>
  <c r="O18" i="6" s="1"/>
  <c r="M18" i="6"/>
  <c r="F19" i="6"/>
  <c r="G19" i="6" s="1"/>
  <c r="H20" i="6" l="1"/>
  <c r="L20" i="6"/>
  <c r="L19" i="6"/>
  <c r="H19" i="6"/>
  <c r="B22" i="6"/>
  <c r="A23" i="6"/>
  <c r="I21" i="6"/>
  <c r="K21" i="6" s="1"/>
  <c r="E21" i="6"/>
  <c r="J21" i="6"/>
  <c r="D21" i="6"/>
  <c r="F21" i="6" l="1"/>
  <c r="G21" i="6" s="1"/>
  <c r="B23" i="6"/>
  <c r="A24" i="6"/>
  <c r="M20" i="6"/>
  <c r="N20" i="6"/>
  <c r="O20" i="6" s="1"/>
  <c r="M19" i="6"/>
  <c r="N19" i="6"/>
  <c r="O19" i="6" s="1"/>
  <c r="E22" i="6"/>
  <c r="J22" i="6"/>
  <c r="I22" i="6"/>
  <c r="K22" i="6" s="1"/>
  <c r="D22" i="6"/>
  <c r="I23" i="6" l="1"/>
  <c r="E23" i="6"/>
  <c r="D23" i="6"/>
  <c r="F23" i="6" s="1"/>
  <c r="G23" i="6" s="1"/>
  <c r="J23" i="6"/>
  <c r="F22" i="6"/>
  <c r="G22" i="6" s="1"/>
  <c r="B24" i="6"/>
  <c r="A25" i="6"/>
  <c r="H21" i="6"/>
  <c r="L21" i="6"/>
  <c r="B25" i="6" l="1"/>
  <c r="A26" i="6"/>
  <c r="H23" i="6"/>
  <c r="E24" i="6"/>
  <c r="J24" i="6"/>
  <c r="I24" i="6"/>
  <c r="K24" i="6" s="1"/>
  <c r="D24" i="6"/>
  <c r="F24" i="6" s="1"/>
  <c r="G24" i="6" s="1"/>
  <c r="N21" i="6"/>
  <c r="O21" i="6" s="1"/>
  <c r="M21" i="6"/>
  <c r="H22" i="6"/>
  <c r="L22" i="6"/>
  <c r="K23" i="6"/>
  <c r="L23" i="6" s="1"/>
  <c r="N23" i="6" l="1"/>
  <c r="O23" i="6" s="1"/>
  <c r="M23" i="6"/>
  <c r="M22" i="6"/>
  <c r="N22" i="6"/>
  <c r="O22" i="6" s="1"/>
  <c r="H24" i="6"/>
  <c r="L24" i="6"/>
  <c r="B26" i="6"/>
  <c r="A27" i="6"/>
  <c r="I25" i="6"/>
  <c r="E25" i="6"/>
  <c r="J25" i="6"/>
  <c r="D25" i="6"/>
  <c r="F25" i="6" s="1"/>
  <c r="G25" i="6" s="1"/>
  <c r="R25" i="6"/>
  <c r="M24" i="6" l="1"/>
  <c r="N24" i="6"/>
  <c r="O24" i="6" s="1"/>
  <c r="H25" i="6"/>
  <c r="B27" i="6"/>
  <c r="A28" i="6"/>
  <c r="E26" i="6"/>
  <c r="J26" i="6"/>
  <c r="I26" i="6"/>
  <c r="D26" i="6"/>
  <c r="K25" i="6"/>
  <c r="L25" i="6" s="1"/>
  <c r="N25" i="6" l="1"/>
  <c r="O25" i="6" s="1"/>
  <c r="M25" i="6"/>
  <c r="F26" i="6"/>
  <c r="G26" i="6" s="1"/>
  <c r="B28" i="6"/>
  <c r="A29" i="6"/>
  <c r="K26" i="6"/>
  <c r="I27" i="6"/>
  <c r="K27" i="6" s="1"/>
  <c r="E27" i="6"/>
  <c r="J27" i="6"/>
  <c r="D27" i="6"/>
  <c r="H26" i="6" l="1"/>
  <c r="L26" i="6"/>
  <c r="E28" i="6"/>
  <c r="J28" i="6"/>
  <c r="I28" i="6"/>
  <c r="D28" i="6"/>
  <c r="F28" i="6" s="1"/>
  <c r="G28" i="6" s="1"/>
  <c r="F27" i="6"/>
  <c r="G27" i="6" s="1"/>
  <c r="B29" i="6"/>
  <c r="A30" i="6"/>
  <c r="I29" i="6" l="1"/>
  <c r="K29" i="6" s="1"/>
  <c r="E29" i="6"/>
  <c r="J29" i="6"/>
  <c r="D29" i="6"/>
  <c r="F29" i="6" s="1"/>
  <c r="G29" i="6" s="1"/>
  <c r="H27" i="6"/>
  <c r="L27" i="6"/>
  <c r="H28" i="6"/>
  <c r="N26" i="6"/>
  <c r="O26" i="6" s="1"/>
  <c r="M26" i="6"/>
  <c r="B30" i="6"/>
  <c r="A31" i="6"/>
  <c r="K28" i="6"/>
  <c r="L28" i="6" s="1"/>
  <c r="N28" i="6" l="1"/>
  <c r="O28" i="6" s="1"/>
  <c r="M28" i="6"/>
  <c r="L29" i="6"/>
  <c r="H29" i="6"/>
  <c r="E30" i="6"/>
  <c r="J30" i="6"/>
  <c r="D30" i="6"/>
  <c r="F30" i="6" s="1"/>
  <c r="G30" i="6" s="1"/>
  <c r="I30" i="6"/>
  <c r="K30" i="6" s="1"/>
  <c r="B31" i="6"/>
  <c r="A32" i="6"/>
  <c r="N27" i="6"/>
  <c r="O27" i="6" s="1"/>
  <c r="M27" i="6"/>
  <c r="H30" i="6" l="1"/>
  <c r="L30" i="6"/>
  <c r="M29" i="6"/>
  <c r="N29" i="6"/>
  <c r="O29" i="6" s="1"/>
  <c r="B32" i="6"/>
  <c r="A33" i="6"/>
  <c r="I31" i="6"/>
  <c r="K31" i="6" s="1"/>
  <c r="E31" i="6"/>
  <c r="J31" i="6"/>
  <c r="D31" i="6"/>
  <c r="F31" i="6" l="1"/>
  <c r="G31" i="6" s="1"/>
  <c r="B33" i="6"/>
  <c r="A34" i="6"/>
  <c r="N30" i="6"/>
  <c r="O30" i="6" s="1"/>
  <c r="M30" i="6"/>
  <c r="E32" i="6"/>
  <c r="J32" i="6"/>
  <c r="I32" i="6"/>
  <c r="K32" i="6" s="1"/>
  <c r="D32" i="6"/>
  <c r="F32" i="6" s="1"/>
  <c r="G32" i="6" s="1"/>
  <c r="B34" i="6" l="1"/>
  <c r="A35" i="6"/>
  <c r="L32" i="6"/>
  <c r="H32" i="6"/>
  <c r="I33" i="6"/>
  <c r="E33" i="6"/>
  <c r="J33" i="6"/>
  <c r="D33" i="6"/>
  <c r="F33" i="6" s="1"/>
  <c r="G33" i="6" s="1"/>
  <c r="L31" i="6"/>
  <c r="H31" i="6"/>
  <c r="H33" i="6" l="1"/>
  <c r="M32" i="6"/>
  <c r="N32" i="6"/>
  <c r="O32" i="6" s="1"/>
  <c r="B35" i="6"/>
  <c r="A36" i="6"/>
  <c r="M31" i="6"/>
  <c r="N31" i="6"/>
  <c r="O31" i="6" s="1"/>
  <c r="K33" i="6"/>
  <c r="L33" i="6" s="1"/>
  <c r="E34" i="6"/>
  <c r="J34" i="6"/>
  <c r="D34" i="6"/>
  <c r="F34" i="6" s="1"/>
  <c r="G34" i="6" s="1"/>
  <c r="I34" i="6"/>
  <c r="K34" i="6" s="1"/>
  <c r="N33" i="6" l="1"/>
  <c r="O33" i="6" s="1"/>
  <c r="M33" i="6"/>
  <c r="L34" i="6"/>
  <c r="H34" i="6"/>
  <c r="B36" i="6"/>
  <c r="A37" i="6"/>
  <c r="I35" i="6"/>
  <c r="K35" i="6" s="1"/>
  <c r="E35" i="6"/>
  <c r="J35" i="6"/>
  <c r="D35" i="6"/>
  <c r="M34" i="6" l="1"/>
  <c r="N34" i="6"/>
  <c r="O34" i="6" s="1"/>
  <c r="F35" i="6"/>
  <c r="G35" i="6" s="1"/>
  <c r="B37" i="6"/>
  <c r="A38" i="6"/>
  <c r="E36" i="6"/>
  <c r="J36" i="6"/>
  <c r="I36" i="6"/>
  <c r="K36" i="6" s="1"/>
  <c r="D36" i="6"/>
  <c r="F36" i="6" s="1"/>
  <c r="G36" i="6" s="1"/>
  <c r="I37" i="6" l="1"/>
  <c r="E37" i="6"/>
  <c r="J37" i="6"/>
  <c r="D37" i="6"/>
  <c r="F37" i="6" s="1"/>
  <c r="G37" i="6" s="1"/>
  <c r="H35" i="6"/>
  <c r="L35" i="6"/>
  <c r="H36" i="6"/>
  <c r="L36" i="6"/>
  <c r="B38" i="6"/>
  <c r="A39" i="6"/>
  <c r="H37" i="6" l="1"/>
  <c r="B39" i="6"/>
  <c r="A40" i="6"/>
  <c r="M35" i="6"/>
  <c r="N35" i="6"/>
  <c r="O35" i="6" s="1"/>
  <c r="M36" i="6"/>
  <c r="N36" i="6"/>
  <c r="O36" i="6" s="1"/>
  <c r="E38" i="6"/>
  <c r="J38" i="6"/>
  <c r="I38" i="6"/>
  <c r="D38" i="6"/>
  <c r="F38" i="6" s="1"/>
  <c r="G38" i="6" s="1"/>
  <c r="K37" i="6"/>
  <c r="L37" i="6" s="1"/>
  <c r="N37" i="6" l="1"/>
  <c r="O37" i="6" s="1"/>
  <c r="M37" i="6"/>
  <c r="H38" i="6"/>
  <c r="L38" i="6"/>
  <c r="K38" i="6"/>
  <c r="I39" i="6"/>
  <c r="E39" i="6"/>
  <c r="J39" i="6"/>
  <c r="D39" i="6"/>
  <c r="F39" i="6" s="1"/>
  <c r="G39" i="6" s="1"/>
  <c r="B40" i="6"/>
  <c r="A41" i="6"/>
  <c r="M38" i="6" l="1"/>
  <c r="N38" i="6"/>
  <c r="O38" i="6" s="1"/>
  <c r="B41" i="6"/>
  <c r="A42" i="6"/>
  <c r="E40" i="6"/>
  <c r="J40" i="6"/>
  <c r="I40" i="6"/>
  <c r="K40" i="6" s="1"/>
  <c r="D40" i="6"/>
  <c r="F40" i="6" s="1"/>
  <c r="G40" i="6" s="1"/>
  <c r="K39" i="6"/>
  <c r="L39" i="6" s="1"/>
  <c r="H39" i="6"/>
  <c r="N39" i="6" l="1"/>
  <c r="O39" i="6" s="1"/>
  <c r="M39" i="6"/>
  <c r="I41" i="6"/>
  <c r="K41" i="6" s="1"/>
  <c r="E41" i="6"/>
  <c r="J41" i="6"/>
  <c r="D41" i="6"/>
  <c r="F41" i="6" s="1"/>
  <c r="G41" i="6" s="1"/>
  <c r="H40" i="6"/>
  <c r="L40" i="6"/>
  <c r="B42" i="6"/>
  <c r="A43" i="6"/>
  <c r="M40" i="6" l="1"/>
  <c r="N40" i="6"/>
  <c r="O40" i="6" s="1"/>
  <c r="H41" i="6"/>
  <c r="L41" i="6"/>
  <c r="B43" i="6"/>
  <c r="A44" i="6"/>
  <c r="E42" i="6"/>
  <c r="J42" i="6"/>
  <c r="I42" i="6"/>
  <c r="D42" i="6"/>
  <c r="F42" i="6" s="1"/>
  <c r="G42" i="6" s="1"/>
  <c r="N41" i="6" l="1"/>
  <c r="O41" i="6" s="1"/>
  <c r="M41" i="6"/>
  <c r="H42" i="6"/>
  <c r="L42" i="6"/>
  <c r="B44" i="6"/>
  <c r="A45" i="6"/>
  <c r="K42" i="6"/>
  <c r="I43" i="6"/>
  <c r="K43" i="6" s="1"/>
  <c r="E43" i="6"/>
  <c r="J43" i="6"/>
  <c r="D43" i="6"/>
  <c r="F43" i="6" s="1"/>
  <c r="G43" i="6" s="1"/>
  <c r="L43" i="6" l="1"/>
  <c r="H43" i="6"/>
  <c r="M42" i="6"/>
  <c r="N42" i="6"/>
  <c r="O42" i="6" s="1"/>
  <c r="B45" i="6"/>
  <c r="A46" i="6"/>
  <c r="E44" i="6"/>
  <c r="J44" i="6"/>
  <c r="I44" i="6"/>
  <c r="K44" i="6" s="1"/>
  <c r="D44" i="6"/>
  <c r="F44" i="6" s="1"/>
  <c r="G44" i="6" s="1"/>
  <c r="H44" i="6" l="1"/>
  <c r="L44" i="6"/>
  <c r="B46" i="6"/>
  <c r="A47" i="6"/>
  <c r="I45" i="6"/>
  <c r="K45" i="6" s="1"/>
  <c r="R45" i="6"/>
  <c r="E45" i="6"/>
  <c r="J45" i="6"/>
  <c r="D45" i="6"/>
  <c r="F45" i="6" s="1"/>
  <c r="G45" i="6" s="1"/>
  <c r="M43" i="6"/>
  <c r="N43" i="6"/>
  <c r="O43" i="6" s="1"/>
  <c r="A48" i="6" l="1"/>
  <c r="B47" i="6"/>
  <c r="E46" i="6"/>
  <c r="D46" i="6"/>
  <c r="F46" i="6" s="1"/>
  <c r="G46" i="6" s="1"/>
  <c r="J46" i="6"/>
  <c r="I46" i="6"/>
  <c r="K46" i="6" s="1"/>
  <c r="H45" i="6"/>
  <c r="L45" i="6"/>
  <c r="M44" i="6"/>
  <c r="N44" i="6"/>
  <c r="O44" i="6" s="1"/>
  <c r="H46" i="6" l="1"/>
  <c r="L46" i="6"/>
  <c r="J47" i="6"/>
  <c r="I47" i="6"/>
  <c r="K47" i="6" s="1"/>
  <c r="E47" i="6"/>
  <c r="D47" i="6"/>
  <c r="F47" i="6" s="1"/>
  <c r="G47" i="6" s="1"/>
  <c r="M45" i="6"/>
  <c r="N45" i="6"/>
  <c r="O45" i="6" s="1"/>
  <c r="B48" i="6"/>
  <c r="A49" i="6"/>
  <c r="L47" i="6" l="1"/>
  <c r="H47" i="6"/>
  <c r="M46" i="6"/>
  <c r="N46" i="6"/>
  <c r="O46" i="6" s="1"/>
  <c r="A50" i="6"/>
  <c r="B49" i="6"/>
  <c r="E48" i="6"/>
  <c r="J48" i="6"/>
  <c r="I48" i="6"/>
  <c r="D48" i="6"/>
  <c r="F48" i="6" s="1"/>
  <c r="G48" i="6" s="1"/>
  <c r="H48" i="6" l="1"/>
  <c r="J49" i="6"/>
  <c r="I49" i="6"/>
  <c r="K49" i="6" s="1"/>
  <c r="D49" i="6"/>
  <c r="F49" i="6" s="1"/>
  <c r="G49" i="6" s="1"/>
  <c r="E49" i="6"/>
  <c r="K48" i="6"/>
  <c r="L48" i="6" s="1"/>
  <c r="B50" i="6"/>
  <c r="A51" i="6"/>
  <c r="N47" i="6"/>
  <c r="O47" i="6" s="1"/>
  <c r="M47" i="6"/>
  <c r="N48" i="6" l="1"/>
  <c r="O48" i="6" s="1"/>
  <c r="M48" i="6"/>
  <c r="A52" i="6"/>
  <c r="B51" i="6"/>
  <c r="E50" i="6"/>
  <c r="J50" i="6"/>
  <c r="D50" i="6"/>
  <c r="F50" i="6" s="1"/>
  <c r="G50" i="6" s="1"/>
  <c r="I50" i="6"/>
  <c r="K50" i="6" s="1"/>
  <c r="L49" i="6"/>
  <c r="H49" i="6"/>
  <c r="L50" i="6" l="1"/>
  <c r="H50" i="6"/>
  <c r="B52" i="6"/>
  <c r="A53" i="6"/>
  <c r="I51" i="6"/>
  <c r="K51" i="6" s="1"/>
  <c r="E51" i="6"/>
  <c r="J51" i="6"/>
  <c r="D51" i="6"/>
  <c r="F51" i="6" s="1"/>
  <c r="G51" i="6" s="1"/>
  <c r="N49" i="6"/>
  <c r="O49" i="6" s="1"/>
  <c r="M49" i="6"/>
  <c r="E52" i="6" l="1"/>
  <c r="J52" i="6"/>
  <c r="I52" i="6"/>
  <c r="K52" i="6" s="1"/>
  <c r="D52" i="6"/>
  <c r="F52" i="6" s="1"/>
  <c r="G52" i="6" s="1"/>
  <c r="H51" i="6"/>
  <c r="L51" i="6"/>
  <c r="B53" i="6"/>
  <c r="A54" i="6"/>
  <c r="N50" i="6"/>
  <c r="O50" i="6" s="1"/>
  <c r="M50" i="6"/>
  <c r="H52" i="6" l="1"/>
  <c r="L52" i="6"/>
  <c r="B54" i="6"/>
  <c r="A55" i="6"/>
  <c r="I53" i="6"/>
  <c r="D53" i="6"/>
  <c r="F53" i="6" s="1"/>
  <c r="G53" i="6" s="1"/>
  <c r="E53" i="6"/>
  <c r="J53" i="6"/>
  <c r="M51" i="6"/>
  <c r="N51" i="6"/>
  <c r="O51" i="6" s="1"/>
  <c r="B55" i="6" l="1"/>
  <c r="A56" i="6"/>
  <c r="E54" i="6"/>
  <c r="I54" i="6"/>
  <c r="K54" i="6" s="1"/>
  <c r="D54" i="6"/>
  <c r="F54" i="6" s="1"/>
  <c r="G54" i="6" s="1"/>
  <c r="J54" i="6"/>
  <c r="H53" i="6"/>
  <c r="L53" i="6"/>
  <c r="M52" i="6"/>
  <c r="N52" i="6"/>
  <c r="O52" i="6" s="1"/>
  <c r="K53" i="6"/>
  <c r="M53" i="6" l="1"/>
  <c r="N53" i="6"/>
  <c r="O53" i="6" s="1"/>
  <c r="B56" i="6"/>
  <c r="A57" i="6"/>
  <c r="L54" i="6"/>
  <c r="H54" i="6"/>
  <c r="I55" i="6"/>
  <c r="J55" i="6"/>
  <c r="D55" i="6"/>
  <c r="F55" i="6" s="1"/>
  <c r="G55" i="6" s="1"/>
  <c r="E55" i="6"/>
  <c r="N54" i="6" l="1"/>
  <c r="O54" i="6" s="1"/>
  <c r="M54" i="6"/>
  <c r="K55" i="6"/>
  <c r="E56" i="6"/>
  <c r="J56" i="6"/>
  <c r="D56" i="6"/>
  <c r="I56" i="6"/>
  <c r="L55" i="6"/>
  <c r="H55" i="6"/>
  <c r="B57" i="6"/>
  <c r="A58" i="6"/>
  <c r="B58" i="6" l="1"/>
  <c r="A59" i="6"/>
  <c r="M55" i="6"/>
  <c r="N55" i="6"/>
  <c r="O55" i="6" s="1"/>
  <c r="K56" i="6"/>
  <c r="I57" i="6"/>
  <c r="E57" i="6"/>
  <c r="J57" i="6"/>
  <c r="D57" i="6"/>
  <c r="F57" i="6" s="1"/>
  <c r="G57" i="6" s="1"/>
  <c r="F56" i="6"/>
  <c r="G56" i="6" s="1"/>
  <c r="L56" i="6" l="1"/>
  <c r="H56" i="6"/>
  <c r="K57" i="6"/>
  <c r="L57" i="6" s="1"/>
  <c r="B59" i="6"/>
  <c r="A60" i="6"/>
  <c r="H57" i="6"/>
  <c r="E58" i="6"/>
  <c r="J58" i="6"/>
  <c r="D58" i="6"/>
  <c r="I58" i="6"/>
  <c r="K58" i="6" s="1"/>
  <c r="N57" i="6" l="1"/>
  <c r="O57" i="6" s="1"/>
  <c r="M57" i="6"/>
  <c r="F58" i="6"/>
  <c r="G58" i="6" s="1"/>
  <c r="I59" i="6"/>
  <c r="K59" i="6" s="1"/>
  <c r="D59" i="6"/>
  <c r="F59" i="6" s="1"/>
  <c r="G59" i="6" s="1"/>
  <c r="E59" i="6"/>
  <c r="J59" i="6"/>
  <c r="B60" i="6"/>
  <c r="A61" i="6"/>
  <c r="M56" i="6"/>
  <c r="N56" i="6"/>
  <c r="O56" i="6" s="1"/>
  <c r="H58" i="6" l="1"/>
  <c r="L58" i="6"/>
  <c r="B61" i="6"/>
  <c r="A62" i="6"/>
  <c r="E60" i="6"/>
  <c r="J60" i="6"/>
  <c r="I60" i="6"/>
  <c r="K60" i="6" s="1"/>
  <c r="D60" i="6"/>
  <c r="F60" i="6" s="1"/>
  <c r="G60" i="6" s="1"/>
  <c r="L59" i="6"/>
  <c r="H59" i="6"/>
  <c r="L60" i="6" l="1"/>
  <c r="H60" i="6"/>
  <c r="B62" i="6"/>
  <c r="A63" i="6"/>
  <c r="I61" i="6"/>
  <c r="K61" i="6" s="1"/>
  <c r="E61" i="6"/>
  <c r="J61" i="6"/>
  <c r="D61" i="6"/>
  <c r="F61" i="6" s="1"/>
  <c r="G61" i="6" s="1"/>
  <c r="M58" i="6"/>
  <c r="N58" i="6"/>
  <c r="O58" i="6" s="1"/>
  <c r="N59" i="6"/>
  <c r="O59" i="6" s="1"/>
  <c r="M59" i="6"/>
  <c r="L61" i="6" l="1"/>
  <c r="H61" i="6"/>
  <c r="B63" i="6"/>
  <c r="A64" i="6"/>
  <c r="E62" i="6"/>
  <c r="J62" i="6"/>
  <c r="I62" i="6"/>
  <c r="K62" i="6" s="1"/>
  <c r="D62" i="6"/>
  <c r="F62" i="6" s="1"/>
  <c r="G62" i="6" s="1"/>
  <c r="N60" i="6"/>
  <c r="O60" i="6" s="1"/>
  <c r="M60" i="6"/>
  <c r="L62" i="6" l="1"/>
  <c r="H62" i="6"/>
  <c r="B64" i="6"/>
  <c r="A65" i="6"/>
  <c r="D63" i="6"/>
  <c r="F63" i="6" s="1"/>
  <c r="G63" i="6" s="1"/>
  <c r="I63" i="6"/>
  <c r="K63" i="6" s="1"/>
  <c r="E63" i="6"/>
  <c r="J63" i="6"/>
  <c r="N61" i="6"/>
  <c r="O61" i="6" s="1"/>
  <c r="M61" i="6"/>
  <c r="B65" i="6" l="1"/>
  <c r="A66" i="6"/>
  <c r="E64" i="6"/>
  <c r="J64" i="6"/>
  <c r="I64" i="6"/>
  <c r="K64" i="6" s="1"/>
  <c r="D64" i="6"/>
  <c r="F64" i="6" s="1"/>
  <c r="G64" i="6" s="1"/>
  <c r="L63" i="6"/>
  <c r="H63" i="6"/>
  <c r="M62" i="6"/>
  <c r="N62" i="6"/>
  <c r="O62" i="6" s="1"/>
  <c r="M63" i="6" l="1"/>
  <c r="N63" i="6"/>
  <c r="O63" i="6" s="1"/>
  <c r="L64" i="6"/>
  <c r="H64" i="6"/>
  <c r="B66" i="6"/>
  <c r="A67" i="6"/>
  <c r="I65" i="6"/>
  <c r="K65" i="6" s="1"/>
  <c r="E65" i="6"/>
  <c r="J65" i="6"/>
  <c r="D65" i="6"/>
  <c r="F65" i="6" s="1"/>
  <c r="G65" i="6" s="1"/>
  <c r="M64" i="6" l="1"/>
  <c r="N64" i="6"/>
  <c r="O64" i="6" s="1"/>
  <c r="L65" i="6"/>
  <c r="H65" i="6"/>
  <c r="A68" i="6"/>
  <c r="B67" i="6"/>
  <c r="E66" i="6"/>
  <c r="J66" i="6"/>
  <c r="I66" i="6"/>
  <c r="K66" i="6" s="1"/>
  <c r="D66" i="6"/>
  <c r="F66" i="6" s="1"/>
  <c r="G66" i="6" s="1"/>
  <c r="N65" i="6" l="1"/>
  <c r="O65" i="6" s="1"/>
  <c r="M65" i="6"/>
  <c r="L66" i="6"/>
  <c r="H66" i="6"/>
  <c r="I67" i="6"/>
  <c r="K67" i="6" s="1"/>
  <c r="J67" i="6"/>
  <c r="D67" i="6"/>
  <c r="F67" i="6" s="1"/>
  <c r="G67" i="6" s="1"/>
  <c r="E67" i="6"/>
  <c r="B68" i="6"/>
  <c r="A69" i="6"/>
  <c r="E68" i="6" l="1"/>
  <c r="J68" i="6"/>
  <c r="D68" i="6"/>
  <c r="I68" i="6"/>
  <c r="H67" i="6"/>
  <c r="L67" i="6"/>
  <c r="N66" i="6"/>
  <c r="O66" i="6" s="1"/>
  <c r="M66" i="6"/>
  <c r="B69" i="6"/>
  <c r="A70" i="6"/>
  <c r="K68" i="6" l="1"/>
  <c r="B70" i="6"/>
  <c r="A71" i="6"/>
  <c r="M67" i="6"/>
  <c r="N67" i="6"/>
  <c r="O67" i="6" s="1"/>
  <c r="I69" i="6"/>
  <c r="K69" i="6" s="1"/>
  <c r="E69" i="6"/>
  <c r="J69" i="6"/>
  <c r="D69" i="6"/>
  <c r="F69" i="6" s="1"/>
  <c r="G69" i="6" s="1"/>
  <c r="F68" i="6"/>
  <c r="G68" i="6" s="1"/>
  <c r="H69" i="6" l="1"/>
  <c r="L69" i="6"/>
  <c r="A72" i="6"/>
  <c r="B71" i="6"/>
  <c r="E70" i="6"/>
  <c r="J70" i="6"/>
  <c r="I70" i="6"/>
  <c r="K70" i="6" s="1"/>
  <c r="D70" i="6"/>
  <c r="F70" i="6" s="1"/>
  <c r="G70" i="6" s="1"/>
  <c r="L68" i="6"/>
  <c r="H68" i="6"/>
  <c r="H70" i="6" l="1"/>
  <c r="L70" i="6"/>
  <c r="I71" i="6"/>
  <c r="K71" i="6" s="1"/>
  <c r="J71" i="6"/>
  <c r="E71" i="6"/>
  <c r="D71" i="6"/>
  <c r="F71" i="6" s="1"/>
  <c r="G71" i="6" s="1"/>
  <c r="B72" i="6"/>
  <c r="A73" i="6"/>
  <c r="M69" i="6"/>
  <c r="N69" i="6"/>
  <c r="O69" i="6" s="1"/>
  <c r="N68" i="6"/>
  <c r="O68" i="6" s="1"/>
  <c r="M68" i="6"/>
  <c r="E72" i="6" l="1"/>
  <c r="J72" i="6"/>
  <c r="D72" i="6"/>
  <c r="F72" i="6" s="1"/>
  <c r="G72" i="6" s="1"/>
  <c r="I72" i="6"/>
  <c r="K72" i="6" s="1"/>
  <c r="B73" i="6"/>
  <c r="A74" i="6"/>
  <c r="L71" i="6"/>
  <c r="H71" i="6"/>
  <c r="M70" i="6"/>
  <c r="N70" i="6"/>
  <c r="O70" i="6" s="1"/>
  <c r="H72" i="6" l="1"/>
  <c r="L72" i="6"/>
  <c r="M71" i="6"/>
  <c r="N71" i="6"/>
  <c r="O71" i="6" s="1"/>
  <c r="B74" i="6"/>
  <c r="A75" i="6"/>
  <c r="I73" i="6"/>
  <c r="K73" i="6" s="1"/>
  <c r="E73" i="6"/>
  <c r="J73" i="6"/>
  <c r="D73" i="6"/>
  <c r="F73" i="6" s="1"/>
  <c r="G73" i="6" s="1"/>
  <c r="H73" i="6" l="1"/>
  <c r="L73" i="6"/>
  <c r="A76" i="6"/>
  <c r="B75" i="6"/>
  <c r="M72" i="6"/>
  <c r="N72" i="6"/>
  <c r="O72" i="6" s="1"/>
  <c r="E74" i="6"/>
  <c r="J74" i="6"/>
  <c r="D74" i="6"/>
  <c r="F74" i="6" s="1"/>
  <c r="G74" i="6" s="1"/>
  <c r="I74" i="6"/>
  <c r="K74" i="6" s="1"/>
  <c r="I75" i="6" l="1"/>
  <c r="K75" i="6" s="1"/>
  <c r="J75" i="6"/>
  <c r="E75" i="6"/>
  <c r="D75" i="6"/>
  <c r="F75" i="6" s="1"/>
  <c r="G75" i="6" s="1"/>
  <c r="B76" i="6"/>
  <c r="A77" i="6"/>
  <c r="M73" i="6"/>
  <c r="N73" i="6"/>
  <c r="O73" i="6" s="1"/>
  <c r="L74" i="6"/>
  <c r="H74" i="6"/>
  <c r="H75" i="6" l="1"/>
  <c r="L75" i="6"/>
  <c r="E76" i="6"/>
  <c r="J76" i="6"/>
  <c r="D76" i="6"/>
  <c r="F76" i="6" s="1"/>
  <c r="G76" i="6" s="1"/>
  <c r="I76" i="6"/>
  <c r="K76" i="6" s="1"/>
  <c r="B77" i="6"/>
  <c r="A78" i="6"/>
  <c r="M74" i="6"/>
  <c r="N74" i="6"/>
  <c r="O74" i="6" s="1"/>
  <c r="B78" i="6" l="1"/>
  <c r="A79" i="6"/>
  <c r="I77" i="6"/>
  <c r="K77" i="6" s="1"/>
  <c r="E77" i="6"/>
  <c r="J77" i="6"/>
  <c r="D77" i="6"/>
  <c r="F77" i="6" s="1"/>
  <c r="G77" i="6" s="1"/>
  <c r="M75" i="6"/>
  <c r="N75" i="6"/>
  <c r="O75" i="6" s="1"/>
  <c r="H76" i="6"/>
  <c r="L76" i="6"/>
  <c r="H77" i="6" l="1"/>
  <c r="L77" i="6"/>
  <c r="A80" i="6"/>
  <c r="B79" i="6"/>
  <c r="M76" i="6"/>
  <c r="N76" i="6"/>
  <c r="O76" i="6" s="1"/>
  <c r="E78" i="6"/>
  <c r="J78" i="6"/>
  <c r="D78" i="6"/>
  <c r="F78" i="6" s="1"/>
  <c r="G78" i="6" s="1"/>
  <c r="I78" i="6"/>
  <c r="K78" i="6" s="1"/>
  <c r="I79" i="6" l="1"/>
  <c r="J79" i="6"/>
  <c r="D79" i="6"/>
  <c r="F79" i="6" s="1"/>
  <c r="G79" i="6" s="1"/>
  <c r="E79" i="6"/>
  <c r="B80" i="6"/>
  <c r="A81" i="6"/>
  <c r="N77" i="6"/>
  <c r="O77" i="6" s="1"/>
  <c r="M77" i="6"/>
  <c r="L78" i="6"/>
  <c r="H78" i="6"/>
  <c r="E80" i="6" l="1"/>
  <c r="J80" i="6"/>
  <c r="I80" i="6"/>
  <c r="K80" i="6" s="1"/>
  <c r="D80" i="6"/>
  <c r="F80" i="6" s="1"/>
  <c r="G80" i="6" s="1"/>
  <c r="H79" i="6"/>
  <c r="B81" i="6"/>
  <c r="A82" i="6"/>
  <c r="M78" i="6"/>
  <c r="N78" i="6"/>
  <c r="O78" i="6" s="1"/>
  <c r="K79" i="6"/>
  <c r="L79" i="6" s="1"/>
  <c r="N79" i="6" l="1"/>
  <c r="O79" i="6" s="1"/>
  <c r="M79" i="6"/>
  <c r="L80" i="6"/>
  <c r="H80" i="6"/>
  <c r="B82" i="6"/>
  <c r="A83" i="6"/>
  <c r="I81" i="6"/>
  <c r="K81" i="6" s="1"/>
  <c r="E81" i="6"/>
  <c r="D81" i="6"/>
  <c r="F81" i="6" s="1"/>
  <c r="G81" i="6" s="1"/>
  <c r="J81" i="6"/>
  <c r="M80" i="6" l="1"/>
  <c r="N80" i="6"/>
  <c r="O80" i="6" s="1"/>
  <c r="A84" i="6"/>
  <c r="B83" i="6"/>
  <c r="L81" i="6"/>
  <c r="H81" i="6"/>
  <c r="E82" i="6"/>
  <c r="J82" i="6"/>
  <c r="D82" i="6"/>
  <c r="F82" i="6" s="1"/>
  <c r="G82" i="6" s="1"/>
  <c r="I82" i="6"/>
  <c r="K82" i="6" s="1"/>
  <c r="I83" i="6" l="1"/>
  <c r="K83" i="6" s="1"/>
  <c r="J83" i="6"/>
  <c r="D83" i="6"/>
  <c r="F83" i="6" s="1"/>
  <c r="G83" i="6" s="1"/>
  <c r="E83" i="6"/>
  <c r="B84" i="6"/>
  <c r="A85" i="6"/>
  <c r="H82" i="6"/>
  <c r="L82" i="6"/>
  <c r="N81" i="6"/>
  <c r="O81" i="6" s="1"/>
  <c r="M81" i="6"/>
  <c r="M82" i="6" l="1"/>
  <c r="N82" i="6"/>
  <c r="O82" i="6" s="1"/>
  <c r="L83" i="6"/>
  <c r="H83" i="6"/>
  <c r="E84" i="6"/>
  <c r="R84" i="6"/>
  <c r="J84" i="6"/>
  <c r="D84" i="6"/>
  <c r="F84" i="6" s="1"/>
  <c r="G84" i="6" s="1"/>
  <c r="I84" i="6"/>
  <c r="K84" i="6" s="1"/>
  <c r="B85" i="6"/>
  <c r="A86" i="6"/>
  <c r="L84" i="6" l="1"/>
  <c r="H84" i="6"/>
  <c r="B86" i="6"/>
  <c r="A87" i="6"/>
  <c r="M83" i="6"/>
  <c r="N83" i="6"/>
  <c r="O83" i="6" s="1"/>
  <c r="J85" i="6"/>
  <c r="I85" i="6"/>
  <c r="K85" i="6" s="1"/>
  <c r="D85" i="6"/>
  <c r="F85" i="6" s="1"/>
  <c r="G85" i="6" s="1"/>
  <c r="E85" i="6"/>
  <c r="A88" i="6" l="1"/>
  <c r="B87" i="6"/>
  <c r="E86" i="6"/>
  <c r="D86" i="6"/>
  <c r="F86" i="6" s="1"/>
  <c r="G86" i="6" s="1"/>
  <c r="J86" i="6"/>
  <c r="I86" i="6"/>
  <c r="K86" i="6" s="1"/>
  <c r="H85" i="6"/>
  <c r="L85" i="6"/>
  <c r="M84" i="6"/>
  <c r="N84" i="6"/>
  <c r="O84" i="6" s="1"/>
  <c r="L86" i="6" l="1"/>
  <c r="H86" i="6"/>
  <c r="M85" i="6"/>
  <c r="N85" i="6"/>
  <c r="O85" i="6" s="1"/>
  <c r="J87" i="6"/>
  <c r="I87" i="6"/>
  <c r="K87" i="6" s="1"/>
  <c r="D87" i="6"/>
  <c r="F87" i="6" s="1"/>
  <c r="G87" i="6" s="1"/>
  <c r="E87" i="6"/>
  <c r="B88" i="6"/>
  <c r="A89" i="6"/>
  <c r="A90" i="6" l="1"/>
  <c r="B89" i="6"/>
  <c r="E88" i="6"/>
  <c r="I88" i="6"/>
  <c r="K88" i="6" s="1"/>
  <c r="D88" i="6"/>
  <c r="F88" i="6" s="1"/>
  <c r="G88" i="6" s="1"/>
  <c r="J88" i="6"/>
  <c r="L87" i="6"/>
  <c r="H87" i="6"/>
  <c r="M86" i="6"/>
  <c r="N86" i="6"/>
  <c r="O86" i="6" s="1"/>
  <c r="N87" i="6" l="1"/>
  <c r="O87" i="6" s="1"/>
  <c r="M87" i="6"/>
  <c r="E89" i="6"/>
  <c r="J89" i="6"/>
  <c r="D89" i="6"/>
  <c r="F89" i="6" s="1"/>
  <c r="G89" i="6" s="1"/>
  <c r="I89" i="6"/>
  <c r="K89" i="6" s="1"/>
  <c r="H88" i="6"/>
  <c r="L88" i="6"/>
  <c r="B90" i="6"/>
  <c r="A91" i="6"/>
  <c r="N88" i="6" l="1"/>
  <c r="O88" i="6" s="1"/>
  <c r="M88" i="6"/>
  <c r="B91" i="6"/>
  <c r="A92" i="6"/>
  <c r="I90" i="6"/>
  <c r="K90" i="6" s="1"/>
  <c r="D90" i="6"/>
  <c r="F90" i="6" s="1"/>
  <c r="G90" i="6" s="1"/>
  <c r="E90" i="6"/>
  <c r="J90" i="6"/>
  <c r="L89" i="6"/>
  <c r="H89" i="6"/>
  <c r="M89" i="6" l="1"/>
  <c r="N89" i="6"/>
  <c r="O89" i="6" s="1"/>
  <c r="A93" i="6"/>
  <c r="B92" i="6"/>
  <c r="I91" i="6"/>
  <c r="K91" i="6" s="1"/>
  <c r="D91" i="6"/>
  <c r="F91" i="6" s="1"/>
  <c r="G91" i="6" s="1"/>
  <c r="E91" i="6"/>
  <c r="J91" i="6"/>
  <c r="L90" i="6"/>
  <c r="H90" i="6"/>
  <c r="M90" i="6" l="1"/>
  <c r="N90" i="6"/>
  <c r="O90" i="6" s="1"/>
  <c r="J92" i="6"/>
  <c r="E92" i="6"/>
  <c r="I92" i="6"/>
  <c r="K92" i="6" s="1"/>
  <c r="D92" i="6"/>
  <c r="F92" i="6" s="1"/>
  <c r="G92" i="6" s="1"/>
  <c r="B93" i="6"/>
  <c r="A94" i="6"/>
  <c r="L91" i="6"/>
  <c r="H91" i="6"/>
  <c r="M91" i="6" l="1"/>
  <c r="N91" i="6"/>
  <c r="O91" i="6" s="1"/>
  <c r="B94" i="6"/>
  <c r="A95" i="6"/>
  <c r="E93" i="6"/>
  <c r="D93" i="6"/>
  <c r="F93" i="6" s="1"/>
  <c r="G93" i="6" s="1"/>
  <c r="J93" i="6"/>
  <c r="I93" i="6"/>
  <c r="K93" i="6" s="1"/>
  <c r="L92" i="6"/>
  <c r="H92" i="6"/>
  <c r="B95" i="6" l="1"/>
  <c r="A96" i="6"/>
  <c r="I94" i="6"/>
  <c r="K94" i="6" s="1"/>
  <c r="E94" i="6"/>
  <c r="J94" i="6"/>
  <c r="D94" i="6"/>
  <c r="F94" i="6" s="1"/>
  <c r="G94" i="6" s="1"/>
  <c r="L93" i="6"/>
  <c r="H93" i="6"/>
  <c r="N92" i="6"/>
  <c r="O92" i="6" s="1"/>
  <c r="M92" i="6"/>
  <c r="M93" i="6" l="1"/>
  <c r="N93" i="6"/>
  <c r="O93" i="6" s="1"/>
  <c r="H94" i="6"/>
  <c r="L94" i="6"/>
  <c r="B96" i="6"/>
  <c r="A97" i="6"/>
  <c r="E95" i="6"/>
  <c r="D95" i="6"/>
  <c r="F95" i="6" s="1"/>
  <c r="G95" i="6" s="1"/>
  <c r="I95" i="6"/>
  <c r="K95" i="6" s="1"/>
  <c r="J95" i="6"/>
  <c r="H95" i="6" l="1"/>
  <c r="L95" i="6"/>
  <c r="M94" i="6"/>
  <c r="N94" i="6"/>
  <c r="O94" i="6" s="1"/>
  <c r="A98" i="6"/>
  <c r="B97" i="6"/>
  <c r="E96" i="6"/>
  <c r="D96" i="6"/>
  <c r="F96" i="6" s="1"/>
  <c r="G96" i="6" s="1"/>
  <c r="J96" i="6"/>
  <c r="I96" i="6"/>
  <c r="K96" i="6" s="1"/>
  <c r="H96" i="6" l="1"/>
  <c r="L96" i="6"/>
  <c r="I97" i="6"/>
  <c r="K97" i="6" s="1"/>
  <c r="E97" i="6"/>
  <c r="J97" i="6"/>
  <c r="D97" i="6"/>
  <c r="F97" i="6" s="1"/>
  <c r="G97" i="6" s="1"/>
  <c r="M95" i="6"/>
  <c r="N95" i="6"/>
  <c r="O95" i="6" s="1"/>
  <c r="B98" i="6"/>
  <c r="A99" i="6"/>
  <c r="E98" i="6" l="1"/>
  <c r="I98" i="6"/>
  <c r="K98" i="6" s="1"/>
  <c r="D98" i="6"/>
  <c r="F98" i="6" s="1"/>
  <c r="G98" i="6" s="1"/>
  <c r="J98" i="6"/>
  <c r="H97" i="6"/>
  <c r="L97" i="6"/>
  <c r="N96" i="6"/>
  <c r="O96" i="6" s="1"/>
  <c r="M96" i="6"/>
  <c r="B99" i="6"/>
  <c r="A100" i="6"/>
  <c r="B100" i="6" l="1"/>
  <c r="A101" i="6"/>
  <c r="B101" i="6" s="1"/>
  <c r="L98" i="6"/>
  <c r="H98" i="6"/>
  <c r="M97" i="6"/>
  <c r="N97" i="6"/>
  <c r="O97" i="6" s="1"/>
  <c r="J99" i="6"/>
  <c r="I99" i="6"/>
  <c r="K99" i="6" s="1"/>
  <c r="D99" i="6"/>
  <c r="F99" i="6" s="1"/>
  <c r="G99" i="6" s="1"/>
  <c r="E99" i="6"/>
  <c r="M98" i="6" l="1"/>
  <c r="N98" i="6"/>
  <c r="O98" i="6" s="1"/>
  <c r="J101" i="6"/>
  <c r="R101" i="6"/>
  <c r="D101" i="6"/>
  <c r="F101" i="6" s="1"/>
  <c r="G101" i="6" s="1"/>
  <c r="E101" i="6"/>
  <c r="I101" i="6"/>
  <c r="K101" i="6" s="1"/>
  <c r="L99" i="6"/>
  <c r="H99" i="6"/>
  <c r="J100" i="6"/>
  <c r="E100" i="6"/>
  <c r="I100" i="6"/>
  <c r="K100" i="6" s="1"/>
  <c r="D100" i="6"/>
  <c r="F100" i="6" s="1"/>
  <c r="G100" i="6" s="1"/>
  <c r="M99" i="6" l="1"/>
  <c r="N99" i="6"/>
  <c r="O99" i="6" s="1"/>
  <c r="L100" i="6"/>
  <c r="H100" i="6"/>
  <c r="H101" i="6"/>
  <c r="L101" i="6"/>
  <c r="M100" i="6" l="1"/>
  <c r="N100" i="6"/>
  <c r="O100" i="6" s="1"/>
  <c r="N101" i="6"/>
  <c r="O101" i="6" s="1"/>
  <c r="M101" i="6"/>
</calcChain>
</file>

<file path=xl/sharedStrings.xml><?xml version="1.0" encoding="utf-8"?>
<sst xmlns="http://schemas.openxmlformats.org/spreadsheetml/2006/main" count="618" uniqueCount="340">
  <si>
    <t>This spreadsheet guides the User through the design process for a CONTINUOUS CONDUCTION MODE PFC BOOST converter using the UCC28019 controller.</t>
  </si>
  <si>
    <t>1. The Macros must be ENABLED.</t>
  </si>
  <si>
    <t>2. The Analysis ToolPak Add-In must be checked.</t>
  </si>
  <si>
    <t>• This feature can be found in the Tools Menu.</t>
  </si>
  <si>
    <t>• Select Add-Ins</t>
  </si>
  <si>
    <t>• Check the box next to Analysis ToolPak</t>
  </si>
  <si>
    <t>3. Enter the desired design parameters in the YELLOW shaded boxes</t>
  </si>
  <si>
    <t>5. Actual standard values must be entered for the spreadsheet to calculate the gain-phase plots.</t>
  </si>
  <si>
    <t>Design Specifications</t>
  </si>
  <si>
    <t>Description</t>
  </si>
  <si>
    <t xml:space="preserve">Minimum </t>
  </si>
  <si>
    <t>Maximum</t>
  </si>
  <si>
    <t xml:space="preserve">Typical </t>
  </si>
  <si>
    <t>Input Voltage</t>
  </si>
  <si>
    <t>Output Voltage</t>
  </si>
  <si>
    <t>Allowable Output Voltage
Transients (90% Load Step)</t>
  </si>
  <si>
    <t>Unit</t>
  </si>
  <si>
    <t>V</t>
  </si>
  <si>
    <t>W</t>
  </si>
  <si>
    <t xml:space="preserve"> </t>
  </si>
  <si>
    <t>kHz</t>
  </si>
  <si>
    <r>
      <t>Output Power (P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</t>
    </r>
  </si>
  <si>
    <r>
      <t>Inductor (L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>) Switching Frequency</t>
    </r>
  </si>
  <si>
    <t>Full Load Efficiency</t>
  </si>
  <si>
    <r>
      <t>P</t>
    </r>
    <r>
      <rPr>
        <b/>
        <vertAlign val="subscript"/>
        <sz val="12"/>
        <rFont val="Arial"/>
        <family val="2"/>
      </rPr>
      <t>BUDGET</t>
    </r>
  </si>
  <si>
    <r>
      <t>V</t>
    </r>
    <r>
      <rPr>
        <b/>
        <vertAlign val="subscript"/>
        <sz val="12"/>
        <rFont val="Arial"/>
        <family val="2"/>
      </rPr>
      <t>RDSON</t>
    </r>
  </si>
  <si>
    <t>a1</t>
  </si>
  <si>
    <t>Variable</t>
  </si>
  <si>
    <r>
      <t>T1 Transformer Turns Ratio=N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/N</t>
    </r>
    <r>
      <rPr>
        <b/>
        <vertAlign val="subscript"/>
        <sz val="12"/>
        <rFont val="Arial"/>
        <family val="2"/>
      </rPr>
      <t>S</t>
    </r>
  </si>
  <si>
    <t>Maximum Duty Cycle Nominal</t>
  </si>
  <si>
    <t>Typical Duty Cycle</t>
  </si>
  <si>
    <r>
      <t>D</t>
    </r>
    <r>
      <rPr>
        <b/>
        <vertAlign val="subscript"/>
        <sz val="12"/>
        <rFont val="Arial"/>
        <family val="2"/>
      </rPr>
      <t>MAX</t>
    </r>
  </si>
  <si>
    <r>
      <t>D</t>
    </r>
    <r>
      <rPr>
        <b/>
        <vertAlign val="subscript"/>
        <sz val="12"/>
        <rFont val="Arial"/>
        <family val="2"/>
      </rPr>
      <t>TYP</t>
    </r>
  </si>
  <si>
    <t>Inductor Ripple Current</t>
  </si>
  <si>
    <t>A</t>
  </si>
  <si>
    <r>
      <t>L</t>
    </r>
    <r>
      <rPr>
        <b/>
        <vertAlign val="subscript"/>
        <sz val="12"/>
        <rFont val="Arial"/>
        <family val="2"/>
      </rPr>
      <t>MAG</t>
    </r>
  </si>
  <si>
    <t>mH</t>
  </si>
  <si>
    <r>
      <t>I</t>
    </r>
    <r>
      <rPr>
        <b/>
        <vertAlign val="subscript"/>
        <sz val="12"/>
        <rFont val="Arial"/>
        <family val="2"/>
      </rPr>
      <t>PS</t>
    </r>
  </si>
  <si>
    <r>
      <t>I</t>
    </r>
    <r>
      <rPr>
        <b/>
        <vertAlign val="subscript"/>
        <sz val="12"/>
        <rFont val="Arial"/>
        <family val="2"/>
      </rPr>
      <t>MS</t>
    </r>
  </si>
  <si>
    <r>
      <t>I</t>
    </r>
    <r>
      <rPr>
        <b/>
        <vertAlign val="subscript"/>
        <sz val="12"/>
        <rFont val="Arial"/>
        <family val="2"/>
      </rPr>
      <t>SRMS1</t>
    </r>
  </si>
  <si>
    <r>
      <t>I</t>
    </r>
    <r>
      <rPr>
        <b/>
        <vertAlign val="subscript"/>
        <sz val="12"/>
        <rFont val="Arial"/>
        <family val="2"/>
      </rPr>
      <t>MS2</t>
    </r>
  </si>
  <si>
    <r>
      <t>I</t>
    </r>
    <r>
      <rPr>
        <b/>
        <vertAlign val="subscript"/>
        <sz val="12"/>
        <rFont val="Arial"/>
        <family val="2"/>
      </rPr>
      <t>SRMS2</t>
    </r>
  </si>
  <si>
    <r>
      <t>I</t>
    </r>
    <r>
      <rPr>
        <b/>
        <vertAlign val="subscript"/>
        <sz val="12"/>
        <rFont val="Arial"/>
        <family val="2"/>
      </rPr>
      <t>SRMS3</t>
    </r>
  </si>
  <si>
    <r>
      <t>I</t>
    </r>
    <r>
      <rPr>
        <b/>
        <vertAlign val="subscript"/>
        <sz val="12"/>
        <rFont val="Arial"/>
        <family val="2"/>
      </rPr>
      <t>SRMS</t>
    </r>
  </si>
  <si>
    <r>
      <t>dIL</t>
    </r>
    <r>
      <rPr>
        <b/>
        <vertAlign val="subscript"/>
        <sz val="12"/>
        <rFont val="Arial"/>
        <family val="2"/>
      </rPr>
      <t>MAG</t>
    </r>
  </si>
  <si>
    <r>
      <t>I</t>
    </r>
    <r>
      <rPr>
        <b/>
        <vertAlign val="subscript"/>
        <sz val="12"/>
        <rFont val="Arial"/>
        <family val="2"/>
      </rPr>
      <t>PP</t>
    </r>
  </si>
  <si>
    <r>
      <t>I</t>
    </r>
    <r>
      <rPr>
        <b/>
        <vertAlign val="subscript"/>
        <sz val="12"/>
        <rFont val="Arial"/>
        <family val="2"/>
      </rPr>
      <t>MP</t>
    </r>
  </si>
  <si>
    <r>
      <t>I</t>
    </r>
    <r>
      <rPr>
        <b/>
        <vertAlign val="subscript"/>
        <sz val="12"/>
        <rFont val="Arial"/>
        <family val="2"/>
      </rPr>
      <t>MP2</t>
    </r>
  </si>
  <si>
    <r>
      <t>I</t>
    </r>
    <r>
      <rPr>
        <b/>
        <vertAlign val="subscript"/>
        <sz val="12"/>
        <rFont val="Arial"/>
        <family val="2"/>
      </rPr>
      <t>PRMS1</t>
    </r>
  </si>
  <si>
    <r>
      <t>I</t>
    </r>
    <r>
      <rPr>
        <b/>
        <vertAlign val="subscript"/>
        <sz val="12"/>
        <rFont val="Arial"/>
        <family val="2"/>
      </rPr>
      <t>PRMS2</t>
    </r>
  </si>
  <si>
    <r>
      <t>DCR</t>
    </r>
    <r>
      <rPr>
        <b/>
        <vertAlign val="subscript"/>
        <sz val="12"/>
        <rFont val="Arial"/>
        <family val="2"/>
      </rPr>
      <t>P</t>
    </r>
  </si>
  <si>
    <r>
      <t>I</t>
    </r>
    <r>
      <rPr>
        <b/>
        <vertAlign val="subscript"/>
        <sz val="12"/>
        <rFont val="Arial"/>
        <family val="2"/>
      </rPr>
      <t>PRMS</t>
    </r>
  </si>
  <si>
    <r>
      <t>DCR</t>
    </r>
    <r>
      <rPr>
        <b/>
        <vertAlign val="subscript"/>
        <sz val="12"/>
        <rFont val="Arial"/>
        <family val="2"/>
      </rPr>
      <t>S</t>
    </r>
  </si>
  <si>
    <r>
      <t>P</t>
    </r>
    <r>
      <rPr>
        <b/>
        <vertAlign val="subscript"/>
        <sz val="12"/>
        <rFont val="Arial"/>
        <family val="2"/>
      </rPr>
      <t>T1</t>
    </r>
  </si>
  <si>
    <t>Transformer Primary DC Resistance</t>
  </si>
  <si>
    <t>Transformer Secondary DC Resistance</t>
  </si>
  <si>
    <t>Estimated transform loss, 2X Copper Losses</t>
  </si>
  <si>
    <t>Recalculate Power Budget</t>
  </si>
  <si>
    <t>QA, QB, QC, QD FET selection:</t>
  </si>
  <si>
    <r>
      <t>R</t>
    </r>
    <r>
      <rPr>
        <b/>
        <vertAlign val="subscript"/>
        <sz val="12"/>
        <rFont val="Arial"/>
        <family val="2"/>
      </rPr>
      <t>ds(on)QA</t>
    </r>
  </si>
  <si>
    <t>FET drain to source on resistance</t>
  </si>
  <si>
    <t>FET Specified Coss</t>
  </si>
  <si>
    <t>pF</t>
  </si>
  <si>
    <r>
      <t>C</t>
    </r>
    <r>
      <rPr>
        <b/>
        <vertAlign val="subscript"/>
        <sz val="12"/>
        <rFont val="Arial"/>
        <family val="2"/>
      </rPr>
      <t>OSS_QA_SPEC</t>
    </r>
  </si>
  <si>
    <r>
      <t>V</t>
    </r>
    <r>
      <rPr>
        <b/>
        <vertAlign val="subscript"/>
        <sz val="12"/>
        <rFont val="Arial"/>
        <family val="2"/>
      </rPr>
      <t>dsQA</t>
    </r>
  </si>
  <si>
    <r>
      <t>Calculate average C</t>
    </r>
    <r>
      <rPr>
        <b/>
        <vertAlign val="subscript"/>
        <sz val="12"/>
        <rFont val="Arial"/>
        <family val="2"/>
      </rPr>
      <t xml:space="preserve">OSS </t>
    </r>
  </si>
  <si>
    <r>
      <t>C</t>
    </r>
    <r>
      <rPr>
        <b/>
        <vertAlign val="subscript"/>
        <sz val="12"/>
        <rFont val="Arial"/>
        <family val="2"/>
      </rPr>
      <t>OSS_QA_AVG</t>
    </r>
  </si>
  <si>
    <r>
      <t>P</t>
    </r>
    <r>
      <rPr>
        <b/>
        <vertAlign val="subscript"/>
        <sz val="12"/>
        <rFont val="Arial"/>
        <family val="2"/>
      </rPr>
      <t>QA</t>
    </r>
  </si>
  <si>
    <t xml:space="preserve">Calculate QA losses </t>
  </si>
  <si>
    <r>
      <t>V</t>
    </r>
    <r>
      <rPr>
        <b/>
        <vertAlign val="subscript"/>
        <sz val="12"/>
        <rFont val="Arial"/>
        <family val="2"/>
      </rPr>
      <t>g</t>
    </r>
  </si>
  <si>
    <r>
      <t>QA</t>
    </r>
    <r>
      <rPr>
        <b/>
        <vertAlign val="subscript"/>
        <sz val="12"/>
        <rFont val="Arial"/>
        <family val="2"/>
      </rPr>
      <t>g</t>
    </r>
  </si>
  <si>
    <t>nC</t>
  </si>
  <si>
    <t>Primary Magnetizing Inductance</t>
  </si>
  <si>
    <r>
      <t>L</t>
    </r>
    <r>
      <rPr>
        <b/>
        <vertAlign val="subscript"/>
        <sz val="12"/>
        <rFont val="Arial"/>
        <family val="2"/>
      </rPr>
      <t>S</t>
    </r>
  </si>
  <si>
    <t>uH</t>
  </si>
  <si>
    <r>
      <t>DCR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</si>
  <si>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DC Resistance</t>
    </r>
  </si>
  <si>
    <r>
      <t>Estimate L</t>
    </r>
    <r>
      <rPr>
        <b/>
        <vertAlign val="subscript"/>
        <sz val="12"/>
        <rFont val="Arial"/>
        <family val="2"/>
      </rPr>
      <t xml:space="preserve">S </t>
    </r>
    <r>
      <rPr>
        <b/>
        <sz val="12"/>
        <rFont val="Arial"/>
        <family val="2"/>
      </rPr>
      <t>power loss (P</t>
    </r>
    <r>
      <rPr>
        <b/>
        <vertAlign val="subscript"/>
        <sz val="12"/>
        <rFont val="Arial"/>
        <family val="2"/>
      </rPr>
      <t>LS</t>
    </r>
    <r>
      <rPr>
        <b/>
        <sz val="12"/>
        <rFont val="Arial"/>
        <family val="2"/>
      </rPr>
      <t xml:space="preserve">) </t>
    </r>
  </si>
  <si>
    <r>
      <t>P</t>
    </r>
    <r>
      <rPr>
        <b/>
        <vertAlign val="subscript"/>
        <sz val="12"/>
        <rFont val="Arial"/>
        <family val="2"/>
      </rPr>
      <t>LS</t>
    </r>
  </si>
  <si>
    <r>
      <t>L</t>
    </r>
    <r>
      <rPr>
        <b/>
        <vertAlign val="subscript"/>
        <sz val="12"/>
        <rFont val="Arial"/>
        <family val="2"/>
      </rPr>
      <t>OUT</t>
    </r>
  </si>
  <si>
    <r>
      <t>DCR</t>
    </r>
    <r>
      <rPr>
        <b/>
        <vertAlign val="subscript"/>
        <sz val="12"/>
        <rFont val="Arial"/>
        <family val="2"/>
      </rPr>
      <t>LOUT</t>
    </r>
  </si>
  <si>
    <r>
      <t>Estimate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power loss</t>
    </r>
  </si>
  <si>
    <r>
      <t>P</t>
    </r>
    <r>
      <rPr>
        <b/>
        <vertAlign val="subscript"/>
        <sz val="12"/>
        <rFont val="Arial"/>
        <family val="2"/>
      </rPr>
      <t>LOUT</t>
    </r>
  </si>
  <si>
    <r>
      <t>Calculate 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</si>
  <si>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LOUT_RMS</t>
    </r>
  </si>
  <si>
    <t>Calculated Shim Inductance</t>
  </si>
  <si>
    <t>Calculate Output Inductance</t>
  </si>
  <si>
    <r>
      <t>t</t>
    </r>
    <r>
      <rPr>
        <b/>
        <vertAlign val="subscript"/>
        <sz val="12"/>
        <rFont val="Arial"/>
        <family val="2"/>
      </rPr>
      <t>HU</t>
    </r>
  </si>
  <si>
    <r>
      <t>Time it takes L</t>
    </r>
    <r>
      <rPr>
        <b/>
        <vertAlign val="subscript"/>
        <sz val="12"/>
        <rFont val="Arial"/>
        <family val="2"/>
      </rPr>
      <t xml:space="preserve">OUT </t>
    </r>
    <r>
      <rPr>
        <b/>
        <sz val="12"/>
        <rFont val="Arial"/>
        <family val="2"/>
      </rPr>
      <t>to change 90% of its full load current</t>
    </r>
  </si>
  <si>
    <t>us</t>
  </si>
  <si>
    <r>
      <t>ESR</t>
    </r>
    <r>
      <rPr>
        <b/>
        <vertAlign val="subscript"/>
        <sz val="12"/>
        <rFont val="Arial"/>
        <family val="2"/>
      </rPr>
      <t>COUT</t>
    </r>
  </si>
  <si>
    <r>
      <t>C</t>
    </r>
    <r>
      <rPr>
        <b/>
        <vertAlign val="subscript"/>
        <sz val="12"/>
        <rFont val="Arial"/>
        <family val="2"/>
      </rPr>
      <t>OUT</t>
    </r>
  </si>
  <si>
    <t>uF</t>
  </si>
  <si>
    <t>n</t>
  </si>
  <si>
    <t>Single Capacitor Capacitance</t>
  </si>
  <si>
    <t>Single Capacitor ESR</t>
  </si>
  <si>
    <t>Total Output Capacitance</t>
  </si>
  <si>
    <r>
      <t>I</t>
    </r>
    <r>
      <rPr>
        <b/>
        <vertAlign val="subscript"/>
        <sz val="12"/>
        <rFont val="Arial"/>
        <family val="2"/>
      </rPr>
      <t>COUT_RMS</t>
    </r>
  </si>
  <si>
    <t>Output Capacitance RMS Current</t>
  </si>
  <si>
    <t>Calculate Output Capacitance Loss</t>
  </si>
  <si>
    <r>
      <t>P</t>
    </r>
    <r>
      <rPr>
        <b/>
        <vertAlign val="subscript"/>
        <sz val="12"/>
        <rFont val="Arial"/>
        <family val="2"/>
      </rPr>
      <t>COUT</t>
    </r>
  </si>
  <si>
    <r>
      <t>V</t>
    </r>
    <r>
      <rPr>
        <b/>
        <vertAlign val="subscript"/>
        <sz val="12"/>
        <rFont val="Arial"/>
        <family val="2"/>
      </rPr>
      <t>DROP</t>
    </r>
  </si>
  <si>
    <t>Minimum Input During Line Dropout</t>
  </si>
  <si>
    <r>
      <t>C</t>
    </r>
    <r>
      <rPr>
        <b/>
        <vertAlign val="subscript"/>
        <sz val="12"/>
        <rFont val="Arial"/>
        <family val="2"/>
      </rPr>
      <t>IN</t>
    </r>
  </si>
  <si>
    <t>Calculate Minimum Input Capacitance</t>
  </si>
  <si>
    <r>
      <t>High Frequency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RMS Current</t>
    </r>
  </si>
  <si>
    <r>
      <t>I</t>
    </r>
    <r>
      <rPr>
        <b/>
        <vertAlign val="subscript"/>
        <sz val="12"/>
        <rFont val="Arial"/>
        <family val="2"/>
      </rPr>
      <t>CINRMS</t>
    </r>
  </si>
  <si>
    <r>
      <t>ESR</t>
    </r>
    <r>
      <rPr>
        <b/>
        <vertAlign val="subscript"/>
        <sz val="12"/>
        <rFont val="Arial"/>
        <family val="2"/>
      </rPr>
      <t>CIN</t>
    </r>
  </si>
  <si>
    <r>
      <t>P</t>
    </r>
    <r>
      <rPr>
        <b/>
        <vertAlign val="subscript"/>
        <sz val="12"/>
        <rFont val="Arial"/>
        <family val="2"/>
      </rPr>
      <t>CIN</t>
    </r>
  </si>
  <si>
    <t>Select FETs QE and QF:</t>
  </si>
  <si>
    <r>
      <t>QE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</si>
  <si>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ds(on)QE</t>
    </r>
  </si>
  <si>
    <t>QE and QF Gate Charge</t>
  </si>
  <si>
    <t xml:space="preserve">Set Initial Power Budget </t>
  </si>
  <si>
    <t>Estimated FET Voltage Drop</t>
  </si>
  <si>
    <t>QA FET Gate Charge</t>
  </si>
  <si>
    <r>
      <t>Voltage Across Drain to Source Where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color indexed="8"/>
        <rFont val="Arial"/>
        <family val="2"/>
      </rPr>
      <t>was Measured, Data Sheet Parameter</t>
    </r>
  </si>
  <si>
    <r>
      <t>V</t>
    </r>
    <r>
      <rPr>
        <b/>
        <vertAlign val="subscript"/>
        <sz val="12"/>
        <rFont val="Arial"/>
        <family val="2"/>
      </rPr>
      <t>dsQE</t>
    </r>
  </si>
  <si>
    <r>
      <t>V</t>
    </r>
    <r>
      <rPr>
        <b/>
        <vertAlign val="subscript"/>
        <sz val="12"/>
        <rFont val="Arial"/>
        <family val="2"/>
      </rPr>
      <t>dsQE_SPEC</t>
    </r>
  </si>
  <si>
    <r>
      <t>Voltage Specified at C</t>
    </r>
    <r>
      <rPr>
        <b/>
        <vertAlign val="subscript"/>
        <sz val="12"/>
        <rFont val="Arial"/>
        <family val="2"/>
      </rPr>
      <t>OSS</t>
    </r>
    <r>
      <rPr>
        <b/>
        <sz val="12"/>
        <rFont val="Arial"/>
        <family val="2"/>
      </rPr>
      <t xml:space="preserve"> Specified in the Data Sheet</t>
    </r>
  </si>
  <si>
    <r>
      <t>C</t>
    </r>
    <r>
      <rPr>
        <b/>
        <vertAlign val="subscript"/>
        <sz val="12"/>
        <rFont val="Arial"/>
        <family val="2"/>
      </rPr>
      <t>OSS_SPEC</t>
    </r>
  </si>
  <si>
    <r>
      <t>Specified QE and QF C</t>
    </r>
    <r>
      <rPr>
        <b/>
        <vertAlign val="subscript"/>
        <sz val="12"/>
        <rFont val="Arial"/>
        <family val="2"/>
      </rPr>
      <t xml:space="preserve">OSS </t>
    </r>
    <r>
      <rPr>
        <b/>
        <sz val="12"/>
        <rFont val="Arial"/>
        <family val="2"/>
      </rPr>
      <t>From the Data Sheet</t>
    </r>
  </si>
  <si>
    <r>
      <t>C</t>
    </r>
    <r>
      <rPr>
        <b/>
        <vertAlign val="subscript"/>
        <sz val="12"/>
        <rFont val="Arial"/>
        <family val="2"/>
      </rPr>
      <t>OSS_QE_AVG</t>
    </r>
  </si>
  <si>
    <r>
      <t>Average QE and QF C</t>
    </r>
    <r>
      <rPr>
        <b/>
        <vertAlign val="subscript"/>
        <sz val="12"/>
        <rFont val="Arial"/>
        <family val="2"/>
      </rPr>
      <t>OSS</t>
    </r>
  </si>
  <si>
    <t>QE and QF RMS Current</t>
  </si>
  <si>
    <r>
      <t>I</t>
    </r>
    <r>
      <rPr>
        <b/>
        <vertAlign val="subscript"/>
        <sz val="12"/>
        <rFont val="Arial"/>
        <family val="2"/>
      </rPr>
      <t>QE_RMS</t>
    </r>
  </si>
  <si>
    <r>
      <t>QE</t>
    </r>
    <r>
      <rPr>
        <b/>
        <vertAlign val="subscript"/>
        <sz val="12"/>
        <rFont val="Arial"/>
        <family val="2"/>
      </rPr>
      <t>MILLER_MAX</t>
    </r>
  </si>
  <si>
    <r>
      <t>QE</t>
    </r>
    <r>
      <rPr>
        <b/>
        <vertAlign val="subscript"/>
        <sz val="12"/>
        <rFont val="Arial"/>
        <family val="2"/>
      </rPr>
      <t>MILLER_MIN</t>
    </r>
  </si>
  <si>
    <t>Maximum Gate Charge at the end of the Miller Plateau</t>
  </si>
  <si>
    <t>Peak Current Gate of QE and QF is Driven with</t>
  </si>
  <si>
    <r>
      <t>I</t>
    </r>
    <r>
      <rPr>
        <b/>
        <vertAlign val="subscript"/>
        <sz val="12"/>
        <rFont val="Arial"/>
        <family val="2"/>
      </rPr>
      <t>P</t>
    </r>
  </si>
  <si>
    <r>
      <t>t</t>
    </r>
    <r>
      <rPr>
        <b/>
        <vertAlign val="subscript"/>
        <sz val="12"/>
        <rFont val="Arial"/>
        <family val="2"/>
      </rPr>
      <t>r</t>
    </r>
    <r>
      <rPr>
        <b/>
        <sz val="12"/>
        <rFont val="Arial"/>
        <family val="2"/>
      </rPr>
      <t xml:space="preserve"> ≈ t</t>
    </r>
    <r>
      <rPr>
        <b/>
        <vertAlign val="subscript"/>
        <sz val="12"/>
        <rFont val="Arial"/>
        <family val="2"/>
      </rPr>
      <t>f</t>
    </r>
  </si>
  <si>
    <t>ns</t>
  </si>
  <si>
    <t>Estimate QE FET Losses</t>
  </si>
  <si>
    <r>
      <t>P</t>
    </r>
    <r>
      <rPr>
        <b/>
        <vertAlign val="subscript"/>
        <sz val="12"/>
        <rFont val="Arial"/>
        <family val="2"/>
      </rPr>
      <t>QE</t>
    </r>
  </si>
  <si>
    <t>Maximum Voltage Across QE and QF</t>
  </si>
  <si>
    <t>a2</t>
  </si>
  <si>
    <r>
      <t>Select CT and Enter Turns Ratio a2 = I</t>
    </r>
    <r>
      <rPr>
        <b/>
        <vertAlign val="subscript"/>
        <sz val="12"/>
        <rFont val="Arial"/>
        <family val="2"/>
      </rPr>
      <t>P</t>
    </r>
    <r>
      <rPr>
        <b/>
        <sz val="12"/>
        <rFont val="Arial"/>
        <family val="2"/>
      </rPr>
      <t>/I</t>
    </r>
    <r>
      <rPr>
        <b/>
        <vertAlign val="subscript"/>
        <sz val="12"/>
        <rFont val="Arial"/>
        <family val="2"/>
      </rPr>
      <t>S</t>
    </r>
  </si>
  <si>
    <t>Std. Resistors</t>
  </si>
  <si>
    <t>Capacitors</t>
  </si>
  <si>
    <t>Enter resistor value</t>
  </si>
  <si>
    <t>E6</t>
  </si>
  <si>
    <t>E96</t>
  </si>
  <si>
    <t>Cap value</t>
  </si>
  <si>
    <t>Closest E6 Value</t>
  </si>
  <si>
    <t>Closest E12 Value</t>
  </si>
  <si>
    <t>C values up to 10nF</t>
  </si>
  <si>
    <t>Closest E24 Value</t>
  </si>
  <si>
    <t>Closest E48 Value</t>
  </si>
  <si>
    <t>Closest E96 Value</t>
  </si>
  <si>
    <t>E12</t>
  </si>
  <si>
    <t>C values greater than 10nF</t>
  </si>
  <si>
    <t>E24</t>
  </si>
  <si>
    <t>E48</t>
  </si>
  <si>
    <r>
      <t>R</t>
    </r>
    <r>
      <rPr>
        <b/>
        <vertAlign val="subscript"/>
        <sz val="12"/>
        <rFont val="Arial"/>
        <family val="2"/>
      </rPr>
      <t>S</t>
    </r>
  </si>
  <si>
    <t>Calculate Current Sense Resistor</t>
  </si>
  <si>
    <t>Ω</t>
  </si>
  <si>
    <r>
      <t>I</t>
    </r>
    <r>
      <rPr>
        <b/>
        <vertAlign val="subscript"/>
        <sz val="12"/>
        <rFont val="Arial"/>
        <family val="2"/>
      </rPr>
      <t>P1</t>
    </r>
  </si>
  <si>
    <r>
      <t>Calculate nominal peak current (I</t>
    </r>
    <r>
      <rPr>
        <b/>
        <vertAlign val="subscript"/>
        <sz val="12"/>
        <rFont val="Arial"/>
        <family val="2"/>
      </rPr>
      <t>P1</t>
    </r>
    <r>
      <rPr>
        <b/>
        <sz val="12"/>
        <rFont val="Arial"/>
        <family val="2"/>
      </rPr>
      <t>) at V</t>
    </r>
    <r>
      <rPr>
        <b/>
        <vertAlign val="subscript"/>
        <sz val="12"/>
        <rFont val="Arial"/>
        <family val="2"/>
      </rPr>
      <t>INMIN</t>
    </r>
  </si>
  <si>
    <t>Select Current Sense Resistor for Your Design</t>
  </si>
  <si>
    <t>Estimate Rs Power Loss</t>
  </si>
  <si>
    <r>
      <t>P</t>
    </r>
    <r>
      <rPr>
        <b/>
        <vertAlign val="subscript"/>
        <sz val="12"/>
        <rFont val="Arial"/>
        <family val="2"/>
      </rPr>
      <t>RS</t>
    </r>
  </si>
  <si>
    <r>
      <t>V</t>
    </r>
    <r>
      <rPr>
        <b/>
        <vertAlign val="subscript"/>
        <sz val="12"/>
        <rFont val="Arial"/>
        <family val="2"/>
      </rPr>
      <t>DA</t>
    </r>
  </si>
  <si>
    <r>
      <t>Maximum Diode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Reverse Voltage</t>
    </r>
  </si>
  <si>
    <r>
      <t>t</t>
    </r>
    <r>
      <rPr>
        <b/>
        <vertAlign val="subscript"/>
        <sz val="12"/>
        <rFont val="Arial"/>
        <family val="2"/>
      </rPr>
      <t>DELAY</t>
    </r>
  </si>
  <si>
    <t>fr</t>
  </si>
  <si>
    <t>Calculate Resonant Tank Frequency</t>
  </si>
  <si>
    <t>Possible Delay That will Be Required for ZVS</t>
  </si>
  <si>
    <r>
      <t>D</t>
    </r>
    <r>
      <rPr>
        <b/>
        <vertAlign val="subscript"/>
        <sz val="12"/>
        <rFont val="Arial"/>
        <family val="2"/>
      </rPr>
      <t>CLAMP</t>
    </r>
  </si>
  <si>
    <r>
      <t>t</t>
    </r>
    <r>
      <rPr>
        <b/>
        <vertAlign val="subscript"/>
        <sz val="12"/>
        <rFont val="Arial"/>
        <family val="2"/>
      </rPr>
      <t>DELAY</t>
    </r>
    <r>
      <rPr>
        <b/>
        <sz val="12"/>
        <rFont val="Arial"/>
        <family val="2"/>
      </rPr>
      <t xml:space="preserve"> will act as a duty cycle clamp</t>
    </r>
  </si>
  <si>
    <t>Switching Cycle Period</t>
  </si>
  <si>
    <t>ts</t>
  </si>
  <si>
    <t>Shim Inductance Used</t>
  </si>
  <si>
    <t>Output Inductance Used</t>
  </si>
  <si>
    <t>Selecting Power Transformer (T1)</t>
  </si>
  <si>
    <t>Number of Output Capacitors Used</t>
  </si>
  <si>
    <t>Input Capacitance Used</t>
  </si>
  <si>
    <r>
      <t>Estimate D</t>
    </r>
    <r>
      <rPr>
        <b/>
        <vertAlign val="sub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Losses</t>
    </r>
  </si>
  <si>
    <r>
      <t>P</t>
    </r>
    <r>
      <rPr>
        <b/>
        <vertAlign val="subscript"/>
        <sz val="12"/>
        <rFont val="Arial"/>
        <family val="2"/>
      </rPr>
      <t>DA</t>
    </r>
  </si>
  <si>
    <t>V1</t>
  </si>
  <si>
    <r>
      <t>R</t>
    </r>
    <r>
      <rPr>
        <b/>
        <vertAlign val="subscript"/>
        <sz val="12"/>
        <rFont val="Arial"/>
        <family val="2"/>
      </rPr>
      <t>B</t>
    </r>
  </si>
  <si>
    <t>Select Standard Resistor</t>
  </si>
  <si>
    <r>
      <t>R</t>
    </r>
    <r>
      <rPr>
        <b/>
        <vertAlign val="subscript"/>
        <sz val="12"/>
        <rFont val="Arial"/>
        <family val="2"/>
      </rPr>
      <t>A</t>
    </r>
  </si>
  <si>
    <t>Calculated Resistance</t>
  </si>
  <si>
    <r>
      <t>R</t>
    </r>
    <r>
      <rPr>
        <b/>
        <vertAlign val="subscript"/>
        <sz val="12"/>
        <rFont val="Arial"/>
        <family val="2"/>
      </rPr>
      <t>C</t>
    </r>
  </si>
  <si>
    <r>
      <t>R</t>
    </r>
    <r>
      <rPr>
        <b/>
        <vertAlign val="subscript"/>
        <sz val="12"/>
        <rFont val="Arial"/>
        <family val="2"/>
      </rPr>
      <t>I</t>
    </r>
  </si>
  <si>
    <r>
      <t>f</t>
    </r>
    <r>
      <rPr>
        <b/>
        <vertAlign val="subscript"/>
        <sz val="12"/>
        <rFont val="Arial"/>
        <family val="2"/>
      </rPr>
      <t>C</t>
    </r>
  </si>
  <si>
    <t>Voltage Loop Crossover Frequency</t>
  </si>
  <si>
    <r>
      <t>R</t>
    </r>
    <r>
      <rPr>
        <b/>
        <vertAlign val="subscript"/>
        <sz val="12"/>
        <rFont val="Arial"/>
        <family val="2"/>
      </rPr>
      <t>LOAD</t>
    </r>
  </si>
  <si>
    <t>a1*a2*rload/rs</t>
  </si>
  <si>
    <t>Constant</t>
  </si>
  <si>
    <t>n1/d1</t>
  </si>
  <si>
    <t>n1divd1</t>
  </si>
  <si>
    <t>1/d2</t>
  </si>
  <si>
    <t>n1/(d1*d2)</t>
  </si>
  <si>
    <t>a1*a2*rload/rs*(n1/(d1*d2))</t>
  </si>
  <si>
    <t>absolute maximum(a1*a2*rload/rs*(n1/(d1*d2)))</t>
  </si>
  <si>
    <t>n1</t>
  </si>
  <si>
    <t>|Gco(fc)|</t>
  </si>
  <si>
    <r>
      <t>R</t>
    </r>
    <r>
      <rPr>
        <b/>
        <vertAlign val="subscript"/>
        <sz val="12"/>
        <rFont val="Arial"/>
        <family val="2"/>
      </rPr>
      <t>F</t>
    </r>
  </si>
  <si>
    <t>Calculate Feedback Resistor</t>
  </si>
  <si>
    <r>
      <t>C</t>
    </r>
    <r>
      <rPr>
        <b/>
        <vertAlign val="subscript"/>
        <sz val="12"/>
        <rFont val="Arial"/>
        <family val="2"/>
      </rPr>
      <t>Z</t>
    </r>
  </si>
  <si>
    <t>nF</t>
  </si>
  <si>
    <t>Calculate Pole Capacitor</t>
  </si>
  <si>
    <t>Calculate Zero Capacitor</t>
  </si>
  <si>
    <t>mΩ</t>
  </si>
  <si>
    <t>Output Capacitance ESR  ≤</t>
  </si>
  <si>
    <t>Output Capacitance Cout  ≥</t>
  </si>
  <si>
    <t>kΩ</t>
  </si>
  <si>
    <r>
      <t>C</t>
    </r>
    <r>
      <rPr>
        <b/>
        <vertAlign val="subscript"/>
        <sz val="12"/>
        <rFont val="Arial"/>
        <family val="2"/>
      </rPr>
      <t>P</t>
    </r>
  </si>
  <si>
    <t>Cz</t>
  </si>
  <si>
    <t>values up to 10 nF</t>
  </si>
  <si>
    <t>values greater than 10nf</t>
  </si>
  <si>
    <r>
      <t>t</t>
    </r>
    <r>
      <rPr>
        <b/>
        <vertAlign val="subscript"/>
        <sz val="12"/>
        <rFont val="Arial"/>
        <family val="2"/>
      </rPr>
      <t>SS</t>
    </r>
  </si>
  <si>
    <t>Soft Start Time</t>
  </si>
  <si>
    <t>ms</t>
  </si>
  <si>
    <r>
      <t>C</t>
    </r>
    <r>
      <rPr>
        <b/>
        <vertAlign val="subscript"/>
        <sz val="12"/>
        <rFont val="Arial"/>
        <family val="2"/>
      </rPr>
      <t>SS</t>
    </r>
  </si>
  <si>
    <t>values greater than 10 nf</t>
  </si>
  <si>
    <r>
      <t>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</si>
  <si>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DELAB</t>
    </r>
  </si>
  <si>
    <r>
      <t>R</t>
    </r>
    <r>
      <rPr>
        <b/>
        <vertAlign val="subscript"/>
        <sz val="12"/>
        <rFont val="Arial"/>
        <family val="2"/>
      </rPr>
      <t>DELCD</t>
    </r>
  </si>
  <si>
    <r>
      <t>t</t>
    </r>
    <r>
      <rPr>
        <b/>
        <vertAlign val="subscript"/>
        <sz val="12"/>
        <rFont val="Arial"/>
        <family val="2"/>
      </rPr>
      <t>CDSET</t>
    </r>
  </si>
  <si>
    <r>
      <t>Set to half of t</t>
    </r>
    <r>
      <rPr>
        <b/>
        <vertAlign val="subscript"/>
        <sz val="12"/>
        <rFont val="Arial"/>
        <family val="2"/>
      </rPr>
      <t>ABSET</t>
    </r>
  </si>
  <si>
    <r>
      <t>R</t>
    </r>
    <r>
      <rPr>
        <b/>
        <vertAlign val="subscript"/>
        <sz val="12"/>
        <rFont val="Arial"/>
        <family val="2"/>
      </rPr>
      <t>DELEF</t>
    </r>
  </si>
  <si>
    <t>Setting Minimum on Time</t>
  </si>
  <si>
    <t>Minimum on Time</t>
  </si>
  <si>
    <r>
      <t>t</t>
    </r>
    <r>
      <rPr>
        <b/>
        <vertAlign val="subscript"/>
        <sz val="12"/>
        <rFont val="Arial"/>
        <family val="2"/>
      </rPr>
      <t>MIN</t>
    </r>
  </si>
  <si>
    <r>
      <t>R</t>
    </r>
    <r>
      <rPr>
        <b/>
        <vertAlign val="subscript"/>
        <sz val="12"/>
        <rFont val="Arial"/>
        <family val="2"/>
      </rPr>
      <t>TMIN</t>
    </r>
  </si>
  <si>
    <r>
      <t>Calculate R</t>
    </r>
    <r>
      <rPr>
        <b/>
        <vertAlign val="subscript"/>
        <sz val="12"/>
        <rFont val="Arial"/>
        <family val="2"/>
      </rPr>
      <t>TMIN</t>
    </r>
  </si>
  <si>
    <t>Setup PWM Switching Frequency</t>
  </si>
  <si>
    <r>
      <t>Calculate R</t>
    </r>
    <r>
      <rPr>
        <b/>
        <vertAlign val="subscript"/>
        <sz val="12"/>
        <rFont val="Arial"/>
        <family val="2"/>
      </rPr>
      <t>T</t>
    </r>
    <r>
      <rPr>
        <b/>
        <sz val="12"/>
        <rFont val="Arial"/>
        <family val="2"/>
      </rPr>
      <t xml:space="preserve"> Value</t>
    </r>
  </si>
  <si>
    <r>
      <t>R</t>
    </r>
    <r>
      <rPr>
        <b/>
        <vertAlign val="subscript"/>
        <sz val="12"/>
        <rFont val="Arial"/>
        <family val="2"/>
      </rPr>
      <t>T</t>
    </r>
  </si>
  <si>
    <t>Setup Slope Compensation</t>
  </si>
  <si>
    <t>V/us</t>
  </si>
  <si>
    <r>
      <t>Calculate V</t>
    </r>
    <r>
      <rPr>
        <b/>
        <vertAlign val="subscript"/>
        <sz val="12"/>
        <rFont val="Arial"/>
        <family val="2"/>
      </rPr>
      <t>SLOPE</t>
    </r>
  </si>
  <si>
    <r>
      <t>V</t>
    </r>
    <r>
      <rPr>
        <b/>
        <vertAlign val="subscript"/>
        <sz val="12"/>
        <rFont val="Arial"/>
        <family val="2"/>
      </rPr>
      <t>SLOPE</t>
    </r>
  </si>
  <si>
    <r>
      <t>Calculate R</t>
    </r>
    <r>
      <rPr>
        <b/>
        <vertAlign val="subscript"/>
        <sz val="12"/>
        <rFont val="Arial"/>
        <family val="2"/>
      </rPr>
      <t>SUM</t>
    </r>
  </si>
  <si>
    <r>
      <t>R</t>
    </r>
    <r>
      <rPr>
        <b/>
        <vertAlign val="subscript"/>
        <sz val="12"/>
        <rFont val="Arial"/>
        <family val="2"/>
      </rPr>
      <t>SUM</t>
    </r>
  </si>
  <si>
    <r>
      <t>Voltage across R</t>
    </r>
    <r>
      <rPr>
        <b/>
        <vertAlign val="subscript"/>
        <sz val="12"/>
        <rFont val="Arial"/>
        <family val="2"/>
      </rPr>
      <t>S</t>
    </r>
    <r>
      <rPr>
        <b/>
        <sz val="12"/>
        <rFont val="Arial"/>
        <family val="2"/>
      </rPr>
      <t xml:space="preserve"> at 15% load</t>
    </r>
  </si>
  <si>
    <r>
      <t>V</t>
    </r>
    <r>
      <rPr>
        <b/>
        <vertAlign val="subscript"/>
        <sz val="12"/>
        <rFont val="Arial"/>
        <family val="2"/>
      </rPr>
      <t>RS</t>
    </r>
  </si>
  <si>
    <r>
      <t>R</t>
    </r>
    <r>
      <rPr>
        <b/>
        <vertAlign val="subscript"/>
        <sz val="12"/>
        <rFont val="Arial"/>
        <family val="2"/>
      </rPr>
      <t>G</t>
    </r>
  </si>
  <si>
    <r>
      <t>R</t>
    </r>
    <r>
      <rPr>
        <b/>
        <vertAlign val="subscript"/>
        <sz val="12"/>
        <rFont val="Arial"/>
        <family val="2"/>
      </rPr>
      <t>E</t>
    </r>
  </si>
  <si>
    <r>
      <t>Calculate R</t>
    </r>
    <r>
      <rPr>
        <b/>
        <vertAlign val="subscript"/>
        <sz val="12"/>
        <rFont val="Arial"/>
        <family val="2"/>
      </rPr>
      <t xml:space="preserve">E </t>
    </r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</si>
  <si>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LOUT</t>
    </r>
  </si>
  <si>
    <t>Partial RMS Current</t>
  </si>
  <si>
    <t>Counter</t>
  </si>
  <si>
    <t>Gco n1/d1</t>
  </si>
  <si>
    <t>Gco 1/d2</t>
  </si>
  <si>
    <t>Gco n1/(d1*d2)</t>
  </si>
  <si>
    <t>Gco(f)</t>
  </si>
  <si>
    <t>|Gco(f)|</t>
  </si>
  <si>
    <t>Gc n1/n1</t>
  </si>
  <si>
    <t>Gc 1/n2</t>
  </si>
  <si>
    <t>Gc(f)</t>
  </si>
  <si>
    <t>Gc(f)*Gco(f)</t>
  </si>
  <si>
    <t>TvdB(f)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</si>
  <si>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</rPr>
      <t>(f)</t>
    </r>
  </si>
  <si>
    <t>frequency</t>
  </si>
  <si>
    <t>TvdB(f)
MathCad Check</t>
  </si>
  <si>
    <r>
      <t>ӨT</t>
    </r>
    <r>
      <rPr>
        <vertAlign val="subscript"/>
        <sz val="10"/>
        <rFont val="Arial"/>
        <family val="2"/>
      </rPr>
      <t>V</t>
    </r>
    <r>
      <rPr>
        <sz val="10"/>
        <rFont val="Arial"/>
      </rPr>
      <t>(f)
MathCAD
Check</t>
    </r>
  </si>
  <si>
    <t>Frequency</t>
  </si>
  <si>
    <t>ӨTv(f)</t>
  </si>
  <si>
    <t>T1 Primary Magnetizing Inductance &gt; or =</t>
  </si>
  <si>
    <r>
      <t>Calculate T1 Secondary RMS Current (I</t>
    </r>
    <r>
      <rPr>
        <b/>
        <vertAlign val="subscript"/>
        <sz val="12"/>
        <rFont val="Arial"/>
        <family val="2"/>
      </rPr>
      <t>SRMS</t>
    </r>
    <r>
      <rPr>
        <b/>
        <sz val="12"/>
        <rFont val="Arial"/>
        <family val="2"/>
      </rPr>
      <t>)</t>
    </r>
  </si>
  <si>
    <r>
      <t>L</t>
    </r>
    <r>
      <rPr>
        <b/>
        <vertAlign val="subscript"/>
        <sz val="12"/>
        <rFont val="Arial"/>
        <family val="2"/>
      </rPr>
      <t>OUT</t>
    </r>
    <r>
      <rPr>
        <b/>
        <sz val="12"/>
        <rFont val="Arial"/>
        <family val="2"/>
      </rPr>
      <t xml:space="preserve"> equivalent series resistance</t>
    </r>
  </si>
  <si>
    <t>Total Equivalent Series Resistance</t>
  </si>
  <si>
    <t>QE and QF on Resistance</t>
  </si>
  <si>
    <t>Minimum Gate Charge at the beginning of the Miller Plateau</t>
  </si>
  <si>
    <r>
      <t>Approximate QE and QF V</t>
    </r>
    <r>
      <rPr>
        <b/>
        <vertAlign val="subscript"/>
        <sz val="12"/>
        <rFont val="Arial"/>
        <family val="2"/>
      </rPr>
      <t>ds</t>
    </r>
    <r>
      <rPr>
        <b/>
        <sz val="12"/>
        <rFont val="Arial"/>
        <family val="2"/>
      </rPr>
      <t xml:space="preserve"> Rise and Fall Times</t>
    </r>
  </si>
  <si>
    <t>Equivalent Series Resistance</t>
  </si>
  <si>
    <r>
      <t>Estimate C</t>
    </r>
    <r>
      <rPr>
        <b/>
        <vertAlign val="subscript"/>
        <sz val="12"/>
        <rFont val="Arial"/>
        <family val="2"/>
      </rPr>
      <t>IN</t>
    </r>
    <r>
      <rPr>
        <b/>
        <sz val="12"/>
        <rFont val="Arial"/>
        <family val="2"/>
      </rPr>
      <t xml:space="preserve"> Power Dissipation</t>
    </r>
  </si>
  <si>
    <t>Programmed Voltage Reference, Needs to be &lt; 5V</t>
  </si>
  <si>
    <t>Load Impedance at 10% Load</t>
  </si>
  <si>
    <t>Calculate Soft Start Capacitor</t>
  </si>
  <si>
    <t>Calculate 1/4 LC Tank Frequency and set AB Initial Delay</t>
  </si>
  <si>
    <t>Calculate AB timing resistor</t>
  </si>
  <si>
    <r>
      <t>Set Initial CD delay to AB Delay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= t</t>
    </r>
    <r>
      <rPr>
        <b/>
        <vertAlign val="subscript"/>
        <sz val="12"/>
        <rFont val="Arial"/>
        <family val="2"/>
      </rPr>
      <t>CDSET</t>
    </r>
  </si>
  <si>
    <r>
      <t>Calculate Magnetizing Current during I</t>
    </r>
    <r>
      <rPr>
        <b/>
        <vertAlign val="subscript"/>
        <sz val="12"/>
        <rFont val="Arial"/>
        <family val="2"/>
      </rPr>
      <t>LOUT</t>
    </r>
    <r>
      <rPr>
        <b/>
        <sz val="12"/>
        <rFont val="Arial"/>
        <family val="2"/>
      </rPr>
      <t xml:space="preserve"> down slope</t>
    </r>
  </si>
  <si>
    <t>Setup DCM Comparator</t>
  </si>
  <si>
    <t>Voltage Applied to FET Gate ≈ VDD</t>
  </si>
  <si>
    <r>
      <t>Double pole of G</t>
    </r>
    <r>
      <rPr>
        <b/>
        <vertAlign val="subscript"/>
        <sz val="12"/>
        <rFont val="Arial"/>
        <family val="2"/>
      </rPr>
      <t>CO</t>
    </r>
    <r>
      <rPr>
        <b/>
        <sz val="12"/>
        <rFont val="Arial"/>
        <family val="2"/>
      </rPr>
      <t>(f)</t>
    </r>
  </si>
  <si>
    <r>
      <t>f</t>
    </r>
    <r>
      <rPr>
        <b/>
        <vertAlign val="subscript"/>
        <sz val="12"/>
        <rFont val="Arial"/>
        <family val="2"/>
      </rPr>
      <t>PP</t>
    </r>
  </si>
  <si>
    <r>
      <t>Select Shim Inductor (L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)</t>
    </r>
  </si>
  <si>
    <r>
      <t>Selecting Output Inductor (L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</si>
  <si>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Selecting Output Capacitance (C</t>
    </r>
    <r>
      <rPr>
        <b/>
        <vertAlign val="subscript"/>
        <sz val="12"/>
        <color indexed="9"/>
        <rFont val="Arial"/>
        <family val="2"/>
      </rPr>
      <t>OUT</t>
    </r>
    <r>
      <rPr>
        <b/>
        <sz val="12"/>
        <color indexed="9"/>
        <rFont val="Arial"/>
        <family val="2"/>
      </rPr>
      <t>)</t>
    </r>
  </si>
  <si>
    <r>
      <t>Input Capacitance Calculations (C</t>
    </r>
    <r>
      <rPr>
        <b/>
        <vertAlign val="subscript"/>
        <sz val="12"/>
        <color indexed="9"/>
        <rFont val="Arial"/>
        <family val="2"/>
      </rPr>
      <t>IN</t>
    </r>
    <r>
      <rPr>
        <b/>
        <sz val="12"/>
        <color indexed="9"/>
        <rFont val="Arial"/>
        <family val="2"/>
      </rPr>
      <t>)</t>
    </r>
  </si>
  <si>
    <t>Recalculate Power Budget 
This is the remaining power left for the CT network, IC and IC sensing resistors</t>
  </si>
  <si>
    <r>
      <t>Setting up Voltage Amplifier Reference G</t>
    </r>
    <r>
      <rPr>
        <b/>
        <vertAlign val="subscript"/>
        <sz val="12"/>
        <color indexed="9"/>
        <rFont val="Arial"/>
        <family val="2"/>
      </rPr>
      <t>C</t>
    </r>
    <r>
      <rPr>
        <b/>
        <sz val="12"/>
        <color indexed="9"/>
        <rFont val="Arial"/>
        <family val="2"/>
      </rPr>
      <t>(f)</t>
    </r>
  </si>
  <si>
    <r>
      <t>Select Soft Start Capacitor (C</t>
    </r>
    <r>
      <rPr>
        <b/>
        <vertAlign val="subscript"/>
        <sz val="12"/>
        <color indexed="9"/>
        <rFont val="Arial"/>
        <family val="2"/>
      </rPr>
      <t>SS</t>
    </r>
    <r>
      <rPr>
        <b/>
        <sz val="12"/>
        <color indexed="9"/>
        <rFont val="Arial"/>
        <family val="2"/>
      </rPr>
      <t>)</t>
    </r>
  </si>
  <si>
    <t>It is recommended that you read this application note before using this design tool</t>
  </si>
  <si>
    <t>Please Refer to Figure of T1 Current</t>
  </si>
  <si>
    <r>
      <t>Primary Magnetizing Current Based on L</t>
    </r>
    <r>
      <rPr>
        <b/>
        <vertAlign val="subscript"/>
        <sz val="12"/>
        <rFont val="Arial"/>
        <family val="2"/>
      </rPr>
      <t>MAG</t>
    </r>
  </si>
  <si>
    <r>
      <t>Calculate T1 Primary RMS Current (I</t>
    </r>
    <r>
      <rPr>
        <b/>
        <vertAlign val="subscript"/>
        <sz val="12"/>
        <rFont val="Arial"/>
        <family val="2"/>
      </rPr>
      <t>PRMS</t>
    </r>
    <r>
      <rPr>
        <b/>
        <sz val="12"/>
        <rFont val="Arial"/>
        <family val="2"/>
      </rPr>
      <t>)</t>
    </r>
  </si>
  <si>
    <r>
      <t>Setting up the current sense network (CT, R</t>
    </r>
    <r>
      <rPr>
        <b/>
        <vertAlign val="subscript"/>
        <sz val="12"/>
        <color indexed="9"/>
        <rFont val="Arial"/>
        <family val="2"/>
      </rPr>
      <t>S</t>
    </r>
    <r>
      <rPr>
        <b/>
        <sz val="12"/>
        <color indexed="9"/>
        <rFont val="Arial"/>
        <family val="2"/>
      </rPr>
      <t>, R</t>
    </r>
    <r>
      <rPr>
        <b/>
        <vertAlign val="subscript"/>
        <sz val="12"/>
        <color indexed="9"/>
        <rFont val="Arial"/>
        <family val="2"/>
      </rPr>
      <t xml:space="preserve">RE, </t>
    </r>
    <r>
      <rPr>
        <b/>
        <sz val="12"/>
        <color indexed="9"/>
        <rFont val="Arial"/>
        <family val="2"/>
      </rPr>
      <t>D</t>
    </r>
    <r>
      <rPr>
        <b/>
        <vertAlign val="subscript"/>
        <sz val="12"/>
        <color indexed="9"/>
        <rFont val="Arial"/>
        <family val="2"/>
      </rPr>
      <t>A</t>
    </r>
    <r>
      <rPr>
        <b/>
        <sz val="12"/>
        <color indexed="9"/>
        <rFont val="Arial"/>
        <family val="2"/>
      </rPr>
      <t>):</t>
    </r>
  </si>
  <si>
    <t>Closest Standard Capacitor Value</t>
  </si>
  <si>
    <t>Closest Standard Resistor Value (E48)</t>
  </si>
  <si>
    <t>4. The spreadsheet will calculate the ideal values and display the results in red type.</t>
  </si>
  <si>
    <r>
      <t>L</t>
    </r>
    <r>
      <rPr>
        <b/>
        <vertAlign val="subscript"/>
        <sz val="12"/>
        <rFont val="Arial"/>
        <family val="2"/>
      </rPr>
      <t>LK</t>
    </r>
  </si>
  <si>
    <t>Measured Transformer Primary Leakage Inductance</t>
  </si>
  <si>
    <t>&gt; Invalid parameters entered in yellow cells</t>
  </si>
  <si>
    <t>&gt; Design cannot calculate realistic values for your design parameters</t>
  </si>
  <si>
    <t>&gt; Efficiency goal with selected components may not be achievable</t>
  </si>
  <si>
    <t>Warning Negative Numbers in Calculated Values Could Indicate</t>
  </si>
  <si>
    <t>Select Transformer Turns Ratio</t>
  </si>
  <si>
    <r>
      <t>R</t>
    </r>
    <r>
      <rPr>
        <b/>
        <vertAlign val="subscript"/>
        <sz val="12"/>
        <rFont val="Arial"/>
        <family val="2"/>
      </rPr>
      <t>DA1</t>
    </r>
  </si>
  <si>
    <r>
      <t>V</t>
    </r>
    <r>
      <rPr>
        <b/>
        <vertAlign val="subscript"/>
        <sz val="12"/>
        <rFont val="Arial"/>
        <family val="2"/>
      </rPr>
      <t>ADEL</t>
    </r>
  </si>
  <si>
    <t>Calculate Voltage at ADEL pin to Meet Delay Range</t>
  </si>
  <si>
    <r>
      <t>Select Standard Resistor for R</t>
    </r>
    <r>
      <rPr>
        <b/>
        <vertAlign val="subscript"/>
        <sz val="12"/>
        <rFont val="Arial"/>
        <family val="2"/>
      </rPr>
      <t xml:space="preserve">DA1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</si>
  <si>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DA2</t>
    </r>
  </si>
  <si>
    <r>
      <t>R</t>
    </r>
    <r>
      <rPr>
        <b/>
        <vertAlign val="subscript"/>
        <sz val="12"/>
        <rFont val="Arial"/>
        <family val="2"/>
      </rPr>
      <t>DA2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</si>
  <si>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DA2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ABSET </t>
    </r>
    <r>
      <rPr>
        <b/>
        <sz val="12"/>
        <rFont val="Arial"/>
        <family val="2"/>
      </rPr>
      <t>Delay Range</t>
    </r>
  </si>
  <si>
    <r>
      <t>Recalculate V</t>
    </r>
    <r>
      <rPr>
        <b/>
        <vertAlign val="subscript"/>
        <sz val="12"/>
        <rFont val="Arial"/>
        <family val="2"/>
      </rPr>
      <t>ADEL</t>
    </r>
    <r>
      <rPr>
        <b/>
        <sz val="12"/>
        <rFont val="Arial"/>
        <family val="2"/>
      </rPr>
      <t xml:space="preserve"> Based on R</t>
    </r>
    <r>
      <rPr>
        <b/>
        <vertAlign val="subscript"/>
        <sz val="12"/>
        <rFont val="Arial"/>
        <family val="2"/>
      </rPr>
      <t>DA1</t>
    </r>
    <r>
      <rPr>
        <b/>
        <sz val="12"/>
        <rFont val="Arial"/>
        <family val="2"/>
      </rPr>
      <t xml:space="preserve"> and R</t>
    </r>
    <r>
      <rPr>
        <b/>
        <vertAlign val="subscript"/>
        <sz val="12"/>
        <rFont val="Arial"/>
        <family val="2"/>
      </rPr>
      <t>DA2</t>
    </r>
    <r>
      <rPr>
        <b/>
        <sz val="12"/>
        <rFont val="Arial"/>
        <family val="2"/>
      </rPr>
      <t xml:space="preserve"> Selection</t>
    </r>
  </si>
  <si>
    <r>
      <t>Enter/Fine Tune t</t>
    </r>
    <r>
      <rPr>
        <b/>
        <vertAlign val="subscript"/>
        <sz val="12"/>
        <rFont val="Arial"/>
        <family val="2"/>
      </rPr>
      <t>ABSET</t>
    </r>
    <r>
      <rPr>
        <b/>
        <sz val="12"/>
        <rFont val="Arial"/>
        <family val="2"/>
      </rPr>
      <t xml:space="preserve"> Based on Valley Switching/ZVS</t>
    </r>
  </si>
  <si>
    <r>
      <t>Setting AB Initial Turn-on Delay (t</t>
    </r>
    <r>
      <rPr>
        <b/>
        <vertAlign val="subscript"/>
        <sz val="12"/>
        <color indexed="9"/>
        <rFont val="Arial"/>
        <family val="2"/>
      </rPr>
      <t>ABSET</t>
    </r>
    <r>
      <rPr>
        <b/>
        <sz val="12"/>
        <color indexed="9"/>
        <rFont val="Arial"/>
        <family val="2"/>
      </rPr>
      <t>)</t>
    </r>
  </si>
  <si>
    <r>
      <t>Setting CD Initial Turn-on Delay (t</t>
    </r>
    <r>
      <rPr>
        <b/>
        <vertAlign val="subscript"/>
        <sz val="12"/>
        <color indexed="9"/>
        <rFont val="Arial"/>
        <family val="2"/>
      </rPr>
      <t>CDSET</t>
    </r>
    <r>
      <rPr>
        <b/>
        <sz val="12"/>
        <color indexed="9"/>
        <rFont val="Arial"/>
        <family val="2"/>
      </rPr>
      <t>)</t>
    </r>
  </si>
  <si>
    <r>
      <t>R</t>
    </r>
    <r>
      <rPr>
        <b/>
        <vertAlign val="subscript"/>
        <sz val="12"/>
        <rFont val="Arial"/>
        <family val="2"/>
      </rPr>
      <t>CA1</t>
    </r>
  </si>
  <si>
    <r>
      <t>Select Standard Resistor for R</t>
    </r>
    <r>
      <rPr>
        <b/>
        <vertAlign val="subscript"/>
        <sz val="12"/>
        <rFont val="Arial"/>
        <family val="2"/>
      </rPr>
      <t xml:space="preserve">CA1 </t>
    </r>
    <r>
      <rPr>
        <b/>
        <sz val="12"/>
        <rFont val="Arial"/>
        <family val="2"/>
      </rPr>
      <t>for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Delay Range</t>
    </r>
  </si>
  <si>
    <r>
      <t>Calculate R</t>
    </r>
    <r>
      <rPr>
        <b/>
        <vertAlign val="subscript"/>
        <sz val="12"/>
        <rFont val="Arial"/>
        <family val="2"/>
      </rPr>
      <t>CA2</t>
    </r>
  </si>
  <si>
    <r>
      <t>R</t>
    </r>
    <r>
      <rPr>
        <b/>
        <vertAlign val="subscript"/>
        <sz val="12"/>
        <rFont val="Arial"/>
        <family val="2"/>
      </rPr>
      <t>CA2</t>
    </r>
  </si>
  <si>
    <t>Calculate Voltage at ADELEF pin to Meet Delay Range</t>
  </si>
  <si>
    <r>
      <t>V</t>
    </r>
    <r>
      <rPr>
        <b/>
        <vertAlign val="subscript"/>
        <sz val="12"/>
        <rFont val="Arial"/>
        <family val="2"/>
      </rPr>
      <t>ADELEF</t>
    </r>
  </si>
  <si>
    <r>
      <t>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= t</t>
    </r>
    <r>
      <rPr>
        <b/>
        <vertAlign val="subscript"/>
        <sz val="12"/>
        <rFont val="Arial"/>
        <family val="2"/>
      </rPr>
      <t>BESET</t>
    </r>
  </si>
  <si>
    <r>
      <t>Enter/Fine Tune t</t>
    </r>
    <r>
      <rPr>
        <b/>
        <vertAlign val="subscript"/>
        <sz val="12"/>
        <rFont val="Arial"/>
        <family val="2"/>
      </rPr>
      <t xml:space="preserve">AFSET </t>
    </r>
    <r>
      <rPr>
        <b/>
        <sz val="12"/>
        <rFont val="Arial"/>
        <family val="2"/>
      </rPr>
      <t>and t</t>
    </r>
    <r>
      <rPr>
        <b/>
        <vertAlign val="subscript"/>
        <sz val="12"/>
        <rFont val="Arial"/>
        <family val="2"/>
      </rPr>
      <t>AFSET</t>
    </r>
  </si>
  <si>
    <t>Select Standard Resistor Value</t>
  </si>
  <si>
    <r>
      <t>Setting AF and BE turnoff delay (t</t>
    </r>
    <r>
      <rPr>
        <b/>
        <vertAlign val="subscript"/>
        <sz val="12"/>
        <color indexed="9"/>
        <rFont val="Arial"/>
        <family val="2"/>
      </rPr>
      <t>AFSET</t>
    </r>
    <r>
      <rPr>
        <b/>
        <sz val="12"/>
        <color indexed="9"/>
        <rFont val="Arial"/>
        <family val="2"/>
      </rPr>
      <t>, t</t>
    </r>
    <r>
      <rPr>
        <b/>
        <vertAlign val="subscript"/>
        <sz val="12"/>
        <color indexed="9"/>
        <rFont val="Arial"/>
        <family val="2"/>
      </rPr>
      <t>BESET</t>
    </r>
    <r>
      <rPr>
        <b/>
        <sz val="12"/>
        <color indexed="9"/>
        <rFont val="Arial"/>
        <family val="2"/>
      </rPr>
      <t>)</t>
    </r>
  </si>
  <si>
    <t>Select Standard Capacitor Value</t>
  </si>
  <si>
    <t>Select Standard Resistor Value (Between 13K and 90K ohm)</t>
  </si>
  <si>
    <t>Select Standard Resistor Value(Between 13K and 90K ohm)</t>
  </si>
  <si>
    <t>This design tool was generated based on the information in application report SLUA560</t>
  </si>
  <si>
    <r>
      <t>Δ</t>
    </r>
    <r>
      <rPr>
        <b/>
        <sz val="12"/>
        <rFont val="Arial"/>
        <family val="2"/>
      </rPr>
      <t>I</t>
    </r>
    <r>
      <rPr>
        <b/>
        <vertAlign val="subscript"/>
        <sz val="12"/>
        <rFont val="Arial"/>
        <family val="2"/>
      </rPr>
      <t>LMAG</t>
    </r>
  </si>
  <si>
    <t>6. Note this design tool was generated to accompany application report     SLUA560</t>
  </si>
  <si>
    <t>Enter Design Parameters and Chosen Component Values in Yellow Cells</t>
  </si>
  <si>
    <r>
      <t>V</t>
    </r>
    <r>
      <rPr>
        <b/>
        <vertAlign val="subscript"/>
        <sz val="12"/>
        <rFont val="Arial"/>
        <family val="2"/>
      </rPr>
      <t>SLOPE1</t>
    </r>
  </si>
  <si>
    <r>
      <t>V</t>
    </r>
    <r>
      <rPr>
        <b/>
        <vertAlign val="subscript"/>
        <sz val="12"/>
        <rFont val="Arial"/>
        <family val="2"/>
      </rPr>
      <t>SLOPE2</t>
    </r>
  </si>
  <si>
    <r>
      <t>Calculate V</t>
    </r>
    <r>
      <rPr>
        <b/>
        <vertAlign val="subscript"/>
        <sz val="12"/>
        <rFont val="Arial"/>
        <family val="2"/>
      </rPr>
      <t>SLOPE1</t>
    </r>
  </si>
  <si>
    <r>
      <t>Calculate V</t>
    </r>
    <r>
      <rPr>
        <b/>
        <vertAlign val="subscript"/>
        <sz val="12"/>
        <rFont val="Arial"/>
        <family val="2"/>
      </rPr>
      <t>SLOPE2</t>
    </r>
  </si>
  <si>
    <t>Assumes the centre tapped secondary - as per Functional Schematic</t>
  </si>
  <si>
    <t>UCC28950 Excel Design Tool: SLUC222D</t>
  </si>
  <si>
    <t>Revision: D</t>
  </si>
  <si>
    <t>UCC28950 Design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</si>
</sst>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26"/>
      <color indexed="10"/>
      <name val="Arial"/>
      <family val="2"/>
    </font>
    <font>
      <sz val="20"/>
      <name val="Arial"/>
      <family val="2"/>
    </font>
    <font>
      <b/>
      <vertAlign val="subscript"/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2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b/>
      <sz val="12"/>
      <color indexed="9"/>
      <name val="Arial"/>
      <family val="2"/>
    </font>
    <font>
      <b/>
      <vertAlign val="subscript"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53"/>
      <name val="Arial"/>
      <family val="2"/>
    </font>
    <font>
      <b/>
      <sz val="12"/>
      <color rgb="FFFF0000"/>
      <name val="Arial"/>
      <family val="2"/>
    </font>
    <font>
      <sz val="11"/>
      <color rgb="FF00B050"/>
      <name val="Calibri"/>
      <family val="2"/>
    </font>
    <font>
      <b/>
      <sz val="12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0" xfId="0" applyFont="1" applyFill="1" applyAlignment="1">
      <alignment vertical="center"/>
    </xf>
    <xf numFmtId="0" fontId="7" fillId="3" borderId="0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49" fontId="1" fillId="3" borderId="0" xfId="0" applyNumberFormat="1" applyFont="1" applyFill="1" applyBorder="1" applyProtection="1">
      <protection hidden="1"/>
    </xf>
    <xf numFmtId="0" fontId="7" fillId="3" borderId="1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1" fontId="7" fillId="3" borderId="0" xfId="0" applyNumberFormat="1" applyFont="1" applyFill="1" applyBorder="1" applyProtection="1">
      <protection hidden="1"/>
    </xf>
    <xf numFmtId="1" fontId="11" fillId="5" borderId="4" xfId="0" applyNumberFormat="1" applyFont="1" applyFill="1" applyBorder="1" applyAlignment="1" applyProtection="1">
      <alignment horizontal="center"/>
      <protection hidden="1"/>
    </xf>
    <xf numFmtId="0" fontId="11" fillId="5" borderId="5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 wrapText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10" xfId="0" applyFont="1" applyFill="1" applyBorder="1" applyProtection="1">
      <protection hidden="1"/>
    </xf>
    <xf numFmtId="0" fontId="1" fillId="3" borderId="11" xfId="0" applyFont="1" applyFill="1" applyBorder="1" applyProtection="1">
      <protection hidden="1"/>
    </xf>
    <xf numFmtId="1" fontId="12" fillId="3" borderId="0" xfId="0" applyNumberFormat="1" applyFont="1" applyFill="1" applyBorder="1" applyProtection="1">
      <protection hidden="1"/>
    </xf>
    <xf numFmtId="177" fontId="13" fillId="3" borderId="0" xfId="0" applyNumberFormat="1" applyFont="1" applyFill="1" applyBorder="1" applyAlignment="1" applyProtection="1">
      <alignment horizontal="center"/>
      <protection hidden="1"/>
    </xf>
    <xf numFmtId="2" fontId="12" fillId="3" borderId="0" xfId="0" applyNumberFormat="1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Protection="1">
      <protection hidden="1"/>
    </xf>
    <xf numFmtId="0" fontId="14" fillId="3" borderId="0" xfId="0" applyFont="1" applyFill="1" applyBorder="1" applyProtection="1">
      <protection hidden="1"/>
    </xf>
    <xf numFmtId="0" fontId="15" fillId="3" borderId="0" xfId="0" applyFont="1" applyFill="1" applyBorder="1" applyAlignment="1" applyProtection="1">
      <alignment horizontal="center" wrapText="1"/>
      <protection hidden="1"/>
    </xf>
    <xf numFmtId="2" fontId="1" fillId="3" borderId="0" xfId="0" applyNumberFormat="1" applyFont="1" applyFill="1" applyBorder="1" applyAlignment="1" applyProtection="1">
      <alignment horizontal="center"/>
      <protection hidden="1"/>
    </xf>
    <xf numFmtId="1" fontId="16" fillId="3" borderId="0" xfId="0" applyNumberFormat="1" applyFont="1" applyFill="1" applyBorder="1" applyProtection="1"/>
    <xf numFmtId="0" fontId="1" fillId="3" borderId="13" xfId="0" applyFont="1" applyFill="1" applyBorder="1" applyProtection="1">
      <protection hidden="1"/>
    </xf>
    <xf numFmtId="0" fontId="10" fillId="8" borderId="14" xfId="0" applyFont="1" applyFill="1" applyBorder="1" applyAlignment="1">
      <alignment horizontal="center" wrapText="1"/>
    </xf>
    <xf numFmtId="0" fontId="16" fillId="3" borderId="0" xfId="0" applyFont="1" applyFill="1" applyBorder="1" applyProtection="1">
      <protection hidden="1"/>
    </xf>
    <xf numFmtId="0" fontId="10" fillId="8" borderId="6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horizontal="center"/>
    </xf>
    <xf numFmtId="0" fontId="11" fillId="3" borderId="0" xfId="0" applyFont="1" applyFill="1" applyBorder="1" applyProtection="1">
      <protection hidden="1"/>
    </xf>
    <xf numFmtId="0" fontId="1" fillId="3" borderId="0" xfId="0" applyFont="1" applyFill="1"/>
    <xf numFmtId="49" fontId="17" fillId="5" borderId="6" xfId="0" applyNumberFormat="1" applyFont="1" applyFill="1" applyBorder="1" applyAlignment="1">
      <alignment horizontal="center" wrapText="1"/>
    </xf>
    <xf numFmtId="49" fontId="17" fillId="5" borderId="7" xfId="0" applyNumberFormat="1" applyFont="1" applyFill="1" applyBorder="1" applyAlignment="1">
      <alignment horizontal="center" wrapText="1"/>
    </xf>
    <xf numFmtId="0" fontId="18" fillId="3" borderId="0" xfId="0" applyFont="1" applyFill="1"/>
    <xf numFmtId="49" fontId="0" fillId="3" borderId="0" xfId="0" applyNumberFormat="1" applyFill="1" applyBorder="1" applyProtection="1"/>
    <xf numFmtId="49" fontId="17" fillId="5" borderId="8" xfId="0" applyNumberFormat="1" applyFont="1" applyFill="1" applyBorder="1" applyAlignment="1">
      <alignment horizontal="center" wrapText="1"/>
    </xf>
    <xf numFmtId="49" fontId="12" fillId="3" borderId="0" xfId="0" applyNumberFormat="1" applyFont="1" applyFill="1" applyBorder="1" applyProtection="1">
      <protection hidden="1"/>
    </xf>
    <xf numFmtId="0" fontId="12" fillId="3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7" fillId="3" borderId="0" xfId="0" applyFont="1" applyFill="1" applyBorder="1" applyAlignment="1" applyProtection="1">
      <alignment horizontal="center" wrapText="1"/>
      <protection hidden="1"/>
    </xf>
    <xf numFmtId="0" fontId="12" fillId="3" borderId="0" xfId="0" applyFont="1" applyFill="1"/>
    <xf numFmtId="0" fontId="19" fillId="3" borderId="0" xfId="0" applyFont="1" applyFill="1" applyProtection="1">
      <protection hidden="1"/>
    </xf>
    <xf numFmtId="0" fontId="0" fillId="3" borderId="0" xfId="0" applyFill="1" applyBorder="1" applyAlignment="1">
      <alignment wrapText="1"/>
    </xf>
    <xf numFmtId="0" fontId="0" fillId="3" borderId="0" xfId="0" applyFill="1" applyProtection="1">
      <protection hidden="1"/>
    </xf>
    <xf numFmtId="0" fontId="2" fillId="3" borderId="15" xfId="0" applyFont="1" applyFill="1" applyBorder="1" applyAlignment="1" applyProtection="1">
      <alignment horizontal="left"/>
    </xf>
    <xf numFmtId="0" fontId="2" fillId="9" borderId="15" xfId="0" applyFont="1" applyFill="1" applyBorder="1" applyAlignment="1" applyProtection="1">
      <alignment horizontal="left"/>
      <protection locked="0"/>
    </xf>
    <xf numFmtId="9" fontId="2" fillId="9" borderId="15" xfId="0" applyNumberFormat="1" applyFont="1" applyFill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/>
    </xf>
    <xf numFmtId="14" fontId="2" fillId="0" borderId="15" xfId="0" applyNumberFormat="1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 wrapText="1"/>
    </xf>
    <xf numFmtId="0" fontId="2" fillId="10" borderId="15" xfId="0" applyFont="1" applyFill="1" applyBorder="1" applyAlignment="1" applyProtection="1">
      <alignment horizontal="left"/>
    </xf>
    <xf numFmtId="0" fontId="2" fillId="11" borderId="15" xfId="0" applyFont="1" applyFill="1" applyBorder="1" applyAlignment="1" applyProtection="1">
      <alignment horizontal="left"/>
    </xf>
    <xf numFmtId="176" fontId="2" fillId="0" borderId="15" xfId="0" applyNumberFormat="1" applyFont="1" applyBorder="1" applyAlignment="1" applyProtection="1">
      <alignment horizontal="left"/>
    </xf>
    <xf numFmtId="2" fontId="2" fillId="0" borderId="15" xfId="0" applyNumberFormat="1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 wrapText="1"/>
    </xf>
    <xf numFmtId="1" fontId="2" fillId="3" borderId="15" xfId="0" applyNumberFormat="1" applyFont="1" applyFill="1" applyBorder="1" applyAlignment="1" applyProtection="1">
      <alignment horizontal="left"/>
    </xf>
    <xf numFmtId="0" fontId="22" fillId="3" borderId="15" xfId="0" applyFont="1" applyFill="1" applyBorder="1" applyAlignment="1" applyProtection="1">
      <alignment horizontal="left" wrapText="1"/>
    </xf>
    <xf numFmtId="0" fontId="2" fillId="0" borderId="15" xfId="0" applyFont="1" applyBorder="1" applyAlignment="1" applyProtection="1">
      <alignment horizontal="left"/>
      <protection locked="0"/>
    </xf>
    <xf numFmtId="0" fontId="2" fillId="11" borderId="15" xfId="0" applyFont="1" applyFill="1" applyBorder="1" applyAlignment="1" applyProtection="1">
      <alignment horizontal="left" wrapText="1"/>
    </xf>
    <xf numFmtId="176" fontId="11" fillId="5" borderId="16" xfId="0" applyNumberFormat="1" applyFont="1" applyFill="1" applyBorder="1" applyProtection="1">
      <protection hidden="1"/>
    </xf>
    <xf numFmtId="176" fontId="11" fillId="5" borderId="17" xfId="0" applyNumberFormat="1" applyFont="1" applyFill="1" applyBorder="1" applyProtection="1">
      <protection hidden="1"/>
    </xf>
    <xf numFmtId="176" fontId="11" fillId="5" borderId="18" xfId="0" applyNumberFormat="1" applyFont="1" applyFill="1" applyBorder="1" applyProtection="1">
      <protection hidden="1"/>
    </xf>
    <xf numFmtId="0" fontId="23" fillId="0" borderId="15" xfId="0" applyFont="1" applyBorder="1" applyAlignment="1" applyProtection="1">
      <alignment horizontal="left"/>
    </xf>
    <xf numFmtId="0" fontId="0" fillId="0" borderId="15" xfId="0" applyBorder="1"/>
    <xf numFmtId="0" fontId="0" fillId="0" borderId="15" xfId="0" applyBorder="1" applyAlignment="1">
      <alignment horizontal="left"/>
    </xf>
    <xf numFmtId="0" fontId="22" fillId="0" borderId="15" xfId="0" applyFont="1" applyFill="1" applyBorder="1" applyAlignment="1" applyProtection="1">
      <alignment horizontal="left"/>
    </xf>
    <xf numFmtId="177" fontId="0" fillId="0" borderId="15" xfId="0" applyNumberFormat="1" applyBorder="1"/>
    <xf numFmtId="0" fontId="0" fillId="0" borderId="15" xfId="0" applyFill="1" applyBorder="1"/>
    <xf numFmtId="0" fontId="24" fillId="0" borderId="15" xfId="0" applyFont="1" applyBorder="1"/>
    <xf numFmtId="0" fontId="0" fillId="0" borderId="15" xfId="0" applyBorder="1" applyAlignment="1">
      <alignment wrapText="1"/>
    </xf>
    <xf numFmtId="0" fontId="26" fillId="11" borderId="15" xfId="0" applyFont="1" applyFill="1" applyBorder="1" applyAlignment="1" applyProtection="1">
      <alignment horizontal="left"/>
    </xf>
    <xf numFmtId="0" fontId="26" fillId="12" borderId="15" xfId="0" applyFont="1" applyFill="1" applyBorder="1" applyAlignment="1" applyProtection="1">
      <alignment horizontal="left"/>
    </xf>
    <xf numFmtId="14" fontId="26" fillId="12" borderId="15" xfId="0" applyNumberFormat="1" applyFont="1" applyFill="1" applyBorder="1" applyAlignment="1" applyProtection="1">
      <alignment horizontal="left"/>
    </xf>
    <xf numFmtId="0" fontId="28" fillId="0" borderId="15" xfId="0" applyFont="1" applyBorder="1" applyAlignment="1" applyProtection="1">
      <alignment horizontal="left"/>
    </xf>
    <xf numFmtId="0" fontId="28" fillId="3" borderId="15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left" vertical="center" wrapText="1"/>
    </xf>
    <xf numFmtId="0" fontId="6" fillId="13" borderId="15" xfId="0" applyFont="1" applyFill="1" applyBorder="1" applyAlignment="1" applyProtection="1">
      <alignment horizontal="left"/>
    </xf>
    <xf numFmtId="14" fontId="6" fillId="13" borderId="15" xfId="0" applyNumberFormat="1" applyFont="1" applyFill="1" applyBorder="1" applyAlignment="1" applyProtection="1">
      <alignment horizontal="left"/>
    </xf>
    <xf numFmtId="0" fontId="26" fillId="14" borderId="15" xfId="0" applyFont="1" applyFill="1" applyBorder="1" applyAlignment="1" applyProtection="1">
      <alignment horizontal="left"/>
    </xf>
    <xf numFmtId="14" fontId="26" fillId="14" borderId="15" xfId="0" applyNumberFormat="1" applyFont="1" applyFill="1" applyBorder="1" applyAlignment="1" applyProtection="1">
      <alignment horizontal="left"/>
    </xf>
    <xf numFmtId="0" fontId="29" fillId="0" borderId="15" xfId="0" applyFont="1" applyBorder="1" applyAlignment="1" applyProtection="1">
      <alignment horizontal="left"/>
    </xf>
    <xf numFmtId="2" fontId="28" fillId="0" borderId="15" xfId="0" applyNumberFormat="1" applyFont="1" applyBorder="1" applyAlignment="1" applyProtection="1">
      <alignment horizontal="left"/>
    </xf>
    <xf numFmtId="2" fontId="2" fillId="13" borderId="15" xfId="0" applyNumberFormat="1" applyFont="1" applyFill="1" applyBorder="1" applyAlignment="1" applyProtection="1">
      <alignment horizontal="left"/>
      <protection locked="0"/>
    </xf>
    <xf numFmtId="2" fontId="2" fillId="3" borderId="15" xfId="0" applyNumberFormat="1" applyFont="1" applyFill="1" applyBorder="1" applyAlignment="1" applyProtection="1">
      <alignment horizontal="left"/>
    </xf>
    <xf numFmtId="2" fontId="26" fillId="12" borderId="15" xfId="0" applyNumberFormat="1" applyFont="1" applyFill="1" applyBorder="1" applyAlignment="1" applyProtection="1">
      <alignment horizontal="left"/>
    </xf>
    <xf numFmtId="2" fontId="6" fillId="13" borderId="15" xfId="0" applyNumberFormat="1" applyFont="1" applyFill="1" applyBorder="1" applyAlignment="1" applyProtection="1">
      <alignment horizontal="left"/>
    </xf>
    <xf numFmtId="2" fontId="26" fillId="14" borderId="15" xfId="0" applyNumberFormat="1" applyFont="1" applyFill="1" applyBorder="1" applyAlignment="1" applyProtection="1">
      <alignment horizontal="left"/>
    </xf>
    <xf numFmtId="2" fontId="2" fillId="9" borderId="15" xfId="0" applyNumberFormat="1" applyFont="1" applyFill="1" applyBorder="1" applyAlignment="1" applyProtection="1">
      <alignment horizontal="left"/>
      <protection locked="0"/>
    </xf>
    <xf numFmtId="2" fontId="2" fillId="10" borderId="15" xfId="0" applyNumberFormat="1" applyFont="1" applyFill="1" applyBorder="1" applyAlignment="1" applyProtection="1">
      <alignment horizontal="left"/>
    </xf>
    <xf numFmtId="2" fontId="26" fillId="11" borderId="15" xfId="0" applyNumberFormat="1" applyFont="1" applyFill="1" applyBorder="1" applyAlignment="1" applyProtection="1">
      <alignment horizontal="left"/>
    </xf>
    <xf numFmtId="2" fontId="2" fillId="11" borderId="15" xfId="0" applyNumberFormat="1" applyFont="1" applyFill="1" applyBorder="1" applyAlignment="1" applyProtection="1">
      <alignment horizontal="left"/>
    </xf>
    <xf numFmtId="2" fontId="22" fillId="0" borderId="15" xfId="0" applyNumberFormat="1" applyFont="1" applyBorder="1" applyAlignment="1" applyProtection="1">
      <alignment horizontal="left"/>
    </xf>
    <xf numFmtId="2" fontId="6" fillId="3" borderId="15" xfId="0" applyNumberFormat="1" applyFont="1" applyFill="1" applyBorder="1" applyAlignment="1" applyProtection="1">
      <alignment horizontal="left"/>
    </xf>
    <xf numFmtId="2" fontId="20" fillId="0" borderId="15" xfId="0" applyNumberFormat="1" applyFont="1" applyBorder="1" applyAlignment="1" applyProtection="1">
      <alignment horizontal="left"/>
    </xf>
    <xf numFmtId="2" fontId="2" fillId="0" borderId="15" xfId="0" applyNumberFormat="1" applyFont="1" applyBorder="1" applyAlignment="1">
      <alignment horizontal="left"/>
    </xf>
    <xf numFmtId="0" fontId="30" fillId="0" borderId="15" xfId="0" applyFont="1" applyBorder="1" applyAlignment="1" applyProtection="1">
      <alignment horizontal="left"/>
    </xf>
    <xf numFmtId="0" fontId="31" fillId="0" borderId="0" xfId="0" applyFont="1" applyAlignment="1">
      <alignment vertical="center"/>
    </xf>
    <xf numFmtId="0" fontId="32" fillId="0" borderId="15" xfId="0" applyFont="1" applyBorder="1" applyAlignment="1" applyProtection="1">
      <alignment horizontal="left"/>
    </xf>
    <xf numFmtId="177" fontId="2" fillId="13" borderId="15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7" fillId="3" borderId="0" xfId="0" applyFont="1" applyFill="1" applyBorder="1" applyAlignment="1" applyProtection="1">
      <alignment horizontal="center" wrapText="1"/>
      <protection hidden="1"/>
    </xf>
    <xf numFmtId="0" fontId="10" fillId="6" borderId="19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7" borderId="20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wrapText="1"/>
    </xf>
    <xf numFmtId="0" fontId="10" fillId="8" borderId="19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49" fontId="17" fillId="5" borderId="19" xfId="0" applyNumberFormat="1" applyFont="1" applyFill="1" applyBorder="1" applyAlignment="1">
      <alignment horizontal="center" wrapText="1"/>
    </xf>
    <xf numFmtId="49" fontId="17" fillId="5" borderId="0" xfId="0" applyNumberFormat="1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ja-JP"/>
              <a:t>Tv(f) Frequency Response</a:t>
            </a:r>
          </a:p>
        </c:rich>
      </c:tx>
      <c:layout>
        <c:manualLayout>
          <c:xMode val="edge"/>
          <c:yMode val="edge"/>
          <c:x val="0.3575345342106209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3979474782932"/>
          <c:y val="0.11778304275115783"/>
          <c:w val="0.78630189580338705"/>
          <c:h val="0.729792970771879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47.810571592484465</c:v>
                </c:pt>
                <c:pt idx="1">
                  <c:v>10.979121885209873</c:v>
                </c:pt>
                <c:pt idx="2">
                  <c:v>0.63187778916942217</c:v>
                </c:pt>
                <c:pt idx="3">
                  <c:v>-1.011353538113515</c:v>
                </c:pt>
                <c:pt idx="4">
                  <c:v>-2.0718642262347147</c:v>
                </c:pt>
                <c:pt idx="5">
                  <c:v>-2.8510227958361885</c:v>
                </c:pt>
                <c:pt idx="6">
                  <c:v>-3.4820249833272587</c:v>
                </c:pt>
                <c:pt idx="7">
                  <c:v>-4.0286299015851874</c:v>
                </c:pt>
                <c:pt idx="8">
                  <c:v>-4.5229473077450848</c:v>
                </c:pt>
                <c:pt idx="9">
                  <c:v>-4.981732371000696</c:v>
                </c:pt>
                <c:pt idx="10">
                  <c:v>-5.4139797466121022</c:v>
                </c:pt>
                <c:pt idx="11">
                  <c:v>-5.8246613390792472</c:v>
                </c:pt>
                <c:pt idx="12">
                  <c:v>-6.2166382484586693</c:v>
                </c:pt>
                <c:pt idx="13">
                  <c:v>-6.5916645538431471</c:v>
                </c:pt>
                <c:pt idx="14">
                  <c:v>-6.9509226952947643</c:v>
                </c:pt>
                <c:pt idx="15">
                  <c:v>-7.2953110240208998</c:v>
                </c:pt>
                <c:pt idx="16">
                  <c:v>-7.6255980527197975</c:v>
                </c:pt>
                <c:pt idx="17">
                  <c:v>-7.9425044104235578</c:v>
                </c:pt>
                <c:pt idx="18">
                  <c:v>-8.2467455712299866</c:v>
                </c:pt>
                <c:pt idx="19">
                  <c:v>-8.5390534713096482</c:v>
                </c:pt>
                <c:pt idx="20">
                  <c:v>-8.82018696788613</c:v>
                </c:pt>
                <c:pt idx="21">
                  <c:v>-9.0909365779889608</c:v>
                </c:pt>
                <c:pt idx="22">
                  <c:v>-9.3521264108165241</c:v>
                </c:pt>
                <c:pt idx="23">
                  <c:v>-9.604614787202884</c:v>
                </c:pt>
                <c:pt idx="24">
                  <c:v>-9.8492942367622742</c:v>
                </c:pt>
                <c:pt idx="25">
                  <c:v>-10.087091108237086</c:v>
                </c:pt>
                <c:pt idx="26">
                  <c:v>-10.318964770969835</c:v>
                </c:pt>
                <c:pt idx="27">
                  <c:v>-10.545906241463864</c:v>
                </c:pt>
                <c:pt idx="28">
                  <c:v>-10.76893599278959</c:v>
                </c:pt>
                <c:pt idx="29">
                  <c:v>-10.989100672065318</c:v>
                </c:pt>
                <c:pt idx="30">
                  <c:v>-11.207468450975737</c:v>
                </c:pt>
                <c:pt idx="31">
                  <c:v>-11.425122762047934</c:v>
                </c:pt>
                <c:pt idx="32">
                  <c:v>-11.643154228621455</c:v>
                </c:pt>
                <c:pt idx="33">
                  <c:v>-11.862650679738721</c:v>
                </c:pt>
                <c:pt idx="34">
                  <c:v>-12.084685252329209</c:v>
                </c:pt>
                <c:pt idx="35">
                  <c:v>-12.310302719424191</c:v>
                </c:pt>
                <c:pt idx="36">
                  <c:v>-12.540504338287343</c:v>
                </c:pt>
                <c:pt idx="37">
                  <c:v>-12.776231675413996</c:v>
                </c:pt>
                <c:pt idx="38">
                  <c:v>-13.018350021088823</c:v>
                </c:pt>
                <c:pt idx="39">
                  <c:v>-13.267632136102179</c:v>
                </c:pt>
                <c:pt idx="40">
                  <c:v>-13.52474315783985</c:v>
                </c:pt>
                <c:pt idx="41">
                  <c:v>-13.790227514958485</c:v>
                </c:pt>
                <c:pt idx="42">
                  <c:v>-14.064498647588477</c:v>
                </c:pt>
                <c:pt idx="43">
                  <c:v>-14.347832200640109</c:v>
                </c:pt>
                <c:pt idx="44">
                  <c:v>-14.640363159093182</c:v>
                </c:pt>
                <c:pt idx="45">
                  <c:v>-14.942087144432412</c:v>
                </c:pt>
                <c:pt idx="46">
                  <c:v>-15.252865817135744</c:v>
                </c:pt>
                <c:pt idx="47">
                  <c:v>-15.572436061886796</c:v>
                </c:pt>
                <c:pt idx="48">
                  <c:v>-15.900422399440163</c:v>
                </c:pt>
                <c:pt idx="49">
                  <c:v>-16.236351895479583</c:v>
                </c:pt>
                <c:pt idx="50">
                  <c:v>-16.579670736562083</c:v>
                </c:pt>
                <c:pt idx="51">
                  <c:v>-16.929761619758828</c:v>
                </c:pt>
                <c:pt idx="52">
                  <c:v>-17.285961149144057</c:v>
                </c:pt>
                <c:pt idx="53">
                  <c:v>-17.647576534453705</c:v>
                </c:pt>
                <c:pt idx="54">
                  <c:v>-18.013901026326444</c:v>
                </c:pt>
                <c:pt idx="55">
                  <c:v>-18.38422767905918</c:v>
                </c:pt>
                <c:pt idx="56">
                  <c:v>-18.757861188238213</c:v>
                </c:pt>
                <c:pt idx="57">
                  <c:v>-19.13412769339476</c:v>
                </c:pt>
                <c:pt idx="58">
                  <c:v>-19.512382555996687</c:v>
                </c:pt>
                <c:pt idx="59">
                  <c:v>-19.892016216290678</c:v>
                </c:pt>
                <c:pt idx="60">
                  <c:v>-20.272458298099249</c:v>
                </c:pt>
                <c:pt idx="61">
                  <c:v>-20.653180170864673</c:v>
                </c:pt>
                <c:pt idx="62">
                  <c:v>-21.033696196827648</c:v>
                </c:pt>
                <c:pt idx="63">
                  <c:v>-21.413563892855194</c:v>
                </c:pt>
                <c:pt idx="64">
                  <c:v>-21.792383225698842</c:v>
                </c:pt>
                <c:pt idx="65">
                  <c:v>-22.169795240598607</c:v>
                </c:pt>
                <c:pt idx="66">
                  <c:v>-22.545480199649475</c:v>
                </c:pt>
                <c:pt idx="67">
                  <c:v>-22.919155380978591</c:v>
                </c:pt>
                <c:pt idx="68">
                  <c:v>-23.290572664535848</c:v>
                </c:pt>
                <c:pt idx="69">
                  <c:v>-23.659516006531703</c:v>
                </c:pt>
                <c:pt idx="70">
                  <c:v>-24.02579888307066</c:v>
                </c:pt>
                <c:pt idx="71">
                  <c:v>-24.389261764732971</c:v>
                </c:pt>
                <c:pt idx="72">
                  <c:v>-24.749769667855041</c:v>
                </c:pt>
                <c:pt idx="73">
                  <c:v>-25.107209814959042</c:v>
                </c:pt>
                <c:pt idx="74">
                  <c:v>-25.46148942597496</c:v>
                </c:pt>
                <c:pt idx="75">
                  <c:v>-25.812533653295642</c:v>
                </c:pt>
                <c:pt idx="76">
                  <c:v>-26.160283667016976</c:v>
                </c:pt>
                <c:pt idx="77">
                  <c:v>-26.504694891627882</c:v>
                </c:pt>
                <c:pt idx="78">
                  <c:v>-26.845735391661172</c:v>
                </c:pt>
                <c:pt idx="79">
                  <c:v>-27.183384401131015</c:v>
                </c:pt>
                <c:pt idx="80">
                  <c:v>-27.517630989761578</c:v>
                </c:pt>
                <c:pt idx="81">
                  <c:v>-27.848472857851636</c:v>
                </c:pt>
                <c:pt idx="82">
                  <c:v>-28.175915250982698</c:v>
                </c:pt>
                <c:pt idx="83">
                  <c:v>-28.499969985523425</c:v>
                </c:pt>
                <c:pt idx="84">
                  <c:v>-28.820654575912851</c:v>
                </c:pt>
                <c:pt idx="85">
                  <c:v>-29.13799145494432</c:v>
                </c:pt>
                <c:pt idx="86">
                  <c:v>-29.452007278642323</c:v>
                </c:pt>
                <c:pt idx="87">
                  <c:v>-29.762732307791659</c:v>
                </c:pt>
                <c:pt idx="88">
                  <c:v>-30.070199858696856</c:v>
                </c:pt>
                <c:pt idx="89">
                  <c:v>-30.374445816290475</c:v>
                </c:pt>
                <c:pt idx="90">
                  <c:v>-30.675508203258648</c:v>
                </c:pt>
                <c:pt idx="91">
                  <c:v>-30.973426799387155</c:v>
                </c:pt>
                <c:pt idx="92">
                  <c:v>-31.268242805850335</c:v>
                </c:pt>
                <c:pt idx="93">
                  <c:v>-31.559998549652239</c:v>
                </c:pt>
                <c:pt idx="94">
                  <c:v>-31.848737223891185</c:v>
                </c:pt>
                <c:pt idx="95">
                  <c:v>-32.134502659944189</c:v>
                </c:pt>
                <c:pt idx="96">
                  <c:v>-32.41733912805919</c:v>
                </c:pt>
                <c:pt idx="97">
                  <c:v>-32.697291163206316</c:v>
                </c:pt>
                <c:pt idx="98">
                  <c:v>-32.974403413362936</c:v>
                </c:pt>
                <c:pt idx="99">
                  <c:v>-33.248720507707986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94-4607-87A6-C36F8FF1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888959"/>
        <c:axId val="1"/>
      </c:scatterChart>
      <c:scatterChart>
        <c:scatterStyle val="lineMarker"/>
        <c:varyColors val="0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11.616516880344932</c:v>
                </c:pt>
                <c:pt idx="1">
                  <c:v>54.590797754930136</c:v>
                </c:pt>
                <c:pt idx="2">
                  <c:v>94.15324492962732</c:v>
                </c:pt>
                <c:pt idx="3">
                  <c:v>101.11388366545083</c:v>
                </c:pt>
                <c:pt idx="4">
                  <c:v>104.55644094449872</c:v>
                </c:pt>
                <c:pt idx="5">
                  <c:v>105.89366473709475</c:v>
                </c:pt>
                <c:pt idx="6">
                  <c:v>105.93067956493037</c:v>
                </c:pt>
                <c:pt idx="7">
                  <c:v>105.15136230141503</c:v>
                </c:pt>
                <c:pt idx="8">
                  <c:v>103.85566413627062</c:v>
                </c:pt>
                <c:pt idx="9">
                  <c:v>102.23324452798391</c:v>
                </c:pt>
                <c:pt idx="10">
                  <c:v>100.40546866315397</c:v>
                </c:pt>
                <c:pt idx="11">
                  <c:v>98.450390837735881</c:v>
                </c:pt>
                <c:pt idx="12">
                  <c:v>96.418098606839976</c:v>
                </c:pt>
                <c:pt idx="13">
                  <c:v>94.340375043185048</c:v>
                </c:pt>
                <c:pt idx="14">
                  <c:v>92.236904239295939</c:v>
                </c:pt>
                <c:pt idx="15">
                  <c:v>90.119319958449495</c:v>
                </c:pt>
                <c:pt idx="16">
                  <c:v>87.993881177428634</c:v>
                </c:pt>
                <c:pt idx="17">
                  <c:v>85.863259427617976</c:v>
                </c:pt>
                <c:pt idx="18">
                  <c:v>83.727744339632565</c:v>
                </c:pt>
                <c:pt idx="19">
                  <c:v>81.586064384981327</c:v>
                </c:pt>
                <c:pt idx="20">
                  <c:v>79.435951307450807</c:v>
                </c:pt>
                <c:pt idx="21">
                  <c:v>77.274533089978803</c:v>
                </c:pt>
                <c:pt idx="22">
                  <c:v>75.098612073512342</c:v>
                </c:pt>
                <c:pt idx="23">
                  <c:v>72.904866340831404</c:v>
                </c:pt>
                <c:pt idx="24">
                  <c:v>70.690000191476344</c:v>
                </c:pt>
                <c:pt idx="25">
                  <c:v>68.450861260268724</c:v>
                </c:pt>
                <c:pt idx="26">
                  <c:v>66.184536166353254</c:v>
                </c:pt>
                <c:pt idx="27">
                  <c:v>63.888432614884067</c:v>
                </c:pt>
                <c:pt idx="28">
                  <c:v>61.560353018757425</c:v>
                </c:pt>
                <c:pt idx="29">
                  <c:v>59.198562578178382</c:v>
                </c:pt>
                <c:pt idx="30">
                  <c:v>56.801853104049258</c:v>
                </c:pt>
                <c:pt idx="31">
                  <c:v>54.369602545280912</c:v>
                </c:pt>
                <c:pt idx="32">
                  <c:v>51.901829097206559</c:v>
                </c:pt>
                <c:pt idx="33">
                  <c:v>49.399237896828453</c:v>
                </c:pt>
                <c:pt idx="34">
                  <c:v>46.863257657466193</c:v>
                </c:pt>
                <c:pt idx="35">
                  <c:v>44.296064193743121</c:v>
                </c:pt>
                <c:pt idx="36">
                  <c:v>41.700587684491353</c:v>
                </c:pt>
                <c:pt idx="37">
                  <c:v>39.080500761444483</c:v>
                </c:pt>
                <c:pt idx="38">
                  <c:v>36.440185123495553</c:v>
                </c:pt>
                <c:pt idx="39">
                  <c:v>33.78467535426384</c:v>
                </c:pt>
                <c:pt idx="40">
                  <c:v>31.119579913662051</c:v>
                </c:pt>
                <c:pt idx="41">
                  <c:v>28.450980780059695</c:v>
                </c:pt>
                <c:pt idx="42">
                  <c:v>25.785314790670782</c:v>
                </c:pt>
                <c:pt idx="43">
                  <c:v>23.129241186522194</c:v>
                </c:pt>
                <c:pt idx="44">
                  <c:v>20.489501033677328</c:v>
                </c:pt>
                <c:pt idx="45">
                  <c:v>17.872774910003244</c:v>
                </c:pt>
                <c:pt idx="46">
                  <c:v>15.285545417746846</c:v>
                </c:pt>
                <c:pt idx="47">
                  <c:v>12.73397068192719</c:v>
                </c:pt>
                <c:pt idx="48">
                  <c:v>10.223774077604105</c:v>
                </c:pt>
                <c:pt idx="49">
                  <c:v>7.7601541181750804</c:v>
                </c:pt>
                <c:pt idx="50">
                  <c:v>5.3477168991464907</c:v>
                </c:pt>
                <c:pt idx="51">
                  <c:v>2.9904319086010958</c:v>
                </c:pt>
                <c:pt idx="52">
                  <c:v>0.69161055259652926</c:v>
                </c:pt>
                <c:pt idx="53">
                  <c:v>-1.5460944716606946</c:v>
                </c:pt>
                <c:pt idx="54">
                  <c:v>-3.7206717129895424</c:v>
                </c:pt>
                <c:pt idx="55">
                  <c:v>-5.8307187135606</c:v>
                </c:pt>
                <c:pt idx="56">
                  <c:v>-7.875398478008151</c:v>
                </c:pt>
                <c:pt idx="57">
                  <c:v>-9.8543881089765932</c:v>
                </c:pt>
                <c:pt idx="58">
                  <c:v>-11.767822776093283</c:v>
                </c:pt>
                <c:pt idx="59">
                  <c:v>-13.616237769390409</c:v>
                </c:pt>
                <c:pt idx="60">
                  <c:v>-15.400510900619622</c:v>
                </c:pt>
                <c:pt idx="61">
                  <c:v>-17.121807011839678</c:v>
                </c:pt>
                <c:pt idx="62">
                  <c:v>-18.781525870900964</c:v>
                </c:pt>
                <c:pt idx="63">
                  <c:v>-20.381254304830236</c:v>
                </c:pt>
                <c:pt idx="64">
                  <c:v>-21.922723058962902</c:v>
                </c:pt>
                <c:pt idx="65">
                  <c:v>-23.407768576764738</c:v>
                </c:pt>
                <c:pt idx="66">
                  <c:v>-24.838299670395941</c:v>
                </c:pt>
                <c:pt idx="67">
                  <c:v>-26.21626888867263</c:v>
                </c:pt>
                <c:pt idx="68">
                  <c:v>-27.54364827832319</c:v>
                </c:pt>
                <c:pt idx="69">
                  <c:v>-28.822409166721457</c:v>
                </c:pt>
                <c:pt idx="70">
                  <c:v>-30.054505560306211</c:v>
                </c:pt>
                <c:pt idx="71">
                  <c:v>-31.241860744225278</c:v>
                </c:pt>
                <c:pt idx="72">
                  <c:v>-32.386356678212223</c:v>
                </c:pt>
                <c:pt idx="73">
                  <c:v>-33.489825805386715</c:v>
                </c:pt>
                <c:pt idx="74">
                  <c:v>-34.554044919910325</c:v>
                </c:pt>
                <c:pt idx="75">
                  <c:v>-35.580730772716038</c:v>
                </c:pt>
                <c:pt idx="76">
                  <c:v>-36.571537129229569</c:v>
                </c:pt>
                <c:pt idx="77">
                  <c:v>-37.52805302731872</c:v>
                </c:pt>
                <c:pt idx="78">
                  <c:v>-38.451802016419947</c:v>
                </c:pt>
                <c:pt idx="79">
                  <c:v>-39.344242189153135</c:v>
                </c:pt>
                <c:pt idx="80">
                  <c:v>-40.20676684434693</c:v>
                </c:pt>
                <c:pt idx="81">
                  <c:v>-41.040705645100502</c:v>
                </c:pt>
                <c:pt idx="82">
                  <c:v>-41.847326157323209</c:v>
                </c:pt>
                <c:pt idx="83">
                  <c:v>-42.627835673234472</c:v>
                </c:pt>
                <c:pt idx="84">
                  <c:v>-43.383383240793023</c:v>
                </c:pt>
                <c:pt idx="85">
                  <c:v>-44.115061834158723</c:v>
                </c:pt>
                <c:pt idx="86">
                  <c:v>-44.823910612333634</c:v>
                </c:pt>
                <c:pt idx="87">
                  <c:v>-45.510917223328875</c:v>
                </c:pt>
                <c:pt idx="88">
                  <c:v>-46.17702011976894</c:v>
                </c:pt>
                <c:pt idx="89">
                  <c:v>-46.823110859026883</c:v>
                </c:pt>
                <c:pt idx="90">
                  <c:v>-47.450036366944573</c:v>
                </c:pt>
                <c:pt idx="91">
                  <c:v>-48.058601149127185</c:v>
                </c:pt>
                <c:pt idx="92">
                  <c:v>-48.6495694378699</c:v>
                </c:pt>
                <c:pt idx="93">
                  <c:v>-49.223667266082089</c:v>
                </c:pt>
                <c:pt idx="94">
                  <c:v>-49.78158446228889</c:v>
                </c:pt>
                <c:pt idx="95">
                  <c:v>-50.323976562959047</c:v>
                </c:pt>
                <c:pt idx="96">
                  <c:v>-50.851466640150875</c:v>
                </c:pt>
                <c:pt idx="97">
                  <c:v>-51.364647043865148</c:v>
                </c:pt>
                <c:pt idx="98">
                  <c:v>-51.864081059560135</c:v>
                </c:pt>
                <c:pt idx="99">
                  <c:v>-52.350304482145475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94-4607-87A6-C36F8FF1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1400888959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506878078596338"/>
              <c:y val="0.92609796754620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-80"/>
        <c:crossBetween val="midCat"/>
      </c:val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Gain in dB</a:t>
                </a:r>
              </a:p>
            </c:rich>
          </c:tx>
          <c:layout>
            <c:manualLayout>
              <c:xMode val="edge"/>
              <c:yMode val="edge"/>
              <c:x val="1.643835616438356E-2"/>
              <c:y val="0.3926101846968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400888959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Phase in Degrees</a:t>
                </a:r>
              </a:p>
            </c:rich>
          </c:tx>
          <c:layout>
            <c:manualLayout>
              <c:xMode val="edge"/>
              <c:yMode val="edge"/>
              <c:x val="0.94794578075000901"/>
              <c:y val="0.33487346414261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3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24671916010497"/>
          <c:y val="0.70207924933170884"/>
          <c:w val="0.1356165821738036"/>
          <c:h val="0.11316421475029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ja-JP"/>
              <a:t>Tv(f) Frequency Response</a:t>
            </a:r>
          </a:p>
        </c:rich>
      </c:tx>
      <c:layout>
        <c:manualLayout>
          <c:xMode val="edge"/>
          <c:yMode val="edge"/>
          <c:x val="0.32948963751853916"/>
          <c:y val="3.3163265306122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8410590965584"/>
          <c:y val="0.11734693877551021"/>
          <c:w val="0.79406983151467858"/>
          <c:h val="0.7397959183673469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'Voltage Loop'!$M$1</c:f>
              <c:strCache>
                <c:ptCount val="1"/>
                <c:pt idx="0">
                  <c:v>TvdB(f)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Loop'!$M$2:$M$101</c:f>
              <c:numCache>
                <c:formatCode>General</c:formatCode>
                <c:ptCount val="100"/>
                <c:pt idx="0">
                  <c:v>47.810571592484465</c:v>
                </c:pt>
                <c:pt idx="1">
                  <c:v>10.979121885209873</c:v>
                </c:pt>
                <c:pt idx="2">
                  <c:v>0.63187778916942217</c:v>
                </c:pt>
                <c:pt idx="3">
                  <c:v>-1.011353538113515</c:v>
                </c:pt>
                <c:pt idx="4">
                  <c:v>-2.0718642262347147</c:v>
                </c:pt>
                <c:pt idx="5">
                  <c:v>-2.8510227958361885</c:v>
                </c:pt>
                <c:pt idx="6">
                  <c:v>-3.4820249833272587</c:v>
                </c:pt>
                <c:pt idx="7">
                  <c:v>-4.0286299015851874</c:v>
                </c:pt>
                <c:pt idx="8">
                  <c:v>-4.5229473077450848</c:v>
                </c:pt>
                <c:pt idx="9">
                  <c:v>-4.981732371000696</c:v>
                </c:pt>
                <c:pt idx="10">
                  <c:v>-5.4139797466121022</c:v>
                </c:pt>
                <c:pt idx="11">
                  <c:v>-5.8246613390792472</c:v>
                </c:pt>
                <c:pt idx="12">
                  <c:v>-6.2166382484586693</c:v>
                </c:pt>
                <c:pt idx="13">
                  <c:v>-6.5916645538431471</c:v>
                </c:pt>
                <c:pt idx="14">
                  <c:v>-6.9509226952947643</c:v>
                </c:pt>
                <c:pt idx="15">
                  <c:v>-7.2953110240208998</c:v>
                </c:pt>
                <c:pt idx="16">
                  <c:v>-7.6255980527197975</c:v>
                </c:pt>
                <c:pt idx="17">
                  <c:v>-7.9425044104235578</c:v>
                </c:pt>
                <c:pt idx="18">
                  <c:v>-8.2467455712299866</c:v>
                </c:pt>
                <c:pt idx="19">
                  <c:v>-8.5390534713096482</c:v>
                </c:pt>
                <c:pt idx="20">
                  <c:v>-8.82018696788613</c:v>
                </c:pt>
                <c:pt idx="21">
                  <c:v>-9.0909365779889608</c:v>
                </c:pt>
                <c:pt idx="22">
                  <c:v>-9.3521264108165241</c:v>
                </c:pt>
                <c:pt idx="23">
                  <c:v>-9.604614787202884</c:v>
                </c:pt>
                <c:pt idx="24">
                  <c:v>-9.8492942367622742</c:v>
                </c:pt>
                <c:pt idx="25">
                  <c:v>-10.087091108237086</c:v>
                </c:pt>
                <c:pt idx="26">
                  <c:v>-10.318964770969835</c:v>
                </c:pt>
                <c:pt idx="27">
                  <c:v>-10.545906241463864</c:v>
                </c:pt>
                <c:pt idx="28">
                  <c:v>-10.76893599278959</c:v>
                </c:pt>
                <c:pt idx="29">
                  <c:v>-10.989100672065318</c:v>
                </c:pt>
                <c:pt idx="30">
                  <c:v>-11.207468450975737</c:v>
                </c:pt>
                <c:pt idx="31">
                  <c:v>-11.425122762047934</c:v>
                </c:pt>
                <c:pt idx="32">
                  <c:v>-11.643154228621455</c:v>
                </c:pt>
                <c:pt idx="33">
                  <c:v>-11.862650679738721</c:v>
                </c:pt>
                <c:pt idx="34">
                  <c:v>-12.084685252329209</c:v>
                </c:pt>
                <c:pt idx="35">
                  <c:v>-12.310302719424191</c:v>
                </c:pt>
                <c:pt idx="36">
                  <c:v>-12.540504338287343</c:v>
                </c:pt>
                <c:pt idx="37">
                  <c:v>-12.776231675413996</c:v>
                </c:pt>
                <c:pt idx="38">
                  <c:v>-13.018350021088823</c:v>
                </c:pt>
                <c:pt idx="39">
                  <c:v>-13.267632136102179</c:v>
                </c:pt>
                <c:pt idx="40">
                  <c:v>-13.52474315783985</c:v>
                </c:pt>
                <c:pt idx="41">
                  <c:v>-13.790227514958485</c:v>
                </c:pt>
                <c:pt idx="42">
                  <c:v>-14.064498647588477</c:v>
                </c:pt>
                <c:pt idx="43">
                  <c:v>-14.347832200640109</c:v>
                </c:pt>
                <c:pt idx="44">
                  <c:v>-14.640363159093182</c:v>
                </c:pt>
                <c:pt idx="45">
                  <c:v>-14.942087144432412</c:v>
                </c:pt>
                <c:pt idx="46">
                  <c:v>-15.252865817135744</c:v>
                </c:pt>
                <c:pt idx="47">
                  <c:v>-15.572436061886796</c:v>
                </c:pt>
                <c:pt idx="48">
                  <c:v>-15.900422399440163</c:v>
                </c:pt>
                <c:pt idx="49">
                  <c:v>-16.236351895479583</c:v>
                </c:pt>
                <c:pt idx="50">
                  <c:v>-16.579670736562083</c:v>
                </c:pt>
                <c:pt idx="51">
                  <c:v>-16.929761619758828</c:v>
                </c:pt>
                <c:pt idx="52">
                  <c:v>-17.285961149144057</c:v>
                </c:pt>
                <c:pt idx="53">
                  <c:v>-17.647576534453705</c:v>
                </c:pt>
                <c:pt idx="54">
                  <c:v>-18.013901026326444</c:v>
                </c:pt>
                <c:pt idx="55">
                  <c:v>-18.38422767905918</c:v>
                </c:pt>
                <c:pt idx="56">
                  <c:v>-18.757861188238213</c:v>
                </c:pt>
                <c:pt idx="57">
                  <c:v>-19.13412769339476</c:v>
                </c:pt>
                <c:pt idx="58">
                  <c:v>-19.512382555996687</c:v>
                </c:pt>
                <c:pt idx="59">
                  <c:v>-19.892016216290678</c:v>
                </c:pt>
                <c:pt idx="60">
                  <c:v>-20.272458298099249</c:v>
                </c:pt>
                <c:pt idx="61">
                  <c:v>-20.653180170864673</c:v>
                </c:pt>
                <c:pt idx="62">
                  <c:v>-21.033696196827648</c:v>
                </c:pt>
                <c:pt idx="63">
                  <c:v>-21.413563892855194</c:v>
                </c:pt>
                <c:pt idx="64">
                  <c:v>-21.792383225698842</c:v>
                </c:pt>
                <c:pt idx="65">
                  <c:v>-22.169795240598607</c:v>
                </c:pt>
                <c:pt idx="66">
                  <c:v>-22.545480199649475</c:v>
                </c:pt>
                <c:pt idx="67">
                  <c:v>-22.919155380978591</c:v>
                </c:pt>
                <c:pt idx="68">
                  <c:v>-23.290572664535848</c:v>
                </c:pt>
                <c:pt idx="69">
                  <c:v>-23.659516006531703</c:v>
                </c:pt>
                <c:pt idx="70">
                  <c:v>-24.02579888307066</c:v>
                </c:pt>
                <c:pt idx="71">
                  <c:v>-24.389261764732971</c:v>
                </c:pt>
                <c:pt idx="72">
                  <c:v>-24.749769667855041</c:v>
                </c:pt>
                <c:pt idx="73">
                  <c:v>-25.107209814959042</c:v>
                </c:pt>
                <c:pt idx="74">
                  <c:v>-25.46148942597496</c:v>
                </c:pt>
                <c:pt idx="75">
                  <c:v>-25.812533653295642</c:v>
                </c:pt>
                <c:pt idx="76">
                  <c:v>-26.160283667016976</c:v>
                </c:pt>
                <c:pt idx="77">
                  <c:v>-26.504694891627882</c:v>
                </c:pt>
                <c:pt idx="78">
                  <c:v>-26.845735391661172</c:v>
                </c:pt>
                <c:pt idx="79">
                  <c:v>-27.183384401131015</c:v>
                </c:pt>
                <c:pt idx="80">
                  <c:v>-27.517630989761578</c:v>
                </c:pt>
                <c:pt idx="81">
                  <c:v>-27.848472857851636</c:v>
                </c:pt>
                <c:pt idx="82">
                  <c:v>-28.175915250982698</c:v>
                </c:pt>
                <c:pt idx="83">
                  <c:v>-28.499969985523425</c:v>
                </c:pt>
                <c:pt idx="84">
                  <c:v>-28.820654575912851</c:v>
                </c:pt>
                <c:pt idx="85">
                  <c:v>-29.13799145494432</c:v>
                </c:pt>
                <c:pt idx="86">
                  <c:v>-29.452007278642323</c:v>
                </c:pt>
                <c:pt idx="87">
                  <c:v>-29.762732307791659</c:v>
                </c:pt>
                <c:pt idx="88">
                  <c:v>-30.070199858696856</c:v>
                </c:pt>
                <c:pt idx="89">
                  <c:v>-30.374445816290475</c:v>
                </c:pt>
                <c:pt idx="90">
                  <c:v>-30.675508203258648</c:v>
                </c:pt>
                <c:pt idx="91">
                  <c:v>-30.973426799387155</c:v>
                </c:pt>
                <c:pt idx="92">
                  <c:v>-31.268242805850335</c:v>
                </c:pt>
                <c:pt idx="93">
                  <c:v>-31.559998549652239</c:v>
                </c:pt>
                <c:pt idx="94">
                  <c:v>-31.848737223891185</c:v>
                </c:pt>
                <c:pt idx="95">
                  <c:v>-32.134502659944189</c:v>
                </c:pt>
                <c:pt idx="96">
                  <c:v>-32.41733912805919</c:v>
                </c:pt>
                <c:pt idx="97">
                  <c:v>-32.697291163206316</c:v>
                </c:pt>
                <c:pt idx="98">
                  <c:v>-32.974403413362936</c:v>
                </c:pt>
                <c:pt idx="99">
                  <c:v>-33.248720507707986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FE-4B9B-B55F-D521FE97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748543"/>
        <c:axId val="1"/>
      </c:scatterChart>
      <c:scatterChart>
        <c:scatterStyle val="lineMarker"/>
        <c:varyColors val="0"/>
        <c:ser>
          <c:idx val="2"/>
          <c:order val="1"/>
          <c:tx>
            <c:strRef>
              <c:f>'Voltage Loop'!$O$1</c:f>
              <c:strCache>
                <c:ptCount val="1"/>
                <c:pt idx="0">
                  <c:v>ӨTv(f)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'Voltage Loop'!$B$2:$B$101</c:f>
              <c:numCache>
                <c:formatCode>General</c:formatCode>
                <c:ptCount val="100"/>
                <c:pt idx="0">
                  <c:v>100</c:v>
                </c:pt>
                <c:pt idx="1">
                  <c:v>1000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7000.0000000000009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14000.000000000002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28000.000000000004</c:v>
                </c:pt>
                <c:pt idx="28">
                  <c:v>28999.999999999996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55000.000000000007</c:v>
                </c:pt>
                <c:pt idx="55">
                  <c:v>56000.000000000007</c:v>
                </c:pt>
                <c:pt idx="56">
                  <c:v>56999.999999999993</c:v>
                </c:pt>
                <c:pt idx="57">
                  <c:v>57999.999999999993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'Voltage Loop'!$O$2:$O$101</c:f>
              <c:numCache>
                <c:formatCode>General</c:formatCode>
                <c:ptCount val="100"/>
                <c:pt idx="0">
                  <c:v>11.616516880344932</c:v>
                </c:pt>
                <c:pt idx="1">
                  <c:v>54.590797754930136</c:v>
                </c:pt>
                <c:pt idx="2">
                  <c:v>94.15324492962732</c:v>
                </c:pt>
                <c:pt idx="3">
                  <c:v>101.11388366545083</c:v>
                </c:pt>
                <c:pt idx="4">
                  <c:v>104.55644094449872</c:v>
                </c:pt>
                <c:pt idx="5">
                  <c:v>105.89366473709475</c:v>
                </c:pt>
                <c:pt idx="6">
                  <c:v>105.93067956493037</c:v>
                </c:pt>
                <c:pt idx="7">
                  <c:v>105.15136230141503</c:v>
                </c:pt>
                <c:pt idx="8">
                  <c:v>103.85566413627062</c:v>
                </c:pt>
                <c:pt idx="9">
                  <c:v>102.23324452798391</c:v>
                </c:pt>
                <c:pt idx="10">
                  <c:v>100.40546866315397</c:v>
                </c:pt>
                <c:pt idx="11">
                  <c:v>98.450390837735881</c:v>
                </c:pt>
                <c:pt idx="12">
                  <c:v>96.418098606839976</c:v>
                </c:pt>
                <c:pt idx="13">
                  <c:v>94.340375043185048</c:v>
                </c:pt>
                <c:pt idx="14">
                  <c:v>92.236904239295939</c:v>
                </c:pt>
                <c:pt idx="15">
                  <c:v>90.119319958449495</c:v>
                </c:pt>
                <c:pt idx="16">
                  <c:v>87.993881177428634</c:v>
                </c:pt>
                <c:pt idx="17">
                  <c:v>85.863259427617976</c:v>
                </c:pt>
                <c:pt idx="18">
                  <c:v>83.727744339632565</c:v>
                </c:pt>
                <c:pt idx="19">
                  <c:v>81.586064384981327</c:v>
                </c:pt>
                <c:pt idx="20">
                  <c:v>79.435951307450807</c:v>
                </c:pt>
                <c:pt idx="21">
                  <c:v>77.274533089978803</c:v>
                </c:pt>
                <c:pt idx="22">
                  <c:v>75.098612073512342</c:v>
                </c:pt>
                <c:pt idx="23">
                  <c:v>72.904866340831404</c:v>
                </c:pt>
                <c:pt idx="24">
                  <c:v>70.690000191476344</c:v>
                </c:pt>
                <c:pt idx="25">
                  <c:v>68.450861260268724</c:v>
                </c:pt>
                <c:pt idx="26">
                  <c:v>66.184536166353254</c:v>
                </c:pt>
                <c:pt idx="27">
                  <c:v>63.888432614884067</c:v>
                </c:pt>
                <c:pt idx="28">
                  <c:v>61.560353018757425</c:v>
                </c:pt>
                <c:pt idx="29">
                  <c:v>59.198562578178382</c:v>
                </c:pt>
                <c:pt idx="30">
                  <c:v>56.801853104049258</c:v>
                </c:pt>
                <c:pt idx="31">
                  <c:v>54.369602545280912</c:v>
                </c:pt>
                <c:pt idx="32">
                  <c:v>51.901829097206559</c:v>
                </c:pt>
                <c:pt idx="33">
                  <c:v>49.399237896828453</c:v>
                </c:pt>
                <c:pt idx="34">
                  <c:v>46.863257657466193</c:v>
                </c:pt>
                <c:pt idx="35">
                  <c:v>44.296064193743121</c:v>
                </c:pt>
                <c:pt idx="36">
                  <c:v>41.700587684491353</c:v>
                </c:pt>
                <c:pt idx="37">
                  <c:v>39.080500761444483</c:v>
                </c:pt>
                <c:pt idx="38">
                  <c:v>36.440185123495553</c:v>
                </c:pt>
                <c:pt idx="39">
                  <c:v>33.78467535426384</c:v>
                </c:pt>
                <c:pt idx="40">
                  <c:v>31.119579913662051</c:v>
                </c:pt>
                <c:pt idx="41">
                  <c:v>28.450980780059695</c:v>
                </c:pt>
                <c:pt idx="42">
                  <c:v>25.785314790670782</c:v>
                </c:pt>
                <c:pt idx="43">
                  <c:v>23.129241186522194</c:v>
                </c:pt>
                <c:pt idx="44">
                  <c:v>20.489501033677328</c:v>
                </c:pt>
                <c:pt idx="45">
                  <c:v>17.872774910003244</c:v>
                </c:pt>
                <c:pt idx="46">
                  <c:v>15.285545417746846</c:v>
                </c:pt>
                <c:pt idx="47">
                  <c:v>12.73397068192719</c:v>
                </c:pt>
                <c:pt idx="48">
                  <c:v>10.223774077604105</c:v>
                </c:pt>
                <c:pt idx="49">
                  <c:v>7.7601541181750804</c:v>
                </c:pt>
                <c:pt idx="50">
                  <c:v>5.3477168991464907</c:v>
                </c:pt>
                <c:pt idx="51">
                  <c:v>2.9904319086010958</c:v>
                </c:pt>
                <c:pt idx="52">
                  <c:v>0.69161055259652926</c:v>
                </c:pt>
                <c:pt idx="53">
                  <c:v>-1.5460944716606946</c:v>
                </c:pt>
                <c:pt idx="54">
                  <c:v>-3.7206717129895424</c:v>
                </c:pt>
                <c:pt idx="55">
                  <c:v>-5.8307187135606</c:v>
                </c:pt>
                <c:pt idx="56">
                  <c:v>-7.875398478008151</c:v>
                </c:pt>
                <c:pt idx="57">
                  <c:v>-9.8543881089765932</c:v>
                </c:pt>
                <c:pt idx="58">
                  <c:v>-11.767822776093283</c:v>
                </c:pt>
                <c:pt idx="59">
                  <c:v>-13.616237769390409</c:v>
                </c:pt>
                <c:pt idx="60">
                  <c:v>-15.400510900619622</c:v>
                </c:pt>
                <c:pt idx="61">
                  <c:v>-17.121807011839678</c:v>
                </c:pt>
                <c:pt idx="62">
                  <c:v>-18.781525870900964</c:v>
                </c:pt>
                <c:pt idx="63">
                  <c:v>-20.381254304830236</c:v>
                </c:pt>
                <c:pt idx="64">
                  <c:v>-21.922723058962902</c:v>
                </c:pt>
                <c:pt idx="65">
                  <c:v>-23.407768576764738</c:v>
                </c:pt>
                <c:pt idx="66">
                  <c:v>-24.838299670395941</c:v>
                </c:pt>
                <c:pt idx="67">
                  <c:v>-26.21626888867263</c:v>
                </c:pt>
                <c:pt idx="68">
                  <c:v>-27.54364827832319</c:v>
                </c:pt>
                <c:pt idx="69">
                  <c:v>-28.822409166721457</c:v>
                </c:pt>
                <c:pt idx="70">
                  <c:v>-30.054505560306211</c:v>
                </c:pt>
                <c:pt idx="71">
                  <c:v>-31.241860744225278</c:v>
                </c:pt>
                <c:pt idx="72">
                  <c:v>-32.386356678212223</c:v>
                </c:pt>
                <c:pt idx="73">
                  <c:v>-33.489825805386715</c:v>
                </c:pt>
                <c:pt idx="74">
                  <c:v>-34.554044919910325</c:v>
                </c:pt>
                <c:pt idx="75">
                  <c:v>-35.580730772716038</c:v>
                </c:pt>
                <c:pt idx="76">
                  <c:v>-36.571537129229569</c:v>
                </c:pt>
                <c:pt idx="77">
                  <c:v>-37.52805302731872</c:v>
                </c:pt>
                <c:pt idx="78">
                  <c:v>-38.451802016419947</c:v>
                </c:pt>
                <c:pt idx="79">
                  <c:v>-39.344242189153135</c:v>
                </c:pt>
                <c:pt idx="80">
                  <c:v>-40.20676684434693</c:v>
                </c:pt>
                <c:pt idx="81">
                  <c:v>-41.040705645100502</c:v>
                </c:pt>
                <c:pt idx="82">
                  <c:v>-41.847326157323209</c:v>
                </c:pt>
                <c:pt idx="83">
                  <c:v>-42.627835673234472</c:v>
                </c:pt>
                <c:pt idx="84">
                  <c:v>-43.383383240793023</c:v>
                </c:pt>
                <c:pt idx="85">
                  <c:v>-44.115061834158723</c:v>
                </c:pt>
                <c:pt idx="86">
                  <c:v>-44.823910612333634</c:v>
                </c:pt>
                <c:pt idx="87">
                  <c:v>-45.510917223328875</c:v>
                </c:pt>
                <c:pt idx="88">
                  <c:v>-46.17702011976894</c:v>
                </c:pt>
                <c:pt idx="89">
                  <c:v>-46.823110859026883</c:v>
                </c:pt>
                <c:pt idx="90">
                  <c:v>-47.450036366944573</c:v>
                </c:pt>
                <c:pt idx="91">
                  <c:v>-48.058601149127185</c:v>
                </c:pt>
                <c:pt idx="92">
                  <c:v>-48.6495694378699</c:v>
                </c:pt>
                <c:pt idx="93">
                  <c:v>-49.223667266082089</c:v>
                </c:pt>
                <c:pt idx="94">
                  <c:v>-49.78158446228889</c:v>
                </c:pt>
                <c:pt idx="95">
                  <c:v>-50.323976562959047</c:v>
                </c:pt>
                <c:pt idx="96">
                  <c:v>-50.851466640150875</c:v>
                </c:pt>
                <c:pt idx="97">
                  <c:v>-51.364647043865148</c:v>
                </c:pt>
                <c:pt idx="98">
                  <c:v>-51.864081059560135</c:v>
                </c:pt>
                <c:pt idx="99">
                  <c:v>-52.350304482145475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FE-4B9B-B55F-D521FE97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1464748543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1680429979201528"/>
              <c:y val="0.93112244897959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-80"/>
        <c:crossBetween val="midCat"/>
      </c:val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Gain in dB</a:t>
                </a:r>
              </a:p>
            </c:rich>
          </c:tx>
          <c:layout>
            <c:manualLayout>
              <c:xMode val="edge"/>
              <c:yMode val="edge"/>
              <c:x val="1.9769357495881382E-2"/>
              <c:y val="0.39795918367346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464748543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3"/>
        <c:crosses val="max"/>
        <c:crossBetween val="midCat"/>
        <c:majorUnit val="4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1121085152658"/>
          <c:y val="0.70408163265306123"/>
          <c:w val="0.16309737230127946"/>
          <c:h val="0.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12</xdr:col>
      <xdr:colOff>257175</xdr:colOff>
      <xdr:row>35</xdr:row>
      <xdr:rowOff>76200</xdr:rowOff>
    </xdr:to>
    <xdr:pic>
      <xdr:nvPicPr>
        <xdr:cNvPr id="4131" name="Picture 2">
          <a:extLst>
            <a:ext uri="{FF2B5EF4-FFF2-40B4-BE49-F238E27FC236}">
              <a16:creationId xmlns:a16="http://schemas.microsoft.com/office/drawing/2014/main" id="{00000000-0008-0000-0100-00002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740092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151</xdr:row>
      <xdr:rowOff>38100</xdr:rowOff>
    </xdr:from>
    <xdr:to>
      <xdr:col>3</xdr:col>
      <xdr:colOff>695325</xdr:colOff>
      <xdr:row>171</xdr:row>
      <xdr:rowOff>161925</xdr:rowOff>
    </xdr:to>
    <xdr:graphicFrame macro="">
      <xdr:nvGraphicFramePr>
        <xdr:cNvPr id="1070" name="Chart 12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523875</xdr:colOff>
      <xdr:row>4</xdr:row>
      <xdr:rowOff>85725</xdr:rowOff>
    </xdr:to>
    <xdr:pic>
      <xdr:nvPicPr>
        <xdr:cNvPr id="5158" name="Picture 2">
          <a:extLst>
            <a:ext uri="{FF2B5EF4-FFF2-40B4-BE49-F238E27FC236}">
              <a16:creationId xmlns:a16="http://schemas.microsoft.com/office/drawing/2014/main" id="{00000000-0008-0000-0300-00002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0067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57150</xdr:rowOff>
        </xdr:from>
        <xdr:to>
          <xdr:col>8</xdr:col>
          <xdr:colOff>533400</xdr:colOff>
          <xdr:row>46</xdr:row>
          <xdr:rowOff>57150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34</xdr:row>
      <xdr:rowOff>123825</xdr:rowOff>
    </xdr:to>
    <xdr:pic>
      <xdr:nvPicPr>
        <xdr:cNvPr id="6180" name="Picture 3">
          <a:extLst>
            <a:ext uri="{FF2B5EF4-FFF2-40B4-BE49-F238E27FC236}">
              <a16:creationId xmlns:a16="http://schemas.microsoft.com/office/drawing/2014/main" id="{00000000-0008-0000-0400-00002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19625" cy="562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390525</xdr:colOff>
      <xdr:row>34</xdr:row>
      <xdr:rowOff>133350</xdr:rowOff>
    </xdr:to>
    <xdr:pic>
      <xdr:nvPicPr>
        <xdr:cNvPr id="7204" name="Picture 3">
          <a:extLst>
            <a:ext uri="{FF2B5EF4-FFF2-40B4-BE49-F238E27FC236}">
              <a16:creationId xmlns:a16="http://schemas.microsoft.com/office/drawing/2014/main" id="{00000000-0008-0000-0500-00002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57725" cy="5638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85</xdr:row>
      <xdr:rowOff>114300</xdr:rowOff>
    </xdr:from>
    <xdr:to>
      <xdr:col>7</xdr:col>
      <xdr:colOff>57150</xdr:colOff>
      <xdr:row>105</xdr:row>
      <xdr:rowOff>152400</xdr:rowOff>
    </xdr:to>
    <xdr:graphicFrame macro="">
      <xdr:nvGraphicFramePr>
        <xdr:cNvPr id="3109" name="Chart 4">
          <a:extLst>
            <a:ext uri="{FF2B5EF4-FFF2-40B4-BE49-F238E27FC236}">
              <a16:creationId xmlns:a16="http://schemas.microsoft.com/office/drawing/2014/main" id="{00000000-0008-0000-0600-00002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0799388/My%20Documents/Applications%20Information/UCC28070/Design%20Tool/UCC28070%20Design%20Tool%208%2015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gn Information"/>
      <sheetName val="Current Loop Calaculations"/>
      <sheetName val="Voltage Loop Calaclations"/>
    </sheetNames>
    <sheetDataSet>
      <sheetData sheetId="0">
        <row r="29">
          <cell r="C29">
            <v>2.4499999999999999E-4</v>
          </cell>
        </row>
        <row r="40">
          <cell r="C40">
            <v>50</v>
          </cell>
        </row>
        <row r="83">
          <cell r="C83">
            <v>4020</v>
          </cell>
        </row>
        <row r="85">
          <cell r="C85">
            <v>2.1999999999999998E-9</v>
          </cell>
        </row>
        <row r="87">
          <cell r="C87">
            <v>3.3E-10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workbookViewId="0">
      <selection activeCell="R7" sqref="R7"/>
    </sheetView>
  </sheetViews>
  <sheetFormatPr defaultRowHeight="12.75" x14ac:dyDescent="0.2"/>
  <sheetData>
    <row r="1" spans="1:14" ht="33.75" x14ac:dyDescent="0.2">
      <c r="A1" s="112" t="s">
        <v>339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5.5" x14ac:dyDescent="0.2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25.5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25.5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">
      <c r="A7" s="1"/>
      <c r="B7" s="111" t="s">
        <v>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ht="25.5" x14ac:dyDescent="0.2">
      <c r="A8" s="1"/>
      <c r="B8" s="111" t="s">
        <v>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25.5" x14ac:dyDescent="0.2">
      <c r="A9" s="1"/>
      <c r="B9" s="111" t="s">
        <v>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ht="25.5" x14ac:dyDescent="0.2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5.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5.5" x14ac:dyDescent="0.2">
      <c r="A12" s="109" t="s">
        <v>296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ht="25.5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25.5" x14ac:dyDescent="0.2">
      <c r="A14" s="109" t="s">
        <v>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</row>
    <row r="15" spans="1:14" ht="25.5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45.75" customHeight="1" x14ac:dyDescent="0.2">
      <c r="A16" s="109" t="s">
        <v>330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" x14ac:dyDescent="0.2">
      <c r="A17" t="s">
        <v>19</v>
      </c>
    </row>
  </sheetData>
  <mergeCells count="11">
    <mergeCell ref="A1:N1"/>
    <mergeCell ref="A2:N2"/>
    <mergeCell ref="A3:N3"/>
    <mergeCell ref="A4:N4"/>
    <mergeCell ref="A12:N12"/>
    <mergeCell ref="A14:N14"/>
    <mergeCell ref="A16:N16"/>
    <mergeCell ref="A5:N5"/>
    <mergeCell ref="B7:N7"/>
    <mergeCell ref="B8:N8"/>
    <mergeCell ref="B9:N9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3"/>
  <sheetViews>
    <sheetView workbookViewId="0">
      <selection activeCell="F39" sqref="F39"/>
    </sheetView>
  </sheetViews>
  <sheetFormatPr defaultRowHeight="12.75" x14ac:dyDescent="0.2"/>
  <sheetData>
    <row r="43" spans="4:4" x14ac:dyDescent="0.2">
      <c r="D43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2"/>
  <sheetViews>
    <sheetView tabSelected="1" topLeftCell="A194" zoomScale="115" zoomScaleNormal="115" workbookViewId="0">
      <selection activeCell="B13" sqref="B13"/>
    </sheetView>
  </sheetViews>
  <sheetFormatPr defaultRowHeight="15.75" x14ac:dyDescent="0.25"/>
  <cols>
    <col min="1" max="1" width="66.140625" style="55" customWidth="1"/>
    <col min="2" max="2" width="15" style="55" customWidth="1"/>
    <col min="3" max="3" width="13.42578125" style="61" customWidth="1"/>
    <col min="4" max="5" width="11.5703125" style="55" customWidth="1"/>
    <col min="6" max="16384" width="9.140625" style="55"/>
  </cols>
  <sheetData>
    <row r="1" spans="1:8" x14ac:dyDescent="0.25">
      <c r="A1" s="55" t="s">
        <v>337</v>
      </c>
    </row>
    <row r="2" spans="1:8" x14ac:dyDescent="0.25">
      <c r="A2" s="55" t="s">
        <v>338</v>
      </c>
      <c r="B2" s="56">
        <v>43308</v>
      </c>
      <c r="H2" s="106"/>
    </row>
    <row r="3" spans="1:8" x14ac:dyDescent="0.25">
      <c r="B3" s="56"/>
      <c r="H3" s="106"/>
    </row>
    <row r="4" spans="1:8" x14ac:dyDescent="0.25">
      <c r="A4" s="81" t="s">
        <v>328</v>
      </c>
      <c r="B4" s="82"/>
      <c r="C4" s="94"/>
      <c r="D4" s="81"/>
      <c r="E4" s="81"/>
      <c r="F4" s="81"/>
    </row>
    <row r="5" spans="1:8" x14ac:dyDescent="0.25">
      <c r="A5" s="81" t="s">
        <v>289</v>
      </c>
      <c r="B5" s="82"/>
      <c r="C5" s="94"/>
      <c r="D5" s="81"/>
      <c r="E5" s="81"/>
      <c r="F5" s="81"/>
    </row>
    <row r="6" spans="1:8" x14ac:dyDescent="0.25">
      <c r="A6" s="86" t="s">
        <v>331</v>
      </c>
      <c r="B6" s="87"/>
      <c r="C6" s="95"/>
      <c r="D6" s="86"/>
      <c r="E6" s="86"/>
      <c r="F6" s="86"/>
    </row>
    <row r="7" spans="1:8" x14ac:dyDescent="0.25">
      <c r="A7" s="88" t="s">
        <v>302</v>
      </c>
      <c r="B7" s="89"/>
      <c r="C7" s="96"/>
      <c r="D7" s="88"/>
      <c r="E7" s="88"/>
      <c r="F7" s="88"/>
    </row>
    <row r="8" spans="1:8" s="51" customFormat="1" x14ac:dyDescent="0.25">
      <c r="A8" s="88" t="s">
        <v>301</v>
      </c>
      <c r="B8" s="89"/>
      <c r="C8" s="96"/>
      <c r="D8" s="88"/>
      <c r="E8" s="88"/>
      <c r="F8" s="88"/>
    </row>
    <row r="9" spans="1:8" s="51" customFormat="1" x14ac:dyDescent="0.25">
      <c r="A9" s="88" t="s">
        <v>299</v>
      </c>
      <c r="B9" s="89"/>
      <c r="C9" s="96"/>
      <c r="D9" s="88"/>
      <c r="E9" s="88"/>
      <c r="F9" s="88"/>
    </row>
    <row r="10" spans="1:8" s="51" customFormat="1" x14ac:dyDescent="0.25">
      <c r="A10" s="88" t="s">
        <v>300</v>
      </c>
      <c r="B10" s="89"/>
      <c r="C10" s="96"/>
      <c r="D10" s="88"/>
      <c r="E10" s="88"/>
      <c r="F10" s="88"/>
    </row>
    <row r="11" spans="1:8" x14ac:dyDescent="0.25">
      <c r="A11" s="55" t="s">
        <v>8</v>
      </c>
    </row>
    <row r="12" spans="1:8" x14ac:dyDescent="0.25">
      <c r="A12" s="55" t="s">
        <v>9</v>
      </c>
      <c r="B12" s="55" t="s">
        <v>10</v>
      </c>
      <c r="C12" s="61" t="s">
        <v>12</v>
      </c>
      <c r="D12" s="55" t="s">
        <v>11</v>
      </c>
      <c r="E12" s="55" t="s">
        <v>16</v>
      </c>
    </row>
    <row r="13" spans="1:8" x14ac:dyDescent="0.25">
      <c r="A13" s="55" t="s">
        <v>13</v>
      </c>
      <c r="B13" s="52">
        <v>370</v>
      </c>
      <c r="C13" s="97">
        <v>390</v>
      </c>
      <c r="D13" s="52">
        <v>410</v>
      </c>
      <c r="E13" s="55" t="s">
        <v>17</v>
      </c>
      <c r="F13" s="90" t="str">
        <f>IF(VINMAX/VINMIN&gt;3,"Please Keep Input Voltage &lt; 3:1","")</f>
        <v/>
      </c>
    </row>
    <row r="14" spans="1:8" x14ac:dyDescent="0.25">
      <c r="A14" s="55" t="s">
        <v>14</v>
      </c>
      <c r="B14" s="52">
        <v>11.4</v>
      </c>
      <c r="C14" s="97">
        <v>12</v>
      </c>
      <c r="D14" s="52">
        <v>12.6</v>
      </c>
      <c r="E14" s="55" t="s">
        <v>17</v>
      </c>
      <c r="F14" s="84" t="str">
        <f>IF(VOUT&lt;1.5,"The Minimum Output Voltage &gt; 1.5 V","")</f>
        <v/>
      </c>
      <c r="G14" s="51"/>
      <c r="H14" s="51"/>
    </row>
    <row r="15" spans="1:8" ht="31.5" x14ac:dyDescent="0.25">
      <c r="A15" s="57" t="s">
        <v>15</v>
      </c>
      <c r="D15" s="52">
        <v>0.6</v>
      </c>
      <c r="E15" s="55" t="s">
        <v>17</v>
      </c>
      <c r="F15" s="84"/>
    </row>
    <row r="16" spans="1:8" ht="18.75" x14ac:dyDescent="0.35">
      <c r="A16" s="57" t="s">
        <v>21</v>
      </c>
      <c r="D16" s="52">
        <v>600</v>
      </c>
      <c r="E16" s="55" t="s">
        <v>18</v>
      </c>
    </row>
    <row r="17" spans="1:6" x14ac:dyDescent="0.25">
      <c r="A17" s="55" t="s">
        <v>23</v>
      </c>
      <c r="B17" s="53">
        <v>0.93</v>
      </c>
      <c r="D17" s="55" t="s">
        <v>19</v>
      </c>
      <c r="F17" s="84" t="str">
        <f>IF(Eff&gt;96%,"Please be Realistic with Efficiency Goal","")</f>
        <v/>
      </c>
    </row>
    <row r="18" spans="1:6" ht="18.75" x14ac:dyDescent="0.35">
      <c r="A18" s="55" t="s">
        <v>22</v>
      </c>
      <c r="C18" s="97">
        <v>200</v>
      </c>
      <c r="E18" s="55" t="s">
        <v>20</v>
      </c>
      <c r="F18" s="83" t="str">
        <f>IF(fs&gt;1000,"UCC28950 Can Only Achieve 1MHz Switching Frequency","")</f>
        <v/>
      </c>
    </row>
    <row r="19" spans="1:6" x14ac:dyDescent="0.25">
      <c r="A19" s="58"/>
      <c r="B19" s="58"/>
      <c r="C19" s="98"/>
      <c r="D19" s="58"/>
      <c r="E19" s="58"/>
      <c r="F19" s="58"/>
    </row>
    <row r="20" spans="1:6" x14ac:dyDescent="0.25">
      <c r="A20" s="80" t="s">
        <v>174</v>
      </c>
      <c r="B20" s="80"/>
      <c r="C20" s="99"/>
      <c r="D20" s="80"/>
      <c r="E20" s="80"/>
      <c r="F20" s="80"/>
    </row>
    <row r="21" spans="1:6" x14ac:dyDescent="0.25">
      <c r="A21" s="55" t="s">
        <v>9</v>
      </c>
      <c r="B21" s="55" t="s">
        <v>27</v>
      </c>
      <c r="D21" s="55" t="s">
        <v>16</v>
      </c>
    </row>
    <row r="22" spans="1:6" ht="18.75" x14ac:dyDescent="0.35">
      <c r="A22" s="55" t="s">
        <v>113</v>
      </c>
      <c r="B22" s="60" t="s">
        <v>24</v>
      </c>
      <c r="C22" s="61">
        <f>pout*(1-Eff)/Eff</f>
        <v>45.161290322580612</v>
      </c>
      <c r="D22" s="55" t="s">
        <v>18</v>
      </c>
    </row>
    <row r="23" spans="1:6" ht="18.75" x14ac:dyDescent="0.35">
      <c r="A23" s="55" t="s">
        <v>114</v>
      </c>
      <c r="B23" s="55" t="s">
        <v>25</v>
      </c>
      <c r="C23" s="61">
        <v>0.3</v>
      </c>
      <c r="D23" s="55" t="s">
        <v>17</v>
      </c>
    </row>
    <row r="24" spans="1:6" ht="18.75" x14ac:dyDescent="0.35">
      <c r="A24" s="55" t="s">
        <v>29</v>
      </c>
      <c r="B24" s="55" t="s">
        <v>31</v>
      </c>
      <c r="C24" s="61">
        <v>0.66</v>
      </c>
    </row>
    <row r="25" spans="1:6" ht="18.75" x14ac:dyDescent="0.35">
      <c r="A25" s="55" t="s">
        <v>28</v>
      </c>
      <c r="B25" s="55" t="s">
        <v>26</v>
      </c>
      <c r="C25" s="61">
        <f>((VINMIN-2*vrdson)*dmax)/(VOUT+vrdson)</f>
        <v>19.821463414634145</v>
      </c>
      <c r="D25" s="55" t="s">
        <v>19</v>
      </c>
      <c r="E25" s="55" t="s">
        <v>19</v>
      </c>
    </row>
    <row r="26" spans="1:6" x14ac:dyDescent="0.25">
      <c r="A26" s="55" t="s">
        <v>303</v>
      </c>
      <c r="B26" s="55" t="s">
        <v>26</v>
      </c>
      <c r="C26" s="108">
        <v>21</v>
      </c>
    </row>
    <row r="27" spans="1:6" s="61" customFormat="1" ht="18.75" x14ac:dyDescent="0.35">
      <c r="A27" s="61" t="s">
        <v>30</v>
      </c>
      <c r="B27" s="61" t="s">
        <v>32</v>
      </c>
      <c r="C27" s="61">
        <f>((VOUT+vrdson)*_taa1)/((vin-2*vrdson))</f>
        <v>0.66332819722650238</v>
      </c>
      <c r="D27" s="91" t="str">
        <f>IF(dtyp&gt;1,"Turns Ratio a1 in Error, Pleast Adjust","")</f>
        <v/>
      </c>
    </row>
    <row r="28" spans="1:6" ht="18.75" x14ac:dyDescent="0.35">
      <c r="A28" s="55" t="s">
        <v>33</v>
      </c>
      <c r="B28" s="72" t="s">
        <v>243</v>
      </c>
      <c r="C28" s="61">
        <f>pout*0.2/VOUT</f>
        <v>10</v>
      </c>
      <c r="D28" s="55" t="s">
        <v>34</v>
      </c>
    </row>
    <row r="29" spans="1:6" ht="18.75" x14ac:dyDescent="0.35">
      <c r="A29" s="55" t="s">
        <v>262</v>
      </c>
      <c r="B29" s="55" t="s">
        <v>35</v>
      </c>
      <c r="C29" s="61">
        <f>(vin*(1-dtyp)*_taa1)/(dilout*0.5*fs)</f>
        <v>2.7573420647149454</v>
      </c>
      <c r="D29" s="55" t="s">
        <v>36</v>
      </c>
      <c r="E29" s="107"/>
    </row>
    <row r="30" spans="1:6" ht="18.75" x14ac:dyDescent="0.35">
      <c r="A30" s="55" t="s">
        <v>290</v>
      </c>
      <c r="B30" s="55" t="s">
        <v>37</v>
      </c>
      <c r="C30" s="61">
        <f>(pout/VOUT)+(dilout/2)</f>
        <v>55</v>
      </c>
      <c r="D30" s="55" t="s">
        <v>34</v>
      </c>
      <c r="E30" s="55" t="s">
        <v>19</v>
      </c>
    </row>
    <row r="31" spans="1:6" ht="18.75" x14ac:dyDescent="0.35">
      <c r="A31" s="55" t="s">
        <v>290</v>
      </c>
      <c r="B31" s="55" t="s">
        <v>38</v>
      </c>
      <c r="C31" s="61">
        <f>(pout/VOUT)-(dilout/2)</f>
        <v>45</v>
      </c>
      <c r="D31" s="55" t="s">
        <v>34</v>
      </c>
      <c r="E31" s="67"/>
    </row>
    <row r="32" spans="1:6" ht="18.75" x14ac:dyDescent="0.35">
      <c r="A32" s="55" t="s">
        <v>290</v>
      </c>
      <c r="B32" s="55" t="s">
        <v>40</v>
      </c>
      <c r="C32" s="61">
        <f>ips-(dilout/2)</f>
        <v>50</v>
      </c>
      <c r="D32" s="55" t="s">
        <v>34</v>
      </c>
      <c r="E32" s="61" t="s">
        <v>19</v>
      </c>
    </row>
    <row r="33" spans="1:5" ht="18.75" x14ac:dyDescent="0.35">
      <c r="A33" s="55" t="s">
        <v>244</v>
      </c>
      <c r="B33" s="55" t="s">
        <v>39</v>
      </c>
      <c r="C33" s="61">
        <f>((dmax/2)*(ips*ims+(((ips-ims)^2)/3)))^0.5</f>
        <v>28.770644761631605</v>
      </c>
      <c r="D33" s="55" t="s">
        <v>34</v>
      </c>
      <c r="E33" s="60" t="s">
        <v>19</v>
      </c>
    </row>
    <row r="34" spans="1:5" ht="18.75" x14ac:dyDescent="0.35">
      <c r="A34" s="55" t="s">
        <v>244</v>
      </c>
      <c r="B34" s="55" t="s">
        <v>41</v>
      </c>
      <c r="C34" s="61">
        <f>(((1-dmax)/2)*(ips*_ims2+(((ips-_ims2)^2)/3)))^0.5</f>
        <v>21.65448375433288</v>
      </c>
      <c r="D34" s="55" t="s">
        <v>34</v>
      </c>
      <c r="E34" s="55" t="s">
        <v>19</v>
      </c>
    </row>
    <row r="35" spans="1:5" ht="18.75" x14ac:dyDescent="0.35">
      <c r="A35" s="55" t="s">
        <v>244</v>
      </c>
      <c r="B35" s="55" t="s">
        <v>42</v>
      </c>
      <c r="C35" s="61">
        <f>(dilout/2)*((1-dmax)/6)^0.5</f>
        <v>1.1902380714238083</v>
      </c>
      <c r="D35" s="55" t="s">
        <v>34</v>
      </c>
      <c r="E35" s="55" t="s">
        <v>19</v>
      </c>
    </row>
    <row r="36" spans="1:5" ht="18.75" x14ac:dyDescent="0.35">
      <c r="A36" s="55" t="s">
        <v>263</v>
      </c>
      <c r="B36" s="55" t="s">
        <v>43</v>
      </c>
      <c r="C36" s="61">
        <f>(isrms1^2+isrms2^2+isrms3^2)^0.5</f>
        <v>36.028923566120227</v>
      </c>
      <c r="D36" s="55" t="s">
        <v>34</v>
      </c>
    </row>
    <row r="37" spans="1:5" ht="18.75" x14ac:dyDescent="0.35">
      <c r="A37" s="55" t="s">
        <v>291</v>
      </c>
      <c r="B37" s="72" t="s">
        <v>329</v>
      </c>
      <c r="C37" s="61">
        <f>(VINMIN*dmax)/(lmag*fs)</f>
        <v>0.44281774670790702</v>
      </c>
      <c r="D37" s="55" t="s">
        <v>34</v>
      </c>
    </row>
    <row r="38" spans="1:5" ht="18.75" x14ac:dyDescent="0.35">
      <c r="A38" s="55" t="s">
        <v>290</v>
      </c>
      <c r="B38" s="55" t="s">
        <v>45</v>
      </c>
      <c r="C38" s="61">
        <f>(((pout/(VOUT*Eff))+dilout/2)/_taa1)+dilmag</f>
        <v>3.2410768352895762</v>
      </c>
      <c r="D38" s="55" t="s">
        <v>34</v>
      </c>
    </row>
    <row r="39" spans="1:5" ht="18.75" x14ac:dyDescent="0.35">
      <c r="A39" s="55" t="s">
        <v>290</v>
      </c>
      <c r="B39" s="55" t="s">
        <v>46</v>
      </c>
      <c r="C39" s="61">
        <f>(((pout/(VOUT*Eff))-dilout/2)/_taa1)+dilmag</f>
        <v>2.7648863590991</v>
      </c>
      <c r="D39" s="55" t="s">
        <v>34</v>
      </c>
    </row>
    <row r="40" spans="1:5" ht="18.75" x14ac:dyDescent="0.35">
      <c r="A40" s="55" t="s">
        <v>290</v>
      </c>
      <c r="B40" s="55" t="s">
        <v>47</v>
      </c>
      <c r="C40" s="61">
        <f>ipp-((dilout/2)/_ta1)</f>
        <v>2.9888250264595326</v>
      </c>
      <c r="D40" s="55" t="s">
        <v>34</v>
      </c>
    </row>
    <row r="41" spans="1:5" ht="18.75" x14ac:dyDescent="0.35">
      <c r="A41" s="55" t="s">
        <v>244</v>
      </c>
      <c r="B41" s="55" t="s">
        <v>48</v>
      </c>
      <c r="C41" s="61">
        <f>((dmax)*(ipp*imp+(((ipp-imp)^2)/3)))^0.5</f>
        <v>2.4421884955029136</v>
      </c>
      <c r="D41" s="55" t="s">
        <v>34</v>
      </c>
    </row>
    <row r="42" spans="1:5" ht="18.75" x14ac:dyDescent="0.35">
      <c r="A42" s="55" t="s">
        <v>244</v>
      </c>
      <c r="B42" s="55" t="s">
        <v>49</v>
      </c>
      <c r="C42" s="61">
        <f>(((1-dmax))*(ipp*_imp2+(((ipp-_imp2)^2)/3)))^0.5</f>
        <v>1.8168091369826853</v>
      </c>
      <c r="D42" s="55" t="s">
        <v>34</v>
      </c>
    </row>
    <row r="43" spans="1:5" ht="18.75" x14ac:dyDescent="0.35">
      <c r="A43" s="55" t="s">
        <v>292</v>
      </c>
      <c r="B43" s="55" t="s">
        <v>51</v>
      </c>
      <c r="C43" s="61">
        <f>((iprms1)^2+(iprms2)^2)^0.5</f>
        <v>3.0438594067056637</v>
      </c>
      <c r="D43" s="55" t="s">
        <v>34</v>
      </c>
    </row>
    <row r="44" spans="1:5" ht="18.75" x14ac:dyDescent="0.35">
      <c r="A44" s="55" t="s">
        <v>72</v>
      </c>
      <c r="B44" s="55" t="s">
        <v>35</v>
      </c>
      <c r="C44" s="92">
        <v>2.8</v>
      </c>
      <c r="D44" s="55" t="s">
        <v>36</v>
      </c>
      <c r="E44" s="83" t="str">
        <f>IF(lmag2&lt;lmag,"Please make Lmag &gt; or = Calculated Lmag","")</f>
        <v/>
      </c>
    </row>
    <row r="45" spans="1:5" ht="18.75" x14ac:dyDescent="0.35">
      <c r="A45" s="55" t="s">
        <v>54</v>
      </c>
      <c r="B45" s="55" t="s">
        <v>50</v>
      </c>
      <c r="C45" s="92">
        <v>220</v>
      </c>
      <c r="D45" s="55" t="s">
        <v>205</v>
      </c>
    </row>
    <row r="46" spans="1:5" ht="18.75" x14ac:dyDescent="0.35">
      <c r="A46" s="55" t="s">
        <v>55</v>
      </c>
      <c r="B46" s="55" t="s">
        <v>52</v>
      </c>
      <c r="C46" s="92">
        <v>0.57999999999999996</v>
      </c>
      <c r="D46" s="55" t="s">
        <v>205</v>
      </c>
    </row>
    <row r="47" spans="1:5" ht="18.75" x14ac:dyDescent="0.35">
      <c r="A47" s="55" t="s">
        <v>298</v>
      </c>
      <c r="B47" s="55" t="s">
        <v>297</v>
      </c>
      <c r="C47" s="92">
        <v>4</v>
      </c>
      <c r="D47" s="55" t="s">
        <v>74</v>
      </c>
    </row>
    <row r="48" spans="1:5" ht="18.75" x14ac:dyDescent="0.35">
      <c r="A48" s="62" t="s">
        <v>56</v>
      </c>
      <c r="B48" s="55" t="s">
        <v>53</v>
      </c>
      <c r="C48" s="61">
        <f>2*((iprms^2*(dcrp/1000))+2*(isrms^2*(dcrs/1000)))</f>
        <v>7.0881885719611777</v>
      </c>
      <c r="D48" s="55" t="s">
        <v>18</v>
      </c>
    </row>
    <row r="49" spans="1:6" ht="18.75" x14ac:dyDescent="0.35">
      <c r="A49" s="55" t="s">
        <v>57</v>
      </c>
      <c r="B49" s="55" t="s">
        <v>24</v>
      </c>
      <c r="C49" s="61">
        <f>pbudget-C48</f>
        <v>38.073101750619436</v>
      </c>
      <c r="D49" s="55" t="s">
        <v>18</v>
      </c>
      <c r="E49" s="83" t="str">
        <f>IF(C49&lt;0,"PBudget Cannot be Made with Selected Components","")</f>
        <v/>
      </c>
    </row>
    <row r="50" spans="1:6" x14ac:dyDescent="0.25">
      <c r="A50" s="80" t="s">
        <v>58</v>
      </c>
      <c r="B50" s="80"/>
      <c r="C50" s="99" t="s">
        <v>19</v>
      </c>
      <c r="D50" s="80"/>
      <c r="E50" s="80"/>
      <c r="F50" s="80"/>
    </row>
    <row r="51" spans="1:6" ht="18.75" x14ac:dyDescent="0.35">
      <c r="A51" s="62" t="s">
        <v>279</v>
      </c>
      <c r="B51" s="55" t="s">
        <v>69</v>
      </c>
      <c r="C51" s="92">
        <v>12</v>
      </c>
      <c r="D51" s="55" t="s">
        <v>17</v>
      </c>
    </row>
    <row r="52" spans="1:6" ht="18.75" x14ac:dyDescent="0.35">
      <c r="A52" s="55" t="s">
        <v>60</v>
      </c>
      <c r="B52" s="55" t="s">
        <v>59</v>
      </c>
      <c r="C52" s="92">
        <v>220</v>
      </c>
      <c r="D52" s="55" t="s">
        <v>205</v>
      </c>
    </row>
    <row r="53" spans="1:6" ht="18.75" x14ac:dyDescent="0.35">
      <c r="A53" s="55" t="s">
        <v>61</v>
      </c>
      <c r="B53" s="55" t="s">
        <v>63</v>
      </c>
      <c r="C53" s="92">
        <v>780</v>
      </c>
      <c r="D53" s="55" t="s">
        <v>62</v>
      </c>
    </row>
    <row r="54" spans="1:6" ht="18.75" x14ac:dyDescent="0.35">
      <c r="A54" s="55" t="s">
        <v>115</v>
      </c>
      <c r="B54" s="55" t="s">
        <v>70</v>
      </c>
      <c r="C54" s="92">
        <v>15</v>
      </c>
      <c r="D54" s="55" t="s">
        <v>71</v>
      </c>
    </row>
    <row r="55" spans="1:6" ht="36" x14ac:dyDescent="0.35">
      <c r="A55" s="57" t="s">
        <v>116</v>
      </c>
      <c r="B55" s="55" t="s">
        <v>64</v>
      </c>
      <c r="C55" s="92">
        <v>25</v>
      </c>
      <c r="D55" s="55" t="s">
        <v>17</v>
      </c>
    </row>
    <row r="56" spans="1:6" ht="18.75" x14ac:dyDescent="0.35">
      <c r="A56" s="55" t="s">
        <v>65</v>
      </c>
      <c r="B56" s="55" t="s">
        <v>66</v>
      </c>
      <c r="C56" s="61">
        <f>C53*((C55/VINMAX)^0.5)</f>
        <v>192.60727134666996</v>
      </c>
      <c r="D56" s="55" t="s">
        <v>62</v>
      </c>
    </row>
    <row r="57" spans="1:6" ht="18.75" x14ac:dyDescent="0.35">
      <c r="A57" s="55" t="s">
        <v>68</v>
      </c>
      <c r="B57" s="55" t="s">
        <v>67</v>
      </c>
      <c r="C57" s="61">
        <f>((iprms^2)*(rdsonqa/1000))+(2*(QAg*0.000000001)*vg*(fs*1000/2))</f>
        <v>2.0743176193139221</v>
      </c>
      <c r="D57" s="55" t="s">
        <v>18</v>
      </c>
    </row>
    <row r="58" spans="1:6" ht="18.75" x14ac:dyDescent="0.35">
      <c r="A58" s="55" t="s">
        <v>57</v>
      </c>
      <c r="B58" s="55" t="s">
        <v>24</v>
      </c>
      <c r="C58" s="61">
        <f>C49-4*C57</f>
        <v>29.77583127336375</v>
      </c>
      <c r="D58" s="55" t="s">
        <v>18</v>
      </c>
      <c r="E58" s="83" t="str">
        <f>IF(C58&lt;0,"PBudget Cannot be Made with Selected Components","")</f>
        <v/>
      </c>
    </row>
    <row r="59" spans="1:6" ht="18.75" x14ac:dyDescent="0.35">
      <c r="A59" s="80" t="s">
        <v>282</v>
      </c>
      <c r="B59" s="59"/>
      <c r="C59" s="100"/>
      <c r="D59" s="59"/>
      <c r="E59" s="80"/>
      <c r="F59" s="80"/>
    </row>
    <row r="60" spans="1:6" ht="18.75" x14ac:dyDescent="0.35">
      <c r="A60" s="55" t="s">
        <v>85</v>
      </c>
      <c r="B60" s="55" t="s">
        <v>73</v>
      </c>
      <c r="C60" s="61">
        <f>(((2*cossqaavg*0.000000000001)*((vin)^2)/((ipp/2)-(dilout/(2*_ta1)))^2)*1000000)-llk</f>
        <v>27.295200272595029</v>
      </c>
      <c r="D60" s="55" t="s">
        <v>74</v>
      </c>
      <c r="E60" s="83" t="str">
        <f>IF(C60&lt;0,"Calculated Ls is Negative and Ls Might Not be Needed, However, Leave a Place Holder for Ls Just in Case","")</f>
        <v/>
      </c>
    </row>
    <row r="61" spans="1:6" ht="18.75" x14ac:dyDescent="0.35">
      <c r="A61" s="55" t="s">
        <v>172</v>
      </c>
      <c r="B61" s="55" t="s">
        <v>73</v>
      </c>
      <c r="C61" s="92">
        <v>26</v>
      </c>
      <c r="D61" s="55" t="s">
        <v>74</v>
      </c>
    </row>
    <row r="62" spans="1:6" ht="18.75" x14ac:dyDescent="0.35">
      <c r="A62" s="55" t="s">
        <v>76</v>
      </c>
      <c r="B62" s="55" t="s">
        <v>75</v>
      </c>
      <c r="C62" s="92">
        <v>27</v>
      </c>
      <c r="D62" s="55" t="s">
        <v>205</v>
      </c>
    </row>
    <row r="63" spans="1:6" ht="18.75" x14ac:dyDescent="0.35">
      <c r="A63" s="55" t="s">
        <v>77</v>
      </c>
      <c r="B63" s="55" t="s">
        <v>78</v>
      </c>
      <c r="C63" s="61">
        <f>2*iprms^2*(C62*0.001)</f>
        <v>0.50031432474068993</v>
      </c>
      <c r="D63" s="55" t="s">
        <v>18</v>
      </c>
    </row>
    <row r="64" spans="1:6" ht="18.75" x14ac:dyDescent="0.35">
      <c r="A64" s="55" t="s">
        <v>57</v>
      </c>
      <c r="B64" s="55" t="s">
        <v>24</v>
      </c>
      <c r="C64" s="61">
        <f>C58-C63</f>
        <v>29.275516948623061</v>
      </c>
      <c r="D64" s="55" t="s">
        <v>18</v>
      </c>
      <c r="E64" s="83" t="str">
        <f>IF(C64&lt;0,"PBudget Cannot be Made with Selected Components","")</f>
        <v/>
      </c>
    </row>
    <row r="65" spans="1:6" ht="18.75" x14ac:dyDescent="0.35">
      <c r="A65" s="80" t="s">
        <v>283</v>
      </c>
      <c r="B65" s="59"/>
      <c r="C65" s="100"/>
      <c r="D65" s="59"/>
      <c r="E65" s="80"/>
      <c r="F65" s="80"/>
    </row>
    <row r="66" spans="1:6" ht="18.75" x14ac:dyDescent="0.35">
      <c r="A66" s="55" t="s">
        <v>86</v>
      </c>
      <c r="B66" s="55" t="s">
        <v>79</v>
      </c>
      <c r="C66" s="61">
        <f>((VOUT*(1-dtyp))/(dilout*fs))*1000</f>
        <v>2.0200308166409857</v>
      </c>
      <c r="D66" s="55" t="s">
        <v>74</v>
      </c>
    </row>
    <row r="67" spans="1:6" ht="18.75" x14ac:dyDescent="0.35">
      <c r="A67" s="55" t="s">
        <v>83</v>
      </c>
      <c r="B67" s="55" t="s">
        <v>84</v>
      </c>
      <c r="C67" s="61">
        <f>((pout/VOUT)^2+(dilout/(3^0.5))^2)^0.5</f>
        <v>50.332229568471668</v>
      </c>
      <c r="D67" s="55" t="s">
        <v>34</v>
      </c>
    </row>
    <row r="68" spans="1:6" ht="18.75" x14ac:dyDescent="0.35">
      <c r="A68" s="55" t="s">
        <v>173</v>
      </c>
      <c r="B68" s="55" t="s">
        <v>79</v>
      </c>
      <c r="C68" s="92">
        <v>2</v>
      </c>
      <c r="D68" s="55" t="s">
        <v>74</v>
      </c>
      <c r="E68" s="55" t="str">
        <f>IF(lout&lt;(C66*0.9),"Lout needs to be &gt; or = Lout Calculated","")</f>
        <v/>
      </c>
    </row>
    <row r="69" spans="1:6" ht="18.75" x14ac:dyDescent="0.35">
      <c r="A69" s="55" t="s">
        <v>264</v>
      </c>
      <c r="B69" s="55" t="s">
        <v>80</v>
      </c>
      <c r="C69" s="92">
        <v>0.75</v>
      </c>
      <c r="D69" s="55" t="s">
        <v>205</v>
      </c>
    </row>
    <row r="70" spans="1:6" ht="18.75" x14ac:dyDescent="0.35">
      <c r="A70" s="55" t="s">
        <v>81</v>
      </c>
      <c r="B70" s="55" t="s">
        <v>82</v>
      </c>
      <c r="C70" s="61">
        <f>2*iloutrms^2*dcrlout*0.001</f>
        <v>3.8000000000000003</v>
      </c>
      <c r="D70" s="55" t="s">
        <v>18</v>
      </c>
    </row>
    <row r="71" spans="1:6" ht="18.75" x14ac:dyDescent="0.35">
      <c r="A71" s="55" t="s">
        <v>57</v>
      </c>
      <c r="B71" s="55" t="s">
        <v>24</v>
      </c>
      <c r="C71" s="61">
        <f>C64-C70</f>
        <v>25.47551694862306</v>
      </c>
      <c r="D71" s="55" t="s">
        <v>18</v>
      </c>
      <c r="E71" s="83" t="str">
        <f>IF(C71&lt;0,"PBudget Cannot be Made with Selected Components","")</f>
        <v/>
      </c>
    </row>
    <row r="72" spans="1:6" ht="18.75" x14ac:dyDescent="0.35">
      <c r="A72" s="80" t="s">
        <v>284</v>
      </c>
      <c r="B72" s="59"/>
      <c r="C72" s="100"/>
      <c r="D72" s="59"/>
      <c r="E72" s="80"/>
      <c r="F72" s="80"/>
    </row>
    <row r="73" spans="1:6" ht="18.75" x14ac:dyDescent="0.35">
      <c r="A73" s="55" t="s">
        <v>88</v>
      </c>
      <c r="B73" s="55" t="s">
        <v>87</v>
      </c>
      <c r="C73" s="61">
        <f>((lout*pout*0.9)/VOUT)/VOUT</f>
        <v>7.5</v>
      </c>
      <c r="D73" s="55" t="s">
        <v>89</v>
      </c>
    </row>
    <row r="74" spans="1:6" ht="18.75" x14ac:dyDescent="0.35">
      <c r="A74" s="55" t="s">
        <v>206</v>
      </c>
      <c r="B74" s="55" t="s">
        <v>90</v>
      </c>
      <c r="C74" s="61">
        <f>((VTRAN*0.9)/((pout*0.9)/VOUT))*10^3</f>
        <v>12</v>
      </c>
      <c r="D74" s="55" t="s">
        <v>205</v>
      </c>
    </row>
    <row r="75" spans="1:6" ht="18.75" x14ac:dyDescent="0.35">
      <c r="A75" s="55" t="s">
        <v>207</v>
      </c>
      <c r="B75" s="55" t="s">
        <v>91</v>
      </c>
      <c r="C75" s="61">
        <f>(pout*0.9*thu)/(VOUT*VTRAN*0.1)</f>
        <v>5625</v>
      </c>
      <c r="D75" s="55" t="s">
        <v>92</v>
      </c>
    </row>
    <row r="76" spans="1:6" ht="18.75" x14ac:dyDescent="0.35">
      <c r="A76" s="55" t="s">
        <v>98</v>
      </c>
      <c r="B76" s="55" t="s">
        <v>97</v>
      </c>
      <c r="C76" s="61">
        <f>dilout/(3^0.5)</f>
        <v>5.7735026918962582</v>
      </c>
      <c r="D76" s="55" t="s">
        <v>34</v>
      </c>
    </row>
    <row r="77" spans="1:6" x14ac:dyDescent="0.25">
      <c r="A77" s="55" t="s">
        <v>175</v>
      </c>
      <c r="B77" s="55" t="s">
        <v>93</v>
      </c>
      <c r="C77" s="92">
        <v>5</v>
      </c>
    </row>
    <row r="78" spans="1:6" x14ac:dyDescent="0.25">
      <c r="A78" s="55" t="s">
        <v>94</v>
      </c>
      <c r="C78" s="92">
        <v>1500</v>
      </c>
      <c r="D78" s="55" t="s">
        <v>92</v>
      </c>
    </row>
    <row r="79" spans="1:6" x14ac:dyDescent="0.25">
      <c r="A79" s="55" t="s">
        <v>95</v>
      </c>
      <c r="C79" s="92">
        <v>31</v>
      </c>
      <c r="D79" s="55" t="s">
        <v>205</v>
      </c>
    </row>
    <row r="80" spans="1:6" ht="18.75" x14ac:dyDescent="0.35">
      <c r="A80" s="55" t="s">
        <v>96</v>
      </c>
      <c r="B80" s="55" t="s">
        <v>91</v>
      </c>
      <c r="C80" s="61">
        <f>C77*C78</f>
        <v>7500</v>
      </c>
      <c r="D80" s="55" t="s">
        <v>92</v>
      </c>
    </row>
    <row r="81" spans="1:7" ht="18.75" x14ac:dyDescent="0.35">
      <c r="A81" s="55" t="s">
        <v>265</v>
      </c>
      <c r="B81" s="55" t="s">
        <v>90</v>
      </c>
      <c r="C81" s="61">
        <f>C79/C77</f>
        <v>6.2</v>
      </c>
      <c r="D81" s="55" t="s">
        <v>205</v>
      </c>
    </row>
    <row r="82" spans="1:7" ht="18.75" x14ac:dyDescent="0.35">
      <c r="A82" s="55" t="s">
        <v>99</v>
      </c>
      <c r="B82" s="55" t="s">
        <v>100</v>
      </c>
      <c r="C82" s="61">
        <f>(C76^2)*C81*0.001</f>
        <v>0.20666666666666675</v>
      </c>
      <c r="D82" s="55" t="s">
        <v>18</v>
      </c>
    </row>
    <row r="83" spans="1:7" ht="18.75" x14ac:dyDescent="0.35">
      <c r="A83" s="55" t="s">
        <v>57</v>
      </c>
      <c r="B83" s="55" t="s">
        <v>24</v>
      </c>
      <c r="C83" s="61">
        <f>C71-C82</f>
        <v>25.268850281956393</v>
      </c>
      <c r="D83" s="55" t="s">
        <v>18</v>
      </c>
      <c r="E83" s="83" t="str">
        <f>IF(C83&lt;0,"PBudget Cannot be Made with Selected Components","")</f>
        <v/>
      </c>
    </row>
    <row r="84" spans="1:7" x14ac:dyDescent="0.25">
      <c r="A84" s="80" t="s">
        <v>109</v>
      </c>
      <c r="B84" s="59"/>
      <c r="C84" s="100"/>
      <c r="D84" s="59"/>
      <c r="E84" s="80"/>
      <c r="F84" s="80"/>
    </row>
    <row r="85" spans="1:7" ht="18.75" x14ac:dyDescent="0.35">
      <c r="A85" s="55" t="s">
        <v>135</v>
      </c>
      <c r="B85" s="55" t="s">
        <v>117</v>
      </c>
      <c r="C85" s="93">
        <f>2*VINMAX/_taa1</f>
        <v>39.047619047619051</v>
      </c>
      <c r="D85" s="55" t="s">
        <v>17</v>
      </c>
      <c r="E85" s="105" t="s">
        <v>336</v>
      </c>
    </row>
    <row r="86" spans="1:7" ht="18.75" x14ac:dyDescent="0.35">
      <c r="A86" s="55" t="s">
        <v>112</v>
      </c>
      <c r="B86" s="55" t="s">
        <v>110</v>
      </c>
      <c r="C86" s="92">
        <v>152</v>
      </c>
      <c r="D86" s="55" t="s">
        <v>71</v>
      </c>
    </row>
    <row r="87" spans="1:7" ht="18.75" x14ac:dyDescent="0.35">
      <c r="A87" s="55" t="s">
        <v>266</v>
      </c>
      <c r="B87" s="55" t="s">
        <v>111</v>
      </c>
      <c r="C87" s="92">
        <v>3.2</v>
      </c>
      <c r="D87" s="55" t="s">
        <v>205</v>
      </c>
    </row>
    <row r="88" spans="1:7" ht="18.75" x14ac:dyDescent="0.35">
      <c r="A88" s="55" t="s">
        <v>119</v>
      </c>
      <c r="B88" s="55" t="s">
        <v>118</v>
      </c>
      <c r="C88" s="92">
        <v>25</v>
      </c>
      <c r="D88" s="55" t="s">
        <v>17</v>
      </c>
    </row>
    <row r="89" spans="1:7" ht="18.75" x14ac:dyDescent="0.35">
      <c r="A89" s="55" t="s">
        <v>121</v>
      </c>
      <c r="B89" s="55" t="s">
        <v>120</v>
      </c>
      <c r="C89" s="92">
        <v>1810</v>
      </c>
      <c r="D89" s="55" t="s">
        <v>62</v>
      </c>
    </row>
    <row r="90" spans="1:7" ht="18.75" x14ac:dyDescent="0.35">
      <c r="A90" s="55" t="s">
        <v>123</v>
      </c>
      <c r="B90" s="55" t="s">
        <v>122</v>
      </c>
      <c r="C90" s="61">
        <f>C89*((C85/C88)^0.5)</f>
        <v>2262.0690065681442</v>
      </c>
      <c r="D90" s="55" t="s">
        <v>62</v>
      </c>
    </row>
    <row r="91" spans="1:7" ht="18.75" x14ac:dyDescent="0.35">
      <c r="A91" s="55" t="s">
        <v>124</v>
      </c>
      <c r="B91" s="55" t="s">
        <v>125</v>
      </c>
      <c r="C91" s="61">
        <f>isrms</f>
        <v>36.028923566120227</v>
      </c>
      <c r="D91" s="55" t="s">
        <v>34</v>
      </c>
    </row>
    <row r="92" spans="1:7" ht="18.75" x14ac:dyDescent="0.35">
      <c r="A92" s="55" t="s">
        <v>128</v>
      </c>
      <c r="B92" s="55" t="s">
        <v>126</v>
      </c>
      <c r="C92" s="92">
        <v>100</v>
      </c>
      <c r="D92" s="55" t="s">
        <v>71</v>
      </c>
    </row>
    <row r="93" spans="1:7" ht="18.75" x14ac:dyDescent="0.35">
      <c r="A93" s="55" t="s">
        <v>267</v>
      </c>
      <c r="B93" s="55" t="s">
        <v>127</v>
      </c>
      <c r="C93" s="92">
        <v>52</v>
      </c>
      <c r="D93" s="55" t="s">
        <v>71</v>
      </c>
    </row>
    <row r="94" spans="1:7" ht="18.75" x14ac:dyDescent="0.35">
      <c r="A94" s="55" t="s">
        <v>129</v>
      </c>
      <c r="B94" s="55" t="s">
        <v>130</v>
      </c>
      <c r="C94" s="92">
        <v>4</v>
      </c>
      <c r="D94" s="55" t="s">
        <v>34</v>
      </c>
    </row>
    <row r="95" spans="1:7" ht="18.75" x14ac:dyDescent="0.35">
      <c r="A95" s="55" t="s">
        <v>268</v>
      </c>
      <c r="B95" s="55" t="s">
        <v>131</v>
      </c>
      <c r="C95" s="61">
        <f>(C92-C93)/(C94/2)</f>
        <v>24</v>
      </c>
      <c r="D95" s="55" t="s">
        <v>132</v>
      </c>
    </row>
    <row r="96" spans="1:7" ht="18.75" x14ac:dyDescent="0.35">
      <c r="A96" s="55" t="s">
        <v>133</v>
      </c>
      <c r="B96" s="55" t="s">
        <v>134</v>
      </c>
      <c r="C96" s="61">
        <f>((isrms^2)*(rdsonqe*0.001))+(pout/VOUT)*vdsqe*(2*tr*0.000000001)*((fs*1000)/2)+(2*(cossqeavg*0.000000000001)*(vdsqe^2)*((fs*1000)/2))+(2*(qeg*0.000000001)*vg*((fs*1000)/2))</f>
        <v>14.579898049894071</v>
      </c>
      <c r="D96" s="55" t="s">
        <v>18</v>
      </c>
      <c r="G96" s="55">
        <v>7.66</v>
      </c>
    </row>
    <row r="97" spans="1:6" ht="18.75" x14ac:dyDescent="0.35">
      <c r="A97" s="57" t="s">
        <v>57</v>
      </c>
      <c r="B97" s="55" t="s">
        <v>24</v>
      </c>
      <c r="C97" s="61">
        <f>C83-2*C96</f>
        <v>-3.8909458178317493</v>
      </c>
      <c r="D97" s="55" t="s">
        <v>18</v>
      </c>
      <c r="E97" s="83" t="str">
        <f>IF(C97&lt;0,"PBudget Cannot be Made with Selected Components","")</f>
        <v>PBudget Cannot be Made with Selected Components</v>
      </c>
    </row>
    <row r="98" spans="1:6" ht="18.75" x14ac:dyDescent="0.35">
      <c r="A98" s="80" t="s">
        <v>285</v>
      </c>
      <c r="B98" s="59"/>
      <c r="C98" s="100"/>
      <c r="D98" s="59"/>
      <c r="E98" s="80"/>
      <c r="F98" s="80"/>
    </row>
    <row r="99" spans="1:6" hidden="1" x14ac:dyDescent="0.25">
      <c r="A99" s="57" t="s">
        <v>166</v>
      </c>
      <c r="B99" s="55" t="s">
        <v>165</v>
      </c>
      <c r="C99" s="61">
        <f>1/(2*PI()*(ls*0.000001*2*cossqaavg*0.000000000001)^0.5)</f>
        <v>1590311.2108085777</v>
      </c>
      <c r="D99" s="55" t="s">
        <v>19</v>
      </c>
    </row>
    <row r="100" spans="1:6" ht="18.75" x14ac:dyDescent="0.35">
      <c r="A100" s="57" t="s">
        <v>167</v>
      </c>
      <c r="B100" s="55" t="s">
        <v>164</v>
      </c>
      <c r="C100" s="61">
        <f>2.2*1000000000/(C99*4)</f>
        <v>345.84425756538434</v>
      </c>
      <c r="D100" s="55" t="s">
        <v>132</v>
      </c>
    </row>
    <row r="101" spans="1:6" hidden="1" x14ac:dyDescent="0.25">
      <c r="A101" s="57" t="s">
        <v>170</v>
      </c>
      <c r="B101" s="55" t="s">
        <v>171</v>
      </c>
      <c r="C101" s="61">
        <f>1/(fs*1000)</f>
        <v>5.0000000000000004E-6</v>
      </c>
      <c r="E101" s="55" t="s">
        <v>19</v>
      </c>
    </row>
    <row r="102" spans="1:6" ht="18.75" x14ac:dyDescent="0.35">
      <c r="A102" s="57" t="s">
        <v>169</v>
      </c>
      <c r="B102" s="55" t="s">
        <v>168</v>
      </c>
      <c r="C102" s="61">
        <f>(C101-C100*0.000000001)/C101</f>
        <v>0.93083114848692317</v>
      </c>
    </row>
    <row r="103" spans="1:6" ht="18.75" x14ac:dyDescent="0.35">
      <c r="A103" s="55" t="s">
        <v>102</v>
      </c>
      <c r="B103" s="55" t="s">
        <v>101</v>
      </c>
      <c r="C103" s="61">
        <f>((2*dclamp*vrdson)+(_taa1*(VOUT+vrdson)))/dclamp</f>
        <v>278.09393691849448</v>
      </c>
      <c r="D103" s="55" t="s">
        <v>17</v>
      </c>
    </row>
    <row r="104" spans="1:6" ht="18.75" x14ac:dyDescent="0.35">
      <c r="A104" s="55" t="s">
        <v>104</v>
      </c>
      <c r="B104" s="55" t="s">
        <v>103</v>
      </c>
      <c r="C104" s="61">
        <f>((2*pout*(1/60))/(vin^2-C103^2))*1000000</f>
        <v>267.50927719961533</v>
      </c>
      <c r="D104" s="55" t="s">
        <v>92</v>
      </c>
      <c r="E104" s="83" t="str">
        <f>IF(VINMIN&lt;200,"Non-PFC Cin Capacitance Cannot Be Calculated, Use Other Method","")</f>
        <v/>
      </c>
    </row>
    <row r="105" spans="1:6" ht="18.75" x14ac:dyDescent="0.35">
      <c r="A105" s="55" t="s">
        <v>105</v>
      </c>
      <c r="B105" s="55" t="s">
        <v>106</v>
      </c>
      <c r="C105" s="61">
        <f>(    (iprms1^2)    -(        ( pout/(VINMIN*Eff)       )   ^2)           )^0.5</f>
        <v>1.7099320524418005</v>
      </c>
      <c r="D105" s="55" t="s">
        <v>34</v>
      </c>
    </row>
    <row r="106" spans="1:6" ht="18.75" x14ac:dyDescent="0.35">
      <c r="A106" s="55" t="s">
        <v>176</v>
      </c>
      <c r="B106" s="55" t="s">
        <v>103</v>
      </c>
      <c r="C106" s="92">
        <v>330</v>
      </c>
      <c r="D106" s="55" t="s">
        <v>92</v>
      </c>
    </row>
    <row r="107" spans="1:6" ht="18.75" x14ac:dyDescent="0.35">
      <c r="A107" s="55" t="s">
        <v>269</v>
      </c>
      <c r="B107" s="55" t="s">
        <v>107</v>
      </c>
      <c r="C107" s="92">
        <v>150</v>
      </c>
      <c r="D107" s="55" t="s">
        <v>205</v>
      </c>
    </row>
    <row r="108" spans="1:6" ht="18.75" x14ac:dyDescent="0.35">
      <c r="A108" s="55" t="s">
        <v>270</v>
      </c>
      <c r="B108" s="55" t="s">
        <v>108</v>
      </c>
      <c r="C108" s="61">
        <f>(C105^2)*(C107*0.001)</f>
        <v>0.43858014359517422</v>
      </c>
      <c r="D108" s="55" t="s">
        <v>18</v>
      </c>
    </row>
    <row r="109" spans="1:6" ht="54.75" customHeight="1" x14ac:dyDescent="0.35">
      <c r="A109" s="57" t="s">
        <v>286</v>
      </c>
      <c r="B109" s="55" t="s">
        <v>24</v>
      </c>
      <c r="C109" s="61">
        <f>C97-C108</f>
        <v>-4.3295259614269233</v>
      </c>
      <c r="D109" s="55" t="s">
        <v>18</v>
      </c>
      <c r="E109" s="83" t="str">
        <f>IF(C109&lt;0,"PBudget Cannot be Made with Selected Components","")</f>
        <v>PBudget Cannot be Made with Selected Components</v>
      </c>
    </row>
    <row r="110" spans="1:6" ht="18.75" x14ac:dyDescent="0.35">
      <c r="A110" s="80" t="s">
        <v>293</v>
      </c>
      <c r="B110" s="80"/>
      <c r="C110" s="99" t="s">
        <v>19</v>
      </c>
      <c r="D110" s="80" t="s">
        <v>19</v>
      </c>
      <c r="E110" s="80" t="s">
        <v>19</v>
      </c>
      <c r="F110" s="80"/>
    </row>
    <row r="111" spans="1:6" ht="18.75" x14ac:dyDescent="0.35">
      <c r="A111" s="55" t="s">
        <v>137</v>
      </c>
      <c r="B111" s="55" t="s">
        <v>136</v>
      </c>
      <c r="C111" s="92">
        <v>100</v>
      </c>
    </row>
    <row r="112" spans="1:6" ht="18.75" x14ac:dyDescent="0.35">
      <c r="A112" s="55" t="s">
        <v>158</v>
      </c>
      <c r="B112" s="55" t="s">
        <v>157</v>
      </c>
      <c r="C112" s="93">
        <f>((pout/(VOUT)+(dilout/2))/(Eff*_taa1))+((VINMIN*dmax)/(lmag2*fs))</f>
        <v>3.2522516641065029</v>
      </c>
      <c r="D112" s="55" t="s">
        <v>34</v>
      </c>
      <c r="E112" s="55" t="s">
        <v>19</v>
      </c>
    </row>
    <row r="113" spans="1:6" ht="18.75" x14ac:dyDescent="0.35">
      <c r="A113" s="55" t="s">
        <v>155</v>
      </c>
      <c r="B113" s="55" t="s">
        <v>154</v>
      </c>
      <c r="C113" s="61">
        <f>(2-0.2)/((_ipp1/_ta2)*1.1)</f>
        <v>50.314791269795464</v>
      </c>
      <c r="D113" s="55" t="s">
        <v>156</v>
      </c>
    </row>
    <row r="114" spans="1:6" ht="18.75" x14ac:dyDescent="0.35">
      <c r="A114" s="55" t="s">
        <v>295</v>
      </c>
      <c r="B114" s="55" t="s">
        <v>154</v>
      </c>
      <c r="C114" s="61">
        <f>(IF((10^(LOG(C113)-INT(LOG(C113)))*100)-VLOOKUP((10^(LOG(C113)-INT(LOG(C113)))*100),E48_s:E48_f,1)&lt;VLOOKUP((10^(LOG(C113)-INT(LOG(C113)))*100),E48_s:E48_f,2)-(10^(LOG(C113)-INT(LOG(C113)))*100),VLOOKUP((10^(LOG(C113)-INT(LOG(C113)))*100),E48_s:E48_f,1),VLOOKUP((10^(LOG(C113)-INT(LOG(C113)))*100),E48_s:E48_f,2)))*10^INT(LOG(C113))/100</f>
        <v>51.1</v>
      </c>
      <c r="D114" s="55" t="s">
        <v>156</v>
      </c>
    </row>
    <row r="115" spans="1:6" ht="18.75" x14ac:dyDescent="0.35">
      <c r="A115" s="55" t="s">
        <v>159</v>
      </c>
      <c r="B115" s="55" t="s">
        <v>154</v>
      </c>
      <c r="C115" s="92">
        <v>48.7</v>
      </c>
      <c r="D115" s="55" t="s">
        <v>156</v>
      </c>
      <c r="E115" s="55" t="s">
        <v>19</v>
      </c>
    </row>
    <row r="116" spans="1:6" ht="18.75" x14ac:dyDescent="0.35">
      <c r="A116" s="55" t="s">
        <v>160</v>
      </c>
      <c r="B116" s="55" t="s">
        <v>161</v>
      </c>
      <c r="C116" s="61">
        <f>((iprms1/_ta2)^2)*C115</f>
        <v>2.9046066233650247E-2</v>
      </c>
      <c r="D116" s="55" t="s">
        <v>18</v>
      </c>
    </row>
    <row r="117" spans="1:6" ht="18.75" x14ac:dyDescent="0.35">
      <c r="A117" s="55" t="s">
        <v>163</v>
      </c>
      <c r="B117" s="55" t="s">
        <v>162</v>
      </c>
      <c r="C117" s="61">
        <f>(2*(dclamp))/(1-dclamp)</f>
        <v>26.914749287428702</v>
      </c>
      <c r="D117" s="55" t="s">
        <v>17</v>
      </c>
    </row>
    <row r="118" spans="1:6" ht="18.75" x14ac:dyDescent="0.35">
      <c r="A118" s="55" t="s">
        <v>177</v>
      </c>
      <c r="B118" s="55" t="s">
        <v>178</v>
      </c>
      <c r="C118" s="61">
        <f>(pout*0.6)/(VINMIN*Eff*_ta2)</f>
        <v>1.0462074978204011E-2</v>
      </c>
      <c r="D118" s="55" t="s">
        <v>18</v>
      </c>
    </row>
    <row r="119" spans="1:6" ht="18.75" x14ac:dyDescent="0.35">
      <c r="A119" s="80" t="s">
        <v>287</v>
      </c>
      <c r="B119" s="59"/>
      <c r="C119" s="100"/>
      <c r="D119" s="59"/>
      <c r="E119" s="80" t="s">
        <v>19</v>
      </c>
      <c r="F119" s="80"/>
    </row>
    <row r="120" spans="1:6" x14ac:dyDescent="0.25">
      <c r="A120" s="55" t="s">
        <v>271</v>
      </c>
      <c r="B120" s="55" t="s">
        <v>179</v>
      </c>
      <c r="C120" s="92">
        <v>2.5</v>
      </c>
      <c r="D120" s="55" t="s">
        <v>17</v>
      </c>
      <c r="E120" s="83" t="str">
        <f>IF(_va1&gt;VOUT,"V1 Needs to be &lt; VOUT",IF(_va1=VOUT,"V1 Needs to be &lt; VOUT",""))</f>
        <v/>
      </c>
      <c r="F120" s="83"/>
    </row>
    <row r="121" spans="1:6" ht="18.75" x14ac:dyDescent="0.35">
      <c r="A121" s="55" t="s">
        <v>181</v>
      </c>
      <c r="B121" s="55" t="s">
        <v>180</v>
      </c>
      <c r="C121" s="92">
        <v>2.37</v>
      </c>
      <c r="D121" s="55" t="s">
        <v>208</v>
      </c>
      <c r="E121" s="83" t="str">
        <f>IF(_va1&lt;0.5,"V1 Needs to be Greater than 0.5","")</f>
        <v/>
      </c>
    </row>
    <row r="122" spans="1:6" ht="18.75" x14ac:dyDescent="0.35">
      <c r="A122" s="55" t="s">
        <v>183</v>
      </c>
      <c r="B122" s="55" t="s">
        <v>182</v>
      </c>
      <c r="C122" s="61">
        <f>C121*(5-C120)/C120</f>
        <v>2.37</v>
      </c>
      <c r="D122" s="55" t="s">
        <v>208</v>
      </c>
    </row>
    <row r="123" spans="1:6" ht="18.75" x14ac:dyDescent="0.35">
      <c r="A123" s="55" t="s">
        <v>295</v>
      </c>
      <c r="B123" s="55" t="s">
        <v>182</v>
      </c>
      <c r="C123" s="61">
        <f>(IF((10^(LOG(C122)-INT(LOG(C122)))*100)-VLOOKUP((10^(LOG(C122)-INT(LOG(C122)))*100),E48_s:E48_f,1)&lt;VLOOKUP((10^(LOG(C122)-INT(LOG(C122)))*100),E48_s:E48_f,2)-(10^(LOG(C122)-INT(LOG(C122)))*100),VLOOKUP((10^(LOG(C122)-INT(LOG(C122)))*100),E48_s:E48_f,1),VLOOKUP((10^(LOG(C122)-INT(LOG(C122)))*100),E48_s:E48_f,2)))*10^INT(LOG(C122))/100</f>
        <v>2.37</v>
      </c>
      <c r="D123" s="55" t="s">
        <v>208</v>
      </c>
    </row>
    <row r="124" spans="1:6" ht="18.75" x14ac:dyDescent="0.35">
      <c r="A124" s="55" t="s">
        <v>323</v>
      </c>
      <c r="B124" s="55" t="s">
        <v>182</v>
      </c>
      <c r="C124" s="92">
        <v>2.37</v>
      </c>
      <c r="D124" s="55" t="s">
        <v>208</v>
      </c>
    </row>
    <row r="125" spans="1:6" ht="18.75" x14ac:dyDescent="0.35">
      <c r="A125" s="55" t="s">
        <v>181</v>
      </c>
      <c r="B125" s="55" t="s">
        <v>184</v>
      </c>
      <c r="C125" s="92">
        <v>2.37</v>
      </c>
      <c r="D125" s="55" t="s">
        <v>208</v>
      </c>
    </row>
    <row r="126" spans="1:6" ht="18.75" x14ac:dyDescent="0.35">
      <c r="A126" s="55" t="s">
        <v>183</v>
      </c>
      <c r="B126" s="55" t="s">
        <v>185</v>
      </c>
      <c r="C126" s="61">
        <f>C125*(VOUT-_va1)/_va1</f>
        <v>9.0060000000000002</v>
      </c>
      <c r="D126" s="55" t="s">
        <v>208</v>
      </c>
    </row>
    <row r="127" spans="1:6" ht="18.75" x14ac:dyDescent="0.35">
      <c r="A127" s="55" t="s">
        <v>295</v>
      </c>
      <c r="B127" s="55" t="s">
        <v>185</v>
      </c>
      <c r="C127" s="61">
        <f>(IF((10^(LOG(C126)-INT(LOG(C126)))*100)-VLOOKUP((10^(LOG(C126)-INT(LOG(C126)))*100),E48_s:E48_f,1)&lt;VLOOKUP((10^(LOG(C126)-INT(LOG(C126)))*100),E48_s:E48_f,2)-(10^(LOG(C126)-INT(LOG(C126)))*100),VLOOKUP((10^(LOG(C126)-INT(LOG(C126)))*100),E48_s:E48_f,1),VLOOKUP((10^(LOG(C126)-INT(LOG(C126)))*100),E48_s:E48_f,2)))*10^INT(LOG(C126))/100</f>
        <v>9.09</v>
      </c>
      <c r="D127" s="55" t="s">
        <v>208</v>
      </c>
    </row>
    <row r="128" spans="1:6" ht="18.75" x14ac:dyDescent="0.35">
      <c r="A128" s="55" t="s">
        <v>323</v>
      </c>
      <c r="B128" s="55" t="s">
        <v>185</v>
      </c>
      <c r="C128" s="92">
        <v>9.09</v>
      </c>
      <c r="D128" s="55" t="s">
        <v>208</v>
      </c>
    </row>
    <row r="129" spans="1:5" ht="18.75" x14ac:dyDescent="0.35">
      <c r="A129" s="55" t="s">
        <v>280</v>
      </c>
      <c r="B129" s="55" t="s">
        <v>281</v>
      </c>
      <c r="C129" s="61">
        <f>fs/4</f>
        <v>50</v>
      </c>
      <c r="D129" s="55" t="s">
        <v>20</v>
      </c>
    </row>
    <row r="130" spans="1:5" ht="18.75" x14ac:dyDescent="0.35">
      <c r="A130" s="55" t="s">
        <v>187</v>
      </c>
      <c r="B130" s="55" t="s">
        <v>186</v>
      </c>
      <c r="C130" s="61">
        <f>fs/40</f>
        <v>5</v>
      </c>
      <c r="D130" s="55" t="s">
        <v>20</v>
      </c>
    </row>
    <row r="131" spans="1:5" ht="18.75" x14ac:dyDescent="0.35">
      <c r="A131" s="55" t="s">
        <v>272</v>
      </c>
      <c r="B131" s="55" t="s">
        <v>188</v>
      </c>
      <c r="C131" s="61">
        <f>(VOUT^2)/(pout*0.1)</f>
        <v>2.4</v>
      </c>
      <c r="D131" s="55" t="s">
        <v>156</v>
      </c>
    </row>
    <row r="132" spans="1:5" hidden="1" x14ac:dyDescent="0.25">
      <c r="A132" s="54" t="s">
        <v>189</v>
      </c>
      <c r="B132" s="54" t="s">
        <v>190</v>
      </c>
      <c r="C132" s="101">
        <f>_ta1*_ta2*(rload/RS)</f>
        <v>97.682776581359221</v>
      </c>
      <c r="D132" s="55" t="s">
        <v>19</v>
      </c>
    </row>
    <row r="133" spans="1:5" hidden="1" x14ac:dyDescent="0.25">
      <c r="A133" s="75" t="s">
        <v>197</v>
      </c>
      <c r="B133" s="54"/>
      <c r="C133" s="101" t="str">
        <f>(COMPLEX(1,2*PI()*fc*1000*esrcout*0.001*cout*0.000001))</f>
        <v>1+1.46084058391925i</v>
      </c>
    </row>
    <row r="134" spans="1:5" hidden="1" x14ac:dyDescent="0.25">
      <c r="A134" s="54" t="s">
        <v>191</v>
      </c>
      <c r="B134" s="54" t="s">
        <v>192</v>
      </c>
      <c r="C134" s="101" t="str">
        <f>IMDIV((COMPLEX(1,2*PI()*fc*1000*esrcout*0.001*cout*0.000001)),(COMPLEX(1,2*PI()*fc*1000*rload*cout*0.000001)))</f>
        <v>0.00258645244201294-0.00176381440445196i</v>
      </c>
    </row>
    <row r="135" spans="1:5" hidden="1" x14ac:dyDescent="0.25">
      <c r="A135" s="54" t="s">
        <v>193</v>
      </c>
      <c r="B135" s="54" t="s">
        <v>193</v>
      </c>
      <c r="C135" s="101" t="str">
        <f>IMDIV(1,(COMPLEX((1-(fc/fpp)^2),(fc/fpp))))</f>
        <v>0.999899000101-0.100999899000101i</v>
      </c>
    </row>
    <row r="136" spans="1:5" hidden="1" x14ac:dyDescent="0.25">
      <c r="A136" s="54" t="s">
        <v>194</v>
      </c>
      <c r="C136" s="101" t="str">
        <f>IMPRODUCT(n1divd1,d2a)</f>
        <v>0.00240804613387296-0.00202486769478713i</v>
      </c>
      <c r="E136" s="54"/>
    </row>
    <row r="137" spans="1:5" hidden="1" x14ac:dyDescent="0.25">
      <c r="A137" s="54" t="s">
        <v>195</v>
      </c>
      <c r="C137" s="101" t="str">
        <f>IMPRODUCT(constant,C136)</f>
        <v>0.235224632492718-0.197794698636703i</v>
      </c>
    </row>
    <row r="138" spans="1:5" hidden="1" x14ac:dyDescent="0.25">
      <c r="A138" s="54" t="s">
        <v>196</v>
      </c>
      <c r="B138" s="54" t="s">
        <v>198</v>
      </c>
      <c r="C138" s="101">
        <f>IMABS(C137)</f>
        <v>0.30733267079846621</v>
      </c>
    </row>
    <row r="139" spans="1:5" ht="18.75" x14ac:dyDescent="0.35">
      <c r="A139" s="55" t="s">
        <v>200</v>
      </c>
      <c r="B139" s="55" t="s">
        <v>199</v>
      </c>
      <c r="C139" s="61">
        <f>RII/C138</f>
        <v>29.577070268460911</v>
      </c>
      <c r="D139" s="55" t="s">
        <v>208</v>
      </c>
    </row>
    <row r="140" spans="1:5" ht="18.75" x14ac:dyDescent="0.35">
      <c r="A140" s="55" t="s">
        <v>295</v>
      </c>
      <c r="B140" s="55" t="s">
        <v>199</v>
      </c>
      <c r="C140" s="61">
        <f>(IF((10^(LOG(C139)-INT(LOG(C139)))*100)-VLOOKUP((10^(LOG(C139)-INT(LOG(C139)))*100),E48_s:E48_f,1)&lt;VLOOKUP((10^(LOG(C139)-INT(LOG(C139)))*100),E48_s:E48_f,2)-(10^(LOG(C139)-INT(LOG(C139)))*100),VLOOKUP((10^(LOG(C139)-INT(LOG(C139)))*100),E48_s:E48_f,1),VLOOKUP((10^(LOG(C139)-INT(LOG(C139)))*100),E48_s:E48_f,2)))*10^INT(LOG(C139))/100</f>
        <v>30.1</v>
      </c>
      <c r="D140" s="55" t="s">
        <v>208</v>
      </c>
    </row>
    <row r="141" spans="1:5" ht="18.75" x14ac:dyDescent="0.35">
      <c r="A141" s="55" t="s">
        <v>323</v>
      </c>
      <c r="B141" s="55" t="s">
        <v>199</v>
      </c>
      <c r="C141" s="92">
        <v>27.4</v>
      </c>
      <c r="D141" s="55" t="s">
        <v>208</v>
      </c>
    </row>
    <row r="142" spans="1:5" ht="18.75" x14ac:dyDescent="0.35">
      <c r="A142" s="55" t="s">
        <v>204</v>
      </c>
      <c r="B142" s="55" t="s">
        <v>201</v>
      </c>
      <c r="C142" s="61">
        <f>(1/(2*PI()*C141*(fc/5)))*10^3</f>
        <v>5.8085745653976408</v>
      </c>
      <c r="D142" s="55" t="s">
        <v>202</v>
      </c>
      <c r="E142" s="60"/>
    </row>
    <row r="143" spans="1:5" ht="18" customHeight="1" x14ac:dyDescent="0.25">
      <c r="A143" s="55" t="s">
        <v>294</v>
      </c>
      <c r="B143" s="55" t="s">
        <v>210</v>
      </c>
      <c r="C143" s="102">
        <f>IF(C142&lt;10000,C144*10^INT(LOG(C142)),C145*10^INT(LOG(C142)))</f>
        <v>5.6</v>
      </c>
      <c r="D143" s="55" t="s">
        <v>202</v>
      </c>
    </row>
    <row r="144" spans="1:5" ht="18" hidden="1" customHeight="1" x14ac:dyDescent="0.25">
      <c r="A144" s="54" t="s">
        <v>211</v>
      </c>
      <c r="C144" s="103">
        <f>IF((10^(LOG(C142)-INT(LOG(C142))))-VLOOKUP((10^(LOG(C142)-INT(LOG(C142)))),c_s1:C_f1,1)&lt;VLOOKUP((10^(LOG(C142)-INT(LOG(C142)))),c_s1:C_f1,2)-(10^(LOG(C142)-INT(LOG(C142)))),VLOOKUP((10^(LOG(C142)-INT(LOG(C142)))),c_s1:C_f1,1),VLOOKUP((10^(LOG(C142)-INT(LOG(C142)))),c_s1:C_f1,2))</f>
        <v>5.6</v>
      </c>
    </row>
    <row r="145" spans="1:5" ht="18" hidden="1" customHeight="1" x14ac:dyDescent="0.25">
      <c r="A145" s="54" t="s">
        <v>212</v>
      </c>
      <c r="C145" s="103">
        <f>IF((10^(LOG(C142)-INT(LOG(C142))))-VLOOKUP((10^(LOG(C142)-INT(LOG(C142)))),C_s2:C_f2,1)&lt;VLOOKUP((10^(LOG(C142)-INT(LOG(C142)))),C_s2:C_f2,2)-(10^(LOG(C142)-INT(LOG(C142)))),VLOOKUP((10^(LOG(C142)-INT(LOG(C142)))),C_s2:C_f2,1),VLOOKUP((10^(LOG(C142)-INT(LOG(C142)))),C_s2:C_f2,2))</f>
        <v>6.8</v>
      </c>
    </row>
    <row r="146" spans="1:5" ht="18.75" x14ac:dyDescent="0.35">
      <c r="A146" s="55" t="s">
        <v>325</v>
      </c>
      <c r="B146" s="55" t="s">
        <v>201</v>
      </c>
      <c r="C146" s="92">
        <v>5.6</v>
      </c>
      <c r="D146" s="55" t="s">
        <v>202</v>
      </c>
    </row>
    <row r="147" spans="1:5" ht="18.75" x14ac:dyDescent="0.35">
      <c r="A147" s="64" t="s">
        <v>203</v>
      </c>
      <c r="B147" s="64" t="s">
        <v>209</v>
      </c>
      <c r="C147" s="93">
        <f>1000000/(2*PI()*rf*fc*2)</f>
        <v>580.85745653976403</v>
      </c>
      <c r="D147" s="55" t="s">
        <v>62</v>
      </c>
      <c r="E147" s="65" t="s">
        <v>19</v>
      </c>
    </row>
    <row r="148" spans="1:5" ht="18.75" x14ac:dyDescent="0.35">
      <c r="A148" s="55" t="s">
        <v>294</v>
      </c>
      <c r="B148" s="64" t="s">
        <v>209</v>
      </c>
      <c r="C148" s="102">
        <f>IF(C147&lt;10000,C149*10^INT(LOG(C147)),C150*10^INT(LOG(C147)))</f>
        <v>560</v>
      </c>
      <c r="D148" s="55" t="s">
        <v>62</v>
      </c>
      <c r="E148" s="63"/>
    </row>
    <row r="149" spans="1:5" hidden="1" x14ac:dyDescent="0.25">
      <c r="A149" s="54" t="s">
        <v>211</v>
      </c>
      <c r="B149" s="66"/>
      <c r="C149" s="103">
        <f>IF((10^(LOG(C147)-INT(LOG(C147))))-VLOOKUP((10^(LOG(C147)-INT(LOG(C147)))),c_s1:C_f1,1)&lt;VLOOKUP((10^(LOG(C147)-INT(LOG(C147)))),c_s1:C_f1,2)-(10^(LOG(C147)-INT(LOG(C147)))),VLOOKUP((10^(LOG(C147)-INT(LOG(C147)))),c_s1:C_f1,1),VLOOKUP((10^(LOG(C147)-INT(LOG(C147)))),c_s1:C_f1,2))</f>
        <v>5.6</v>
      </c>
    </row>
    <row r="150" spans="1:5" hidden="1" x14ac:dyDescent="0.25">
      <c r="A150" s="54" t="s">
        <v>212</v>
      </c>
      <c r="B150" s="66"/>
      <c r="C150" s="103">
        <f>IF((10^(LOG(C147)-INT(LOG(C147))))-VLOOKUP((10^(LOG(C147)-INT(LOG(C147)))),C_s2:C_f2,1)&lt;VLOOKUP((10^(LOG(C147)-INT(LOG(C147)))),C_s2:C_f2,2)-(10^(LOG(C147)-INT(LOG(C147)))),VLOOKUP((10^(LOG(C147)-INT(LOG(C147)))),C_s2:C_f2,1),VLOOKUP((10^(LOG(C147)-INT(LOG(C147)))),C_s2:C_f2,2))</f>
        <v>6.8</v>
      </c>
    </row>
    <row r="151" spans="1:5" ht="18.75" x14ac:dyDescent="0.35">
      <c r="A151" s="55" t="s">
        <v>325</v>
      </c>
      <c r="B151" s="55" t="s">
        <v>209</v>
      </c>
      <c r="C151" s="92">
        <v>560</v>
      </c>
      <c r="D151" s="55" t="s">
        <v>62</v>
      </c>
    </row>
    <row r="152" spans="1:5" x14ac:dyDescent="0.25">
      <c r="C152" s="92"/>
    </row>
    <row r="153" spans="1:5" x14ac:dyDescent="0.25">
      <c r="C153" s="92"/>
    </row>
    <row r="154" spans="1:5" x14ac:dyDescent="0.25">
      <c r="C154" s="92"/>
    </row>
    <row r="155" spans="1:5" x14ac:dyDescent="0.25">
      <c r="C155" s="92"/>
    </row>
    <row r="156" spans="1:5" x14ac:dyDescent="0.25">
      <c r="C156" s="92"/>
    </row>
    <row r="157" spans="1:5" x14ac:dyDescent="0.25">
      <c r="C157" s="92"/>
    </row>
    <row r="158" spans="1:5" x14ac:dyDescent="0.25">
      <c r="C158" s="92"/>
    </row>
    <row r="159" spans="1:5" x14ac:dyDescent="0.25">
      <c r="C159" s="92"/>
    </row>
    <row r="160" spans="1:5" x14ac:dyDescent="0.25">
      <c r="C160" s="92"/>
    </row>
    <row r="161" spans="1:6" x14ac:dyDescent="0.25">
      <c r="C161" s="92"/>
    </row>
    <row r="162" spans="1:6" x14ac:dyDescent="0.25">
      <c r="C162" s="92"/>
    </row>
    <row r="163" spans="1:6" x14ac:dyDescent="0.25">
      <c r="C163" s="92"/>
    </row>
    <row r="164" spans="1:6" x14ac:dyDescent="0.25">
      <c r="C164" s="92"/>
    </row>
    <row r="165" spans="1:6" x14ac:dyDescent="0.25">
      <c r="C165" s="92"/>
    </row>
    <row r="166" spans="1:6" x14ac:dyDescent="0.25">
      <c r="C166" s="92"/>
    </row>
    <row r="167" spans="1:6" x14ac:dyDescent="0.25">
      <c r="C167" s="92"/>
    </row>
    <row r="168" spans="1:6" x14ac:dyDescent="0.25">
      <c r="C168" s="92"/>
    </row>
    <row r="169" spans="1:6" x14ac:dyDescent="0.25">
      <c r="C169" s="92"/>
    </row>
    <row r="170" spans="1:6" x14ac:dyDescent="0.25">
      <c r="C170" s="92"/>
    </row>
    <row r="171" spans="1:6" x14ac:dyDescent="0.25">
      <c r="C171" s="92"/>
    </row>
    <row r="172" spans="1:6" x14ac:dyDescent="0.25">
      <c r="C172" s="92"/>
    </row>
    <row r="173" spans="1:6" ht="18.75" x14ac:dyDescent="0.35">
      <c r="A173" s="80" t="s">
        <v>288</v>
      </c>
      <c r="B173" s="59"/>
      <c r="C173" s="100"/>
      <c r="D173" s="59"/>
      <c r="E173" s="80" t="s">
        <v>19</v>
      </c>
      <c r="F173" s="80"/>
    </row>
    <row r="174" spans="1:6" ht="18.75" x14ac:dyDescent="0.35">
      <c r="A174" s="64" t="s">
        <v>214</v>
      </c>
      <c r="B174" s="64" t="s">
        <v>213</v>
      </c>
      <c r="C174" s="92">
        <v>15</v>
      </c>
      <c r="D174" s="55" t="s">
        <v>215</v>
      </c>
    </row>
    <row r="175" spans="1:6" ht="18.75" x14ac:dyDescent="0.35">
      <c r="A175" s="64" t="s">
        <v>273</v>
      </c>
      <c r="B175" s="64" t="s">
        <v>216</v>
      </c>
      <c r="C175" s="93">
        <f>(C174)*(25)/(_va1+0.55)</f>
        <v>122.95081967213116</v>
      </c>
      <c r="D175" s="55" t="s">
        <v>202</v>
      </c>
    </row>
    <row r="176" spans="1:6" ht="18.75" x14ac:dyDescent="0.35">
      <c r="A176" s="55" t="s">
        <v>294</v>
      </c>
      <c r="B176" s="64" t="s">
        <v>216</v>
      </c>
      <c r="C176" s="102">
        <f>IF(C175&lt;10000,C177*10^INT(LOG(C175)),C178*10^INT(LOG(C175)))</f>
        <v>120</v>
      </c>
      <c r="D176" s="55" t="s">
        <v>202</v>
      </c>
    </row>
    <row r="177" spans="1:6" hidden="1" x14ac:dyDescent="0.25">
      <c r="A177" s="54" t="s">
        <v>211</v>
      </c>
      <c r="B177" s="66"/>
      <c r="C177" s="103">
        <f>IF((10^(LOG(C175)-INT(LOG(C175))))-VLOOKUP((10^(LOG(C175)-INT(LOG(C175)))),c_s1:C_f1,1)&lt;VLOOKUP((10^(LOG(C175)-INT(LOG(C175)))),c_s1:C_f1,2)-(10^(LOG(C175)-INT(LOG(C175)))),VLOOKUP((10^(LOG(C175)-INT(LOG(C175)))),c_s1:C_f1,1),VLOOKUP((10^(LOG(C175)-INT(LOG(C175)))),c_s1:C_f1,2))</f>
        <v>1.2</v>
      </c>
    </row>
    <row r="178" spans="1:6" hidden="1" x14ac:dyDescent="0.25">
      <c r="A178" s="54" t="s">
        <v>217</v>
      </c>
      <c r="B178" s="66"/>
      <c r="C178" s="103">
        <f>IF((10^(LOG(C175)-INT(LOG(C175))))-VLOOKUP((10^(LOG(C175)-INT(LOG(C175)))),C_s2:C_f2,1)&lt;VLOOKUP((10^(LOG(C175)-INT(LOG(C175)))),C_s2:C_f2,2)-(10^(LOG(C175)-INT(LOG(C175)))),VLOOKUP((10^(LOG(C175)-INT(LOG(C175)))),C_s2:C_f2,1),VLOOKUP((10^(LOG(C175)-INT(LOG(C175)))),C_s2:C_f2,2))</f>
        <v>1</v>
      </c>
    </row>
    <row r="179" spans="1:6" ht="18.75" x14ac:dyDescent="0.35">
      <c r="A179" s="55" t="s">
        <v>325</v>
      </c>
      <c r="B179" s="55" t="s">
        <v>216</v>
      </c>
      <c r="C179" s="92">
        <v>150</v>
      </c>
      <c r="D179" s="55" t="s">
        <v>202</v>
      </c>
    </row>
    <row r="180" spans="1:6" ht="18.75" x14ac:dyDescent="0.35">
      <c r="A180" s="80" t="s">
        <v>313</v>
      </c>
      <c r="B180" s="59"/>
      <c r="C180" s="100"/>
      <c r="D180" s="59"/>
      <c r="E180" s="80" t="s">
        <v>19</v>
      </c>
      <c r="F180" s="80"/>
    </row>
    <row r="181" spans="1:6" ht="18.75" x14ac:dyDescent="0.35">
      <c r="A181" s="64" t="s">
        <v>274</v>
      </c>
      <c r="B181" s="64" t="s">
        <v>218</v>
      </c>
      <c r="C181" s="93">
        <f>tdelay</f>
        <v>345.84425756538434</v>
      </c>
      <c r="D181" s="55" t="s">
        <v>132</v>
      </c>
    </row>
    <row r="182" spans="1:6" ht="18.75" x14ac:dyDescent="0.35">
      <c r="A182" s="64" t="s">
        <v>312</v>
      </c>
      <c r="B182" s="64" t="s">
        <v>218</v>
      </c>
      <c r="C182" s="92">
        <v>346</v>
      </c>
      <c r="D182" s="55" t="s">
        <v>132</v>
      </c>
    </row>
    <row r="183" spans="1:6" ht="18.75" x14ac:dyDescent="0.35">
      <c r="A183" s="64" t="s">
        <v>307</v>
      </c>
      <c r="B183" s="64" t="s">
        <v>304</v>
      </c>
      <c r="C183" s="92">
        <v>8.25</v>
      </c>
      <c r="D183" s="55" t="s">
        <v>208</v>
      </c>
    </row>
    <row r="184" spans="1:6" ht="18.75" x14ac:dyDescent="0.35">
      <c r="A184" s="64" t="s">
        <v>306</v>
      </c>
      <c r="B184" s="64" t="s">
        <v>305</v>
      </c>
      <c r="C184" s="93">
        <f>IF(tabset&gt;155, 0.2, 1.8)</f>
        <v>0.2</v>
      </c>
      <c r="D184" s="55" t="s">
        <v>17</v>
      </c>
    </row>
    <row r="185" spans="1:6" ht="18.75" x14ac:dyDescent="0.35">
      <c r="A185" s="64" t="s">
        <v>308</v>
      </c>
      <c r="B185" s="64" t="s">
        <v>309</v>
      </c>
      <c r="C185" s="93">
        <f>C183*C184/(5-C184)</f>
        <v>0.34375000000000006</v>
      </c>
      <c r="D185" s="55" t="s">
        <v>208</v>
      </c>
    </row>
    <row r="186" spans="1:6" ht="18.75" x14ac:dyDescent="0.35">
      <c r="A186" s="55" t="s">
        <v>295</v>
      </c>
      <c r="B186" s="64" t="s">
        <v>309</v>
      </c>
      <c r="C186" s="61">
        <f>(IF((10^(LOG(C185)-INT(LOG(C185)))*100)-VLOOKUP((10^(LOG(C185)-INT(LOG(C185)))*100),E48_s:E48_f,1)&lt;VLOOKUP((10^(LOG(C185)-INT(LOG(C185)))*100),E48_s:E48_f,2)-(10^(LOG(C185)-INT(LOG(C185)))*100),VLOOKUP((10^(LOG(C185)-INT(LOG(C185)))*100),E48_s:E48_f,1),VLOOKUP((10^(LOG(C185)-INT(LOG(C185)))*100),E48_s:E48_f,2)))*10^INT(LOG(C185))/100</f>
        <v>0.34800000000000003</v>
      </c>
      <c r="D186" s="55" t="s">
        <v>208</v>
      </c>
    </row>
    <row r="187" spans="1:6" ht="18.75" x14ac:dyDescent="0.35">
      <c r="A187" s="64" t="s">
        <v>310</v>
      </c>
      <c r="B187" s="64" t="s">
        <v>309</v>
      </c>
      <c r="C187" s="92">
        <v>0.34799999999999998</v>
      </c>
      <c r="D187" s="55" t="s">
        <v>208</v>
      </c>
    </row>
    <row r="188" spans="1:6" ht="18.75" x14ac:dyDescent="0.35">
      <c r="A188" s="64" t="s">
        <v>311</v>
      </c>
      <c r="B188" s="64" t="s">
        <v>305</v>
      </c>
      <c r="C188" s="93">
        <f>5*C187/(C183+C187)</f>
        <v>0.2023726448011165</v>
      </c>
      <c r="D188" s="55" t="s">
        <v>17</v>
      </c>
    </row>
    <row r="189" spans="1:6" ht="18.75" x14ac:dyDescent="0.35">
      <c r="A189" s="55" t="s">
        <v>275</v>
      </c>
      <c r="B189" s="64" t="s">
        <v>219</v>
      </c>
      <c r="C189" s="93">
        <f>(tabset-5)*(0.15+(C188*1.46))/5</f>
        <v>30.380648988136766</v>
      </c>
      <c r="D189" s="55" t="s">
        <v>208</v>
      </c>
    </row>
    <row r="190" spans="1:6" ht="18.75" x14ac:dyDescent="0.35">
      <c r="A190" s="55" t="s">
        <v>295</v>
      </c>
      <c r="B190" s="64" t="s">
        <v>219</v>
      </c>
      <c r="C190" s="61">
        <f>(IF((10^(LOG(C189)-INT(LOG(C189)))*100)-VLOOKUP((10^(LOG(C189)-INT(LOG(C189)))*100),E48_s:E48_f,1)&lt;VLOOKUP((10^(LOG(C189)-INT(LOG(C189)))*100),E48_s:E48_f,2)-(10^(LOG(C189)-INT(LOG(C189)))*100),VLOOKUP((10^(LOG(C189)-INT(LOG(C189)))*100),E48_s:E48_f,1),VLOOKUP((10^(LOG(C189)-INT(LOG(C189)))*100),E48_s:E48_f,2)))*10^INT(LOG(C189))/100</f>
        <v>30.1</v>
      </c>
      <c r="D190" s="55" t="s">
        <v>208</v>
      </c>
    </row>
    <row r="191" spans="1:6" ht="18.75" x14ac:dyDescent="0.35">
      <c r="A191" s="55" t="s">
        <v>326</v>
      </c>
      <c r="B191" s="64" t="s">
        <v>219</v>
      </c>
      <c r="C191" s="92">
        <v>30.1</v>
      </c>
      <c r="D191" s="55" t="s">
        <v>208</v>
      </c>
    </row>
    <row r="192" spans="1:6" ht="18.75" x14ac:dyDescent="0.35">
      <c r="A192" s="80" t="s">
        <v>314</v>
      </c>
      <c r="B192" s="59"/>
      <c r="C192" s="100"/>
      <c r="D192" s="59"/>
      <c r="E192" s="80" t="s">
        <v>19</v>
      </c>
      <c r="F192" s="80"/>
    </row>
    <row r="193" spans="1:6" ht="18.75" x14ac:dyDescent="0.35">
      <c r="A193" s="55" t="s">
        <v>276</v>
      </c>
      <c r="B193" s="64" t="s">
        <v>221</v>
      </c>
      <c r="C193" s="93">
        <f>tdelay</f>
        <v>345.84425756538434</v>
      </c>
      <c r="D193" s="55" t="s">
        <v>132</v>
      </c>
    </row>
    <row r="194" spans="1:6" ht="18.75" x14ac:dyDescent="0.35">
      <c r="A194" s="64" t="s">
        <v>312</v>
      </c>
      <c r="B194" s="64" t="s">
        <v>221</v>
      </c>
      <c r="C194" s="92">
        <v>346</v>
      </c>
      <c r="D194" s="55" t="s">
        <v>132</v>
      </c>
    </row>
    <row r="195" spans="1:6" ht="18.75" x14ac:dyDescent="0.35">
      <c r="A195" s="55" t="s">
        <v>275</v>
      </c>
      <c r="B195" s="64" t="s">
        <v>220</v>
      </c>
      <c r="C195" s="93">
        <f>(tcdset-5)*(0.15+(vadel*1.46))/5</f>
        <v>30.380648988136766</v>
      </c>
      <c r="D195" s="55" t="s">
        <v>208</v>
      </c>
    </row>
    <row r="196" spans="1:6" ht="18.75" x14ac:dyDescent="0.35">
      <c r="A196" s="55" t="s">
        <v>295</v>
      </c>
      <c r="B196" s="64" t="s">
        <v>220</v>
      </c>
      <c r="C196" s="61">
        <f>(IF((10^(LOG(C195)-INT(LOG(C195)))*100)-VLOOKUP((10^(LOG(C195)-INT(LOG(C195)))*100),E48_s:E48_f,1)&lt;VLOOKUP((10^(LOG(C195)-INT(LOG(C195)))*100),E48_s:E48_f,2)-(10^(LOG(C195)-INT(LOG(C195)))*100),VLOOKUP((10^(LOG(C195)-INT(LOG(C195)))*100),E48_s:E48_f,1),VLOOKUP((10^(LOG(C195)-INT(LOG(C195)))*100),E48_s:E48_f,2)))*10^INT(LOG(C195))/100</f>
        <v>30.1</v>
      </c>
      <c r="D196" s="55" t="s">
        <v>208</v>
      </c>
    </row>
    <row r="197" spans="1:6" ht="18.75" x14ac:dyDescent="0.35">
      <c r="A197" s="55" t="s">
        <v>326</v>
      </c>
      <c r="B197" s="64" t="s">
        <v>220</v>
      </c>
      <c r="C197" s="92">
        <v>30.1</v>
      </c>
      <c r="D197" s="55" t="s">
        <v>208</v>
      </c>
    </row>
    <row r="198" spans="1:6" ht="18.75" x14ac:dyDescent="0.35">
      <c r="A198" s="80" t="s">
        <v>324</v>
      </c>
      <c r="B198" s="59"/>
      <c r="C198" s="100"/>
      <c r="D198" s="59"/>
      <c r="E198" s="80" t="s">
        <v>19</v>
      </c>
      <c r="F198" s="80"/>
    </row>
    <row r="199" spans="1:6" ht="18.75" x14ac:dyDescent="0.35">
      <c r="A199" s="55" t="s">
        <v>222</v>
      </c>
      <c r="B199" s="55" t="s">
        <v>321</v>
      </c>
      <c r="C199" s="61">
        <f>C182/2</f>
        <v>173</v>
      </c>
      <c r="D199" s="55" t="s">
        <v>132</v>
      </c>
    </row>
    <row r="200" spans="1:6" ht="18.75" x14ac:dyDescent="0.35">
      <c r="A200" s="55" t="s">
        <v>322</v>
      </c>
      <c r="B200" s="55" t="s">
        <v>321</v>
      </c>
      <c r="C200" s="92">
        <v>173</v>
      </c>
      <c r="D200" s="55" t="s">
        <v>132</v>
      </c>
    </row>
    <row r="201" spans="1:6" ht="18.75" x14ac:dyDescent="0.35">
      <c r="A201" s="64" t="s">
        <v>316</v>
      </c>
      <c r="B201" s="55" t="s">
        <v>315</v>
      </c>
      <c r="C201" s="92">
        <v>8.25</v>
      </c>
      <c r="D201" s="55" t="s">
        <v>208</v>
      </c>
    </row>
    <row r="202" spans="1:6" ht="18.75" x14ac:dyDescent="0.35">
      <c r="A202" s="64" t="s">
        <v>319</v>
      </c>
      <c r="B202" s="55" t="s">
        <v>320</v>
      </c>
      <c r="C202" s="93">
        <f>IF(tafset&lt;170, 0.2,1.7)</f>
        <v>1.7</v>
      </c>
      <c r="D202" s="55" t="s">
        <v>17</v>
      </c>
    </row>
    <row r="203" spans="1:6" ht="18.75" x14ac:dyDescent="0.35">
      <c r="A203" s="64" t="s">
        <v>317</v>
      </c>
      <c r="B203" s="55" t="s">
        <v>318</v>
      </c>
      <c r="C203" s="93">
        <f>C202*C201/(5-C202)</f>
        <v>4.25</v>
      </c>
      <c r="D203" s="55" t="s">
        <v>208</v>
      </c>
    </row>
    <row r="204" spans="1:6" ht="18.75" x14ac:dyDescent="0.35">
      <c r="A204" s="55" t="s">
        <v>295</v>
      </c>
      <c r="B204" s="55" t="s">
        <v>318</v>
      </c>
      <c r="C204" s="61">
        <f>(IF((10^(LOG(C203)-INT(LOG(C203)))*100)-VLOOKUP((10^(LOG(C203)-INT(LOG(C203)))*100),E48_s:E48_f,1)&lt;VLOOKUP((10^(LOG(C203)-INT(LOG(C203)))*100),E48_s:E48_f,2)-(10^(LOG(C203)-INT(LOG(C203)))*100),VLOOKUP((10^(LOG(C203)-INT(LOG(C203)))*100),E48_s:E48_f,1),VLOOKUP((10^(LOG(C203)-INT(LOG(C203)))*100),E48_s:E48_f,2)))*10^INT(LOG(C203))/100</f>
        <v>4.22</v>
      </c>
      <c r="D204" s="55" t="s">
        <v>208</v>
      </c>
    </row>
    <row r="205" spans="1:6" ht="18.75" x14ac:dyDescent="0.35">
      <c r="A205" s="55" t="s">
        <v>323</v>
      </c>
      <c r="B205" s="55" t="s">
        <v>318</v>
      </c>
      <c r="C205" s="92">
        <v>4.22</v>
      </c>
      <c r="D205" s="55" t="s">
        <v>208</v>
      </c>
    </row>
    <row r="206" spans="1:6" ht="18.75" x14ac:dyDescent="0.35">
      <c r="A206" s="64" t="s">
        <v>319</v>
      </c>
      <c r="B206" s="55" t="s">
        <v>320</v>
      </c>
      <c r="C206" s="61">
        <f>5*C205/(C205+C201)</f>
        <v>1.6920609462710505</v>
      </c>
      <c r="D206" s="55" t="s">
        <v>17</v>
      </c>
    </row>
    <row r="207" spans="1:6" ht="18.75" x14ac:dyDescent="0.35">
      <c r="A207" s="55" t="s">
        <v>275</v>
      </c>
      <c r="B207" s="64" t="s">
        <v>223</v>
      </c>
      <c r="C207" s="93">
        <f>(tafset-4)*(2.65-(C206*1.32))/5</f>
        <v>14.077008821170798</v>
      </c>
      <c r="D207" s="55" t="s">
        <v>208</v>
      </c>
    </row>
    <row r="208" spans="1:6" ht="18.75" x14ac:dyDescent="0.35">
      <c r="A208" s="55" t="s">
        <v>295</v>
      </c>
      <c r="B208" s="64" t="s">
        <v>223</v>
      </c>
      <c r="C208" s="61">
        <f>(IF((10^(LOG(C207)-INT(LOG(C207)))*100)-VLOOKUP((10^(LOG(C207)-INT(LOG(C207)))*100),E48_s:E48_f,1)&lt;VLOOKUP((10^(LOG(C207)-INT(LOG(C207)))*100),E48_s:E48_f,2)-(10^(LOG(C207)-INT(LOG(C207)))*100),VLOOKUP((10^(LOG(C207)-INT(LOG(C207)))*100),E48_s:E48_f,1),VLOOKUP((10^(LOG(C207)-INT(LOG(C207)))*100),E48_s:E48_f,2)))*10^INT(LOG(C207))/100</f>
        <v>14</v>
      </c>
      <c r="D208" s="55" t="s">
        <v>208</v>
      </c>
    </row>
    <row r="209" spans="1:6" ht="18.75" x14ac:dyDescent="0.35">
      <c r="A209" s="55" t="s">
        <v>327</v>
      </c>
      <c r="B209" s="64" t="s">
        <v>223</v>
      </c>
      <c r="C209" s="92">
        <v>14</v>
      </c>
      <c r="D209" s="55" t="s">
        <v>208</v>
      </c>
    </row>
    <row r="210" spans="1:6" x14ac:dyDescent="0.25">
      <c r="A210" s="80" t="s">
        <v>224</v>
      </c>
      <c r="B210" s="68"/>
      <c r="C210" s="100"/>
      <c r="D210" s="59"/>
      <c r="E210" s="80" t="s">
        <v>19</v>
      </c>
      <c r="F210" s="80"/>
    </row>
    <row r="211" spans="1:6" ht="18.75" x14ac:dyDescent="0.35">
      <c r="A211" s="55" t="s">
        <v>225</v>
      </c>
      <c r="B211" s="55" t="s">
        <v>226</v>
      </c>
      <c r="C211" s="92">
        <v>100</v>
      </c>
      <c r="D211" s="55" t="s">
        <v>132</v>
      </c>
    </row>
    <row r="212" spans="1:6" ht="18.75" x14ac:dyDescent="0.35">
      <c r="A212" s="55" t="s">
        <v>228</v>
      </c>
      <c r="B212" s="55" t="s">
        <v>227</v>
      </c>
      <c r="C212" s="61">
        <f>(C211-15)/6.6</f>
        <v>12.878787878787879</v>
      </c>
      <c r="D212" s="55" t="s">
        <v>208</v>
      </c>
    </row>
    <row r="213" spans="1:6" ht="18.75" x14ac:dyDescent="0.35">
      <c r="A213" s="55" t="s">
        <v>295</v>
      </c>
      <c r="B213" s="55" t="s">
        <v>227</v>
      </c>
      <c r="C213" s="61">
        <f>(IF((10^(LOG(C212)-INT(LOG(C212)))*100)-VLOOKUP((10^(LOG(C212)-INT(LOG(C212)))*100),E48_s:E48_f,1)&lt;VLOOKUP((10^(LOG(C212)-INT(LOG(C212)))*100),E48_s:E48_f,2)-(10^(LOG(C212)-INT(LOG(C212)))*100),VLOOKUP((10^(LOG(C212)-INT(LOG(C212)))*100),E48_s:E48_f,1),VLOOKUP((10^(LOG(C212)-INT(LOG(C212)))*100),E48_s:E48_f,2)))*10^INT(LOG(C212))/100</f>
        <v>12.7</v>
      </c>
      <c r="D213" s="55" t="s">
        <v>208</v>
      </c>
    </row>
    <row r="214" spans="1:6" ht="18.75" x14ac:dyDescent="0.35">
      <c r="A214" s="55" t="s">
        <v>323</v>
      </c>
      <c r="B214" s="55" t="s">
        <v>227</v>
      </c>
      <c r="C214" s="92">
        <v>12.1</v>
      </c>
      <c r="D214" s="55" t="s">
        <v>208</v>
      </c>
    </row>
    <row r="215" spans="1:6" x14ac:dyDescent="0.25">
      <c r="A215" s="80" t="s">
        <v>229</v>
      </c>
      <c r="B215" s="68"/>
      <c r="C215" s="100"/>
      <c r="D215" s="59"/>
      <c r="E215" s="80" t="s">
        <v>19</v>
      </c>
      <c r="F215" s="80"/>
    </row>
    <row r="216" spans="1:6" ht="18.75" x14ac:dyDescent="0.35">
      <c r="A216" s="55" t="s">
        <v>230</v>
      </c>
      <c r="B216" s="55" t="s">
        <v>231</v>
      </c>
      <c r="C216" s="61">
        <f>(((2.5*10^3)/(fs/2))-1)*2.5</f>
        <v>60</v>
      </c>
      <c r="D216" s="55" t="s">
        <v>208</v>
      </c>
      <c r="E216" s="55" t="s">
        <v>19</v>
      </c>
    </row>
    <row r="217" spans="1:6" ht="18.75" x14ac:dyDescent="0.35">
      <c r="A217" s="55" t="s">
        <v>295</v>
      </c>
      <c r="B217" s="55" t="s">
        <v>231</v>
      </c>
      <c r="C217" s="61">
        <f>(IF((10^(LOG(C216)-INT(LOG(C216)))*100)-VLOOKUP((10^(LOG(C216)-INT(LOG(C216)))*100),E48_s:E48_f,1)&lt;VLOOKUP((10^(LOG(C216)-INT(LOG(C216)))*100),E48_s:E48_f,2)-(10^(LOG(C216)-INT(LOG(C216)))*100),VLOOKUP((10^(LOG(C216)-INT(LOG(C216)))*100),E48_s:E48_f,1),VLOOKUP((10^(LOG(C216)-INT(LOG(C216)))*100),E48_s:E48_f,2)))*10^INT(LOG(C216))/100</f>
        <v>59</v>
      </c>
      <c r="D217" s="55" t="s">
        <v>208</v>
      </c>
    </row>
    <row r="218" spans="1:6" ht="18.75" x14ac:dyDescent="0.35">
      <c r="A218" s="55" t="s">
        <v>323</v>
      </c>
      <c r="B218" s="55" t="s">
        <v>231</v>
      </c>
      <c r="C218" s="92">
        <v>61.9</v>
      </c>
      <c r="D218" s="55" t="s">
        <v>208</v>
      </c>
    </row>
    <row r="219" spans="1:6" x14ac:dyDescent="0.25">
      <c r="A219" s="80" t="s">
        <v>232</v>
      </c>
      <c r="B219" s="68"/>
      <c r="C219" s="100"/>
      <c r="D219" s="59"/>
      <c r="E219" s="80" t="s">
        <v>19</v>
      </c>
      <c r="F219" s="80"/>
    </row>
    <row r="220" spans="1:6" ht="18.75" x14ac:dyDescent="0.35">
      <c r="A220" s="55" t="s">
        <v>277</v>
      </c>
      <c r="B220" s="55" t="s">
        <v>44</v>
      </c>
      <c r="C220" s="61">
        <f>(vin*(1-dtyp))/(lmag2*fs)</f>
        <v>0.23446786264582872</v>
      </c>
      <c r="D220" s="55" t="s">
        <v>34</v>
      </c>
    </row>
    <row r="221" spans="1:6" ht="18.75" x14ac:dyDescent="0.35">
      <c r="A221" s="55" t="s">
        <v>334</v>
      </c>
      <c r="B221" s="55" t="s">
        <v>332</v>
      </c>
      <c r="C221" s="61">
        <f>fs*0.2*0.001</f>
        <v>0.04</v>
      </c>
      <c r="D221" s="55" t="s">
        <v>233</v>
      </c>
    </row>
    <row r="222" spans="1:6" ht="18.75" x14ac:dyDescent="0.35">
      <c r="A222" s="55" t="s">
        <v>335</v>
      </c>
      <c r="B222" s="55" t="s">
        <v>333</v>
      </c>
      <c r="C222" s="61">
        <f>((((dilout/(_taa1*2))-C220)*RS*(1-dtyp)*fs)/_ta2)*0.001</f>
        <v>1.1894829210598617E-4</v>
      </c>
      <c r="D222" s="55" t="s">
        <v>233</v>
      </c>
      <c r="E222" s="55" t="s">
        <v>19</v>
      </c>
    </row>
    <row r="223" spans="1:6" ht="18.75" x14ac:dyDescent="0.35">
      <c r="A223" s="55" t="s">
        <v>234</v>
      </c>
      <c r="B223" s="55" t="s">
        <v>235</v>
      </c>
      <c r="C223" s="93">
        <f>IF(Vslope1&gt;Vslope2, Vslope1, Vslope2)</f>
        <v>0.04</v>
      </c>
      <c r="D223" s="55" t="s">
        <v>233</v>
      </c>
      <c r="E223" s="55" t="s">
        <v>19</v>
      </c>
    </row>
    <row r="224" spans="1:6" ht="18.75" x14ac:dyDescent="0.35">
      <c r="A224" s="55" t="s">
        <v>236</v>
      </c>
      <c r="B224" s="55" t="s">
        <v>237</v>
      </c>
      <c r="C224" s="61">
        <f>2.5/(C223*0.5)</f>
        <v>125</v>
      </c>
      <c r="D224" s="55" t="s">
        <v>208</v>
      </c>
      <c r="E224" s="60"/>
    </row>
    <row r="225" spans="1:6" ht="18.75" x14ac:dyDescent="0.35">
      <c r="A225" s="55" t="s">
        <v>295</v>
      </c>
      <c r="B225" s="55" t="s">
        <v>237</v>
      </c>
      <c r="C225" s="104">
        <f>(IF((10^(LOG(C224)-INT(LOG(C224)))*100)-VLOOKUP((10^(LOG(C224)-INT(LOG(C224)))*100),E48_s:E48_f,1)&lt;VLOOKUP((10^(LOG(C224)-INT(LOG(C224)))*100),E48_s:E48_f,2)-(10^(LOG(C224)-INT(LOG(C224)))*100),VLOOKUP((10^(LOG(C224)-INT(LOG(C224)))*100),E48_s:E48_f,1),VLOOKUP((10^(LOG(C224)-INT(LOG(C224)))*100),E48_s:E48_f,2)))*10^INT(LOG(C224))/100</f>
        <v>127</v>
      </c>
      <c r="D225" s="55" t="s">
        <v>208</v>
      </c>
    </row>
    <row r="226" spans="1:6" ht="18.75" x14ac:dyDescent="0.35">
      <c r="A226" s="55" t="s">
        <v>323</v>
      </c>
      <c r="B226" s="55" t="s">
        <v>237</v>
      </c>
      <c r="C226" s="92">
        <v>127</v>
      </c>
      <c r="D226" s="55" t="s">
        <v>208</v>
      </c>
    </row>
    <row r="227" spans="1:6" x14ac:dyDescent="0.25">
      <c r="A227" s="80" t="s">
        <v>278</v>
      </c>
      <c r="B227" s="68"/>
      <c r="C227" s="100"/>
      <c r="D227" s="59"/>
      <c r="E227" s="80" t="s">
        <v>19</v>
      </c>
      <c r="F227" s="80"/>
    </row>
    <row r="228" spans="1:6" ht="18.75" x14ac:dyDescent="0.35">
      <c r="A228" s="55" t="s">
        <v>238</v>
      </c>
      <c r="B228" s="55" t="s">
        <v>239</v>
      </c>
      <c r="C228" s="61">
        <f>(((pout*0.15/VOUT)+(dilout/2))*RS)/(_ta1*_ta2)</f>
        <v>0.30711657725057834</v>
      </c>
      <c r="D228" s="55" t="s">
        <v>17</v>
      </c>
    </row>
    <row r="229" spans="1:6" ht="18.75" x14ac:dyDescent="0.35">
      <c r="A229" s="55" t="s">
        <v>181</v>
      </c>
      <c r="B229" s="55" t="s">
        <v>240</v>
      </c>
      <c r="C229" s="92">
        <v>1</v>
      </c>
      <c r="D229" s="55" t="s">
        <v>208</v>
      </c>
    </row>
    <row r="230" spans="1:6" ht="18.75" x14ac:dyDescent="0.35">
      <c r="A230" s="55" t="s">
        <v>242</v>
      </c>
      <c r="B230" s="55" t="s">
        <v>241</v>
      </c>
      <c r="C230" s="61">
        <f>(C229*(5-C228)/C228)</f>
        <v>15.280462763559873</v>
      </c>
      <c r="D230" s="55" t="s">
        <v>208</v>
      </c>
    </row>
    <row r="231" spans="1:6" ht="18.75" x14ac:dyDescent="0.35">
      <c r="A231" s="55" t="s">
        <v>295</v>
      </c>
      <c r="B231" s="55" t="s">
        <v>241</v>
      </c>
      <c r="C231" s="104">
        <f>(IF((10^(LOG(C230)-INT(LOG(C230)))*100)-VLOOKUP((10^(LOG(C230)-INT(LOG(C230)))*100),E48_s:E48_f,1)&lt;VLOOKUP((10^(LOG(C230)-INT(LOG(C230)))*100),E48_s:E48_f,2)-(10^(LOG(C230)-INT(LOG(C230)))*100),VLOOKUP((10^(LOG(C230)-INT(LOG(C230)))*100),E48_s:E48_f,1),VLOOKUP((10^(LOG(C230)-INT(LOG(C230)))*100),E48_s:E48_f,2)))*10^INT(LOG(C230))/100</f>
        <v>15.4</v>
      </c>
      <c r="D231" s="55" t="s">
        <v>208</v>
      </c>
    </row>
    <row r="232" spans="1:6" ht="18.75" x14ac:dyDescent="0.35">
      <c r="A232" s="55" t="s">
        <v>323</v>
      </c>
      <c r="B232" s="55" t="s">
        <v>241</v>
      </c>
      <c r="C232" s="92">
        <v>16.899999999999999</v>
      </c>
      <c r="D232" s="55" t="s">
        <v>208</v>
      </c>
    </row>
  </sheetData>
  <sheetProtection password="ECDD" sheet="1" formatColumns="0" formatRows="0" selectLockedCells="1"/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L30"/>
  <sheetViews>
    <sheetView workbookViewId="0">
      <selection activeCell="K2" sqref="K2"/>
    </sheetView>
  </sheetViews>
  <sheetFormatPr defaultRowHeight="12.75" x14ac:dyDescent="0.2"/>
  <sheetData>
    <row r="30" spans="12:12" x14ac:dyDescent="0.2">
      <c r="L30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5125" r:id="rId4">
          <objectPr defaultSize="0" autoPict="0" r:id="rId5">
            <anchor moveWithCells="1">
              <from>
                <xdr:col>0</xdr:col>
                <xdr:colOff>47625</xdr:colOff>
                <xdr:row>5</xdr:row>
                <xdr:rowOff>57150</xdr:rowOff>
              </from>
              <to>
                <xdr:col>8</xdr:col>
                <xdr:colOff>533400</xdr:colOff>
                <xdr:row>46</xdr:row>
                <xdr:rowOff>57150</xdr:rowOff>
              </to>
            </anchor>
          </objectPr>
        </oleObject>
      </mc:Choice>
      <mc:Fallback>
        <oleObject progId="Visio.Drawing.6" shapeId="51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22" sqref="I22"/>
    </sheetView>
  </sheetViews>
  <sheetFormatPr defaultRowHeight="12.75" x14ac:dyDescent="0.2"/>
  <sheetData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G31"/>
  <sheetViews>
    <sheetView workbookViewId="0">
      <selection activeCell="I3" sqref="I3"/>
    </sheetView>
  </sheetViews>
  <sheetFormatPr defaultRowHeight="12.75" x14ac:dyDescent="0.2"/>
  <sheetData>
    <row r="31" spans="7:7" x14ac:dyDescent="0.2">
      <c r="G31" t="s">
        <v>19</v>
      </c>
    </row>
  </sheetData>
  <sheetProtection password="ECDD" sheet="1" objects="1" scenarios="1"/>
  <phoneticPr fontId="21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1"/>
  <sheetViews>
    <sheetView workbookViewId="0">
      <selection sqref="A1:IV65536"/>
    </sheetView>
  </sheetViews>
  <sheetFormatPr defaultRowHeight="12.75" x14ac:dyDescent="0.2"/>
  <cols>
    <col min="1" max="1" width="9.140625" style="73"/>
    <col min="2" max="2" width="10.140625" style="73" customWidth="1"/>
    <col min="3" max="3" width="9.140625" style="73"/>
    <col min="4" max="4" width="12.42578125" style="73" customWidth="1"/>
    <col min="5" max="5" width="21.5703125" style="73" customWidth="1"/>
    <col min="6" max="6" width="15.42578125" style="73" customWidth="1"/>
    <col min="7" max="7" width="21.140625" style="73" customWidth="1"/>
    <col min="8" max="8" width="9.140625" style="73"/>
    <col min="9" max="9" width="14.28515625" style="73" customWidth="1"/>
    <col min="10" max="10" width="17.140625" style="73" customWidth="1"/>
    <col min="11" max="11" width="11.85546875" style="73" customWidth="1"/>
    <col min="12" max="12" width="13.5703125" style="73" customWidth="1"/>
    <col min="13" max="16384" width="9.140625" style="73"/>
  </cols>
  <sheetData>
    <row r="1" spans="1:18" ht="42.75" x14ac:dyDescent="0.3">
      <c r="A1" s="73" t="s">
        <v>245</v>
      </c>
      <c r="B1" s="73" t="s">
        <v>260</v>
      </c>
      <c r="C1" s="73" t="s">
        <v>190</v>
      </c>
      <c r="D1" s="73" t="s">
        <v>246</v>
      </c>
      <c r="E1" s="54" t="s">
        <v>247</v>
      </c>
      <c r="F1" s="73" t="s">
        <v>248</v>
      </c>
      <c r="G1" s="73" t="s">
        <v>249</v>
      </c>
      <c r="H1" s="73" t="s">
        <v>250</v>
      </c>
      <c r="I1" s="77" t="s">
        <v>251</v>
      </c>
      <c r="J1" s="77" t="s">
        <v>252</v>
      </c>
      <c r="K1" s="77" t="s">
        <v>253</v>
      </c>
      <c r="L1" s="73" t="s">
        <v>254</v>
      </c>
      <c r="M1" s="73" t="s">
        <v>255</v>
      </c>
      <c r="N1" s="73" t="s">
        <v>256</v>
      </c>
      <c r="O1" s="73" t="s">
        <v>261</v>
      </c>
      <c r="P1" s="79" t="s">
        <v>258</v>
      </c>
      <c r="Q1" s="79" t="s">
        <v>259</v>
      </c>
      <c r="R1" s="73" t="s">
        <v>257</v>
      </c>
    </row>
    <row r="2" spans="1:18" ht="15" x14ac:dyDescent="0.2">
      <c r="A2" s="74">
        <f>1</f>
        <v>1</v>
      </c>
      <c r="B2" s="73">
        <v>100</v>
      </c>
      <c r="C2" s="73">
        <f t="shared" ref="C2:C33" si="0">_ta1*_ta2*(rload/RS)</f>
        <v>97.682776581359221</v>
      </c>
      <c r="D2" s="54" t="str">
        <f t="shared" ref="D2:D33" si="1">IMDIV((COMPLEX(1,2*PI()*(B2)*(esrcout*0.001)*(cout*0.000001))),(COMPLEX(1,2*PI()*(B2)*rload*(cout*0.000001))))</f>
        <v>0.0103206392176588-0.0875068679691868i</v>
      </c>
      <c r="E2" s="54" t="str">
        <f t="shared" ref="E2:E33" si="2">IMDIV(1,(COMPLEX((1-(B2/(fpp*1000))^2),(B2/(fpp*1000)))))</f>
        <v>0.999999999984-0.002000008i</v>
      </c>
      <c r="F2" s="73" t="str">
        <f t="shared" ref="F2:F33" si="3">IMPRODUCT(D2,E2)</f>
        <v>0.0101456247815004-0.0875275093287871i</v>
      </c>
      <c r="G2" s="73" t="str">
        <f t="shared" ref="G2:G33" si="4">IMPRODUCT(C2,F2)</f>
        <v>0.991052798809605-8.54993013848675i</v>
      </c>
      <c r="H2" s="76">
        <f t="shared" ref="H2:H33" si="5">IMABS(G2)</f>
        <v>8.6071767161498691</v>
      </c>
      <c r="I2" s="54" t="str">
        <f t="shared" ref="I2:I33" si="6">IMDIV((COMPLEX(1,(2*PI()*B2*(rf*1000)*(Cz*0.000000001)))),(COMPLEX(0,2*PI()*B2*((Cz*0.000000001)+(Cp*0.000000000001))*(RII*1000))))</f>
        <v>2.74027402740274-28.423367888913i</v>
      </c>
      <c r="J2" s="78" t="str">
        <f t="shared" ref="J2:J33" si="7">IMDIV(1,(COMPLEX(1,2*PI()*B2*(((Cz*0.000000001)*(Cp*0.000000000001))/((Cz*0.000000001)+(Cp*0.000000000001)))*(rf*1000))))</f>
        <v>0.999923189925458-0.00876379910508019i</v>
      </c>
      <c r="K2" s="78" t="str">
        <f t="shared" ref="K2:K33" si="8">IMPRODUCT(I2,J2)</f>
        <v>2.49096686068221-28.4451998989757i</v>
      </c>
      <c r="L2" s="78" t="str">
        <f t="shared" ref="L2:L33" si="9">IMPRODUCT(G2,K2)</f>
        <v>-240.735792232512-49.4882876086971i</v>
      </c>
      <c r="M2" s="73">
        <f t="shared" ref="M2:M33" si="10">20*LOG(IMABS(L2))</f>
        <v>47.810571592484465</v>
      </c>
      <c r="N2" s="73">
        <f t="shared" ref="N2:N33" si="11">(180/PI())*IMARGUMENT(L2)+180</f>
        <v>11.616516880344932</v>
      </c>
      <c r="O2" s="73">
        <f t="shared" ref="O2:O55" si="12">IF(N2&gt;180,-(360-N2),N2)</f>
        <v>11.616516880344932</v>
      </c>
      <c r="P2" s="73">
        <v>48.311999999999998</v>
      </c>
      <c r="Q2" s="73">
        <v>11.617000000000001</v>
      </c>
      <c r="R2" s="73">
        <f>B2</f>
        <v>100</v>
      </c>
    </row>
    <row r="3" spans="1:18" ht="15" x14ac:dyDescent="0.2">
      <c r="A3" s="74">
        <f>1+A2</f>
        <v>2</v>
      </c>
      <c r="B3" s="73">
        <v>1000</v>
      </c>
      <c r="C3" s="73">
        <f t="shared" si="0"/>
        <v>97.682776581359221</v>
      </c>
      <c r="D3" s="54" t="str">
        <f t="shared" si="1"/>
        <v>0.00266130519834074-0.00881841017858348i</v>
      </c>
      <c r="E3" s="54" t="str">
        <f t="shared" si="2"/>
        <v>0.999999839936-0.0200079999987195i</v>
      </c>
      <c r="F3" s="73" t="str">
        <f t="shared" si="3"/>
        <v>0.00248486602151978-0.00887165616147847i</v>
      </c>
      <c r="G3" s="73" t="str">
        <f t="shared" si="4"/>
        <v>0.242728612414728-0.86660800672834i</v>
      </c>
      <c r="H3" s="76">
        <f t="shared" si="5"/>
        <v>0.89995923052683102</v>
      </c>
      <c r="I3" s="54" t="str">
        <f t="shared" si="6"/>
        <v>2.74027402740274-2.8423367888913i</v>
      </c>
      <c r="J3" s="78" t="str">
        <f t="shared" si="7"/>
        <v>0.992376959649284-0.0869766037881862i</v>
      </c>
      <c r="K3" s="78" t="str">
        <f t="shared" si="8"/>
        <v>2.47216800719985-3.05900926921172i</v>
      </c>
      <c r="L3" s="78" t="str">
        <f t="shared" si="9"/>
        <v>-2.05089601531138-2.88490966429659i</v>
      </c>
      <c r="M3" s="73">
        <f t="shared" si="10"/>
        <v>10.979121885209873</v>
      </c>
      <c r="N3" s="73">
        <f t="shared" si="11"/>
        <v>54.590797754930136</v>
      </c>
      <c r="O3" s="73">
        <f t="shared" si="12"/>
        <v>54.590797754930136</v>
      </c>
    </row>
    <row r="4" spans="1:18" ht="15" x14ac:dyDescent="0.2">
      <c r="A4" s="74">
        <f t="shared" ref="A4:A67" si="13">1+A3</f>
        <v>3</v>
      </c>
      <c r="B4" s="73">
        <f t="shared" ref="B4:B35" si="14">(fs*1000/2)*(A4/100)</f>
        <v>3000</v>
      </c>
      <c r="C4" s="73">
        <f t="shared" si="0"/>
        <v>97.682776581359221</v>
      </c>
      <c r="D4" s="54" t="str">
        <f t="shared" si="1"/>
        <v>0.00259199747594222-0.0029396743311318i</v>
      </c>
      <c r="E4" s="54" t="str">
        <f t="shared" si="2"/>
        <v>0.999986993344607-0.0602159971905624i</v>
      </c>
      <c r="F4" s="73" t="str">
        <f t="shared" si="3"/>
        <v>0.00241494834145967-0.00309571580853009i</v>
      </c>
      <c r="G4" s="73" t="str">
        <f t="shared" si="4"/>
        <v>0.235898859294329-0.302398115684027i</v>
      </c>
      <c r="H4" s="76">
        <f t="shared" si="5"/>
        <v>0.3835269119444108</v>
      </c>
      <c r="I4" s="54" t="str">
        <f t="shared" si="6"/>
        <v>2.74027402740274-0.947445596297102i</v>
      </c>
      <c r="J4" s="78" t="str">
        <f t="shared" si="7"/>
        <v>0.935336119788262-0.245931825528337i</v>
      </c>
      <c r="K4" s="78" t="str">
        <f t="shared" si="8"/>
        <v>2.3300702508613-1.56010068175805i</v>
      </c>
      <c r="L4" s="78" t="str">
        <f t="shared" si="9"/>
        <v>0.0778894078128314-1.07263482448289i</v>
      </c>
      <c r="M4" s="73">
        <f t="shared" si="10"/>
        <v>0.63187778916942217</v>
      </c>
      <c r="N4" s="73">
        <f t="shared" si="11"/>
        <v>94.15324492962732</v>
      </c>
      <c r="O4" s="73">
        <f t="shared" si="12"/>
        <v>94.15324492962732</v>
      </c>
    </row>
    <row r="5" spans="1:18" ht="15" x14ac:dyDescent="0.2">
      <c r="A5" s="74">
        <f t="shared" si="13"/>
        <v>4</v>
      </c>
      <c r="B5" s="73">
        <f t="shared" si="14"/>
        <v>4000</v>
      </c>
      <c r="C5" s="73">
        <f t="shared" si="0"/>
        <v>97.682776581359221</v>
      </c>
      <c r="D5" s="54" t="str">
        <f t="shared" si="1"/>
        <v>0.00258820693207236-0.00220476412729044i</v>
      </c>
      <c r="E5" s="54" t="str">
        <f t="shared" si="2"/>
        <v>0.999958777866806-0.0805119788942678i</v>
      </c>
      <c r="F5" s="73" t="str">
        <f t="shared" si="3"/>
        <v>0.00241059031777823-0.00241305490409893i</v>
      </c>
      <c r="G5" s="73" t="str">
        <f t="shared" si="4"/>
        <v>0.235473155440719-0.235713903075649i</v>
      </c>
      <c r="H5" s="76">
        <f t="shared" si="5"/>
        <v>0.33317960777389344</v>
      </c>
      <c r="I5" s="54" t="str">
        <f t="shared" si="6"/>
        <v>2.74027402740273-0.710584197222825i</v>
      </c>
      <c r="J5" s="78" t="str">
        <f t="shared" si="7"/>
        <v>0.890546841989013-0.312206925311417i</v>
      </c>
      <c r="K5" s="78" t="str">
        <f t="shared" si="8"/>
        <v>2.2184930738982-1.48834104141022i</v>
      </c>
      <c r="L5" s="78" t="str">
        <f t="shared" si="9"/>
        <v>0.17157288845571-0.873394022787629i</v>
      </c>
      <c r="M5" s="73">
        <f t="shared" si="10"/>
        <v>-1.011353538113515</v>
      </c>
      <c r="N5" s="73">
        <f t="shared" si="11"/>
        <v>101.11388366545083</v>
      </c>
      <c r="O5" s="73">
        <f t="shared" si="12"/>
        <v>101.11388366545083</v>
      </c>
    </row>
    <row r="6" spans="1:18" ht="15" x14ac:dyDescent="0.2">
      <c r="A6" s="74">
        <f t="shared" si="13"/>
        <v>5</v>
      </c>
      <c r="B6" s="73">
        <f t="shared" si="14"/>
        <v>5000</v>
      </c>
      <c r="C6" s="73">
        <f t="shared" si="0"/>
        <v>97.682776581359221</v>
      </c>
      <c r="D6" s="54" t="str">
        <f t="shared" si="1"/>
        <v>0.00258645244201294-0.00176381440445196i</v>
      </c>
      <c r="E6" s="54" t="str">
        <f t="shared" si="2"/>
        <v>0.999899000101-0.100999899000101i</v>
      </c>
      <c r="F6" s="73" t="str">
        <f t="shared" si="3"/>
        <v>0.00240804613387296-0.00202486769478713i</v>
      </c>
      <c r="G6" s="73" t="str">
        <f t="shared" si="4"/>
        <v>0.235224632492718-0.197794698636703i</v>
      </c>
      <c r="H6" s="76">
        <f t="shared" si="5"/>
        <v>0.30733267079846621</v>
      </c>
      <c r="I6" s="54" t="str">
        <f t="shared" si="6"/>
        <v>2.74027402740275-0.568467357778262i</v>
      </c>
      <c r="J6" s="78" t="str">
        <f t="shared" si="7"/>
        <v>0.838898067923283-0.367624944145342i</v>
      </c>
      <c r="K6" s="78" t="str">
        <f t="shared" si="8"/>
        <v>2.08982780651684-1.4842792543845i</v>
      </c>
      <c r="L6" s="78" t="str">
        <f t="shared" si="9"/>
        <v>0.197996409947294-0.76249590332176i</v>
      </c>
      <c r="M6" s="73">
        <f t="shared" si="10"/>
        <v>-2.0718642262347147</v>
      </c>
      <c r="N6" s="73">
        <f t="shared" si="11"/>
        <v>104.55644094449872</v>
      </c>
      <c r="O6" s="73">
        <f t="shared" si="12"/>
        <v>104.55644094449872</v>
      </c>
    </row>
    <row r="7" spans="1:18" ht="15" x14ac:dyDescent="0.2">
      <c r="A7" s="74">
        <f t="shared" si="13"/>
        <v>6</v>
      </c>
      <c r="B7" s="73">
        <f t="shared" si="14"/>
        <v>6000</v>
      </c>
      <c r="C7" s="73">
        <f t="shared" si="0"/>
        <v>97.682776581359221</v>
      </c>
      <c r="D7" s="54" t="str">
        <f t="shared" si="1"/>
        <v>0.00258549938309723-0.00146984674152513i</v>
      </c>
      <c r="E7" s="54" t="str">
        <f t="shared" si="2"/>
        <v>0.999789654644088-0.121727636523225i</v>
      </c>
      <c r="F7" s="73" t="str">
        <f t="shared" si="3"/>
        <v>0.00240603456541206-0.00178426429522583i</v>
      </c>
      <c r="G7" s="73" t="str">
        <f t="shared" si="4"/>
        <v>0.235028136900174-0.174291890512641i</v>
      </c>
      <c r="H7" s="76">
        <f t="shared" si="5"/>
        <v>0.29260192793834661</v>
      </c>
      <c r="I7" s="54" t="str">
        <f t="shared" si="6"/>
        <v>2.74027402740274-0.473722798148551i</v>
      </c>
      <c r="J7" s="78" t="str">
        <f t="shared" si="7"/>
        <v>0.78336906889118-0.411948990526431i</v>
      </c>
      <c r="K7" s="78" t="str">
        <f t="shared" si="8"/>
        <v>1.95149628486652-1.49995290665251i</v>
      </c>
      <c r="L7" s="78" t="str">
        <f t="shared" si="9"/>
        <v>0.197226908219393-0.692661113906321i</v>
      </c>
      <c r="M7" s="73">
        <f t="shared" si="10"/>
        <v>-2.8510227958361885</v>
      </c>
      <c r="N7" s="73">
        <f t="shared" si="11"/>
        <v>105.89366473709475</v>
      </c>
      <c r="O7" s="73">
        <f t="shared" si="12"/>
        <v>105.89366473709475</v>
      </c>
    </row>
    <row r="8" spans="1:18" ht="15" x14ac:dyDescent="0.2">
      <c r="A8" s="74">
        <f t="shared" si="13"/>
        <v>7</v>
      </c>
      <c r="B8" s="73">
        <f t="shared" si="14"/>
        <v>7000.0000000000009</v>
      </c>
      <c r="C8" s="73">
        <f t="shared" si="0"/>
        <v>97.682776581359221</v>
      </c>
      <c r="D8" s="54" t="str">
        <f t="shared" si="1"/>
        <v>0.00258492471775023-0.00125986936147258i</v>
      </c>
      <c r="E8" s="54" t="str">
        <f t="shared" si="2"/>
        <v>0.999608313413218-0.142742925212006i</v>
      </c>
      <c r="F8" s="73" t="str">
        <f t="shared" si="3"/>
        <v>0.00240407479936887-0.00162835560320708i</v>
      </c>
      <c r="G8" s="73" t="str">
        <f t="shared" si="4"/>
        <v>0.234836701511625-0.159062296583082i</v>
      </c>
      <c r="H8" s="76">
        <f t="shared" si="5"/>
        <v>0.28363548891340168</v>
      </c>
      <c r="I8" s="54" t="str">
        <f t="shared" si="6"/>
        <v>2.74027402740274-0.406048112698757i</v>
      </c>
      <c r="J8" s="78" t="str">
        <f t="shared" si="7"/>
        <v>0.726533894383117-0.445738033709957i</v>
      </c>
      <c r="K8" s="78" t="str">
        <f t="shared" si="8"/>
        <v>1.80991087345984-1.5164520734269i</v>
      </c>
      <c r="L8" s="78" t="str">
        <f t="shared" si="9"/>
        <v>0.183823150095874-0.644007183067252i</v>
      </c>
      <c r="M8" s="73">
        <f t="shared" si="10"/>
        <v>-3.4820249833272587</v>
      </c>
      <c r="N8" s="73">
        <f t="shared" si="11"/>
        <v>105.93067956493037</v>
      </c>
      <c r="O8" s="73">
        <f t="shared" si="12"/>
        <v>105.93067956493037</v>
      </c>
    </row>
    <row r="9" spans="1:18" ht="15" x14ac:dyDescent="0.2">
      <c r="A9" s="74">
        <f t="shared" si="13"/>
        <v>8</v>
      </c>
      <c r="B9" s="73">
        <f t="shared" si="14"/>
        <v>8000</v>
      </c>
      <c r="C9" s="73">
        <f t="shared" si="0"/>
        <v>97.682776581359221</v>
      </c>
      <c r="D9" s="54" t="str">
        <f t="shared" si="1"/>
        <v>0.00258455173748314-0.00110238610352221i</v>
      </c>
      <c r="E9" s="54" t="str">
        <f t="shared" si="2"/>
        <v>0.999327874060402-0.164093246972151i</v>
      </c>
      <c r="F9" s="73" t="str">
        <f t="shared" si="3"/>
        <v>0.00240192047807421-0.0015257526477977i</v>
      </c>
      <c r="G9" s="73" t="str">
        <f t="shared" si="4"/>
        <v>0.234626261425915-0.14903975501324i</v>
      </c>
      <c r="H9" s="76">
        <f t="shared" si="5"/>
        <v>0.27796102447125282</v>
      </c>
      <c r="I9" s="54" t="str">
        <f t="shared" si="6"/>
        <v>2.74027402740274-0.355292098611414i</v>
      </c>
      <c r="J9" s="78" t="str">
        <f t="shared" si="7"/>
        <v>0.670411029090846-0.470063911786683i</v>
      </c>
      <c r="K9" s="78" t="str">
        <f t="shared" si="8"/>
        <v>1.67009993700181-1.5262956701463i</v>
      </c>
      <c r="L9" s="78" t="str">
        <f t="shared" si="9"/>
        <v>0.164370571670017-0.607020332375365i</v>
      </c>
      <c r="M9" s="73">
        <f t="shared" si="10"/>
        <v>-4.0286299015851874</v>
      </c>
      <c r="N9" s="73">
        <f t="shared" si="11"/>
        <v>105.15136230141503</v>
      </c>
      <c r="O9" s="73">
        <f t="shared" si="12"/>
        <v>105.15136230141503</v>
      </c>
    </row>
    <row r="10" spans="1:18" ht="15" x14ac:dyDescent="0.2">
      <c r="A10" s="74">
        <f t="shared" si="13"/>
        <v>9</v>
      </c>
      <c r="B10" s="73">
        <f t="shared" si="14"/>
        <v>9000</v>
      </c>
      <c r="C10" s="73">
        <f t="shared" si="0"/>
        <v>97.682776581359221</v>
      </c>
      <c r="D10" s="54" t="str">
        <f t="shared" si="1"/>
        <v>0.00258429602327876-0.000979899009909742i</v>
      </c>
      <c r="E10" s="54" t="str">
        <f t="shared" si="2"/>
        <v>0.99891626463625-0.185825679655359i</v>
      </c>
      <c r="F10" s="73" t="str">
        <f t="shared" si="3"/>
        <v>0.00239940493077784-0.00145906562365622i</v>
      </c>
      <c r="G10" s="73" t="str">
        <f t="shared" si="4"/>
        <v>0.234380535781383-0.142525581333152i</v>
      </c>
      <c r="H10" s="76">
        <f t="shared" si="5"/>
        <v>0.27431328237531821</v>
      </c>
      <c r="I10" s="54" t="str">
        <f t="shared" si="6"/>
        <v>2.74027402740274-0.315815198765701i</v>
      </c>
      <c r="J10" s="78" t="str">
        <f t="shared" si="7"/>
        <v>0.616443230218679-0.486251965688818i</v>
      </c>
      <c r="K10" s="78" t="str">
        <f t="shared" si="8"/>
        <v>1.53565761194227-1.52714577362988i</v>
      </c>
      <c r="L10" s="78" t="str">
        <f t="shared" si="9"/>
        <v>0.142270914696724-0.576803738510398i</v>
      </c>
      <c r="M10" s="73">
        <f t="shared" si="10"/>
        <v>-4.5229473077450848</v>
      </c>
      <c r="N10" s="73">
        <f t="shared" si="11"/>
        <v>103.85566413627062</v>
      </c>
      <c r="O10" s="73">
        <f t="shared" si="12"/>
        <v>103.85566413627062</v>
      </c>
    </row>
    <row r="11" spans="1:18" ht="15" x14ac:dyDescent="0.2">
      <c r="A11" s="74">
        <f t="shared" si="13"/>
        <v>10</v>
      </c>
      <c r="B11" s="73">
        <f t="shared" si="14"/>
        <v>10000</v>
      </c>
      <c r="C11" s="73">
        <f t="shared" si="0"/>
        <v>97.682776581359221</v>
      </c>
      <c r="D11" s="54" t="str">
        <f t="shared" si="1"/>
        <v>0.00258411311233211-0.000881909270647547i</v>
      </c>
      <c r="E11" s="54" t="str">
        <f t="shared" si="2"/>
        <v>0.998336106489185-0.207986688851913i</v>
      </c>
      <c r="F11" s="73" t="str">
        <f t="shared" si="3"/>
        <v>0.0023963880342235-0.00141790299738776i</v>
      </c>
      <c r="G11" s="73" t="str">
        <f t="shared" si="4"/>
        <v>0.234085836949297-0.138504701707868i</v>
      </c>
      <c r="H11" s="76">
        <f t="shared" si="5"/>
        <v>0.27199215329755072</v>
      </c>
      <c r="I11" s="54" t="str">
        <f t="shared" si="6"/>
        <v>2.74027402740274-0.28423367888913i</v>
      </c>
      <c r="J11" s="78" t="str">
        <f t="shared" si="7"/>
        <v>0.565559758517333-0.495683284026352i</v>
      </c>
      <c r="K11" s="78" t="str">
        <f t="shared" si="8"/>
        <v>1.40889883382656-1.51905915983014i</v>
      </c>
      <c r="L11" s="78" t="str">
        <f t="shared" si="9"/>
        <v>0.119406426884301-0.550729347520045i</v>
      </c>
      <c r="M11" s="73">
        <f t="shared" si="10"/>
        <v>-4.981732371000696</v>
      </c>
      <c r="N11" s="73">
        <f t="shared" si="11"/>
        <v>102.23324452798391</v>
      </c>
      <c r="O11" s="73">
        <f t="shared" si="12"/>
        <v>102.23324452798391</v>
      </c>
    </row>
    <row r="12" spans="1:18" ht="15" x14ac:dyDescent="0.2">
      <c r="A12" s="74">
        <f t="shared" si="13"/>
        <v>11</v>
      </c>
      <c r="B12" s="73">
        <f t="shared" si="14"/>
        <v>11000</v>
      </c>
      <c r="C12" s="73">
        <f t="shared" si="0"/>
        <v>97.682776581359221</v>
      </c>
      <c r="D12" s="54" t="str">
        <f t="shared" si="1"/>
        <v>0.00258397777887432-0.000801735809371453i</v>
      </c>
      <c r="E12" s="54" t="str">
        <f t="shared" si="2"/>
        <v>0.997544338518663-0.230621852116547i</v>
      </c>
      <c r="F12" s="73" t="str">
        <f t="shared" si="3"/>
        <v>0.0023927346069087-0.00139568875881817i</v>
      </c>
      <c r="G12" s="73" t="str">
        <f t="shared" si="4"/>
        <v>0.233728960025149-0.13633475320475i</v>
      </c>
      <c r="H12" s="76">
        <f t="shared" si="5"/>
        <v>0.27058527618079625</v>
      </c>
      <c r="I12" s="54" t="str">
        <f t="shared" si="6"/>
        <v>2.74027402740274-0.258394253535573i</v>
      </c>
      <c r="J12" s="78" t="str">
        <f t="shared" si="7"/>
        <v>0.518276154772205-0.499665870524236i</v>
      </c>
      <c r="K12" s="78" t="str">
        <f t="shared" si="8"/>
        <v>1.29110789631312-1.5031409875148i</v>
      </c>
      <c r="L12" s="78" t="str">
        <f t="shared" si="9"/>
        <v>0.096838950320749-0.527350456187563i</v>
      </c>
      <c r="M12" s="73">
        <f t="shared" si="10"/>
        <v>-5.4139797466121022</v>
      </c>
      <c r="N12" s="73">
        <f t="shared" si="11"/>
        <v>100.40546866315397</v>
      </c>
      <c r="O12" s="73">
        <f t="shared" si="12"/>
        <v>100.40546866315397</v>
      </c>
    </row>
    <row r="13" spans="1:18" ht="15" x14ac:dyDescent="0.2">
      <c r="A13" s="74">
        <f t="shared" si="13"/>
        <v>12</v>
      </c>
      <c r="B13" s="73">
        <f t="shared" si="14"/>
        <v>12000</v>
      </c>
      <c r="C13" s="73">
        <f t="shared" si="0"/>
        <v>97.682776581359221</v>
      </c>
      <c r="D13" s="54" t="str">
        <f t="shared" si="1"/>
        <v>0.0025838748466563-0.000734924567767219i</v>
      </c>
      <c r="E13" s="54" t="str">
        <f t="shared" si="2"/>
        <v>0.996491807450037-0.253775502746189i</v>
      </c>
      <c r="F13" s="73" t="str">
        <f t="shared" si="3"/>
        <v>0.00238830426450357-0.00138807044911723i</v>
      </c>
      <c r="G13" s="73" t="str">
        <f t="shared" si="4"/>
        <v>0.23329619187781-0.135590575560305i</v>
      </c>
      <c r="H13" s="76">
        <f t="shared" si="5"/>
        <v>0.26983683463430774</v>
      </c>
      <c r="I13" s="54" t="str">
        <f t="shared" si="6"/>
        <v>2.74027402740273-0.236861399074275i</v>
      </c>
      <c r="J13" s="78" t="str">
        <f t="shared" si="7"/>
        <v>0.474799982192647-0.499364555312558i</v>
      </c>
      <c r="K13" s="78" t="str">
        <f t="shared" si="8"/>
        <v>1.18280187219435-1.48085750919111i</v>
      </c>
      <c r="L13" s="78" t="str">
        <f t="shared" si="9"/>
        <v>0.0751528505348638-0.505855204232583i</v>
      </c>
      <c r="M13" s="73">
        <f t="shared" si="10"/>
        <v>-5.8246613390792472</v>
      </c>
      <c r="N13" s="73">
        <f t="shared" si="11"/>
        <v>98.450390837735881</v>
      </c>
      <c r="O13" s="73">
        <f t="shared" si="12"/>
        <v>98.450390837735881</v>
      </c>
    </row>
    <row r="14" spans="1:18" ht="15" x14ac:dyDescent="0.2">
      <c r="A14" s="74">
        <f t="shared" si="13"/>
        <v>13</v>
      </c>
      <c r="B14" s="73">
        <f t="shared" si="14"/>
        <v>13000</v>
      </c>
      <c r="C14" s="73">
        <f t="shared" si="0"/>
        <v>97.682776581359221</v>
      </c>
      <c r="D14" s="54" t="str">
        <f t="shared" si="1"/>
        <v>0.00258379474117221-0.000678391963191894i</v>
      </c>
      <c r="E14" s="54" t="str">
        <f t="shared" si="2"/>
        <v>0.99512283085849-0.277490278875169i</v>
      </c>
      <c r="F14" s="73" t="str">
        <f t="shared" si="3"/>
        <v>0.00238294596213978-0.00139206125412724i</v>
      </c>
      <c r="G14" s="73" t="str">
        <f t="shared" si="4"/>
        <v>0.232772778025152-0.135980408474478i</v>
      </c>
      <c r="H14" s="76">
        <f t="shared" si="5"/>
        <v>0.26958085554881783</v>
      </c>
      <c r="I14" s="54" t="str">
        <f t="shared" si="6"/>
        <v>2.74027402740275-0.218641291453177i</v>
      </c>
      <c r="J14" s="78" t="str">
        <f t="shared" si="7"/>
        <v>0.435125038134224-0.495773374963717i</v>
      </c>
      <c r="K14" s="78" t="str">
        <f t="shared" si="8"/>
        <v>1.08396530970168-1.45369120317216i</v>
      </c>
      <c r="L14" s="78" t="str">
        <f t="shared" si="9"/>
        <v>0.0546440928190486-0.485777785338508i</v>
      </c>
      <c r="M14" s="73">
        <f t="shared" si="10"/>
        <v>-6.2166382484586693</v>
      </c>
      <c r="N14" s="73">
        <f t="shared" si="11"/>
        <v>96.418098606839976</v>
      </c>
      <c r="O14" s="73">
        <f t="shared" si="12"/>
        <v>96.418098606839976</v>
      </c>
    </row>
    <row r="15" spans="1:18" ht="15" x14ac:dyDescent="0.2">
      <c r="A15" s="74">
        <f t="shared" si="13"/>
        <v>14</v>
      </c>
      <c r="B15" s="73">
        <f t="shared" si="14"/>
        <v>14000.000000000002</v>
      </c>
      <c r="C15" s="73">
        <f t="shared" si="0"/>
        <v>97.682776581359221</v>
      </c>
      <c r="D15" s="54" t="str">
        <f t="shared" si="1"/>
        <v>0.00258373117991362-0.000629935434535679i</v>
      </c>
      <c r="E15" s="54" t="str">
        <f t="shared" si="2"/>
        <v>0.993374742343426-0.301806562343923i</v>
      </c>
      <c r="F15" s="73" t="str">
        <f t="shared" si="3"/>
        <v>0.00237649464713553-0.00140554897540541i</v>
      </c>
      <c r="G15" s="73" t="str">
        <f t="shared" si="4"/>
        <v>0.232142595662936-0.137297926538685i</v>
      </c>
      <c r="H15" s="76">
        <f t="shared" si="5"/>
        <v>0.26970521936541669</v>
      </c>
      <c r="I15" s="54" t="str">
        <f t="shared" si="6"/>
        <v>2.74027402740274-0.203024056349379i</v>
      </c>
      <c r="J15" s="78" t="str">
        <f t="shared" si="7"/>
        <v>0.399107100714115-0.489714838322965i</v>
      </c>
      <c r="K15" s="78" t="str">
        <f t="shared" si="8"/>
        <v>0.99423892930809-1.42298119479497i</v>
      </c>
      <c r="L15" s="78" t="str">
        <f t="shared" si="9"/>
        <v>0.0354328382098283-0.466841491617293i</v>
      </c>
      <c r="M15" s="73">
        <f t="shared" si="10"/>
        <v>-6.5916645538431471</v>
      </c>
      <c r="N15" s="73">
        <f t="shared" si="11"/>
        <v>94.340375043185048</v>
      </c>
      <c r="O15" s="73">
        <f t="shared" si="12"/>
        <v>94.340375043185048</v>
      </c>
    </row>
    <row r="16" spans="1:18" ht="15" x14ac:dyDescent="0.2">
      <c r="A16" s="74">
        <f t="shared" si="13"/>
        <v>15</v>
      </c>
      <c r="B16" s="73">
        <f t="shared" si="14"/>
        <v>15000</v>
      </c>
      <c r="C16" s="73">
        <f t="shared" si="0"/>
        <v>97.682776581359221</v>
      </c>
      <c r="D16" s="54" t="str">
        <f t="shared" si="1"/>
        <v>0.00258367990192776-0.00058793976912643i</v>
      </c>
      <c r="E16" s="54" t="str">
        <f t="shared" si="2"/>
        <v>0.991177431652325-0.326761790654613i</v>
      </c>
      <c r="F16" s="73" t="str">
        <f t="shared" si="3"/>
        <v>0.00236876895764768-0.00142700050156125i</v>
      </c>
      <c r="G16" s="73" t="str">
        <f t="shared" si="4"/>
        <v>0.231387928862757-0.139393371175495i</v>
      </c>
      <c r="H16" s="76">
        <f t="shared" si="5"/>
        <v>0.27013123764397484</v>
      </c>
      <c r="I16" s="54" t="str">
        <f t="shared" si="6"/>
        <v>2.74027402740273-0.18948911925942i</v>
      </c>
      <c r="J16" s="78" t="str">
        <f t="shared" si="7"/>
        <v>0.366520623364025-0.481853977894623i</v>
      </c>
      <c r="K16" s="78" t="str">
        <f t="shared" si="8"/>
        <v>0.913060858828996-1.38986361073699i</v>
      </c>
      <c r="L16" s="78" t="str">
        <f t="shared" si="9"/>
        <v>0.0175334868753166-0.448872293490712i</v>
      </c>
      <c r="M16" s="73">
        <f t="shared" si="10"/>
        <v>-6.9509226952947643</v>
      </c>
      <c r="N16" s="73">
        <f t="shared" si="11"/>
        <v>92.236904239295939</v>
      </c>
      <c r="O16" s="73">
        <f t="shared" si="12"/>
        <v>92.236904239295939</v>
      </c>
    </row>
    <row r="17" spans="1:18" ht="15" x14ac:dyDescent="0.2">
      <c r="A17" s="74">
        <f t="shared" si="13"/>
        <v>16</v>
      </c>
      <c r="B17" s="73">
        <f t="shared" si="14"/>
        <v>16000</v>
      </c>
      <c r="C17" s="73">
        <f t="shared" si="0"/>
        <v>97.682776581359221</v>
      </c>
      <c r="D17" s="54" t="str">
        <f t="shared" si="1"/>
        <v>0.00258363793464985-0.000551193556748042i</v>
      </c>
      <c r="E17" s="54" t="str">
        <f t="shared" si="2"/>
        <v>0.98845289678367-0.352389624521807i</v>
      </c>
      <c r="F17" s="73" t="str">
        <f t="shared" si="3"/>
        <v>0.00235956951024354-0.00145527606954765i</v>
      </c>
      <c r="G17" s="73" t="str">
        <f t="shared" si="4"/>
        <v>0.230489301297307-0.142155407165822i</v>
      </c>
      <c r="H17" s="76">
        <f t="shared" si="5"/>
        <v>0.27080154689181779</v>
      </c>
      <c r="I17" s="54" t="str">
        <f t="shared" si="6"/>
        <v>2.74027402740274-0.177646049305706i</v>
      </c>
      <c r="J17" s="78" t="str">
        <f t="shared" si="7"/>
        <v>0.337098844917639-0.472718958444478i</v>
      </c>
      <c r="K17" s="78" t="str">
        <f t="shared" si="8"/>
        <v>0.8397665539957-1.35526376211141i</v>
      </c>
      <c r="L17" s="78" t="str">
        <f t="shared" si="9"/>
        <v>0.000899134363284898-0.431751154010117i</v>
      </c>
      <c r="M17" s="73">
        <f t="shared" si="10"/>
        <v>-7.2953110240208998</v>
      </c>
      <c r="N17" s="73">
        <f t="shared" si="11"/>
        <v>90.119319958449495</v>
      </c>
      <c r="O17" s="73">
        <f t="shared" si="12"/>
        <v>90.119319958449495</v>
      </c>
    </row>
    <row r="18" spans="1:18" ht="15" x14ac:dyDescent="0.2">
      <c r="A18" s="74">
        <f t="shared" si="13"/>
        <v>17</v>
      </c>
      <c r="B18" s="73">
        <f t="shared" si="14"/>
        <v>17000</v>
      </c>
      <c r="C18" s="73">
        <f t="shared" si="0"/>
        <v>97.682776581359221</v>
      </c>
      <c r="D18" s="54" t="str">
        <f t="shared" si="1"/>
        <v>0.00258360315319405-0.000518770424441428i</v>
      </c>
      <c r="E18" s="54" t="str">
        <f t="shared" si="2"/>
        <v>0.985114830259947-0.378718953288537i</v>
      </c>
      <c r="F18" s="73" t="str">
        <f t="shared" si="3"/>
        <v>0.00234867758957631-0.00148950792050811i</v>
      </c>
      <c r="G18" s="73" t="str">
        <f t="shared" si="4"/>
        <v>0.229425348244228-0.145499269415159i</v>
      </c>
      <c r="H18" s="76">
        <f t="shared" si="5"/>
        <v>0.27167264826870285</v>
      </c>
      <c r="I18" s="54" t="str">
        <f t="shared" si="6"/>
        <v>2.74027402740274-0.167196281699489i</v>
      </c>
      <c r="J18" s="78" t="str">
        <f t="shared" si="7"/>
        <v>0.31056077397573-0.462723221422186i</v>
      </c>
      <c r="K18" s="78" t="str">
        <f t="shared" si="8"/>
        <v>0.773656020777987-1.3199130321898i</v>
      </c>
      <c r="L18" s="78" t="str">
        <f t="shared" si="9"/>
        <v>-0.0145500798869298-0.415387892864076i</v>
      </c>
      <c r="M18" s="73">
        <f t="shared" si="10"/>
        <v>-7.6255980527197975</v>
      </c>
      <c r="N18" s="73">
        <f t="shared" si="11"/>
        <v>87.993881177428634</v>
      </c>
      <c r="O18" s="73">
        <f t="shared" si="12"/>
        <v>87.993881177428634</v>
      </c>
    </row>
    <row r="19" spans="1:18" ht="15" x14ac:dyDescent="0.2">
      <c r="A19" s="74">
        <f t="shared" si="13"/>
        <v>18</v>
      </c>
      <c r="B19" s="73">
        <f t="shared" si="14"/>
        <v>18000</v>
      </c>
      <c r="C19" s="73">
        <f t="shared" si="0"/>
        <v>97.682776581359221</v>
      </c>
      <c r="D19" s="54" t="str">
        <f t="shared" si="1"/>
        <v>0.0025835740059939-0.000489949859623449i</v>
      </c>
      <c r="E19" s="54" t="str">
        <f t="shared" si="2"/>
        <v>0.981068267923973-0.405772721108261i</v>
      </c>
      <c r="F19" s="73" t="str">
        <f t="shared" si="3"/>
        <v>0.00233585418736782-0.00152901811474709i</v>
      </c>
      <c r="G19" s="73" t="str">
        <f t="shared" si="4"/>
        <v>0.228172722711283-0.149358734891691i</v>
      </c>
      <c r="H19" s="76">
        <f t="shared" si="5"/>
        <v>0.27271014480199757</v>
      </c>
      <c r="I19" s="54" t="str">
        <f t="shared" si="6"/>
        <v>2.74027402740273-0.15790759938285i</v>
      </c>
      <c r="J19" s="78" t="str">
        <f t="shared" si="7"/>
        <v>0.286628418842458-0.452186430971044i</v>
      </c>
      <c r="K19" s="78" t="str">
        <f t="shared" si="8"/>
        <v>0.714036737881363-1.2843755378682i</v>
      </c>
      <c r="L19" s="78" t="str">
        <f t="shared" si="9"/>
        <v>-0.0289089988635562-0.399707087295306i</v>
      </c>
      <c r="M19" s="73">
        <f t="shared" si="10"/>
        <v>-7.9425044104235578</v>
      </c>
      <c r="N19" s="73">
        <f t="shared" si="11"/>
        <v>85.863259427617976</v>
      </c>
      <c r="O19" s="73">
        <f t="shared" si="12"/>
        <v>85.863259427617976</v>
      </c>
    </row>
    <row r="20" spans="1:18" ht="15" x14ac:dyDescent="0.2">
      <c r="A20" s="74">
        <f t="shared" si="13"/>
        <v>19</v>
      </c>
      <c r="B20" s="73">
        <f t="shared" si="14"/>
        <v>19000</v>
      </c>
      <c r="C20" s="73">
        <f t="shared" si="0"/>
        <v>97.682776581359221</v>
      </c>
      <c r="D20" s="54" t="str">
        <f t="shared" si="1"/>
        <v>0.00258354933871825-0.000464163036385721i</v>
      </c>
      <c r="E20" s="54" t="str">
        <f t="shared" si="2"/>
        <v>0.976209335792462-0.433566558673604i</v>
      </c>
      <c r="F20" s="73" t="str">
        <f t="shared" si="3"/>
        <v>0.00232083941358795-0.00157326088540105i</v>
      </c>
      <c r="G20" s="73" t="str">
        <f t="shared" si="4"/>
        <v>0.226706037918724-0.153680491572822i</v>
      </c>
      <c r="H20" s="76">
        <f t="shared" si="5"/>
        <v>0.27388559859706046</v>
      </c>
      <c r="I20" s="54" t="str">
        <f t="shared" si="6"/>
        <v>2.74027402740274-0.149596673099542i</v>
      </c>
      <c r="J20" s="78" t="str">
        <f t="shared" si="7"/>
        <v>0.26503709916248-0.441352959919856i</v>
      </c>
      <c r="K20" s="78" t="str">
        <f t="shared" si="8"/>
        <v>0.660249344666463-1.24907672126836i</v>
      </c>
      <c r="L20" s="78" t="str">
        <f t="shared" si="9"/>
        <v>-0.0422762115689225-0.384640678384236i</v>
      </c>
      <c r="M20" s="73">
        <f t="shared" si="10"/>
        <v>-8.2467455712299866</v>
      </c>
      <c r="N20" s="73">
        <f t="shared" si="11"/>
        <v>83.727744339632565</v>
      </c>
      <c r="O20" s="73">
        <f t="shared" si="12"/>
        <v>83.727744339632565</v>
      </c>
    </row>
    <row r="21" spans="1:18" ht="15" x14ac:dyDescent="0.2">
      <c r="A21" s="74">
        <f t="shared" si="13"/>
        <v>20</v>
      </c>
      <c r="B21" s="73">
        <f t="shared" si="14"/>
        <v>20000</v>
      </c>
      <c r="C21" s="73">
        <f t="shared" si="0"/>
        <v>97.682776581359221</v>
      </c>
      <c r="D21" s="54" t="str">
        <f t="shared" si="1"/>
        <v>0.00258352827819734-0.000440954893877229i</v>
      </c>
      <c r="E21" s="54" t="str">
        <f t="shared" si="2"/>
        <v>0.970425138632163-0.462107208872458i</v>
      </c>
      <c r="F21" s="73" t="str">
        <f t="shared" si="3"/>
        <v>0.00230335235228151-0.00162178075570218i</v>
      </c>
      <c r="G21" s="73" t="str">
        <f t="shared" si="4"/>
        <v>0.224997853216063-0.158420047223204i</v>
      </c>
      <c r="H21" s="76">
        <f t="shared" si="5"/>
        <v>0.27517439073074956</v>
      </c>
      <c r="I21" s="54" t="str">
        <f t="shared" si="6"/>
        <v>2.74027402740274-0.142116839444565i</v>
      </c>
      <c r="J21" s="78" t="str">
        <f t="shared" si="7"/>
        <v>0.245541036692956-0.430407523159975i</v>
      </c>
      <c r="K21" s="78" t="str">
        <f t="shared" si="8"/>
        <v>0.611681568646591-1.21433007300277i</v>
      </c>
      <c r="L21" s="78" t="str">
        <f t="shared" si="9"/>
        <v>-0.0547471877123387-0.370124282511885i</v>
      </c>
      <c r="M21" s="73">
        <f t="shared" si="10"/>
        <v>-8.5390534713096482</v>
      </c>
      <c r="N21" s="73">
        <f t="shared" si="11"/>
        <v>81.586064384981327</v>
      </c>
      <c r="O21" s="73">
        <f t="shared" si="12"/>
        <v>81.586064384981327</v>
      </c>
    </row>
    <row r="22" spans="1:18" ht="15" x14ac:dyDescent="0.2">
      <c r="A22" s="74">
        <f t="shared" si="13"/>
        <v>21</v>
      </c>
      <c r="B22" s="73">
        <f t="shared" si="14"/>
        <v>21000</v>
      </c>
      <c r="C22" s="73">
        <f t="shared" si="0"/>
        <v>97.682776581359221</v>
      </c>
      <c r="D22" s="54" t="str">
        <f t="shared" si="1"/>
        <v>0.00258351015407488-0.000419957049418906i</v>
      </c>
      <c r="E22" s="54" t="str">
        <f t="shared" si="2"/>
        <v>0.963593842808501-0.491390740625996i</v>
      </c>
      <c r="F22" s="73" t="str">
        <f t="shared" si="3"/>
        <v>0.00228309147175473-0.00167418099508972i</v>
      </c>
      <c r="G22" s="73" t="str">
        <f t="shared" si="4"/>
        <v>0.223018714150224-0.163538648100107i</v>
      </c>
      <c r="H22" s="76">
        <f t="shared" si="5"/>
        <v>0.27655421942836084</v>
      </c>
      <c r="I22" s="54" t="str">
        <f t="shared" si="6"/>
        <v>2.74027402740273-0.135349370899586i</v>
      </c>
      <c r="J22" s="78" t="str">
        <f t="shared" si="7"/>
        <v>0.22791583905811-0.419488032444965i</v>
      </c>
      <c r="K22" s="78" t="str">
        <f t="shared" si="8"/>
        <v>0.567774412913308-1.18036042554978i</v>
      </c>
      <c r="L22" s="78" t="str">
        <f t="shared" si="9"/>
        <v>-0.0664102287699537-0.356095524253597i</v>
      </c>
      <c r="M22" s="73">
        <f t="shared" si="10"/>
        <v>-8.82018696788613</v>
      </c>
      <c r="N22" s="73">
        <f t="shared" si="11"/>
        <v>79.435951307450807</v>
      </c>
      <c r="O22" s="73">
        <f t="shared" si="12"/>
        <v>79.435951307450807</v>
      </c>
    </row>
    <row r="23" spans="1:18" ht="15" x14ac:dyDescent="0.2">
      <c r="A23" s="74">
        <f t="shared" si="13"/>
        <v>22</v>
      </c>
      <c r="B23" s="73">
        <f t="shared" si="14"/>
        <v>22000</v>
      </c>
      <c r="C23" s="73">
        <f t="shared" si="0"/>
        <v>97.682776581359221</v>
      </c>
      <c r="D23" s="54" t="str">
        <f t="shared" si="1"/>
        <v>0.00258349444479665-0.000400868098940796i</v>
      </c>
      <c r="E23" s="54" t="str">
        <f t="shared" si="2"/>
        <v>0.95558501521352-0.521400553935948i</v>
      </c>
      <c r="F23" s="73" t="str">
        <f t="shared" si="3"/>
        <v>0.00225973572949207-0.00173009898303237i</v>
      </c>
      <c r="G23" s="73" t="str">
        <f t="shared" si="4"/>
        <v>0.220737260396889-0.169000872423188i</v>
      </c>
      <c r="H23" s="76">
        <f t="shared" si="5"/>
        <v>0.27800401617121046</v>
      </c>
      <c r="I23" s="54" t="str">
        <f t="shared" si="6"/>
        <v>2.74027402740274-0.129197126767787i</v>
      </c>
      <c r="J23" s="78" t="str">
        <f t="shared" si="7"/>
        <v>0.211959016866011-0.408695965278843i</v>
      </c>
      <c r="K23" s="78" t="str">
        <f t="shared" si="8"/>
        <v>0.528023444356136-1.14732343472952i</v>
      </c>
      <c r="L23" s="78" t="str">
        <f t="shared" si="9"/>
        <v>-0.0773442128883549-0.342493454527427i</v>
      </c>
      <c r="M23" s="73">
        <f t="shared" si="10"/>
        <v>-9.0909365779889608</v>
      </c>
      <c r="N23" s="73">
        <f t="shared" si="11"/>
        <v>77.274533089978803</v>
      </c>
      <c r="O23" s="73">
        <f t="shared" si="12"/>
        <v>77.274533089978803</v>
      </c>
    </row>
    <row r="24" spans="1:18" ht="15" x14ac:dyDescent="0.2">
      <c r="A24" s="74">
        <f t="shared" si="13"/>
        <v>23</v>
      </c>
      <c r="B24" s="73">
        <f t="shared" si="14"/>
        <v>23000</v>
      </c>
      <c r="C24" s="73">
        <f t="shared" si="0"/>
        <v>97.682776581359221</v>
      </c>
      <c r="D24" s="54" t="str">
        <f t="shared" si="1"/>
        <v>0.00258348073966475-0.000383439056429456i</v>
      </c>
      <c r="E24" s="54" t="str">
        <f t="shared" si="2"/>
        <v>0.946260289080358-0.552105191497926i</v>
      </c>
      <c r="F24" s="73" t="str">
        <f t="shared" si="3"/>
        <v>0.00223294653787093-0.00178918628088545i</v>
      </c>
      <c r="G24" s="73" t="str">
        <f t="shared" si="4"/>
        <v>0.218120417776966-0.174772683738166i</v>
      </c>
      <c r="H24" s="76">
        <f t="shared" si="5"/>
        <v>0.27950314422603401</v>
      </c>
      <c r="I24" s="54" t="str">
        <f t="shared" si="6"/>
        <v>2.74027402740274-0.123579860386579i</v>
      </c>
      <c r="J24" s="78" t="str">
        <f t="shared" si="7"/>
        <v>0.197489315722579-0.398104616775548i</v>
      </c>
      <c r="K24" s="78" t="str">
        <f t="shared" si="8"/>
        <v>0.491977129603748-1.11532144360399i</v>
      </c>
      <c r="L24" s="78" t="str">
        <f t="shared" si="9"/>
        <v>-0.0876174648835128-0.329258542513158i</v>
      </c>
      <c r="M24" s="73">
        <f t="shared" si="10"/>
        <v>-9.3521264108165241</v>
      </c>
      <c r="N24" s="73">
        <f t="shared" si="11"/>
        <v>75.098612073512342</v>
      </c>
      <c r="O24" s="73">
        <f t="shared" si="12"/>
        <v>75.098612073512342</v>
      </c>
    </row>
    <row r="25" spans="1:18" ht="15" x14ac:dyDescent="0.2">
      <c r="A25" s="74">
        <f t="shared" si="13"/>
        <v>24</v>
      </c>
      <c r="B25" s="73">
        <f t="shared" si="14"/>
        <v>24000</v>
      </c>
      <c r="C25" s="73">
        <f t="shared" si="0"/>
        <v>97.682776581359221</v>
      </c>
      <c r="D25" s="54" t="str">
        <f t="shared" si="1"/>
        <v>0.0025834687117192-0.000367462433509495i</v>
      </c>
      <c r="E25" s="54" t="str">
        <f t="shared" si="2"/>
        <v>0.935474435292397-0.583455988747857i</v>
      </c>
      <c r="F25" s="73" t="str">
        <f t="shared" si="3"/>
        <v>0.00220237077672012-0.00185109200407374i</v>
      </c>
      <c r="G25" s="73" t="str">
        <f t="shared" si="4"/>
        <v>0.215133692531666-0.180819806665476i</v>
      </c>
      <c r="H25" s="76">
        <f t="shared" si="5"/>
        <v>0.28103079572326151</v>
      </c>
      <c r="I25" s="54" t="str">
        <f t="shared" si="6"/>
        <v>2.74027402740274-0.118430699537138i</v>
      </c>
      <c r="J25" s="78" t="str">
        <f t="shared" si="7"/>
        <v>0.184345384510225-0.387765604096086i</v>
      </c>
      <c r="K25" s="78" t="str">
        <f t="shared" si="8"/>
        <v>0.459233517495401-1.08441616646863i</v>
      </c>
      <c r="L25" s="78" t="str">
        <f t="shared" si="9"/>
        <v>-0.0972873192126833-0.316332969981255i</v>
      </c>
      <c r="M25" s="73">
        <f t="shared" si="10"/>
        <v>-9.604614787202884</v>
      </c>
      <c r="N25" s="73">
        <f t="shared" si="11"/>
        <v>72.904866340831404</v>
      </c>
      <c r="O25" s="73">
        <f t="shared" si="12"/>
        <v>72.904866340831404</v>
      </c>
      <c r="P25" s="73">
        <v>-9.1029999999999998</v>
      </c>
      <c r="Q25" s="73">
        <v>72.905000000000001</v>
      </c>
      <c r="R25" s="73">
        <f>B25</f>
        <v>24000</v>
      </c>
    </row>
    <row r="26" spans="1:18" ht="15" x14ac:dyDescent="0.2">
      <c r="A26" s="74">
        <f t="shared" si="13"/>
        <v>25</v>
      </c>
      <c r="B26" s="73">
        <f t="shared" si="14"/>
        <v>25000</v>
      </c>
      <c r="C26" s="73">
        <f t="shared" si="0"/>
        <v>97.682776581359221</v>
      </c>
      <c r="D26" s="54" t="str">
        <f t="shared" si="1"/>
        <v>0.00258345809805508-0.000352763939922932i</v>
      </c>
      <c r="E26" s="54" t="str">
        <f t="shared" si="2"/>
        <v>0.923076923076923-0.615384615384615i</v>
      </c>
      <c r="F26" s="73" t="str">
        <f t="shared" si="3"/>
        <v>0.00216764505055981-0.00191544862027045i</v>
      </c>
      <c r="G26" s="73" t="str">
        <f t="shared" si="4"/>
        <v>0.211741587181523-0.187106339626951i</v>
      </c>
      <c r="H26" s="76">
        <f t="shared" si="5"/>
        <v>0.28256553588636113</v>
      </c>
      <c r="I26" s="54" t="str">
        <f t="shared" si="6"/>
        <v>2.74027402740274-0.113693471555652i</v>
      </c>
      <c r="J26" s="78" t="str">
        <f t="shared" si="7"/>
        <v>0.172384118547403-0.377713958201226i</v>
      </c>
      <c r="K26" s="78" t="str">
        <f t="shared" si="8"/>
        <v>0.42943611162924-1.05463869832502i</v>
      </c>
      <c r="L26" s="78" t="str">
        <f t="shared" si="9"/>
        <v>-0.10640010260309-0.303661090836973i</v>
      </c>
      <c r="M26" s="73">
        <f t="shared" si="10"/>
        <v>-9.8492942367622742</v>
      </c>
      <c r="N26" s="73">
        <f t="shared" si="11"/>
        <v>70.690000191476344</v>
      </c>
      <c r="O26" s="73">
        <f t="shared" si="12"/>
        <v>70.690000191476344</v>
      </c>
    </row>
    <row r="27" spans="1:18" ht="15" x14ac:dyDescent="0.2">
      <c r="A27" s="74">
        <f t="shared" si="13"/>
        <v>26</v>
      </c>
      <c r="B27" s="73">
        <f t="shared" si="14"/>
        <v>26000</v>
      </c>
      <c r="C27" s="73">
        <f t="shared" si="0"/>
        <v>97.682776581359221</v>
      </c>
      <c r="D27" s="54" t="str">
        <f t="shared" si="1"/>
        <v>0.00258344868533307-0.00033919609928077i</v>
      </c>
      <c r="E27" s="54" t="str">
        <f t="shared" si="2"/>
        <v>0.908914055000462-0.647800587445505i</v>
      </c>
      <c r="F27" s="73" t="str">
        <f t="shared" si="3"/>
        <v>0.00212840138809839-0.0019818596780317i</v>
      </c>
      <c r="G27" s="73" t="str">
        <f t="shared" si="4"/>
        <v>0.20790815726907-0.193593556144775i</v>
      </c>
      <c r="H27" s="76">
        <f t="shared" si="5"/>
        <v>0.2840849641213003</v>
      </c>
      <c r="I27" s="54" t="str">
        <f t="shared" si="6"/>
        <v>2.74027402740274-0.109320645726589i</v>
      </c>
      <c r="J27" s="78" t="str">
        <f t="shared" si="7"/>
        <v>0.161478890980319-0.367972089631924i</v>
      </c>
      <c r="K27" s="78" t="str">
        <f t="shared" si="8"/>
        <v>0.402269464479243-1.02599733666066i</v>
      </c>
      <c r="L27" s="78" t="str">
        <f t="shared" si="9"/>
        <v>-0.11499136991371-0.291189991785082i</v>
      </c>
      <c r="M27" s="73">
        <f t="shared" si="10"/>
        <v>-10.087091108237086</v>
      </c>
      <c r="N27" s="73">
        <f t="shared" si="11"/>
        <v>68.450861260268724</v>
      </c>
      <c r="O27" s="73">
        <f t="shared" si="12"/>
        <v>68.450861260268724</v>
      </c>
    </row>
    <row r="28" spans="1:18" ht="15" x14ac:dyDescent="0.2">
      <c r="A28" s="74">
        <f t="shared" si="13"/>
        <v>27</v>
      </c>
      <c r="B28" s="73">
        <f t="shared" si="14"/>
        <v>27000</v>
      </c>
      <c r="C28" s="73">
        <f t="shared" si="0"/>
        <v>97.682776581359221</v>
      </c>
      <c r="D28" s="54" t="str">
        <f t="shared" si="1"/>
        <v>0.00258344029897459-0.000326633283535248i</v>
      </c>
      <c r="E28" s="54" t="str">
        <f t="shared" si="2"/>
        <v>0.89283175581238-0.680588859597241i</v>
      </c>
      <c r="F28" s="73" t="str">
        <f t="shared" si="3"/>
        <v>0.00208427456422219-0.00204988925496221i</v>
      </c>
      <c r="G28" s="73" t="str">
        <f t="shared" si="4"/>
        <v>0.203597726591126-0.200238874109002i</v>
      </c>
      <c r="H28" s="76">
        <f t="shared" si="5"/>
        <v>0.2855654758151196</v>
      </c>
      <c r="I28" s="54" t="str">
        <f t="shared" si="6"/>
        <v>2.74027402740274-0.1052717329219i</v>
      </c>
      <c r="J28" s="78" t="str">
        <f t="shared" si="7"/>
        <v>0.151517801661492-0.358552865615603i</v>
      </c>
      <c r="K28" s="78" t="str">
        <f t="shared" si="8"/>
        <v>0.377454815074679-0.998483646646684i</v>
      </c>
      <c r="L28" s="78" t="str">
        <f t="shared" si="9"/>
        <v>-0.123086298980704-0.278870127693257i</v>
      </c>
      <c r="M28" s="73">
        <f t="shared" si="10"/>
        <v>-10.318964770969835</v>
      </c>
      <c r="N28" s="73">
        <f t="shared" si="11"/>
        <v>66.184536166353254</v>
      </c>
      <c r="O28" s="73">
        <f t="shared" si="12"/>
        <v>66.184536166353254</v>
      </c>
    </row>
    <row r="29" spans="1:18" ht="15" x14ac:dyDescent="0.2">
      <c r="A29" s="74">
        <f t="shared" si="13"/>
        <v>28</v>
      </c>
      <c r="B29" s="73">
        <f t="shared" si="14"/>
        <v>28000.000000000004</v>
      </c>
      <c r="C29" s="73">
        <f t="shared" si="0"/>
        <v>97.682776581359221</v>
      </c>
      <c r="D29" s="54" t="str">
        <f t="shared" si="1"/>
        <v>0.00258343279500816-0.000314967811492905i</v>
      </c>
      <c r="E29" s="54" t="str">
        <f t="shared" si="2"/>
        <v>0.874679080449271-0.713607641392179i</v>
      </c>
      <c r="F29" s="73" t="str">
        <f t="shared" si="3"/>
        <v>0.00203491118446632-0.00211905313926871i</v>
      </c>
      <c r="G29" s="73" t="str">
        <f t="shared" si="4"/>
        <v>0.198775774595133-0.206994994367213i</v>
      </c>
      <c r="H29" s="76">
        <f t="shared" si="5"/>
        <v>0.28698211836101856</v>
      </c>
      <c r="I29" s="54" t="str">
        <f t="shared" si="6"/>
        <v>2.74027402740274-0.101512028174689i</v>
      </c>
      <c r="J29" s="78" t="str">
        <f t="shared" si="7"/>
        <v>0.142402017405415-0.349461990557318i</v>
      </c>
      <c r="K29" s="78" t="str">
        <f t="shared" si="8"/>
        <v>0.354745954314374-0.972077133891671i</v>
      </c>
      <c r="L29" s="78" t="str">
        <f t="shared" si="9"/>
        <v>-0.130700199001074-0.266656022070629i</v>
      </c>
      <c r="M29" s="73">
        <f t="shared" si="10"/>
        <v>-10.545906241463864</v>
      </c>
      <c r="N29" s="73">
        <f t="shared" si="11"/>
        <v>63.888432614884067</v>
      </c>
      <c r="O29" s="73">
        <f t="shared" si="12"/>
        <v>63.888432614884067</v>
      </c>
    </row>
    <row r="30" spans="1:18" ht="15" x14ac:dyDescent="0.2">
      <c r="A30" s="74">
        <f t="shared" si="13"/>
        <v>29</v>
      </c>
      <c r="B30" s="73">
        <f t="shared" si="14"/>
        <v>28999.999999999996</v>
      </c>
      <c r="C30" s="73">
        <f t="shared" si="0"/>
        <v>97.682776581359221</v>
      </c>
      <c r="D30" s="54" t="str">
        <f t="shared" si="1"/>
        <v>0.0025834260538489-0.000304106854531251i</v>
      </c>
      <c r="E30" s="54" t="str">
        <f t="shared" si="2"/>
        <v>0.854312480830752-0.74668661675985i</v>
      </c>
      <c r="F30" s="73" t="str">
        <f t="shared" si="3"/>
        <v>0.00197998060276303-0.00218881194112992i</v>
      </c>
      <c r="G30" s="73" t="str">
        <f t="shared" si="4"/>
        <v>0.193410002855126-0.213809227824005i</v>
      </c>
      <c r="H30" s="76">
        <f t="shared" si="5"/>
        <v>0.288308541509122</v>
      </c>
      <c r="I30" s="54" t="str">
        <f t="shared" si="6"/>
        <v>2.74027402740273-0.0980116134100447i</v>
      </c>
      <c r="J30" s="78" t="str">
        <f t="shared" si="7"/>
        <v>0.134044241809507-0.340699843039619i</v>
      </c>
      <c r="K30" s="78" t="str">
        <f t="shared" si="8"/>
        <v>0.333925413048621-0.946748823429731i</v>
      </c>
      <c r="L30" s="78" t="str">
        <f t="shared" si="9"/>
        <v>-0.137839119789663-0.254507027357369i</v>
      </c>
      <c r="M30" s="73">
        <f t="shared" si="10"/>
        <v>-10.76893599278959</v>
      </c>
      <c r="N30" s="73">
        <f t="shared" si="11"/>
        <v>61.560353018757425</v>
      </c>
      <c r="O30" s="73">
        <f t="shared" si="12"/>
        <v>61.560353018757425</v>
      </c>
    </row>
    <row r="31" spans="1:18" ht="15" x14ac:dyDescent="0.2">
      <c r="A31" s="74">
        <f t="shared" si="13"/>
        <v>30</v>
      </c>
      <c r="B31" s="73">
        <f t="shared" si="14"/>
        <v>30000</v>
      </c>
      <c r="C31" s="73">
        <f t="shared" si="0"/>
        <v>97.682776581359221</v>
      </c>
      <c r="D31" s="54" t="str">
        <f t="shared" si="1"/>
        <v>0.00258341997550452-0.000293969961171688i</v>
      </c>
      <c r="E31" s="54" t="str">
        <f t="shared" si="2"/>
        <v>0.831600831600832-0.77962577962578i</v>
      </c>
      <c r="F31" s="73" t="str">
        <f t="shared" si="3"/>
        <v>0.00191918763983872-0.00225856647667956i</v>
      </c>
      <c r="G31" s="73" t="str">
        <f t="shared" si="4"/>
        <v>0.187471577440072-0.220623044535637i</v>
      </c>
      <c r="H31" s="76">
        <f t="shared" si="5"/>
        <v>0.28951704635140674</v>
      </c>
      <c r="I31" s="54" t="str">
        <f t="shared" si="6"/>
        <v>2.74027402740274-0.0947445596297102i</v>
      </c>
      <c r="J31" s="78" t="str">
        <f t="shared" si="7"/>
        <v>0.126367330364555-0.332262890165439i</v>
      </c>
      <c r="K31" s="78" t="str">
        <f t="shared" si="8"/>
        <v>0.314801012100192-0.922463985257093i</v>
      </c>
      <c r="L31" s="78" t="str">
        <f t="shared" si="9"/>
        <v>-0.144500570583743-0.242388136160247i</v>
      </c>
      <c r="M31" s="73">
        <f t="shared" si="10"/>
        <v>-10.989100672065318</v>
      </c>
      <c r="N31" s="73">
        <f t="shared" si="11"/>
        <v>59.198562578178382</v>
      </c>
      <c r="O31" s="73">
        <f t="shared" si="12"/>
        <v>59.198562578178382</v>
      </c>
    </row>
    <row r="32" spans="1:18" ht="15" x14ac:dyDescent="0.2">
      <c r="A32" s="74">
        <f t="shared" si="13"/>
        <v>31</v>
      </c>
      <c r="B32" s="73">
        <f t="shared" si="14"/>
        <v>31000</v>
      </c>
      <c r="C32" s="73">
        <f t="shared" si="0"/>
        <v>97.682776581359221</v>
      </c>
      <c r="D32" s="54" t="str">
        <f t="shared" si="1"/>
        <v>0.00258341447584582-0.000284487060767042i</v>
      </c>
      <c r="E32" s="54" t="str">
        <f t="shared" si="2"/>
        <v>0.80643116012275-0.812195125529735i</v>
      </c>
      <c r="F32" s="73" t="str">
        <f t="shared" si="3"/>
        <v>0.00185228692880298-0.00232765587495921i</v>
      </c>
      <c r="G32" s="73" t="str">
        <f t="shared" si="4"/>
        <v>0.180936530230834-0.227371888791929i</v>
      </c>
      <c r="H32" s="76">
        <f t="shared" si="5"/>
        <v>0.29057873938879769</v>
      </c>
      <c r="I32" s="54" t="str">
        <f t="shared" si="6"/>
        <v>2.74027402740275-0.0916882835126231i</v>
      </c>
      <c r="J32" s="78" t="str">
        <f t="shared" si="7"/>
        <v>0.119303052897333-0.324144773930893i</v>
      </c>
      <c r="K32" s="78" t="str">
        <f t="shared" si="8"/>
        <v>0.297202779313107-0.899184197259134i</v>
      </c>
      <c r="L32" s="78" t="str">
        <f t="shared" si="9"/>
        <v>-0.15067436963879-0.230270825977097i</v>
      </c>
      <c r="M32" s="73">
        <f t="shared" si="10"/>
        <v>-11.207468450975737</v>
      </c>
      <c r="N32" s="73">
        <f t="shared" si="11"/>
        <v>56.801853104049258</v>
      </c>
      <c r="O32" s="73">
        <f t="shared" si="12"/>
        <v>56.801853104049258</v>
      </c>
    </row>
    <row r="33" spans="1:18" ht="15" x14ac:dyDescent="0.2">
      <c r="A33" s="74">
        <f t="shared" si="13"/>
        <v>32</v>
      </c>
      <c r="B33" s="73">
        <f t="shared" si="14"/>
        <v>32000</v>
      </c>
      <c r="C33" s="73">
        <f t="shared" si="0"/>
        <v>97.682776581359221</v>
      </c>
      <c r="D33" s="54" t="str">
        <f t="shared" si="1"/>
        <v>0.0025834094836799-0.000275596841497461i</v>
      </c>
      <c r="E33" s="54" t="str">
        <f t="shared" si="2"/>
        <v>0.778714955716654-0.844135453351387i</v>
      </c>
      <c r="F33" s="73" t="str">
        <f t="shared" si="3"/>
        <v>0.00177909853694211-0.00239535891792075i</v>
      </c>
      <c r="G33" s="73" t="str">
        <f t="shared" si="4"/>
        <v>0.173787284900339-0.233985310011419i</v>
      </c>
      <c r="H33" s="76">
        <f t="shared" si="5"/>
        <v>0.29146379825661273</v>
      </c>
      <c r="I33" s="54" t="str">
        <f t="shared" si="6"/>
        <v>2.74027402740273-0.0888230246528531i</v>
      </c>
      <c r="J33" s="78" t="str">
        <f t="shared" si="7"/>
        <v>0.112790997446704-0.316337143474619i</v>
      </c>
      <c r="K33" s="78" t="str">
        <f t="shared" si="8"/>
        <v>0.280980218934591-0.876868895713098i</v>
      </c>
      <c r="L33" s="78" t="str">
        <f t="shared" si="9"/>
        <v>-0.156343651043454-0.218133908234024i</v>
      </c>
      <c r="M33" s="73">
        <f t="shared" si="10"/>
        <v>-11.425122762047934</v>
      </c>
      <c r="N33" s="73">
        <f t="shared" si="11"/>
        <v>54.369602545280912</v>
      </c>
      <c r="O33" s="73">
        <f t="shared" si="12"/>
        <v>54.369602545280912</v>
      </c>
    </row>
    <row r="34" spans="1:18" ht="15" x14ac:dyDescent="0.2">
      <c r="A34" s="74">
        <f t="shared" si="13"/>
        <v>33</v>
      </c>
      <c r="B34" s="73">
        <f t="shared" si="14"/>
        <v>33000</v>
      </c>
      <c r="C34" s="73">
        <f t="shared" ref="C34:C65" si="15">_ta1*_ta2*(rload/RS)</f>
        <v>97.682776581359221</v>
      </c>
      <c r="D34" s="54" t="str">
        <f t="shared" ref="D34:D65" si="16">IMDIV((COMPLEX(1,2*PI()*(B34)*(esrcout*0.001)*(cout*0.000001))),(COMPLEX(1,2*PI()*(B34)*rload*(cout*0.000001))))</f>
        <v>0.00258340493843457-0.000267245423275986i</v>
      </c>
      <c r="E34" s="54" t="str">
        <f t="shared" ref="E34:E65" si="17">IMDIV(1,(COMPLEX((1-(B34/(fpp*1000))^2),(B34/(fpp*1000)))))</f>
        <v>0.748394849515882-0.875160525656418i</v>
      </c>
      <c r="F34" s="73" t="str">
        <f t="shared" ref="F34:F65" si="18">IMPRODUCT(D34,E34)</f>
        <v>0.00169952430502484-0.00246089912224022i</v>
      </c>
      <c r="G34" s="73" t="str">
        <f t="shared" ref="G34:G65" si="19">IMPRODUCT(C34,F34)</f>
        <v>0.166014252982331-0.240387459147054i</v>
      </c>
      <c r="H34" s="76">
        <f t="shared" ref="H34:H65" si="20">IMABS(G34)</f>
        <v>0.29214185374310536</v>
      </c>
      <c r="I34" s="54" t="str">
        <f t="shared" ref="I34:I65" si="21">IMDIV((COMPLEX(1,(2*PI()*B34*(rf*1000)*(Cz*0.000000001)))),(COMPLEX(0,2*PI()*B34*((Cz*0.000000001)+(Cp*0.000000000001))*(RII*1000))))</f>
        <v>2.74027402740274-0.0861314178451912i</v>
      </c>
      <c r="J34" s="78" t="str">
        <f t="shared" ref="J34:J65" si="22">IMDIV(1,(COMPLEX(1,2*PI()*B34*(((Cz*0.000000001)*(Cp*0.000000000001))/((Cz*0.000000001)+(Cp*0.000000000001)))*(rf*1000))))</f>
        <v>0.10677760542311-0.308830290618029i</v>
      </c>
      <c r="K34" s="78" t="str">
        <f t="shared" ref="K34:K65" si="23">IMPRODUCT(I34,J34)</f>
        <v>0.265999908044733-0.855476530805032i</v>
      </c>
      <c r="L34" s="78" t="str">
        <f t="shared" ref="L34:L65" si="24">IMPRODUCT(G34,K34)</f>
        <v>-0.161486053572743-0.205964339233737i</v>
      </c>
      <c r="M34" s="73">
        <f t="shared" ref="M34:M65" si="25">20*LOG(IMABS(L34))</f>
        <v>-11.643154228621455</v>
      </c>
      <c r="N34" s="73">
        <f t="shared" ref="N34:N65" si="26">(180/PI())*IMARGUMENT(L34)+180</f>
        <v>51.901829097206559</v>
      </c>
      <c r="O34" s="73">
        <f t="shared" si="12"/>
        <v>51.901829097206559</v>
      </c>
    </row>
    <row r="35" spans="1:18" ht="15" x14ac:dyDescent="0.2">
      <c r="A35" s="74">
        <f t="shared" si="13"/>
        <v>34</v>
      </c>
      <c r="B35" s="73">
        <f t="shared" si="14"/>
        <v>34000</v>
      </c>
      <c r="C35" s="73">
        <f t="shared" si="15"/>
        <v>97.682776581359221</v>
      </c>
      <c r="D35" s="54" t="str">
        <f t="shared" si="16"/>
        <v>0.0025834007883122-0.000259385264847137i</v>
      </c>
      <c r="E35" s="54" t="str">
        <f t="shared" si="17"/>
        <v>0.715451364638305-0.904960803485952i</v>
      </c>
      <c r="F35" s="73" t="str">
        <f t="shared" si="18"/>
        <v>0.00161356412171715-0.0025234539948192i</v>
      </c>
      <c r="G35" s="73" t="str">
        <f t="shared" si="19"/>
        <v>0.157617423601393-0.246497992789262i</v>
      </c>
      <c r="H35" s="76">
        <f t="shared" si="20"/>
        <v>0.29258248866238729</v>
      </c>
      <c r="I35" s="54" t="str">
        <f t="shared" si="21"/>
        <v>2.74027402740275-0.0835981408497446i</v>
      </c>
      <c r="J35" s="78" t="str">
        <f t="shared" si="22"/>
        <v>0.101215325973284-0.301613633248575i</v>
      </c>
      <c r="K35" s="78" t="str">
        <f t="shared" si="23"/>
        <v>0.252143389945176-0.834965418578516i</v>
      </c>
      <c r="L35" s="78" t="str">
        <f t="shared" si="24"/>
        <v>-0.16607510822677-0.19375793758917i</v>
      </c>
      <c r="M35" s="73">
        <f t="shared" si="25"/>
        <v>-11.862650679738721</v>
      </c>
      <c r="N35" s="73">
        <f t="shared" si="26"/>
        <v>49.399237896828453</v>
      </c>
      <c r="O35" s="73">
        <f t="shared" si="12"/>
        <v>49.399237896828453</v>
      </c>
    </row>
    <row r="36" spans="1:18" ht="15" x14ac:dyDescent="0.2">
      <c r="A36" s="74">
        <f t="shared" si="13"/>
        <v>35</v>
      </c>
      <c r="B36" s="73">
        <f t="shared" ref="B36:B67" si="27">(fs*1000/2)*(A36/100)</f>
        <v>35000</v>
      </c>
      <c r="C36" s="73">
        <f t="shared" si="15"/>
        <v>97.682776581359221</v>
      </c>
      <c r="D36" s="54" t="str">
        <f t="shared" si="16"/>
        <v>0.00258339698880751-0.000251974258239933i</v>
      </c>
      <c r="E36" s="54" t="str">
        <f t="shared" si="17"/>
        <v>0.679909345420611-0.933208905479269i</v>
      </c>
      <c r="F36" s="73" t="str">
        <f t="shared" si="18"/>
        <v>0.00152133113388065-0.00258216872932625i</v>
      </c>
      <c r="G36" s="73" t="str">
        <f t="shared" si="19"/>
        <v>0.148607849257129-0.252233411082148i</v>
      </c>
      <c r="H36" s="76">
        <f t="shared" si="20"/>
        <v>0.29275584798081389</v>
      </c>
      <c r="I36" s="54" t="str">
        <f t="shared" si="21"/>
        <v>2.74027402740274-0.0812096225397515i</v>
      </c>
      <c r="J36" s="78" t="str">
        <f t="shared" si="22"/>
        <v>0.0960618769667604-0.294676081079519i</v>
      </c>
      <c r="K36" s="78" t="str">
        <f t="shared" si="23"/>
        <v>0.23930533315961-0.815294360247961i</v>
      </c>
      <c r="L36" s="78" t="str">
        <f t="shared" si="24"/>
        <v>-0.17008182664477-0.181519941860915i</v>
      </c>
      <c r="M36" s="73">
        <f t="shared" si="25"/>
        <v>-12.084685252329209</v>
      </c>
      <c r="N36" s="73">
        <f t="shared" si="26"/>
        <v>46.863257657466193</v>
      </c>
      <c r="O36" s="73">
        <f t="shared" si="12"/>
        <v>46.863257657466193</v>
      </c>
    </row>
    <row r="37" spans="1:18" ht="15" x14ac:dyDescent="0.2">
      <c r="A37" s="74">
        <f t="shared" si="13"/>
        <v>36</v>
      </c>
      <c r="B37" s="73">
        <f t="shared" si="27"/>
        <v>36000</v>
      </c>
      <c r="C37" s="73">
        <f t="shared" si="15"/>
        <v>97.682776581359221</v>
      </c>
      <c r="D37" s="54" t="str">
        <f t="shared" si="16"/>
        <v>0.00258339350150936-0.000244974974145338i</v>
      </c>
      <c r="E37" s="54" t="str">
        <f t="shared" si="17"/>
        <v>0.641843596575924-0.959566838734771i</v>
      </c>
      <c r="F37" s="73" t="str">
        <f t="shared" si="18"/>
        <v>0.00142306471486986-0.00263617435392783i</v>
      </c>
      <c r="G37" s="73" t="str">
        <f t="shared" si="19"/>
        <v>0.139008912603448-0.257508830444241i</v>
      </c>
      <c r="H37" s="76">
        <f t="shared" si="20"/>
        <v>0.29263334659596452</v>
      </c>
      <c r="I37" s="54" t="str">
        <f t="shared" si="21"/>
        <v>2.74027402740275-0.0789537996914253i</v>
      </c>
      <c r="J37" s="78" t="str">
        <f t="shared" si="22"/>
        <v>0.091279600351635-0.288006310540726i</v>
      </c>
      <c r="K37" s="78" t="str">
        <f t="shared" si="23"/>
        <v>0.227391925522989-0.796423083784919i</v>
      </c>
      <c r="L37" s="78" t="str">
        <f t="shared" si="24"/>
        <v>-0.173476472542495-0.169265335643115i</v>
      </c>
      <c r="M37" s="73">
        <f t="shared" si="25"/>
        <v>-12.310302719424191</v>
      </c>
      <c r="N37" s="73">
        <f t="shared" si="26"/>
        <v>44.296064193743121</v>
      </c>
      <c r="O37" s="73">
        <f t="shared" si="12"/>
        <v>44.296064193743121</v>
      </c>
    </row>
    <row r="38" spans="1:18" ht="15" x14ac:dyDescent="0.2">
      <c r="A38" s="74">
        <f t="shared" si="13"/>
        <v>37</v>
      </c>
      <c r="B38" s="73">
        <f t="shared" si="27"/>
        <v>37000</v>
      </c>
      <c r="C38" s="73">
        <f t="shared" si="15"/>
        <v>97.682776581359221</v>
      </c>
      <c r="D38" s="54" t="str">
        <f t="shared" si="16"/>
        <v>0.00258339029312617-0.000238354029664878i</v>
      </c>
      <c r="E38" s="54" t="str">
        <f t="shared" si="17"/>
        <v>0.601383213294196-0.983694911223927i</v>
      </c>
      <c r="F38" s="73" t="str">
        <f t="shared" si="18"/>
        <v>0.00131913990962219-0.00268460999731499i</v>
      </c>
      <c r="G38" s="73" t="str">
        <f t="shared" si="19"/>
        <v>0.128857249071179-0.262240158575804i</v>
      </c>
      <c r="H38" s="76">
        <f t="shared" si="20"/>
        <v>0.29218845187319553</v>
      </c>
      <c r="I38" s="54" t="str">
        <f t="shared" si="21"/>
        <v>2.74027402740273-0.0768199132132783i</v>
      </c>
      <c r="J38" s="78" t="str">
        <f t="shared" si="22"/>
        <v>0.0868349004172422-0.281592969526531i</v>
      </c>
      <c r="K38" s="78" t="str">
        <f t="shared" si="23"/>
        <v>0.216319474804974-0.778312550206698i</v>
      </c>
      <c r="L38" s="78" t="str">
        <f t="shared" si="24"/>
        <v>-0.176230474143852-0.1570188675131i</v>
      </c>
      <c r="M38" s="73">
        <f t="shared" si="25"/>
        <v>-12.540504338287343</v>
      </c>
      <c r="N38" s="73">
        <f t="shared" si="26"/>
        <v>41.700587684491353</v>
      </c>
      <c r="O38" s="73">
        <f t="shared" si="12"/>
        <v>41.700587684491353</v>
      </c>
    </row>
    <row r="39" spans="1:18" ht="15" x14ac:dyDescent="0.2">
      <c r="A39" s="74">
        <f t="shared" si="13"/>
        <v>38</v>
      </c>
      <c r="B39" s="73">
        <f t="shared" si="27"/>
        <v>38000</v>
      </c>
      <c r="C39" s="73">
        <f t="shared" si="15"/>
        <v>97.682776581359221</v>
      </c>
      <c r="D39" s="54" t="str">
        <f t="shared" si="16"/>
        <v>0.00258338733468833-0.00023208155588839i</v>
      </c>
      <c r="E39" s="54" t="str">
        <f t="shared" si="17"/>
        <v>0.558714077224444-1.00526207076368i</v>
      </c>
      <c r="F39" s="73" t="str">
        <f t="shared" si="18"/>
        <v>0.00121007208535529-0.00272664853399245i</v>
      </c>
      <c r="G39" s="73" t="str">
        <f t="shared" si="19"/>
        <v>0.1182032011611-0.266346599561875i</v>
      </c>
      <c r="H39" s="76">
        <f t="shared" si="20"/>
        <v>0.29139750833338518</v>
      </c>
      <c r="I39" s="54" t="str">
        <f t="shared" si="21"/>
        <v>2.74027402740274-0.0747983365497712i</v>
      </c>
      <c r="J39" s="78" t="str">
        <f t="shared" si="22"/>
        <v>0.0826977545131897-0.27542482805961i</v>
      </c>
      <c r="K39" s="78" t="str">
        <f t="shared" si="23"/>
        <v>0.206013189833656-0.760925157307603i</v>
      </c>
      <c r="L39" s="78" t="str">
        <f t="shared" si="24"/>
        <v>-0.178318409650217-0.144814702014862i</v>
      </c>
      <c r="M39" s="73">
        <f t="shared" si="25"/>
        <v>-12.776231675413996</v>
      </c>
      <c r="N39" s="73">
        <f t="shared" si="26"/>
        <v>39.080500761444483</v>
      </c>
      <c r="O39" s="73">
        <f t="shared" si="12"/>
        <v>39.080500761444483</v>
      </c>
    </row>
    <row r="40" spans="1:18" ht="15" x14ac:dyDescent="0.2">
      <c r="A40" s="74">
        <f t="shared" si="13"/>
        <v>39</v>
      </c>
      <c r="B40" s="73">
        <f t="shared" si="27"/>
        <v>39000</v>
      </c>
      <c r="C40" s="73">
        <f t="shared" si="15"/>
        <v>97.682776581359221</v>
      </c>
      <c r="D40" s="54" t="str">
        <f t="shared" si="16"/>
        <v>0.00258338460089207-0.000226130747382843i</v>
      </c>
      <c r="E40" s="54" t="str">
        <f t="shared" si="17"/>
        <v>0.514079044457808-1.02395723870554i</v>
      </c>
      <c r="F40" s="73" t="str">
        <f t="shared" si="18"/>
        <v>0.00109651567141706-0.00276152444098096i</v>
      </c>
      <c r="G40" s="73" t="str">
        <f t="shared" si="19"/>
        <v>0.107110695348992-0.269753374992306i</v>
      </c>
      <c r="H40" s="76">
        <f t="shared" si="20"/>
        <v>0.29024056294371442</v>
      </c>
      <c r="I40" s="54" t="str">
        <f t="shared" si="21"/>
        <v>2.74027402740275-0.0728804304843926i</v>
      </c>
      <c r="J40" s="78" t="str">
        <f t="shared" si="22"/>
        <v>0.0788412868611406-0.269490887317586i</v>
      </c>
      <c r="K40" s="78" t="str">
        <f t="shared" si="23"/>
        <v>0.196406118793267-0.744224866064486i</v>
      </c>
      <c r="L40" s="78" t="str">
        <f t="shared" si="24"/>
        <v>-0.179719973419348-0.132695656313801i</v>
      </c>
      <c r="M40" s="73">
        <f t="shared" si="25"/>
        <v>-13.018350021088823</v>
      </c>
      <c r="N40" s="73">
        <f t="shared" si="26"/>
        <v>36.440185123495553</v>
      </c>
      <c r="O40" s="73">
        <f t="shared" si="12"/>
        <v>36.440185123495553</v>
      </c>
    </row>
    <row r="41" spans="1:18" ht="15" x14ac:dyDescent="0.2">
      <c r="A41" s="74">
        <f t="shared" si="13"/>
        <v>40</v>
      </c>
      <c r="B41" s="73">
        <f t="shared" si="27"/>
        <v>40000</v>
      </c>
      <c r="C41" s="73">
        <f t="shared" si="15"/>
        <v>97.682776581359221</v>
      </c>
      <c r="D41" s="54" t="str">
        <f t="shared" si="16"/>
        <v>0.00258338206955647-0.00022047747925782i</v>
      </c>
      <c r="E41" s="54" t="str">
        <f t="shared" si="17"/>
        <v>0.467775467775468-1.03950103950104i</v>
      </c>
      <c r="F41" s="73" t="str">
        <f t="shared" si="18"/>
        <v>0.000979256187154462-0.00278856230272608i</v>
      </c>
      <c r="G41" s="73" t="str">
        <f t="shared" si="19"/>
        <v>0.095656463345723-0.272394508400392i</v>
      </c>
      <c r="H41" s="76">
        <f t="shared" si="20"/>
        <v>0.28870214267736716</v>
      </c>
      <c r="I41" s="54" t="str">
        <f t="shared" si="21"/>
        <v>2.74027402740273-0.0710584197222825i</v>
      </c>
      <c r="J41" s="78" t="str">
        <f t="shared" si="22"/>
        <v>0.0752413971709198-0.263780456673135i</v>
      </c>
      <c r="K41" s="78" t="str">
        <f t="shared" si="23"/>
        <v>0.18743822404815-0.728177269138485i</v>
      </c>
      <c r="L41" s="78" t="str">
        <f t="shared" si="24"/>
        <v>-0.180421811647068-0.120712005149573i</v>
      </c>
      <c r="M41" s="73">
        <f t="shared" si="25"/>
        <v>-13.267632136102179</v>
      </c>
      <c r="N41" s="73">
        <f t="shared" si="26"/>
        <v>33.78467535426384</v>
      </c>
      <c r="O41" s="73">
        <f t="shared" si="12"/>
        <v>33.78467535426384</v>
      </c>
    </row>
    <row r="42" spans="1:18" ht="15" x14ac:dyDescent="0.2">
      <c r="A42" s="74">
        <f t="shared" si="13"/>
        <v>41</v>
      </c>
      <c r="B42" s="73">
        <f t="shared" si="27"/>
        <v>41000</v>
      </c>
      <c r="C42" s="73">
        <f t="shared" si="15"/>
        <v>97.682776581359221</v>
      </c>
      <c r="D42" s="54" t="str">
        <f t="shared" si="16"/>
        <v>0.00258337972117225-0.000215099980270173i</v>
      </c>
      <c r="E42" s="54" t="str">
        <f t="shared" si="17"/>
        <v>0.420149875001565-1.05165719627986i</v>
      </c>
      <c r="F42" s="73" t="str">
        <f t="shared" si="18"/>
        <v>0.000859195224761315-0.00280720410431761i</v>
      </c>
      <c r="G42" s="73" t="str">
        <f t="shared" si="19"/>
        <v>0.0839285751801302-0.274215491340332i</v>
      </c>
      <c r="H42" s="76">
        <f t="shared" si="20"/>
        <v>0.28677193276676582</v>
      </c>
      <c r="I42" s="54" t="str">
        <f t="shared" si="21"/>
        <v>2.74027402740274-0.0693252875339343i</v>
      </c>
      <c r="J42" s="78" t="str">
        <f t="shared" si="22"/>
        <v>0.0718764367871513-0.258283206232875i</v>
      </c>
      <c r="K42" s="78" t="str">
        <f t="shared" si="23"/>
        <v>0.179055575372805-0.712749616401437i</v>
      </c>
      <c r="L42" s="78" t="str">
        <f t="shared" si="24"/>
        <v>-0.180419106945055-0.108919872342837i</v>
      </c>
      <c r="M42" s="73">
        <f t="shared" si="25"/>
        <v>-13.52474315783985</v>
      </c>
      <c r="N42" s="73">
        <f t="shared" si="26"/>
        <v>31.119579913662051</v>
      </c>
      <c r="O42" s="73">
        <f t="shared" si="12"/>
        <v>31.119579913662051</v>
      </c>
    </row>
    <row r="43" spans="1:18" ht="15" x14ac:dyDescent="0.2">
      <c r="A43" s="74">
        <f t="shared" si="13"/>
        <v>42</v>
      </c>
      <c r="B43" s="73">
        <f t="shared" si="27"/>
        <v>42000</v>
      </c>
      <c r="C43" s="73">
        <f t="shared" si="15"/>
        <v>97.682776581359221</v>
      </c>
      <c r="D43" s="54" t="str">
        <f t="shared" si="16"/>
        <v>0.00258337753852459-0.000209978552627998i</v>
      </c>
      <c r="E43" s="54" t="str">
        <f t="shared" si="17"/>
        <v>0.371589855273829-1.06024279358022i</v>
      </c>
      <c r="F43" s="73" t="str">
        <f t="shared" si="18"/>
        <v>0.000737328638427773-0.00281703331829935i</v>
      </c>
      <c r="G43" s="73" t="str">
        <f t="shared" si="19"/>
        <v>0.0720243086545779-0.27517563625368i</v>
      </c>
      <c r="H43" s="76">
        <f t="shared" si="20"/>
        <v>0.28444530550667824</v>
      </c>
      <c r="I43" s="54" t="str">
        <f t="shared" si="21"/>
        <v>2.74027402740275-0.0676746854497932i</v>
      </c>
      <c r="J43" s="78" t="str">
        <f t="shared" si="22"/>
        <v>0.0687269260222039-0.25298920068205i</v>
      </c>
      <c r="K43" s="78" t="str">
        <f t="shared" si="23"/>
        <v>0.171209645783523-0.697910808942888i</v>
      </c>
      <c r="L43" s="78" t="str">
        <f t="shared" si="24"/>
        <v>-0.179716794526626-0.0973792667279168i</v>
      </c>
      <c r="M43" s="73">
        <f t="shared" si="25"/>
        <v>-13.790227514958485</v>
      </c>
      <c r="N43" s="73">
        <f t="shared" si="26"/>
        <v>28.450980780059695</v>
      </c>
      <c r="O43" s="73">
        <f t="shared" si="12"/>
        <v>28.450980780059695</v>
      </c>
    </row>
    <row r="44" spans="1:18" ht="15" x14ac:dyDescent="0.2">
      <c r="A44" s="74">
        <f t="shared" si="13"/>
        <v>43</v>
      </c>
      <c r="B44" s="73">
        <f t="shared" si="27"/>
        <v>43000</v>
      </c>
      <c r="C44" s="73">
        <f t="shared" si="15"/>
        <v>97.682776581359221</v>
      </c>
      <c r="D44" s="54" t="str">
        <f t="shared" si="16"/>
        <v>0.0025833755063769-0.000205095330891722i</v>
      </c>
      <c r="E44" s="54" t="str">
        <f t="shared" si="17"/>
        <v>0.322513460849838-1.0651366218543i</v>
      </c>
      <c r="F44" s="73" t="str">
        <f t="shared" si="18"/>
        <v>0.000614718827332218-0.00281779386481346i</v>
      </c>
      <c r="G44" s="73" t="str">
        <f t="shared" si="19"/>
        <v>0.0600474418706482-0.275249928548898i</v>
      </c>
      <c r="H44" s="76">
        <f t="shared" si="20"/>
        <v>0.2817236561621731</v>
      </c>
      <c r="I44" s="54" t="str">
        <f t="shared" si="21"/>
        <v>2.74027402740273-0.0661008555556117i</v>
      </c>
      <c r="J44" s="78" t="str">
        <f t="shared" si="22"/>
        <v>0.0657753071660852-0.247888918940102i</v>
      </c>
      <c r="K44" s="78" t="str">
        <f t="shared" si="23"/>
        <v>0.163856696246964-0.683631370330614i</v>
      </c>
      <c r="L44" s="78" t="str">
        <f t="shared" si="24"/>
        <v>-0.178330310394281-0.0861518589051145i</v>
      </c>
      <c r="M44" s="73">
        <f t="shared" si="25"/>
        <v>-14.064498647588477</v>
      </c>
      <c r="N44" s="73">
        <f t="shared" si="26"/>
        <v>25.785314790670782</v>
      </c>
      <c r="O44" s="73">
        <f t="shared" si="12"/>
        <v>25.785314790670782</v>
      </c>
    </row>
    <row r="45" spans="1:18" ht="15" x14ac:dyDescent="0.2">
      <c r="A45" s="74">
        <f t="shared" si="13"/>
        <v>44</v>
      </c>
      <c r="B45" s="73">
        <f t="shared" si="27"/>
        <v>44000</v>
      </c>
      <c r="C45" s="73">
        <f t="shared" si="15"/>
        <v>97.682776581359221</v>
      </c>
      <c r="D45" s="54" t="str">
        <f t="shared" si="16"/>
        <v>0.00258337361120404-0.000200434073752297i</v>
      </c>
      <c r="E45" s="54" t="str">
        <f t="shared" si="17"/>
        <v>0.27335668044953-1.0662849237393i</v>
      </c>
      <c r="F45" s="73" t="str">
        <f t="shared" si="18"/>
        <v>0.000492462603673926-0.00280940232706272i</v>
      </c>
      <c r="G45" s="73" t="str">
        <f t="shared" si="19"/>
        <v>0.0481051144893546-0.274430219841618i</v>
      </c>
      <c r="H45" s="76">
        <f t="shared" si="20"/>
        <v>0.27861451434258178</v>
      </c>
      <c r="I45" s="54" t="str">
        <f t="shared" si="21"/>
        <v>2.74027402740274-0.0645985633838934i</v>
      </c>
      <c r="J45" s="78" t="str">
        <f t="shared" si="22"/>
        <v>0.0630057284035029-0.242973263121371i</v>
      </c>
      <c r="K45" s="78" t="str">
        <f t="shared" si="23"/>
        <v>0.156957237383373-0.669883401824607i</v>
      </c>
      <c r="L45" s="78" t="str">
        <f t="shared" si="24"/>
        <v>-0.176285803356718-0.0752986269001431i</v>
      </c>
      <c r="M45" s="73">
        <f t="shared" si="25"/>
        <v>-14.347832200640109</v>
      </c>
      <c r="N45" s="73">
        <f t="shared" si="26"/>
        <v>23.129241186522194</v>
      </c>
      <c r="O45" s="73">
        <f t="shared" si="12"/>
        <v>23.129241186522194</v>
      </c>
      <c r="P45" s="73">
        <v>-13.846</v>
      </c>
      <c r="Q45" s="73">
        <v>23.129000000000001</v>
      </c>
      <c r="R45" s="73">
        <f>B45</f>
        <v>44000</v>
      </c>
    </row>
    <row r="46" spans="1:18" ht="15" x14ac:dyDescent="0.2">
      <c r="A46" s="74">
        <f t="shared" si="13"/>
        <v>45</v>
      </c>
      <c r="B46" s="73">
        <f t="shared" si="27"/>
        <v>45000</v>
      </c>
      <c r="C46" s="73">
        <f t="shared" si="15"/>
        <v>97.682776581359221</v>
      </c>
      <c r="D46" s="54" t="str">
        <f t="shared" si="16"/>
        <v>0.00258337184096684-0.000195979983572298i</v>
      </c>
      <c r="E46" s="54" t="str">
        <f t="shared" si="17"/>
        <v>0.224559744711027-1.06370405389434i</v>
      </c>
      <c r="F46" s="73" t="str">
        <f t="shared" si="18"/>
        <v>0.00037165661809317-0.00279195231503238i</v>
      </c>
      <c r="G46" s="73" t="str">
        <f t="shared" si="19"/>
        <v>0.0363044503901787-0.272725654215117i</v>
      </c>
      <c r="H46" s="76">
        <f t="shared" si="20"/>
        <v>0.27513141511866024</v>
      </c>
      <c r="I46" s="54" t="str">
        <f t="shared" si="21"/>
        <v>2.74027402740275-0.0631630397531403i</v>
      </c>
      <c r="J46" s="78" t="str">
        <f t="shared" si="22"/>
        <v>0.0604038545170514-0.238233559509433i</v>
      </c>
      <c r="K46" s="78" t="str">
        <f t="shared" si="23"/>
        <v>0.150475557898264-0.65664052664351i</v>
      </c>
      <c r="L46" s="78" t="str">
        <f t="shared" si="24"/>
        <v>-0.173619784786358-0.0648775183948989i</v>
      </c>
      <c r="M46" s="73">
        <f t="shared" si="25"/>
        <v>-14.640363159093182</v>
      </c>
      <c r="N46" s="73">
        <f t="shared" si="26"/>
        <v>20.489501033677328</v>
      </c>
      <c r="O46" s="73">
        <f t="shared" si="12"/>
        <v>20.489501033677328</v>
      </c>
    </row>
    <row r="47" spans="1:18" ht="15" x14ac:dyDescent="0.2">
      <c r="A47" s="74">
        <f t="shared" si="13"/>
        <v>46</v>
      </c>
      <c r="B47" s="73">
        <f t="shared" si="27"/>
        <v>46000</v>
      </c>
      <c r="C47" s="73">
        <f t="shared" si="15"/>
        <v>97.682776581359221</v>
      </c>
      <c r="D47" s="54" t="str">
        <f t="shared" si="16"/>
        <v>0.00258337018492026-0.000191719549465132i</v>
      </c>
      <c r="E47" s="54" t="str">
        <f t="shared" si="17"/>
        <v>0.176553152797926-1.05747982144591i</v>
      </c>
      <c r="F47" s="73" t="str">
        <f t="shared" si="18"/>
        <v>0.000253362596055755-0.00276571053278923i</v>
      </c>
      <c r="G47" s="73" t="str">
        <f t="shared" si="19"/>
        <v>0.0247491618645875-0.270162284063162i</v>
      </c>
      <c r="H47" s="76">
        <f t="shared" si="20"/>
        <v>0.27129353243898791</v>
      </c>
      <c r="I47" s="54" t="str">
        <f t="shared" si="21"/>
        <v>2.74027402740274-0.0617899301932892i</v>
      </c>
      <c r="J47" s="78" t="str">
        <f t="shared" si="22"/>
        <v>0.0579567008205921-0.233661553642409i</v>
      </c>
      <c r="K47" s="78" t="str">
        <f t="shared" si="23"/>
        <v>0.1443793108842-0.643877827146803i</v>
      </c>
      <c r="L47" s="78" t="str">
        <f t="shared" si="24"/>
        <v>-0.170378237504635-0.0549412809650159i</v>
      </c>
      <c r="M47" s="73">
        <f t="shared" si="25"/>
        <v>-14.942087144432412</v>
      </c>
      <c r="N47" s="73">
        <f t="shared" si="26"/>
        <v>17.872774910003244</v>
      </c>
      <c r="O47" s="73">
        <f t="shared" si="12"/>
        <v>17.872774910003244</v>
      </c>
    </row>
    <row r="48" spans="1:18" ht="15" x14ac:dyDescent="0.2">
      <c r="A48" s="74">
        <f t="shared" si="13"/>
        <v>47</v>
      </c>
      <c r="B48" s="73">
        <f t="shared" si="27"/>
        <v>47000</v>
      </c>
      <c r="C48" s="73">
        <f t="shared" si="15"/>
        <v>97.682776581359221</v>
      </c>
      <c r="D48" s="54" t="str">
        <f t="shared" si="16"/>
        <v>0.00258336863345017-0.000187640410406682i</v>
      </c>
      <c r="E48" s="54" t="str">
        <f t="shared" si="17"/>
        <v>0.129744340337863-1.04776357317518i</v>
      </c>
      <c r="F48" s="73" t="str">
        <f t="shared" si="18"/>
        <v>0.000138574672316757-0.00273110483148137i</v>
      </c>
      <c r="G48" s="73" t="str">
        <f t="shared" si="19"/>
        <v>0.0135363587557528-0.266781903073865i</v>
      </c>
      <c r="H48" s="76">
        <f t="shared" si="20"/>
        <v>0.26712509581856508</v>
      </c>
      <c r="I48" s="54" t="str">
        <f t="shared" si="21"/>
        <v>2.74027402740275-0.0604752508274747i</v>
      </c>
      <c r="J48" s="78" t="str">
        <f t="shared" si="22"/>
        <v>0.0556524872566236-0.229249401130679i</v>
      </c>
      <c r="K48" s="78" t="str">
        <f t="shared" si="23"/>
        <v>0.138639150354262-0.631571777842051i</v>
      </c>
      <c r="L48" s="78" t="str">
        <f t="shared" si="24"/>
        <v>-0.166615251543659-0.0455355985369323i</v>
      </c>
      <c r="M48" s="73">
        <f t="shared" si="25"/>
        <v>-15.252865817135744</v>
      </c>
      <c r="N48" s="73">
        <f t="shared" si="26"/>
        <v>15.285545417746846</v>
      </c>
      <c r="O48" s="73">
        <f t="shared" si="12"/>
        <v>15.285545417746846</v>
      </c>
    </row>
    <row r="49" spans="1:15" ht="15" x14ac:dyDescent="0.2">
      <c r="A49" s="74">
        <f t="shared" si="13"/>
        <v>48</v>
      </c>
      <c r="B49" s="73">
        <f t="shared" si="27"/>
        <v>48000</v>
      </c>
      <c r="C49" s="73">
        <f t="shared" si="15"/>
        <v>97.682776581359221</v>
      </c>
      <c r="D49" s="54" t="str">
        <f t="shared" si="16"/>
        <v>0.00258336717793324-0.000183731235457993i</v>
      </c>
      <c r="E49" s="54" t="str">
        <f t="shared" si="17"/>
        <v>0.0845058374562984-1.03476535660774i</v>
      </c>
      <c r="F49" s="73" t="str">
        <f t="shared" si="18"/>
        <v>0.0000281908894496919-0.00268870522104208i</v>
      </c>
      <c r="G49" s="73" t="str">
        <f t="shared" si="19"/>
        <v>0.00275376435574405-0.262640191400188i</v>
      </c>
      <c r="H49" s="76">
        <f t="shared" si="20"/>
        <v>0.26265462751844743</v>
      </c>
      <c r="I49" s="54" t="str">
        <f t="shared" si="21"/>
        <v>2.74027402740273-0.0592153497685687i</v>
      </c>
      <c r="J49" s="78" t="str">
        <f t="shared" si="22"/>
        <v>0.0534805100143562-0.224989655457669i</v>
      </c>
      <c r="K49" s="78" t="str">
        <f t="shared" si="23"/>
        <v>0.133228411422356-0.619700176391241i</v>
      </c>
      <c r="L49" s="78" t="str">
        <f t="shared" si="24"/>
        <v>-0.162391293287579-0.0366976437329051i</v>
      </c>
      <c r="M49" s="73">
        <f t="shared" si="25"/>
        <v>-15.572436061886796</v>
      </c>
      <c r="N49" s="73">
        <f t="shared" si="26"/>
        <v>12.73397068192719</v>
      </c>
      <c r="O49" s="73">
        <f t="shared" si="12"/>
        <v>12.73397068192719</v>
      </c>
    </row>
    <row r="50" spans="1:15" ht="15" x14ac:dyDescent="0.2">
      <c r="A50" s="74">
        <f t="shared" si="13"/>
        <v>49</v>
      </c>
      <c r="B50" s="73">
        <f t="shared" si="27"/>
        <v>49000</v>
      </c>
      <c r="C50" s="73">
        <f t="shared" si="15"/>
        <v>97.682776581359221</v>
      </c>
      <c r="D50" s="54" t="str">
        <f t="shared" si="16"/>
        <v>0.0025833658106171-0.000179981618654559i</v>
      </c>
      <c r="E50" s="54" t="str">
        <f t="shared" si="17"/>
        <v>0.0411656036515804-1.01874473683204i</v>
      </c>
      <c r="F50" s="73" t="str">
        <f t="shared" si="18"/>
        <v>-0.000077009513683936-0.00263919937485611i</v>
      </c>
      <c r="G50" s="73" t="str">
        <f t="shared" si="19"/>
        <v>-0.00752250311982705-0.257804322887732i</v>
      </c>
      <c r="H50" s="76">
        <f t="shared" si="20"/>
        <v>0.25791404954517266</v>
      </c>
      <c r="I50" s="54" t="str">
        <f t="shared" si="21"/>
        <v>2.74027402740274-0.0580068732426797i</v>
      </c>
      <c r="J50" s="78" t="str">
        <f t="shared" si="22"/>
        <v>0.0514310283894516-0.220875253725389i</v>
      </c>
      <c r="K50" s="78" t="str">
        <f t="shared" si="23"/>
        <v>0.128122828452934-0.608242074224201i</v>
      </c>
      <c r="L50" s="78" t="str">
        <f t="shared" si="24"/>
        <v>-0.157771240473958-0.0284551161348081i</v>
      </c>
      <c r="M50" s="73">
        <f t="shared" si="25"/>
        <v>-15.900422399440163</v>
      </c>
      <c r="N50" s="73">
        <f t="shared" si="26"/>
        <v>10.223774077604105</v>
      </c>
      <c r="O50" s="73">
        <f t="shared" si="12"/>
        <v>10.223774077604105</v>
      </c>
    </row>
    <row r="51" spans="1:15" ht="15" x14ac:dyDescent="0.2">
      <c r="A51" s="74">
        <f t="shared" si="13"/>
        <v>50</v>
      </c>
      <c r="B51" s="73">
        <f t="shared" si="27"/>
        <v>50000</v>
      </c>
      <c r="C51" s="73">
        <f t="shared" si="15"/>
        <v>97.682776581359221</v>
      </c>
      <c r="D51" s="54" t="str">
        <f t="shared" si="16"/>
        <v>0.00258336452451669-0.0001763819865089i</v>
      </c>
      <c r="E51" s="54" t="str">
        <f t="shared" si="17"/>
        <v>-i</v>
      </c>
      <c r="F51" s="73" t="str">
        <f t="shared" si="18"/>
        <v>-0.0001763819865089-0.00258336452451669i</v>
      </c>
      <c r="G51" s="73" t="str">
        <f t="shared" si="19"/>
        <v>-0.0172294821811252-0.252350219676573i</v>
      </c>
      <c r="H51" s="76">
        <f t="shared" si="20"/>
        <v>0.25293771649764762</v>
      </c>
      <c r="I51" s="54" t="str">
        <f t="shared" si="21"/>
        <v>2.74027402740275-0.0568467357778262i</v>
      </c>
      <c r="J51" s="78" t="str">
        <f t="shared" si="22"/>
        <v>0.0494951649196212-0.216899501081032i</v>
      </c>
      <c r="K51" s="78" t="str">
        <f t="shared" si="23"/>
        <v>0.123300286282958-0.597177707931432i</v>
      </c>
      <c r="L51" s="78" t="str">
        <f t="shared" si="24"/>
        <v>-0.152822325867889-0.020825791651919i</v>
      </c>
      <c r="M51" s="73">
        <f t="shared" si="25"/>
        <v>-16.236351895479583</v>
      </c>
      <c r="N51" s="73">
        <f t="shared" si="26"/>
        <v>7.7601541181750804</v>
      </c>
      <c r="O51" s="73">
        <f t="shared" si="12"/>
        <v>7.7601541181750804</v>
      </c>
    </row>
    <row r="52" spans="1:15" ht="15" x14ac:dyDescent="0.2">
      <c r="A52" s="74">
        <f t="shared" si="13"/>
        <v>51</v>
      </c>
      <c r="B52" s="73">
        <f t="shared" si="27"/>
        <v>51000</v>
      </c>
      <c r="C52" s="73">
        <f t="shared" si="15"/>
        <v>97.682776581359221</v>
      </c>
      <c r="D52" s="54" t="str">
        <f t="shared" si="16"/>
        <v>0.00258336331332507-0.000172923516395182i</v>
      </c>
      <c r="E52" s="54" t="str">
        <f t="shared" si="17"/>
        <v>-0.0387703964914096-0.978856545080144i</v>
      </c>
      <c r="F52" s="73" t="str">
        <f t="shared" si="18"/>
        <v>-0.000269425335760672-0.00252203777427484i</v>
      </c>
      <c r="G52" s="73" t="str">
        <f t="shared" si="19"/>
        <v>-0.0263182148784674-0.246359652434238i</v>
      </c>
      <c r="H52" s="76">
        <f t="shared" si="20"/>
        <v>0.24776143118311966</v>
      </c>
      <c r="I52" s="54" t="str">
        <f t="shared" si="21"/>
        <v>2.74027402740273-0.0557320938998294i</v>
      </c>
      <c r="J52" s="78" t="str">
        <f t="shared" si="22"/>
        <v>0.0476648170993294-0.213056054385265i</v>
      </c>
      <c r="K52" s="78" t="str">
        <f t="shared" si="23"/>
        <v>0.118740600289267-0.586488432275143i</v>
      </c>
      <c r="L52" s="78" t="str">
        <f t="shared" si="24"/>
        <v>-0.147612126965217-0.0138175644327439i</v>
      </c>
      <c r="M52" s="73">
        <f t="shared" si="25"/>
        <v>-16.579670736562083</v>
      </c>
      <c r="N52" s="73">
        <f t="shared" si="26"/>
        <v>5.3477168991464907</v>
      </c>
      <c r="O52" s="73">
        <f t="shared" si="12"/>
        <v>5.3477168991464907</v>
      </c>
    </row>
    <row r="53" spans="1:15" ht="15" x14ac:dyDescent="0.2">
      <c r="A53" s="74">
        <f t="shared" si="13"/>
        <v>52</v>
      </c>
      <c r="B53" s="73">
        <f t="shared" si="27"/>
        <v>52000</v>
      </c>
      <c r="C53" s="73">
        <f t="shared" si="15"/>
        <v>97.682776581359221</v>
      </c>
      <c r="D53" s="54" t="str">
        <f t="shared" si="16"/>
        <v>0.00258336217133576-0.000169598064350994i</v>
      </c>
      <c r="E53" s="54" t="str">
        <f t="shared" si="17"/>
        <v>-0.0749821807052913-0.955655244283123i</v>
      </c>
      <c r="F53" s="73" t="str">
        <f t="shared" si="18"/>
        <v>-0.000355783408775606-0.00245608677421122i</v>
      </c>
      <c r="G53" s="73" t="str">
        <f t="shared" si="19"/>
        <v>-0.0347539112307819-0.239917375629706i</v>
      </c>
      <c r="H53" s="76">
        <f t="shared" si="20"/>
        <v>0.24242149548850347</v>
      </c>
      <c r="I53" s="54" t="str">
        <f t="shared" si="21"/>
        <v>2.74027402740274-0.0546603228632944i</v>
      </c>
      <c r="J53" s="78" t="str">
        <f t="shared" si="22"/>
        <v>0.0459325792078404-0.209338905545902i</v>
      </c>
      <c r="K53" s="78" t="str">
        <f t="shared" si="23"/>
        <v>0.114425321649876-0.576156655401795i</v>
      </c>
      <c r="L53" s="78" t="str">
        <f t="shared" si="24"/>
        <v>-0.142206720186761-0.00742892561896505i</v>
      </c>
      <c r="M53" s="73">
        <f t="shared" si="25"/>
        <v>-16.929761619758828</v>
      </c>
      <c r="N53" s="73">
        <f t="shared" si="26"/>
        <v>2.9904319086010958</v>
      </c>
      <c r="O53" s="73">
        <f t="shared" si="12"/>
        <v>2.9904319086010958</v>
      </c>
    </row>
    <row r="54" spans="1:15" ht="15" x14ac:dyDescent="0.2">
      <c r="A54" s="74">
        <f t="shared" si="13"/>
        <v>53</v>
      </c>
      <c r="B54" s="73">
        <f t="shared" si="27"/>
        <v>53000</v>
      </c>
      <c r="C54" s="73">
        <f t="shared" si="15"/>
        <v>97.682776581359221</v>
      </c>
      <c r="D54" s="54" t="str">
        <f t="shared" si="16"/>
        <v>0.00258336109337558-0.000166398101052509i</v>
      </c>
      <c r="E54" s="54" t="str">
        <f t="shared" si="17"/>
        <v>-0.108527966006091-0.93074145603929i</v>
      </c>
      <c r="F54" s="73" t="str">
        <f t="shared" si="18"/>
        <v>-0.000435240535779108-0.00238638241806914i</v>
      </c>
      <c r="G54" s="73" t="str">
        <f t="shared" si="19"/>
        <v>-0.0425155040156617-0.233108460581932i</v>
      </c>
      <c r="H54" s="76">
        <f t="shared" si="20"/>
        <v>0.23695384039214029</v>
      </c>
      <c r="I54" s="54" t="str">
        <f t="shared" si="21"/>
        <v>2.74027402740275-0.0536289960168172i</v>
      </c>
      <c r="J54" s="78" t="str">
        <f t="shared" si="22"/>
        <v>0.044291672983141-0.205742364834021i</v>
      </c>
      <c r="K54" s="78" t="str">
        <f t="shared" si="23"/>
        <v>0.110337564641743-0.56616577664508i</v>
      </c>
      <c r="L54" s="78" t="str">
        <f t="shared" si="24"/>
        <v>-0.136669089800513-0.001649796487512i</v>
      </c>
      <c r="M54" s="73">
        <f t="shared" si="25"/>
        <v>-17.285961149144057</v>
      </c>
      <c r="N54" s="73">
        <f t="shared" si="26"/>
        <v>0.69161055259652926</v>
      </c>
      <c r="O54" s="73">
        <f t="shared" si="12"/>
        <v>0.69161055259652926</v>
      </c>
    </row>
    <row r="55" spans="1:15" ht="15" x14ac:dyDescent="0.2">
      <c r="A55" s="74">
        <f t="shared" si="13"/>
        <v>54</v>
      </c>
      <c r="B55" s="73">
        <f t="shared" si="27"/>
        <v>54000</v>
      </c>
      <c r="C55" s="73">
        <f t="shared" si="15"/>
        <v>97.682776581359221</v>
      </c>
      <c r="D55" s="54" t="str">
        <f t="shared" si="16"/>
        <v>0.00258336007474579-0.000163316654903512i</v>
      </c>
      <c r="E55" s="54" t="str">
        <f t="shared" si="17"/>
        <v>-0.139353101464065-0.9044552258485i</v>
      </c>
      <c r="F55" s="73" t="str">
        <f t="shared" si="18"/>
        <v>-0.000507711840609842-0.00231377483747066i</v>
      </c>
      <c r="G55" s="73" t="str">
        <f t="shared" si="19"/>
        <v>-0.0495947022940019-0.226015950508217i</v>
      </c>
      <c r="H55" s="76">
        <f t="shared" si="20"/>
        <v>0.23139326779265529</v>
      </c>
      <c r="I55" s="54" t="str">
        <f t="shared" si="21"/>
        <v>2.74027402740274-0.05263586646095i</v>
      </c>
      <c r="J55" s="78" t="str">
        <f t="shared" si="22"/>
        <v>0.0427358860445133-0.202261044416624i</v>
      </c>
      <c r="K55" s="78" t="str">
        <f t="shared" si="23"/>
        <v>0.106461853241657-0.556500127161156i</v>
      </c>
      <c r="L55" s="78" t="str">
        <f t="shared" si="24"/>
        <v>-0.13105784911546+0.00353738117985232i</v>
      </c>
      <c r="M55" s="73">
        <f t="shared" si="25"/>
        <v>-17.647576534453705</v>
      </c>
      <c r="N55" s="73">
        <f t="shared" si="26"/>
        <v>358.45390552833931</v>
      </c>
      <c r="O55" s="73">
        <f t="shared" si="12"/>
        <v>-1.5460944716606946</v>
      </c>
    </row>
    <row r="56" spans="1:15" ht="15" x14ac:dyDescent="0.2">
      <c r="A56" s="74">
        <f t="shared" si="13"/>
        <v>55</v>
      </c>
      <c r="B56" s="73">
        <f t="shared" si="27"/>
        <v>55000.000000000007</v>
      </c>
      <c r="C56" s="73">
        <f t="shared" si="15"/>
        <v>97.682776581359221</v>
      </c>
      <c r="D56" s="54" t="str">
        <f t="shared" si="16"/>
        <v>0.00258335911117096-0.0001603472613329i</v>
      </c>
      <c r="E56" s="54" t="str">
        <f t="shared" si="17"/>
        <v>-0.167450761502273-0.877123036440475i</v>
      </c>
      <c r="F56" s="73" t="str">
        <f t="shared" si="18"/>
        <v>-0.00057322972714464-0.00223907351679144i</v>
      </c>
      <c r="G56" s="73" t="str">
        <f t="shared" si="19"/>
        <v>-0.0559946713664634-0.218718918089977i</v>
      </c>
      <c r="H56" s="76">
        <f t="shared" si="20"/>
        <v>0.22577282465320822</v>
      </c>
      <c r="I56" s="54" t="str">
        <f t="shared" si="21"/>
        <v>2.74027402740274-0.0516788507071147i</v>
      </c>
      <c r="J56" s="78" t="str">
        <f t="shared" si="22"/>
        <v>0.041259517112778-0.198889842275563i</v>
      </c>
      <c r="K56" s="78" t="str">
        <f t="shared" si="23"/>
        <v>0.102783984661204-0.547144913527072i</v>
      </c>
      <c r="L56" s="78" t="str">
        <f t="shared" si="24"/>
        <v>-0.125426298967915+0.0081563977007051i</v>
      </c>
      <c r="M56" s="73">
        <f t="shared" si="25"/>
        <v>-18.013901026326444</v>
      </c>
      <c r="N56" s="73">
        <f t="shared" si="26"/>
        <v>356.27932828701046</v>
      </c>
      <c r="O56" s="73">
        <f>IF(N56&gt;180,-(360-N56),N56)</f>
        <v>-3.7206717129895424</v>
      </c>
    </row>
    <row r="57" spans="1:15" ht="15" x14ac:dyDescent="0.2">
      <c r="A57" s="74">
        <f t="shared" si="13"/>
        <v>56</v>
      </c>
      <c r="B57" s="73">
        <f t="shared" si="27"/>
        <v>56000.000000000007</v>
      </c>
      <c r="C57" s="73">
        <f t="shared" si="15"/>
        <v>97.682776581359221</v>
      </c>
      <c r="D57" s="54" t="str">
        <f t="shared" si="16"/>
        <v>0.00258335819875389-0.00015748391752459i</v>
      </c>
      <c r="E57" s="54" t="str">
        <f t="shared" si="17"/>
        <v>-0.192855936857753-0.84905129434231i</v>
      </c>
      <c r="F57" s="73" t="str">
        <f t="shared" si="18"/>
        <v>-0.000631927889672189-0.00216303191394757i</v>
      </c>
      <c r="G57" s="73" t="str">
        <f t="shared" si="19"/>
        <v>-0.0617284708623783-0.21129096318849i</v>
      </c>
      <c r="H57" s="76">
        <f t="shared" si="20"/>
        <v>0.22012331825621592</v>
      </c>
      <c r="I57" s="54" t="str">
        <f t="shared" si="21"/>
        <v>2.74027402740273-0.0507560140873446i</v>
      </c>
      <c r="J57" s="78" t="str">
        <f t="shared" si="22"/>
        <v>0.0398573272029162-0.195623926632597i</v>
      </c>
      <c r="K57" s="78" t="str">
        <f t="shared" si="23"/>
        <v>0.0992909077598578-0.538086164350838i</v>
      </c>
      <c r="L57" s="78" t="str">
        <f t="shared" si="24"/>
        <v>-0.119821819850642+0.0122359645811397i</v>
      </c>
      <c r="M57" s="73">
        <f t="shared" si="25"/>
        <v>-18.38422767905918</v>
      </c>
      <c r="N57" s="73">
        <f t="shared" si="26"/>
        <v>354.1692812864394</v>
      </c>
      <c r="O57" s="73">
        <f t="shared" ref="O57:O101" si="28">IF(N57&gt;180,-(360-N57),N57)</f>
        <v>-5.8307187135606</v>
      </c>
    </row>
    <row r="58" spans="1:15" ht="15" x14ac:dyDescent="0.2">
      <c r="A58" s="74">
        <f t="shared" si="13"/>
        <v>57</v>
      </c>
      <c r="B58" s="73">
        <f t="shared" si="27"/>
        <v>56999.999999999993</v>
      </c>
      <c r="C58" s="73">
        <f t="shared" si="15"/>
        <v>97.682776581359221</v>
      </c>
      <c r="D58" s="54" t="str">
        <f t="shared" si="16"/>
        <v>0.00258335733393628-0.000154721041912697i</v>
      </c>
      <c r="E58" s="54" t="str">
        <f t="shared" si="17"/>
        <v>-0.215638830467112-0.820521584554433i</v>
      </c>
      <c r="F58" s="73" t="str">
        <f t="shared" si="18"/>
        <v>-0.000684024108642775-0.00208633658858501i</v>
      </c>
      <c r="G58" s="73" t="str">
        <f t="shared" si="19"/>
        <v>-0.0668173741808156-0.203799150856265i</v>
      </c>
      <c r="H58" s="76">
        <f t="shared" si="20"/>
        <v>0.21447297121584757</v>
      </c>
      <c r="I58" s="54" t="str">
        <f t="shared" si="21"/>
        <v>2.74027402740274-0.0498655576998474i</v>
      </c>
      <c r="J58" s="78" t="str">
        <f t="shared" si="22"/>
        <v>0.0385244960719176-0.192458720961983i</v>
      </c>
      <c r="K58" s="78" t="str">
        <f t="shared" si="23"/>
        <v>0.0959706145496861-0.529310679881005i</v>
      </c>
      <c r="L58" s="78" t="str">
        <f t="shared" si="24"/>
        <v>-0.11428557156163+0.0158084200031311i</v>
      </c>
      <c r="M58" s="73">
        <f t="shared" si="25"/>
        <v>-18.757861188238213</v>
      </c>
      <c r="N58" s="73">
        <f t="shared" si="26"/>
        <v>352.12460152199185</v>
      </c>
      <c r="O58" s="73">
        <f t="shared" si="28"/>
        <v>-7.875398478008151</v>
      </c>
    </row>
    <row r="59" spans="1:15" ht="15" x14ac:dyDescent="0.2">
      <c r="A59" s="74">
        <f t="shared" si="13"/>
        <v>58</v>
      </c>
      <c r="B59" s="73">
        <f t="shared" si="27"/>
        <v>57999.999999999993</v>
      </c>
      <c r="C59" s="73">
        <f t="shared" si="15"/>
        <v>97.682776581359221</v>
      </c>
      <c r="D59" s="54" t="str">
        <f t="shared" si="16"/>
        <v>0.00258335651346383-0.000152053437866867i</v>
      </c>
      <c r="E59" s="54" t="str">
        <f t="shared" si="17"/>
        <v>-0.235898099010801-0.791787600846437i</v>
      </c>
      <c r="F59" s="73" t="str">
        <f t="shared" si="18"/>
        <v>-0.000729802917362348-0.00200960053898569i</v>
      </c>
      <c r="G59" s="73" t="str">
        <f t="shared" si="19"/>
        <v>-0.0712891753251304-0.196303360467518i</v>
      </c>
      <c r="H59" s="76">
        <f t="shared" si="20"/>
        <v>0.20884720694655576</v>
      </c>
      <c r="I59" s="54" t="str">
        <f t="shared" si="21"/>
        <v>2.74027402740274-0.0490058067050226i</v>
      </c>
      <c r="J59" s="78" t="str">
        <f t="shared" si="22"/>
        <v>0.0372565832978016-0.18938988964244i</v>
      </c>
      <c r="K59" s="78" t="str">
        <f t="shared" si="23"/>
        <v>0.0928120432370295-0.520805984559431i</v>
      </c>
      <c r="L59" s="78" t="str">
        <f t="shared" si="24"/>
        <v>-0.108852458943219+0.018908513164349i</v>
      </c>
      <c r="M59" s="73">
        <f t="shared" si="25"/>
        <v>-19.13412769339476</v>
      </c>
      <c r="N59" s="73">
        <f t="shared" si="26"/>
        <v>350.14561189102341</v>
      </c>
      <c r="O59" s="73">
        <f t="shared" si="28"/>
        <v>-9.8543881089765932</v>
      </c>
    </row>
    <row r="60" spans="1:15" ht="15" x14ac:dyDescent="0.2">
      <c r="A60" s="74">
        <f t="shared" si="13"/>
        <v>59</v>
      </c>
      <c r="B60" s="73">
        <f t="shared" si="27"/>
        <v>59000</v>
      </c>
      <c r="C60" s="73">
        <f t="shared" si="15"/>
        <v>97.682776581359221</v>
      </c>
      <c r="D60" s="54" t="str">
        <f t="shared" si="16"/>
        <v>0.00258335573435577-0.000149476261070629i</v>
      </c>
      <c r="E60" s="54" t="str">
        <f t="shared" si="17"/>
        <v>-0.253754296104207-0.763073571363313i</v>
      </c>
      <c r="F60" s="73" t="str">
        <f t="shared" si="18"/>
        <v>-0.000769599000327415-0.00193336024290449i</v>
      </c>
      <c r="G60" s="73" t="str">
        <f t="shared" si="19"/>
        <v>-0.0751765672062203-0.188855996658922i</v>
      </c>
      <c r="H60" s="76">
        <f t="shared" si="20"/>
        <v>0.20326855076707295</v>
      </c>
      <c r="I60" s="54" t="str">
        <f t="shared" si="21"/>
        <v>2.74027402740273-0.048175199811717i</v>
      </c>
      <c r="J60" s="78" t="str">
        <f t="shared" si="22"/>
        <v>0.0360494934460179-0.186413324277808i</v>
      </c>
      <c r="K60" s="78" t="str">
        <f t="shared" si="23"/>
        <v>0.089804991446498-0.512560282430153i</v>
      </c>
      <c r="L60" s="78" t="str">
        <f t="shared" si="24"/>
        <v>-0.103551313961057+0.0215723113547753i</v>
      </c>
      <c r="M60" s="73">
        <f t="shared" si="25"/>
        <v>-19.512382555996687</v>
      </c>
      <c r="N60" s="73">
        <f t="shared" si="26"/>
        <v>348.23217722390672</v>
      </c>
      <c r="O60" s="73">
        <f t="shared" si="28"/>
        <v>-11.767822776093283</v>
      </c>
    </row>
    <row r="61" spans="1:15" ht="15" x14ac:dyDescent="0.2">
      <c r="A61" s="74">
        <f t="shared" si="13"/>
        <v>60</v>
      </c>
      <c r="B61" s="73">
        <f t="shared" si="27"/>
        <v>60000</v>
      </c>
      <c r="C61" s="73">
        <f t="shared" si="15"/>
        <v>97.682776581359221</v>
      </c>
      <c r="D61" s="54" t="str">
        <f t="shared" si="16"/>
        <v>0.00258335499387754-0.000146984990161906i</v>
      </c>
      <c r="E61" s="54" t="str">
        <f t="shared" si="17"/>
        <v>-0.269343780607248-0.734573947110676i</v>
      </c>
      <c r="F61" s="73" t="str">
        <f t="shared" si="18"/>
        <v>-0.000803781945090846-0.00185807578169797i</v>
      </c>
      <c r="G61" s="73" t="str">
        <f t="shared" si="19"/>
        <v>-0.0785156521624395-0.181502001454837i</v>
      </c>
      <c r="H61" s="76">
        <f t="shared" si="20"/>
        <v>0.19775662862873861</v>
      </c>
      <c r="I61" s="54" t="str">
        <f t="shared" si="21"/>
        <v>2.74027402740274-0.0473722798148551i</v>
      </c>
      <c r="J61" s="78" t="str">
        <f t="shared" si="22"/>
        <v>0.0348994448486892-0.183525130698612i</v>
      </c>
      <c r="K61" s="78" t="str">
        <f t="shared" si="23"/>
        <v>0.0869400384451249-0.504562415295855i</v>
      </c>
      <c r="L61" s="78" t="str">
        <f t="shared" si="24"/>
        <v>-0.0984052420526309+0.023836256109259i</v>
      </c>
      <c r="M61" s="73">
        <f t="shared" si="25"/>
        <v>-19.892016216290678</v>
      </c>
      <c r="N61" s="73">
        <f t="shared" si="26"/>
        <v>346.38376223060959</v>
      </c>
      <c r="O61" s="73">
        <f t="shared" si="28"/>
        <v>-13.616237769390409</v>
      </c>
    </row>
    <row r="62" spans="1:15" ht="15" x14ac:dyDescent="0.2">
      <c r="A62" s="74">
        <f t="shared" si="13"/>
        <v>61</v>
      </c>
      <c r="B62" s="73">
        <f t="shared" si="27"/>
        <v>61000</v>
      </c>
      <c r="C62" s="73">
        <f t="shared" si="15"/>
        <v>97.682776581359221</v>
      </c>
      <c r="D62" s="54" t="str">
        <f t="shared" si="16"/>
        <v>0.00258335428951694-0.000144575400261349i</v>
      </c>
      <c r="E62" s="54" t="str">
        <f t="shared" si="17"/>
        <v>-0.282813264215408-0.706454099800979i</v>
      </c>
      <c r="F62" s="73" t="str">
        <f t="shared" si="18"/>
        <v>-0.000832742743488159-0.00178413338819453i</v>
      </c>
      <c r="G62" s="73" t="str">
        <f t="shared" si="19"/>
        <v>-0.081344623361902-0.17427910315035i</v>
      </c>
      <c r="H62" s="76">
        <f t="shared" si="20"/>
        <v>0.19232824427207779</v>
      </c>
      <c r="I62" s="54" t="str">
        <f t="shared" si="21"/>
        <v>2.74027402740275-0.046595685063792i</v>
      </c>
      <c r="J62" s="78" t="str">
        <f t="shared" si="22"/>
        <v>0.0338029415820028-0.18072161664396i</v>
      </c>
      <c r="K62" s="78" t="str">
        <f t="shared" si="23"/>
        <v>0.0842084753336134-0.496801823499865i</v>
      </c>
      <c r="L62" s="78" t="str">
        <f t="shared" si="24"/>
        <v>-0.0934320829529078+0.0257363796593021i</v>
      </c>
      <c r="M62" s="73">
        <f t="shared" si="25"/>
        <v>-20.272458298099249</v>
      </c>
      <c r="N62" s="73">
        <f t="shared" si="26"/>
        <v>344.59948909938038</v>
      </c>
      <c r="O62" s="73">
        <f t="shared" si="28"/>
        <v>-15.400510900619622</v>
      </c>
    </row>
    <row r="63" spans="1:15" ht="15" x14ac:dyDescent="0.2">
      <c r="A63" s="74">
        <f t="shared" si="13"/>
        <v>62</v>
      </c>
      <c r="B63" s="73">
        <f t="shared" si="27"/>
        <v>62000</v>
      </c>
      <c r="C63" s="73">
        <f t="shared" si="15"/>
        <v>97.682776581359221</v>
      </c>
      <c r="D63" s="54" t="str">
        <f t="shared" si="16"/>
        <v>0.0025833536189627-0.00014224353906244i</v>
      </c>
      <c r="E63" s="54" t="str">
        <f t="shared" si="17"/>
        <v>-0.294315093739357-0.678851778714291i</v>
      </c>
      <c r="F63" s="73" t="str">
        <f t="shared" si="18"/>
        <v>-0.000856882242030067-0.00171184977874785i</v>
      </c>
      <c r="G63" s="73" t="str">
        <f t="shared" si="19"/>
        <v>-0.0837026366047572-0.167218239478275i</v>
      </c>
      <c r="H63" s="76">
        <f t="shared" si="20"/>
        <v>0.18699751599634087</v>
      </c>
      <c r="I63" s="54" t="str">
        <f t="shared" si="21"/>
        <v>2.74027402740274-0.0458441417563113i</v>
      </c>
      <c r="J63" s="78" t="str">
        <f t="shared" si="22"/>
        <v>0.032756748278823-0.177999280113771i</v>
      </c>
      <c r="K63" s="78" t="str">
        <f t="shared" si="23"/>
        <v>0.081602242300571-0.489268509203722i</v>
      </c>
      <c r="L63" s="78" t="str">
        <f t="shared" si="24"/>
        <v>-0.0886449415746246+0.0273076809330493i</v>
      </c>
      <c r="M63" s="73">
        <f t="shared" si="25"/>
        <v>-20.653180170864673</v>
      </c>
      <c r="N63" s="73">
        <f t="shared" si="26"/>
        <v>342.87819298816032</v>
      </c>
      <c r="O63" s="73">
        <f t="shared" si="28"/>
        <v>-17.121807011839678</v>
      </c>
    </row>
    <row r="64" spans="1:15" ht="15" x14ac:dyDescent="0.2">
      <c r="A64" s="74">
        <f t="shared" si="13"/>
        <v>63</v>
      </c>
      <c r="B64" s="73">
        <f t="shared" si="27"/>
        <v>63000</v>
      </c>
      <c r="C64" s="73">
        <f t="shared" si="15"/>
        <v>97.682776581359221</v>
      </c>
      <c r="D64" s="54" t="str">
        <f t="shared" si="16"/>
        <v>0.00258335298008549-0.000139985705198733i</v>
      </c>
      <c r="E64" s="54" t="str">
        <f t="shared" si="17"/>
        <v>-0.304003299211843-0.65187909633581i</v>
      </c>
      <c r="F64" s="73" t="str">
        <f t="shared" si="18"/>
        <v>-0.000876601583979617-0.00164147768995164i</v>
      </c>
      <c r="G64" s="73" t="str">
        <f t="shared" si="19"/>
        <v>-0.0856288766787465-0.160344098450832i</v>
      </c>
      <c r="H64" s="76">
        <f t="shared" si="20"/>
        <v>0.18177605570941976</v>
      </c>
      <c r="I64" s="54" t="str">
        <f t="shared" si="21"/>
        <v>2.74027402740274-0.0451164569665287i</v>
      </c>
      <c r="J64" s="78" t="str">
        <f t="shared" si="22"/>
        <v>0.0317578674584459-0.175354798374432i</v>
      </c>
      <c r="K64" s="78" t="str">
        <f t="shared" si="23"/>
        <v>0.0791138721473436-0.481953002026438i</v>
      </c>
      <c r="L64" s="78" t="str">
        <f t="shared" si="24"/>
        <v>-0.0840527516072842+0.0285836516710533i</v>
      </c>
      <c r="M64" s="73">
        <f t="shared" si="25"/>
        <v>-21.033696196827648</v>
      </c>
      <c r="N64" s="73">
        <f t="shared" si="26"/>
        <v>341.21847412909904</v>
      </c>
      <c r="O64" s="73">
        <f t="shared" si="28"/>
        <v>-18.781525870900964</v>
      </c>
    </row>
    <row r="65" spans="1:15" ht="15" x14ac:dyDescent="0.2">
      <c r="A65" s="74">
        <f t="shared" si="13"/>
        <v>64</v>
      </c>
      <c r="B65" s="73">
        <f t="shared" si="27"/>
        <v>64000</v>
      </c>
      <c r="C65" s="73">
        <f t="shared" si="15"/>
        <v>97.682776581359221</v>
      </c>
      <c r="D65" s="54" t="str">
        <f t="shared" si="16"/>
        <v>0.00258335237092106-0.000137798428639162i</v>
      </c>
      <c r="E65" s="54" t="str">
        <f t="shared" si="17"/>
        <v>-0.312030390352364-0.625624842811758i</v>
      </c>
      <c r="F65" s="73" t="str">
        <f t="shared" si="18"/>
        <v>-0.000892294568973286-0.00157321212350665i</v>
      </c>
      <c r="G65" s="73" t="str">
        <f t="shared" si="19"/>
        <v>-0.0871618110257777-0.153675728375586i</v>
      </c>
      <c r="H65" s="76">
        <f t="shared" si="20"/>
        <v>0.17667317508059982</v>
      </c>
      <c r="I65" s="54" t="str">
        <f t="shared" si="21"/>
        <v>2.74027402740275-0.0444115123264267i</v>
      </c>
      <c r="J65" s="78" t="str">
        <f t="shared" si="22"/>
        <v>0.0308035190943132-0.172785017596201i</v>
      </c>
      <c r="K65" s="78" t="str">
        <f t="shared" si="23"/>
        <v>0.0767364393879556-0.474846326911151i</v>
      </c>
      <c r="L65" s="78" t="str">
        <f t="shared" si="24"/>
        <v>-0.0796608421832668+0.0295959375966213i</v>
      </c>
      <c r="M65" s="73">
        <f t="shared" si="25"/>
        <v>-21.413563892855194</v>
      </c>
      <c r="N65" s="73">
        <f t="shared" si="26"/>
        <v>339.61874569516976</v>
      </c>
      <c r="O65" s="73">
        <f t="shared" si="28"/>
        <v>-20.381254304830236</v>
      </c>
    </row>
    <row r="66" spans="1:15" ht="15" x14ac:dyDescent="0.2">
      <c r="A66" s="74">
        <f t="shared" si="13"/>
        <v>65</v>
      </c>
      <c r="B66" s="73">
        <f t="shared" si="27"/>
        <v>65000</v>
      </c>
      <c r="C66" s="73">
        <f t="shared" ref="C66:C101" si="29">_ta1*_ta2*(rload/RS)</f>
        <v>97.682776581359221</v>
      </c>
      <c r="D66" s="54" t="str">
        <f t="shared" ref="D66:D101" si="30">IMDIV((COMPLEX(1,2*PI()*(B66)*(esrcout*0.001)*(cout*0.000001))),(COMPLEX(1,2*PI()*(B66)*rload*(cout*0.000001))))</f>
        <v>0.00258335178965508-0.000135678452893014i</v>
      </c>
      <c r="E66" s="54" t="str">
        <f t="shared" ref="E66:E101" si="31">IMDIV(1,(COMPLEX((1-(B66/(fpp*1000))^2),(B66/(fpp*1000)))))</f>
        <v>-0.318544850191589-0.60015696412908i</v>
      </c>
      <c r="F66" s="73" t="str">
        <f t="shared" ref="F66:F97" si="32">IMPRODUCT(D66,E66)</f>
        <v>-0.000904341777213852-0.00150719689490579i</v>
      </c>
      <c r="G66" s="73" t="str">
        <f t="shared" ref="G66:G97" si="33">IMPRODUCT(C66,F66)</f>
        <v>-0.08833861577677-0.147227177549201i</v>
      </c>
      <c r="H66" s="76">
        <f t="shared" ref="H66:H97" si="34">IMABS(G66)</f>
        <v>0.17169610608997443</v>
      </c>
      <c r="I66" s="54" t="str">
        <f t="shared" ref="I66:I101" si="35">IMDIV((COMPLEX(1,(2*PI()*B66*(rf*1000)*(Cz*0.000000001)))),(COMPLEX(0,2*PI()*B66*((Cz*0.000000001)+(Cp*0.000000000001))*(RII*1000))))</f>
        <v>2.74027402740274-0.0437282582906354i</v>
      </c>
      <c r="J66" s="78" t="str">
        <f t="shared" ref="J66:J101" si="36">IMDIV(1,(COMPLEX(1,2*PI()*B66*(((Cz*0.000000001)*(Cp*0.000000000001))/((Cz*0.000000001)+(Cp*0.000000000001)))*(rf*1000))))</f>
        <v>0.0298911221742954-0.170286943097399i</v>
      </c>
      <c r="K66" s="78" t="str">
        <f t="shared" ref="K66:K97" si="37">IMPRODUCT(I66,J66)</f>
        <v>0.074463514312858-0.467939974086645i</v>
      </c>
      <c r="L66" s="78" t="str">
        <f t="shared" ref="L66:L97" si="38">IMPRODUCT(G66,K66)</f>
        <v>-0.0754714854274946+0.0303741165347552i</v>
      </c>
      <c r="M66" s="73">
        <f t="shared" ref="M66:M97" si="39">20*LOG(IMABS(L66))</f>
        <v>-21.792383225698842</v>
      </c>
      <c r="N66" s="73">
        <f t="shared" ref="N66:N101" si="40">(180/PI())*IMARGUMENT(L66)+180</f>
        <v>338.0772769410371</v>
      </c>
      <c r="O66" s="73">
        <f t="shared" si="28"/>
        <v>-21.922723058962902</v>
      </c>
    </row>
    <row r="67" spans="1:15" ht="15" x14ac:dyDescent="0.2">
      <c r="A67" s="74">
        <f t="shared" si="13"/>
        <v>66</v>
      </c>
      <c r="B67" s="73">
        <f t="shared" si="27"/>
        <v>66000</v>
      </c>
      <c r="C67" s="73">
        <f t="shared" si="29"/>
        <v>97.682776581359221</v>
      </c>
      <c r="D67" s="54" t="str">
        <f t="shared" si="30"/>
        <v>0.00258335123460961-0.00013362271883263i</v>
      </c>
      <c r="E67" s="54" t="str">
        <f t="shared" si="31"/>
        <v>-0.323689253851623-0.57552507419739i</v>
      </c>
      <c r="F67" s="73" t="str">
        <f t="shared" si="32"/>
        <v>-0.00091310625873806-0.00144353117282006i</v>
      </c>
      <c r="G67" s="73" t="str">
        <f t="shared" si="33"/>
        <v>-0.0891947546673507-0.141008133042809i</v>
      </c>
      <c r="H67" s="76">
        <f t="shared" si="34"/>
        <v>0.16685022578464614</v>
      </c>
      <c r="I67" s="54" t="str">
        <f t="shared" si="35"/>
        <v>2.74027402740274-0.0430657089225956i</v>
      </c>
      <c r="J67" s="78" t="str">
        <f t="shared" si="36"/>
        <v>0.0290182780375404-0.167857730168367i</v>
      </c>
      <c r="K67" s="78" t="str">
        <f t="shared" si="37"/>
        <v>0.0722891214783848-0.461225870994553i</v>
      </c>
      <c r="L67" s="78" t="str">
        <f t="shared" si="38"/>
        <v>-0.0714844094353682+0.0309455743506224i</v>
      </c>
      <c r="M67" s="73">
        <f t="shared" si="39"/>
        <v>-22.169795240598607</v>
      </c>
      <c r="N67" s="73">
        <f t="shared" si="40"/>
        <v>336.59223142323526</v>
      </c>
      <c r="O67" s="73">
        <f t="shared" si="28"/>
        <v>-23.407768576764738</v>
      </c>
    </row>
    <row r="68" spans="1:15" ht="15" x14ac:dyDescent="0.2">
      <c r="A68" s="74">
        <f t="shared" ref="A68:A100" si="41">1+A67</f>
        <v>67</v>
      </c>
      <c r="B68" s="73">
        <f t="shared" ref="B68:B99" si="42">(fs*1000/2)*(A68/100)</f>
        <v>67000</v>
      </c>
      <c r="C68" s="73">
        <f t="shared" si="29"/>
        <v>97.682776581359221</v>
      </c>
      <c r="D68" s="54" t="str">
        <f t="shared" si="30"/>
        <v>0.00258335070423097-0.000131628349964823i</v>
      </c>
      <c r="E68" s="54" t="str">
        <f t="shared" si="31"/>
        <v>-0.327598930100435-0.551762903889622i</v>
      </c>
      <c r="F68" s="73" t="str">
        <f t="shared" si="32"/>
        <v>-0.000918930567391061-0.00138227577971242i</v>
      </c>
      <c r="G68" s="73" t="str">
        <f t="shared" si="33"/>
        <v>-0.0897636893082427-0.135024536163472i</v>
      </c>
      <c r="H68" s="76">
        <f t="shared" si="34"/>
        <v>0.16213927742649983</v>
      </c>
      <c r="I68" s="54" t="str">
        <f t="shared" si="35"/>
        <v>2.74027402740274-0.0424229371476314i</v>
      </c>
      <c r="J68" s="78" t="str">
        <f t="shared" si="36"/>
        <v>0.0281827552974815-0.165494675447048i</v>
      </c>
      <c r="K68" s="78" t="str">
        <f t="shared" si="37"/>
        <v>0.0702077021475778-0.454696356057624i</v>
      </c>
      <c r="L68" s="78" t="str">
        <f t="shared" si="38"/>
        <v>-0.0676972669345224+0.0313354600171668i</v>
      </c>
      <c r="M68" s="73">
        <f t="shared" si="39"/>
        <v>-22.545480199649475</v>
      </c>
      <c r="N68" s="73">
        <f t="shared" si="40"/>
        <v>335.16170032960406</v>
      </c>
      <c r="O68" s="73">
        <f t="shared" si="28"/>
        <v>-24.838299670395941</v>
      </c>
    </row>
    <row r="69" spans="1:15" ht="15" x14ac:dyDescent="0.2">
      <c r="A69" s="74">
        <f t="shared" si="41"/>
        <v>68</v>
      </c>
      <c r="B69" s="73">
        <f t="shared" si="42"/>
        <v>68000</v>
      </c>
      <c r="C69" s="73">
        <f t="shared" si="29"/>
        <v>97.682776581359221</v>
      </c>
      <c r="D69" s="54" t="str">
        <f t="shared" si="30"/>
        <v>0.00258335019707891-0.000129692639001873i</v>
      </c>
      <c r="E69" s="54" t="str">
        <f t="shared" si="31"/>
        <v>-0.330401080778646-0.528890618948869i</v>
      </c>
      <c r="F69" s="73" t="str">
        <f t="shared" si="32"/>
        <v>-0.000922134917259413-0.00132345909659949i</v>
      </c>
      <c r="G69" s="73" t="str">
        <f t="shared" si="33"/>
        <v>-0.0900766991005214-0.129279159247696i</v>
      </c>
      <c r="H69" s="76">
        <f t="shared" si="34"/>
        <v>0.15756558233522008</v>
      </c>
      <c r="I69" s="54" t="str">
        <f t="shared" si="35"/>
        <v>2.74027402740274-0.0417990704248721i</v>
      </c>
      <c r="J69" s="78" t="str">
        <f t="shared" si="36"/>
        <v>0.0273824761829292-0.163195208817601i</v>
      </c>
      <c r="K69" s="78" t="str">
        <f t="shared" si="37"/>
        <v>0.0682140802636864-0.448344154169816i</v>
      </c>
      <c r="L69" s="78" t="str">
        <f t="shared" si="38"/>
        <v>-0.0641060544870241+0.0315667025232881i</v>
      </c>
      <c r="M69" s="73">
        <f t="shared" si="39"/>
        <v>-22.919155380978591</v>
      </c>
      <c r="N69" s="73">
        <f t="shared" si="40"/>
        <v>333.78373111132737</v>
      </c>
      <c r="O69" s="73">
        <f t="shared" si="28"/>
        <v>-26.21626888867263</v>
      </c>
    </row>
    <row r="70" spans="1:15" ht="15" x14ac:dyDescent="0.2">
      <c r="A70" s="74">
        <f t="shared" si="41"/>
        <v>69</v>
      </c>
      <c r="B70" s="73">
        <f t="shared" si="42"/>
        <v>69000</v>
      </c>
      <c r="C70" s="73">
        <f t="shared" si="29"/>
        <v>97.682776581359221</v>
      </c>
      <c r="D70" s="54" t="str">
        <f t="shared" si="30"/>
        <v>0.00258334971181675-0.000127813035600262i</v>
      </c>
      <c r="E70" s="54" t="str">
        <f t="shared" si="31"/>
        <v>-0.332214276180469-0.506916962769844i</v>
      </c>
      <c r="F70" s="73" t="str">
        <f t="shared" si="32"/>
        <v>-0.000923016250441104-0.00126708247457813i</v>
      </c>
      <c r="G70" s="73" t="str">
        <f t="shared" si="33"/>
        <v>-0.0901627901728023-0.123772134274371i</v>
      </c>
      <c r="H70" s="76">
        <f t="shared" si="34"/>
        <v>0.15313023853758506</v>
      </c>
      <c r="I70" s="54" t="str">
        <f t="shared" si="35"/>
        <v>2.74027402740275-0.0411932867955262i</v>
      </c>
      <c r="J70" s="78" t="str">
        <f t="shared" si="36"/>
        <v>0.0266155041486709-0.160956885803568i</v>
      </c>
      <c r="K70" s="78" t="str">
        <f t="shared" si="37"/>
        <v>0.0663034315862119-0.442162353794752i</v>
      </c>
      <c r="L70" s="78" t="str">
        <f t="shared" si="38"/>
        <v>-0.0607054806148004+0.0316600742903684i</v>
      </c>
      <c r="M70" s="73">
        <f t="shared" si="39"/>
        <v>-23.290572664535848</v>
      </c>
      <c r="N70" s="73">
        <f t="shared" si="40"/>
        <v>332.45635172167681</v>
      </c>
      <c r="O70" s="73">
        <f t="shared" si="28"/>
        <v>-27.54364827832319</v>
      </c>
    </row>
    <row r="71" spans="1:15" ht="15" x14ac:dyDescent="0.2">
      <c r="A71" s="74">
        <f t="shared" si="41"/>
        <v>70</v>
      </c>
      <c r="B71" s="73">
        <f t="shared" si="42"/>
        <v>70000</v>
      </c>
      <c r="C71" s="73">
        <f t="shared" si="29"/>
        <v>97.682776581359221</v>
      </c>
      <c r="D71" s="54" t="str">
        <f t="shared" si="30"/>
        <v>0.00258334924720264-0.000125987135150373i</v>
      </c>
      <c r="E71" s="54" t="str">
        <f t="shared" si="31"/>
        <v>-0.333148250971682-0.485841199333704i</v>
      </c>
      <c r="F71" s="73" t="str">
        <f t="shared" si="32"/>
        <v>-0.000921848024196645-0.00121312510283847i</v>
      </c>
      <c r="G71" s="73" t="str">
        <f t="shared" si="33"/>
        <v>-0.0900486745895683-0.118501428385809i</v>
      </c>
      <c r="H71" s="76">
        <f t="shared" si="34"/>
        <v>0.14883330381609819</v>
      </c>
      <c r="I71" s="54" t="str">
        <f t="shared" si="35"/>
        <v>2.74027402740274-0.0406048112698757i</v>
      </c>
      <c r="J71" s="78" t="str">
        <f t="shared" si="36"/>
        <v>0.0258800326240614-0.158777380427562i</v>
      </c>
      <c r="K71" s="78" t="str">
        <f t="shared" si="37"/>
        <v>0.0644712556618646-0.436144385565051i</v>
      </c>
      <c r="L71" s="78" t="str">
        <f t="shared" si="38"/>
        <v>-0.0574892837933857+0.0316342879640569i</v>
      </c>
      <c r="M71" s="73">
        <f t="shared" si="39"/>
        <v>-23.659516006531703</v>
      </c>
      <c r="N71" s="73">
        <f t="shared" si="40"/>
        <v>331.17759083327854</v>
      </c>
      <c r="O71" s="73">
        <f t="shared" si="28"/>
        <v>-28.822409166721457</v>
      </c>
    </row>
    <row r="72" spans="1:15" ht="15" x14ac:dyDescent="0.2">
      <c r="A72" s="74">
        <f t="shared" si="41"/>
        <v>71</v>
      </c>
      <c r="B72" s="73">
        <f t="shared" si="42"/>
        <v>71000</v>
      </c>
      <c r="C72" s="73">
        <f t="shared" si="29"/>
        <v>97.682776581359221</v>
      </c>
      <c r="D72" s="54" t="str">
        <f t="shared" si="30"/>
        <v>0.00258334880208152-0.000124212668513547i</v>
      </c>
      <c r="E72" s="54" t="str">
        <f t="shared" si="31"/>
        <v>-0.333303933678997-0.465654846344132i</v>
      </c>
      <c r="F72" s="73" t="str">
        <f t="shared" si="32"/>
        <v>-0.000918880548869366-0.00116154831845824i</v>
      </c>
      <c r="G72" s="73" t="str">
        <f t="shared" si="33"/>
        <v>-0.089758803360163-0.11346326488041i</v>
      </c>
      <c r="H72" s="76">
        <f t="shared" si="34"/>
        <v>0.1446739619211781</v>
      </c>
      <c r="I72" s="54" t="str">
        <f t="shared" si="35"/>
        <v>2.74027402740274-0.0400329125195959i</v>
      </c>
      <c r="J72" s="78" t="str">
        <f t="shared" si="36"/>
        <v>0.0251743747830263-0.156654478510223i</v>
      </c>
      <c r="K72" s="78" t="str">
        <f t="shared" si="37"/>
        <v>0.0627133503400268-0.430284002281309i</v>
      </c>
      <c r="L72" s="78" t="str">
        <f t="shared" si="38"/>
        <v>-0.0544505030058746+0.0315061156686235i</v>
      </c>
      <c r="M72" s="73">
        <f t="shared" si="39"/>
        <v>-24.02579888307066</v>
      </c>
      <c r="N72" s="73">
        <f t="shared" si="40"/>
        <v>329.94549443969379</v>
      </c>
      <c r="O72" s="73">
        <f t="shared" si="28"/>
        <v>-30.054505560306211</v>
      </c>
    </row>
    <row r="73" spans="1:15" ht="15" x14ac:dyDescent="0.2">
      <c r="A73" s="74">
        <f t="shared" si="41"/>
        <v>72</v>
      </c>
      <c r="B73" s="73">
        <f t="shared" si="42"/>
        <v>72000</v>
      </c>
      <c r="C73" s="73">
        <f t="shared" si="29"/>
        <v>97.682776581359221</v>
      </c>
      <c r="D73" s="54" t="str">
        <f t="shared" si="30"/>
        <v>0.00258334837537803-0.000122487492614372i</v>
      </c>
      <c r="E73" s="54" t="str">
        <f t="shared" si="31"/>
        <v>-0.3327736520237-0.446343199435663i</v>
      </c>
      <c r="F73" s="73" t="str">
        <f t="shared" si="32"/>
        <v>-0.00091434173266839-0.00111229936887864i</v>
      </c>
      <c r="G73" s="73" t="str">
        <f t="shared" si="33"/>
        <v>-0.0893154391912592-0.108652490741759i</v>
      </c>
      <c r="H73" s="76">
        <f t="shared" si="34"/>
        <v>0.14065067160278882</v>
      </c>
      <c r="I73" s="54" t="str">
        <f t="shared" si="35"/>
        <v>2.74027402740275-0.0394768998457126i</v>
      </c>
      <c r="J73" s="78" t="str">
        <f t="shared" si="36"/>
        <v>0.024496954232006-0.15458607138213i</v>
      </c>
      <c r="K73" s="78" t="str">
        <f t="shared" si="37"/>
        <v>0.0610257885749454-0.42457526021542i</v>
      </c>
      <c r="L73" s="78" t="str">
        <f t="shared" si="38"/>
        <v>-0.0515817046383+0.0312905219077356i</v>
      </c>
      <c r="M73" s="73">
        <f t="shared" si="39"/>
        <v>-24.389261764732971</v>
      </c>
      <c r="N73" s="73">
        <f t="shared" si="40"/>
        <v>328.75813925577472</v>
      </c>
      <c r="O73" s="73">
        <f t="shared" si="28"/>
        <v>-31.241860744225278</v>
      </c>
    </row>
    <row r="74" spans="1:15" ht="15" x14ac:dyDescent="0.2">
      <c r="A74" s="74">
        <f t="shared" si="41"/>
        <v>73</v>
      </c>
      <c r="B74" s="73">
        <f t="shared" si="42"/>
        <v>73000</v>
      </c>
      <c r="C74" s="73">
        <f t="shared" si="29"/>
        <v>97.682776581359221</v>
      </c>
      <c r="D74" s="54" t="str">
        <f t="shared" si="30"/>
        <v>0.00258334796608989-0.000120809581806214i</v>
      </c>
      <c r="E74" s="54" t="str">
        <f t="shared" si="31"/>
        <v>-0.331641465588464-0.427886655849379i</v>
      </c>
      <c r="F74" s="73" t="str">
        <f t="shared" si="32"/>
        <v>-0.000908438113552652-0.00106531465533816i</v>
      </c>
      <c r="G74" s="73" t="str">
        <f t="shared" si="33"/>
        <v>-0.0887387572841551-0.104062893466245i</v>
      </c>
      <c r="H74" s="76">
        <f t="shared" si="34"/>
        <v>0.13676129876870594</v>
      </c>
      <c r="I74" s="54" t="str">
        <f t="shared" si="35"/>
        <v>2.74027402740274-0.0389361203957713i</v>
      </c>
      <c r="J74" s="78" t="str">
        <f t="shared" si="36"/>
        <v>0.0238462965238748-0.152570149983443i</v>
      </c>
      <c r="K74" s="78" t="str">
        <f t="shared" si="37"/>
        <v>0.0594048972855621-0.419012501629016i</v>
      </c>
      <c r="L74" s="78" t="str">
        <f t="shared" si="38"/>
        <v>-0.0488751700797588+0.0310008031834832i</v>
      </c>
      <c r="M74" s="73">
        <f t="shared" si="39"/>
        <v>-24.749769667855041</v>
      </c>
      <c r="N74" s="73">
        <f t="shared" si="40"/>
        <v>327.61364332178778</v>
      </c>
      <c r="O74" s="73">
        <f t="shared" si="28"/>
        <v>-32.386356678212223</v>
      </c>
    </row>
    <row r="75" spans="1:15" ht="15" x14ac:dyDescent="0.2">
      <c r="A75" s="74">
        <f t="shared" si="41"/>
        <v>74</v>
      </c>
      <c r="B75" s="73">
        <f t="shared" si="42"/>
        <v>74000</v>
      </c>
      <c r="C75" s="73">
        <f t="shared" si="29"/>
        <v>97.682776581359221</v>
      </c>
      <c r="D75" s="54" t="str">
        <f t="shared" si="30"/>
        <v>0.00258334757328216-0.000119177019936849i</v>
      </c>
      <c r="E75" s="54" t="str">
        <f t="shared" si="31"/>
        <v>-0.329983585977756-0.410261850846i</v>
      </c>
      <c r="F75" s="73" t="str">
        <f t="shared" si="32"/>
        <v>-0.000901356080836183-0.00102052249638836i</v>
      </c>
      <c r="G75" s="73" t="str">
        <f t="shared" si="33"/>
        <v>-0.0880469646645704-0.0996874710109551i</v>
      </c>
      <c r="H75" s="76">
        <f t="shared" si="34"/>
        <v>0.13300323252915369</v>
      </c>
      <c r="I75" s="54" t="str">
        <f t="shared" si="35"/>
        <v>2.74027402740274-0.0384099566066393i</v>
      </c>
      <c r="J75" s="78" t="str">
        <f t="shared" si="36"/>
        <v>0.023221021415994-0.150604799327219i</v>
      </c>
      <c r="K75" s="78" t="str">
        <f t="shared" si="37"/>
        <v>0.0578472380691011-0.41359033842353i</v>
      </c>
      <c r="L75" s="78" t="str">
        <f t="shared" si="38"/>
        <v>-0.0463230485982199+0.0306487290447069i</v>
      </c>
      <c r="M75" s="73">
        <f t="shared" si="39"/>
        <v>-25.107209814959042</v>
      </c>
      <c r="N75" s="73">
        <f t="shared" si="40"/>
        <v>326.51017419461328</v>
      </c>
      <c r="O75" s="73">
        <f t="shared" si="28"/>
        <v>-33.489825805386715</v>
      </c>
    </row>
    <row r="76" spans="1:15" ht="15" x14ac:dyDescent="0.2">
      <c r="A76" s="74">
        <f t="shared" si="41"/>
        <v>75</v>
      </c>
      <c r="B76" s="73">
        <f t="shared" si="42"/>
        <v>75000</v>
      </c>
      <c r="C76" s="73">
        <f t="shared" si="29"/>
        <v>97.682776581359221</v>
      </c>
      <c r="D76" s="54" t="str">
        <f t="shared" si="30"/>
        <v>0.00258334719608173-0.000117587993048827i</v>
      </c>
      <c r="E76" s="54" t="str">
        <f t="shared" si="31"/>
        <v>-0.327868852459016-0.39344262295082i</v>
      </c>
      <c r="F76" s="73" t="str">
        <f t="shared" si="32"/>
        <v>-0.000893263209095187-0.000977845456475164i</v>
      </c>
      <c r="G76" s="73" t="str">
        <f t="shared" si="33"/>
        <v>-0.0872564304823931-0.0955186592559607i</v>
      </c>
      <c r="H76" s="76">
        <f t="shared" si="34"/>
        <v>0.12937348618084396</v>
      </c>
      <c r="I76" s="54" t="str">
        <f t="shared" si="35"/>
        <v>2.74027402740275-0.0378978238518841i</v>
      </c>
      <c r="J76" s="78" t="str">
        <f t="shared" si="36"/>
        <v>0.0226198357994703-0.148688193303555i</v>
      </c>
      <c r="K76" s="78" t="str">
        <f t="shared" si="37"/>
        <v>0.0563495895867304-0.408303636843858i</v>
      </c>
      <c r="L76" s="78" t="str">
        <f t="shared" si="38"/>
        <v>-0.0439174800071439+0.0302446806570262i</v>
      </c>
      <c r="M76" s="73">
        <f t="shared" si="39"/>
        <v>-25.46148942597496</v>
      </c>
      <c r="N76" s="73">
        <f t="shared" si="40"/>
        <v>325.44595508008967</v>
      </c>
      <c r="O76" s="73">
        <f t="shared" si="28"/>
        <v>-34.554044919910325</v>
      </c>
    </row>
    <row r="77" spans="1:15" ht="15" x14ac:dyDescent="0.2">
      <c r="A77" s="74">
        <f t="shared" si="41"/>
        <v>76</v>
      </c>
      <c r="B77" s="73">
        <f t="shared" si="42"/>
        <v>76000</v>
      </c>
      <c r="C77" s="73">
        <f t="shared" si="29"/>
        <v>97.682776581359221</v>
      </c>
      <c r="D77" s="54" t="str">
        <f t="shared" si="30"/>
        <v>0.00258334683367264-0.000116040782656137i</v>
      </c>
      <c r="E77" s="54" t="str">
        <f t="shared" si="31"/>
        <v>-0.325359237914116-0.377400825419304i</v>
      </c>
      <c r="F77" s="73" t="str">
        <f t="shared" si="32"/>
        <v>-0.000884309644228303-0.000937202286760441i</v>
      </c>
      <c r="G77" s="73" t="str">
        <f t="shared" si="33"/>
        <v>-0.0863818214058946-0.0915485215891591i</v>
      </c>
      <c r="H77" s="76">
        <f t="shared" si="34"/>
        <v>0.1258687843532327</v>
      </c>
      <c r="I77" s="54" t="str">
        <f t="shared" si="35"/>
        <v>2.74027402740274-0.0373991682748856i</v>
      </c>
      <c r="J77" s="78" t="str">
        <f t="shared" si="36"/>
        <v>0.0220415272345515-0.146818589802927i</v>
      </c>
      <c r="K77" s="78" t="str">
        <f t="shared" si="37"/>
        <v>0.0549089314592106-0.403147503162938i</v>
      </c>
      <c r="L77" s="78" t="str">
        <f t="shared" si="38"/>
        <v>-0.0416506914078259+0.029797784121322i</v>
      </c>
      <c r="M77" s="73">
        <f t="shared" si="39"/>
        <v>-25.812533653295642</v>
      </c>
      <c r="N77" s="73">
        <f t="shared" si="40"/>
        <v>324.41926922728396</v>
      </c>
      <c r="O77" s="73">
        <f t="shared" si="28"/>
        <v>-35.580730772716038</v>
      </c>
    </row>
    <row r="78" spans="1:15" ht="15" x14ac:dyDescent="0.2">
      <c r="A78" s="74">
        <f t="shared" si="41"/>
        <v>77</v>
      </c>
      <c r="B78" s="73">
        <f t="shared" si="42"/>
        <v>77000</v>
      </c>
      <c r="C78" s="73">
        <f t="shared" si="29"/>
        <v>97.682776581359221</v>
      </c>
      <c r="D78" s="54" t="str">
        <f t="shared" si="30"/>
        <v>0.00258334648529147-0.000114533759544763i</v>
      </c>
      <c r="E78" s="54" t="str">
        <f t="shared" si="31"/>
        <v>-0.322510365759674-0.362107001509111i</v>
      </c>
      <c r="F78" s="73" t="str">
        <f t="shared" si="32"/>
        <v>-0.00087462949609564-0.000898509524965383i</v>
      </c>
      <c r="G78" s="73" t="str">
        <f t="shared" si="33"/>
        <v>-0.0854362376585772-0.0877689051834167i</v>
      </c>
      <c r="H78" s="76">
        <f t="shared" si="34"/>
        <v>0.12248563761661396</v>
      </c>
      <c r="I78" s="54" t="str">
        <f t="shared" si="35"/>
        <v>2.74027402740274-0.0369134647907962i</v>
      </c>
      <c r="J78" s="78" t="str">
        <f t="shared" si="36"/>
        <v>0.0214849580340325-0.14499432613833i</v>
      </c>
      <c r="K78" s="78" t="str">
        <f t="shared" si="37"/>
        <v>0.0535224295277246-0.398117270279549i</v>
      </c>
      <c r="L78" s="78" t="str">
        <f t="shared" si="38"/>
        <v>-0.0395150719562416+0.0293160366771826i</v>
      </c>
      <c r="M78" s="73">
        <f t="shared" si="39"/>
        <v>-26.160283667016976</v>
      </c>
      <c r="N78" s="73">
        <f t="shared" si="40"/>
        <v>323.42846287077043</v>
      </c>
      <c r="O78" s="73">
        <f t="shared" si="28"/>
        <v>-36.571537129229569</v>
      </c>
    </row>
    <row r="79" spans="1:15" ht="15" x14ac:dyDescent="0.2">
      <c r="A79" s="74">
        <f t="shared" si="41"/>
        <v>78</v>
      </c>
      <c r="B79" s="73">
        <f t="shared" si="42"/>
        <v>78000</v>
      </c>
      <c r="C79" s="73">
        <f t="shared" si="29"/>
        <v>97.682776581359221</v>
      </c>
      <c r="D79" s="54" t="str">
        <f t="shared" si="30"/>
        <v>0.00258334615022352-0.000113065378050121i</v>
      </c>
      <c r="E79" s="54" t="str">
        <f t="shared" si="31"/>
        <v>-0.319372023352939-0.34753094059053i</v>
      </c>
      <c r="F79" s="73" t="str">
        <f t="shared" si="32"/>
        <v>-0.000864342204199894-0.000861682798899073i</v>
      </c>
      <c r="G79" s="73" t="str">
        <f t="shared" si="33"/>
        <v>-0.0844313464226978-0.0841715683288584i</v>
      </c>
      <c r="H79" s="76">
        <f t="shared" si="34"/>
        <v>0.11922040586111626</v>
      </c>
      <c r="I79" s="54" t="str">
        <f t="shared" si="35"/>
        <v>2.74027402740274-0.0364402152421962i</v>
      </c>
      <c r="J79" s="78" t="str">
        <f t="shared" si="36"/>
        <v>0.0209490598426812-0.143213814747003i</v>
      </c>
      <c r="K79" s="78" t="str">
        <f t="shared" si="37"/>
        <v>0.0521874223503682-0.393208485166269i</v>
      </c>
      <c r="L79" s="78" t="str">
        <f t="shared" si="38"/>
        <v>-0.0375032292120311+0.0288064246411465i</v>
      </c>
      <c r="M79" s="73">
        <f t="shared" si="39"/>
        <v>-26.504694891627882</v>
      </c>
      <c r="N79" s="73">
        <f t="shared" si="40"/>
        <v>322.47194697268128</v>
      </c>
      <c r="O79" s="73">
        <f t="shared" si="28"/>
        <v>-37.52805302731872</v>
      </c>
    </row>
    <row r="80" spans="1:15" ht="15" x14ac:dyDescent="0.2">
      <c r="A80" s="74">
        <f t="shared" si="41"/>
        <v>79</v>
      </c>
      <c r="B80" s="73">
        <f t="shared" si="42"/>
        <v>79000</v>
      </c>
      <c r="C80" s="73">
        <f t="shared" si="29"/>
        <v>97.682776581359221</v>
      </c>
      <c r="D80" s="54" t="str">
        <f t="shared" si="30"/>
        <v>0.00258334582779894-0.000111634170769118i</v>
      </c>
      <c r="E80" s="54" t="str">
        <f t="shared" si="31"/>
        <v>-0.315988661370671-0.333642131091727i</v>
      </c>
      <c r="F80" s="73" t="str">
        <f t="shared" si="32"/>
        <v>-0.000853553852621761-0.000826637875149201i</v>
      </c>
      <c r="G80" s="73" t="str">
        <f t="shared" si="33"/>
        <v>-0.0833775102858099-0.0807482828718889i</v>
      </c>
      <c r="H80" s="76">
        <f t="shared" si="34"/>
        <v>0.11606935171792303</v>
      </c>
      <c r="I80" s="54" t="str">
        <f t="shared" si="35"/>
        <v>2.74027402740274-0.0359789466948267i</v>
      </c>
      <c r="J80" s="78" t="str">
        <f t="shared" si="36"/>
        <v>0.0204328286661268-0.141475539153691i</v>
      </c>
      <c r="K80" s="78" t="str">
        <f t="shared" si="37"/>
        <v>0.0509014088183249-0.388416897109062i</v>
      </c>
      <c r="L80" s="78" t="str">
        <f t="shared" si="38"/>
        <v>-0.035608030217296+0.0282750324760534i</v>
      </c>
      <c r="M80" s="73">
        <f t="shared" si="39"/>
        <v>-26.845735391661172</v>
      </c>
      <c r="N80" s="73">
        <f t="shared" si="40"/>
        <v>321.54819798358005</v>
      </c>
      <c r="O80" s="73">
        <f t="shared" si="28"/>
        <v>-38.451802016419947</v>
      </c>
    </row>
    <row r="81" spans="1:18" ht="15" x14ac:dyDescent="0.2">
      <c r="A81" s="74">
        <f t="shared" si="41"/>
        <v>80</v>
      </c>
      <c r="B81" s="73">
        <f t="shared" si="42"/>
        <v>80000</v>
      </c>
      <c r="C81" s="73">
        <f t="shared" si="29"/>
        <v>97.682776581359221</v>
      </c>
      <c r="D81" s="54" t="str">
        <f t="shared" si="30"/>
        <v>0.00258334551738957-0.000110238743668811i</v>
      </c>
      <c r="E81" s="54" t="str">
        <f t="shared" si="31"/>
        <v>-0.31239987183595-0.320410124959949i</v>
      </c>
      <c r="F81" s="73" t="str">
        <f t="shared" si="32"/>
        <v>-0.000842358418174829-0.000793291490648024i</v>
      </c>
      <c r="G81" s="73" t="str">
        <f t="shared" si="33"/>
        <v>-0.082283909163999-0.0774909154448643i</v>
      </c>
      <c r="H81" s="76">
        <f t="shared" si="34"/>
        <v>0.11302868522544331</v>
      </c>
      <c r="I81" s="54" t="str">
        <f t="shared" si="35"/>
        <v>2.74027402740274-0.0355292098611414i</v>
      </c>
      <c r="J81" s="78" t="str">
        <f t="shared" si="36"/>
        <v>0.0199353203074676-0.139778050178511i</v>
      </c>
      <c r="K81" s="78" t="str">
        <f t="shared" si="37"/>
        <v>0.0496620367877344-0.383738446684024i</v>
      </c>
      <c r="L81" s="78" t="str">
        <f t="shared" si="38"/>
        <v>-0.0338226300488764+0.0277271427961442i</v>
      </c>
      <c r="M81" s="73">
        <f t="shared" si="39"/>
        <v>-27.183384401131015</v>
      </c>
      <c r="N81" s="73">
        <f t="shared" si="40"/>
        <v>320.65575781084686</v>
      </c>
      <c r="O81" s="73">
        <f t="shared" si="28"/>
        <v>-39.344242189153135</v>
      </c>
    </row>
    <row r="82" spans="1:18" ht="15" x14ac:dyDescent="0.2">
      <c r="A82" s="74">
        <f t="shared" si="41"/>
        <v>81</v>
      </c>
      <c r="B82" s="73">
        <f t="shared" si="42"/>
        <v>81000</v>
      </c>
      <c r="C82" s="73">
        <f t="shared" si="29"/>
        <v>97.682776581359221</v>
      </c>
      <c r="D82" s="54" t="str">
        <f t="shared" si="30"/>
        <v>0.00258334521840572-0.000108877771557389i</v>
      </c>
      <c r="E82" s="54" t="str">
        <f t="shared" si="31"/>
        <v>-0.308640839982196-0.307804826872173i</v>
      </c>
      <c r="F82" s="73" t="str">
        <f t="shared" si="32"/>
        <v>-0.000830838941797181-0.000761562000833566i</v>
      </c>
      <c r="G82" s="73" t="str">
        <f t="shared" si="33"/>
        <v>-0.0811586547266669-0.0743914907802781i</v>
      </c>
      <c r="H82" s="76">
        <f t="shared" si="34"/>
        <v>0.11009460085560296</v>
      </c>
      <c r="I82" s="54" t="str">
        <f t="shared" si="35"/>
        <v>2.74027402740274-0.0350905776406334i</v>
      </c>
      <c r="J82" s="78" t="str">
        <f t="shared" si="36"/>
        <v>0.0194556461741281-0.138119962373566i</v>
      </c>
      <c r="K82" s="78" t="str">
        <f t="shared" si="37"/>
        <v>0.0484670926339097-0.379169255420749i</v>
      </c>
      <c r="L82" s="78" t="str">
        <f t="shared" si="38"/>
        <v>-0.0321404902054784+0.0271673274088376i</v>
      </c>
      <c r="M82" s="73">
        <f t="shared" si="39"/>
        <v>-27.517630989761578</v>
      </c>
      <c r="N82" s="73">
        <f t="shared" si="40"/>
        <v>319.79323315565307</v>
      </c>
      <c r="O82" s="73">
        <f t="shared" si="28"/>
        <v>-40.20676684434693</v>
      </c>
    </row>
    <row r="83" spans="1:18" ht="15" x14ac:dyDescent="0.2">
      <c r="A83" s="74">
        <f t="shared" si="41"/>
        <v>82</v>
      </c>
      <c r="B83" s="73">
        <f t="shared" si="42"/>
        <v>82000</v>
      </c>
      <c r="C83" s="73">
        <f t="shared" si="29"/>
        <v>97.682776581359221</v>
      </c>
      <c r="D83" s="54" t="str">
        <f t="shared" si="30"/>
        <v>0.00258334493029347-0.000107549993886537i</v>
      </c>
      <c r="E83" s="54" t="str">
        <f t="shared" si="31"/>
        <v>-0.304742767092029-0.295796719952017i</v>
      </c>
      <c r="F83" s="73" t="str">
        <f t="shared" si="32"/>
        <v>-0.000819068617833294-0.000731369874147766i</v>
      </c>
      <c r="G83" s="73" t="str">
        <f t="shared" si="33"/>
        <v>-0.0800088968006124-0.071442240014713i</v>
      </c>
      <c r="H83" s="76">
        <f t="shared" si="34"/>
        <v>0.10726330791827605</v>
      </c>
      <c r="I83" s="54" t="str">
        <f t="shared" si="35"/>
        <v>2.74027402740274-0.0346626437669671i</v>
      </c>
      <c r="J83" s="78" t="str">
        <f t="shared" si="36"/>
        <v>0.0189929694212954-0.13649995067346i</v>
      </c>
      <c r="K83" s="78" t="str">
        <f t="shared" si="37"/>
        <v>0.0473144916440275-0.374705616105365i</v>
      </c>
      <c r="L83" s="78" t="str">
        <f t="shared" si="38"/>
        <v>-0.0305553888397808+0.0265995297013773i</v>
      </c>
      <c r="M83" s="73">
        <f t="shared" si="39"/>
        <v>-27.848472857851636</v>
      </c>
      <c r="N83" s="73">
        <f t="shared" si="40"/>
        <v>318.9592943548995</v>
      </c>
      <c r="O83" s="73">
        <f t="shared" si="28"/>
        <v>-41.040705645100502</v>
      </c>
    </row>
    <row r="84" spans="1:18" ht="15" x14ac:dyDescent="0.2">
      <c r="A84" s="74">
        <f t="shared" si="41"/>
        <v>83</v>
      </c>
      <c r="B84" s="73">
        <f t="shared" si="42"/>
        <v>83000</v>
      </c>
      <c r="C84" s="73">
        <f t="shared" si="29"/>
        <v>97.682776581359221</v>
      </c>
      <c r="D84" s="54" t="str">
        <f t="shared" si="30"/>
        <v>0.00258334465253205-0.000106254210857252i</v>
      </c>
      <c r="E84" s="54" t="str">
        <f t="shared" si="31"/>
        <v>-0.300733262929728-0.284357038313596i</v>
      </c>
      <c r="F84" s="73" t="str">
        <f t="shared" si="32"/>
        <v>-0.000807111799335744-0.000702638058806155i</v>
      </c>
      <c r="G84" s="73" t="str">
        <f t="shared" si="33"/>
        <v>-0.0788409215706923-0.0686356365159216i</v>
      </c>
      <c r="H84" s="76">
        <f t="shared" si="34"/>
        <v>0.10453105526139954</v>
      </c>
      <c r="I84" s="54" t="str">
        <f t="shared" si="35"/>
        <v>2.74027402740275-0.0342450215529073i</v>
      </c>
      <c r="J84" s="78" t="str">
        <f t="shared" si="36"/>
        <v>0.0185465014016402-0.134916747245845i</v>
      </c>
      <c r="K84" s="78" t="str">
        <f t="shared" si="37"/>
        <v>0.0462022691728212-0.370343983679681i</v>
      </c>
      <c r="L84" s="78" t="str">
        <f t="shared" si="38"/>
        <v>-0.0290614245299394+0.026027138818311i</v>
      </c>
      <c r="M84" s="73">
        <f t="shared" si="39"/>
        <v>-28.175915250982698</v>
      </c>
      <c r="N84" s="73">
        <f t="shared" si="40"/>
        <v>318.15267384267679</v>
      </c>
      <c r="O84" s="73">
        <f t="shared" si="28"/>
        <v>-41.847326157323209</v>
      </c>
      <c r="P84" s="73">
        <v>-27.673999999999999</v>
      </c>
      <c r="Q84" s="73">
        <v>318.15300000000002</v>
      </c>
      <c r="R84" s="73">
        <f>B84</f>
        <v>83000</v>
      </c>
    </row>
    <row r="85" spans="1:18" ht="15" x14ac:dyDescent="0.2">
      <c r="A85" s="74">
        <f t="shared" si="41"/>
        <v>84</v>
      </c>
      <c r="B85" s="73">
        <f t="shared" si="42"/>
        <v>84000</v>
      </c>
      <c r="C85" s="73">
        <f t="shared" si="29"/>
        <v>97.682776581359221</v>
      </c>
      <c r="D85" s="54" t="str">
        <f t="shared" si="30"/>
        <v>0.00258334438463152-0.000104989279803818i</v>
      </c>
      <c r="E85" s="54" t="str">
        <f t="shared" si="31"/>
        <v>-0.296636707487767-0.273457895401365i</v>
      </c>
      <c r="F85" s="73" t="str">
        <f t="shared" si="32"/>
        <v>-0.000795024920058963-0.000675292244235753i</v>
      </c>
      <c r="G85" s="73" t="str">
        <f t="shared" si="33"/>
        <v>-0.0776602416427327-0.0659644214208057i</v>
      </c>
      <c r="H85" s="76">
        <f t="shared" si="34"/>
        <v>0.10189415108527715</v>
      </c>
      <c r="I85" s="54" t="str">
        <f t="shared" si="35"/>
        <v>2.74027402740274-0.0338373427248965i</v>
      </c>
      <c r="J85" s="78" t="str">
        <f t="shared" si="36"/>
        <v>0.0181154983940378-0.133369138529022i</v>
      </c>
      <c r="K85" s="78" t="str">
        <f t="shared" si="37"/>
        <v>0.0451285724933071-0.366080966695948i</v>
      </c>
      <c r="L85" s="78" t="str">
        <f t="shared" si="38"/>
        <v>-0.0276530150060893+0.0254530561603446i</v>
      </c>
      <c r="M85" s="73">
        <f t="shared" si="39"/>
        <v>-28.499969985523425</v>
      </c>
      <c r="N85" s="73">
        <f t="shared" si="40"/>
        <v>317.37216432676553</v>
      </c>
      <c r="O85" s="73">
        <f t="shared" si="28"/>
        <v>-42.627835673234472</v>
      </c>
    </row>
    <row r="86" spans="1:18" ht="15" x14ac:dyDescent="0.2">
      <c r="A86" s="74">
        <f t="shared" si="41"/>
        <v>85</v>
      </c>
      <c r="B86" s="73">
        <f t="shared" si="42"/>
        <v>85000</v>
      </c>
      <c r="C86" s="73">
        <f t="shared" si="29"/>
        <v>97.682776581359221</v>
      </c>
      <c r="D86" s="54" t="str">
        <f t="shared" si="30"/>
        <v>0.00258334412613057-0.000103754111833016i</v>
      </c>
      <c r="E86" s="54" t="str">
        <f t="shared" si="31"/>
        <v>-0.292474582566039-0.263072375853051i</v>
      </c>
      <c r="F86" s="73" t="str">
        <f t="shared" si="32"/>
        <v>-0.000782857335618902-0.000649261036359321i</v>
      </c>
      <c r="G86" s="73" t="str">
        <f t="shared" si="33"/>
        <v>-0.0764716782103394-0.0634216207576693i</v>
      </c>
      <c r="H86" s="76">
        <f t="shared" si="34"/>
        <v>9.9348978594826651E-2</v>
      </c>
      <c r="I86" s="54" t="str">
        <f t="shared" si="35"/>
        <v>2.74027402740274-0.0334392563398977i</v>
      </c>
      <c r="J86" s="78" t="str">
        <f t="shared" si="36"/>
        <v>0.0176992585866887-0.131855962444518i</v>
      </c>
      <c r="K86" s="78" t="str">
        <f t="shared" si="37"/>
        <v>0.0440916532812618-0.36191331928981i</v>
      </c>
      <c r="L86" s="78" t="str">
        <f t="shared" si="38"/>
        <v>-0.0263248920046341+0.0248797547797833i</v>
      </c>
      <c r="M86" s="73">
        <f t="shared" si="39"/>
        <v>-28.820654575912851</v>
      </c>
      <c r="N86" s="73">
        <f t="shared" si="40"/>
        <v>316.61661675920698</v>
      </c>
      <c r="O86" s="73">
        <f t="shared" si="28"/>
        <v>-43.383383240793023</v>
      </c>
    </row>
    <row r="87" spans="1:18" ht="15" x14ac:dyDescent="0.2">
      <c r="A87" s="74">
        <f t="shared" si="41"/>
        <v>86</v>
      </c>
      <c r="B87" s="73">
        <f t="shared" si="42"/>
        <v>86000</v>
      </c>
      <c r="C87" s="73">
        <f t="shared" si="29"/>
        <v>97.682776581359221</v>
      </c>
      <c r="D87" s="54" t="str">
        <f t="shared" si="30"/>
        <v>0.00258334387659456-0.000102547668697822i</v>
      </c>
      <c r="E87" s="54" t="str">
        <f t="shared" si="31"/>
        <v>-0.288265774261145-0.253174597492427i</v>
      </c>
      <c r="F87" s="73" t="str">
        <f t="shared" si="32"/>
        <v>-0.000770652087515677-0.000624476063025501i</v>
      </c>
      <c r="G87" s="73" t="str">
        <f t="shared" si="33"/>
        <v>-0.075279435686752-0.0610005557449268i</v>
      </c>
      <c r="H87" s="76">
        <f t="shared" si="34"/>
        <v>9.6892008125055148E-2</v>
      </c>
      <c r="I87" s="54" t="str">
        <f t="shared" si="35"/>
        <v>2.74027402740275-0.0330504277778059i</v>
      </c>
      <c r="J87" s="78" t="str">
        <f t="shared" si="36"/>
        <v>0.0172971192924324-0.130376105773319i</v>
      </c>
      <c r="K87" s="78" t="str">
        <f t="shared" si="37"/>
        <v>0.0430898606781269-0.357837933636478i</v>
      </c>
      <c r="L87" s="78" t="str">
        <f t="shared" si="38"/>
        <v>-0.0250720932141115+0.0243093322631303i</v>
      </c>
      <c r="M87" s="73">
        <f t="shared" si="39"/>
        <v>-29.13799145494432</v>
      </c>
      <c r="N87" s="73">
        <f t="shared" si="40"/>
        <v>315.88493816584128</v>
      </c>
      <c r="O87" s="73">
        <f t="shared" si="28"/>
        <v>-44.115061834158723</v>
      </c>
    </row>
    <row r="88" spans="1:18" ht="15" x14ac:dyDescent="0.2">
      <c r="A88" s="74">
        <f t="shared" si="41"/>
        <v>87</v>
      </c>
      <c r="B88" s="73">
        <f t="shared" si="42"/>
        <v>87000</v>
      </c>
      <c r="C88" s="73">
        <f t="shared" si="29"/>
        <v>97.682776581359221</v>
      </c>
      <c r="D88" s="54" t="str">
        <f t="shared" si="30"/>
        <v>0.00258334363561369-0.000101368959886707i</v>
      </c>
      <c r="E88" s="54" t="str">
        <f t="shared" si="31"/>
        <v>-0.284026847815692-0.243739749062588i</v>
      </c>
      <c r="F88" s="73" t="str">
        <f t="shared" si="32"/>
        <v>-0.000758446594493607-0.000600872023343938i</v>
      </c>
      <c r="G88" s="73" t="str">
        <f t="shared" si="33"/>
        <v>-0.0740871692388118-0.0586948476102952i</v>
      </c>
      <c r="H88" s="76">
        <f t="shared" si="34"/>
        <v>9.4519806293792821E-2</v>
      </c>
      <c r="I88" s="54" t="str">
        <f t="shared" si="35"/>
        <v>2.74027402740274-0.0326705378033483i</v>
      </c>
      <c r="J88" s="78" t="str">
        <f t="shared" si="36"/>
        <v>0.0169084543761917-0.128928501685236i</v>
      </c>
      <c r="K88" s="78" t="str">
        <f t="shared" si="37"/>
        <v>0.0421216348823657-0.353851832857896i</v>
      </c>
      <c r="L88" s="78" t="str">
        <f t="shared" si="38"/>
        <v>-0.0238899520983631+0.0237435576858897i</v>
      </c>
      <c r="M88" s="73">
        <f t="shared" si="39"/>
        <v>-29.452007278642323</v>
      </c>
      <c r="N88" s="73">
        <f t="shared" si="40"/>
        <v>315.17608938766637</v>
      </c>
      <c r="O88" s="73">
        <f t="shared" si="28"/>
        <v>-44.823910612333634</v>
      </c>
    </row>
    <row r="89" spans="1:18" ht="15" x14ac:dyDescent="0.2">
      <c r="A89" s="74">
        <f t="shared" si="41"/>
        <v>88</v>
      </c>
      <c r="B89" s="73">
        <f t="shared" si="42"/>
        <v>88000</v>
      </c>
      <c r="C89" s="73">
        <f t="shared" si="29"/>
        <v>97.682776581359221</v>
      </c>
      <c r="D89" s="54" t="str">
        <f t="shared" si="30"/>
        <v>0.00258334340280132-0.000100217039911386i</v>
      </c>
      <c r="E89" s="54" t="str">
        <f t="shared" si="31"/>
        <v>-0.279772296507588-0.234744108435047i</v>
      </c>
      <c r="F89" s="73" t="str">
        <f t="shared" si="32"/>
        <v>-0.00074627327615345-0.000578386692466955i</v>
      </c>
      <c r="G89" s="73" t="str">
        <f t="shared" si="33"/>
        <v>-0.0728980457031364-0.0564984180578809i</v>
      </c>
      <c r="H89" s="76">
        <f t="shared" si="34"/>
        <v>9.2229042662166055E-2</v>
      </c>
      <c r="I89" s="54" t="str">
        <f t="shared" si="35"/>
        <v>2.74027402740274-0.0322992816919467i</v>
      </c>
      <c r="J89" s="78" t="str">
        <f t="shared" si="36"/>
        <v>0.016532671876397-0.12751212741157i</v>
      </c>
      <c r="K89" s="78" t="str">
        <f t="shared" si="37"/>
        <v>0.0411855012240567-0.349952164350851i</v>
      </c>
      <c r="L89" s="78" t="str">
        <f t="shared" si="38"/>
        <v>-0.0227740862322925+0.0231839132046797i</v>
      </c>
      <c r="M89" s="73">
        <f t="shared" si="39"/>
        <v>-29.762732307791659</v>
      </c>
      <c r="N89" s="73">
        <f t="shared" si="40"/>
        <v>314.48908277667113</v>
      </c>
      <c r="O89" s="73">
        <f t="shared" si="28"/>
        <v>-45.510917223328875</v>
      </c>
    </row>
    <row r="90" spans="1:18" ht="15" x14ac:dyDescent="0.2">
      <c r="A90" s="74">
        <f t="shared" si="41"/>
        <v>89</v>
      </c>
      <c r="B90" s="73">
        <f t="shared" si="42"/>
        <v>89000</v>
      </c>
      <c r="C90" s="73">
        <f t="shared" si="29"/>
        <v>97.682776581359221</v>
      </c>
      <c r="D90" s="54" t="str">
        <f t="shared" si="30"/>
        <v>0.00258334317779237-0.0000990910057774325i</v>
      </c>
      <c r="E90" s="54" t="str">
        <f t="shared" si="31"/>
        <v>-0.275514766381876-0.226165045268281i</v>
      </c>
      <c r="F90" s="73" t="str">
        <f t="shared" si="32"/>
        <v>-0.000734160113921011-0.000556960891441602i</v>
      </c>
      <c r="G90" s="73" t="str">
        <f t="shared" si="33"/>
        <v>-0.0717147983830913-0.0544054863232447i</v>
      </c>
      <c r="H90" s="76">
        <f t="shared" si="34"/>
        <v>9.0016494317409421E-2</v>
      </c>
      <c r="I90" s="54" t="str">
        <f t="shared" si="35"/>
        <v>2.74027402740274-0.031936368414509i</v>
      </c>
      <c r="J90" s="78" t="str">
        <f t="shared" si="36"/>
        <v>0.0161692118039622-0.12612600205192i</v>
      </c>
      <c r="K90" s="78" t="str">
        <f t="shared" si="37"/>
        <v>0.0402800646817922-0.346136193508165i</v>
      </c>
      <c r="L90" s="78" t="str">
        <f t="shared" si="38"/>
        <v>-0.0217203846594011+0.0226316308223841i</v>
      </c>
      <c r="M90" s="73">
        <f t="shared" si="39"/>
        <v>-30.070199858696856</v>
      </c>
      <c r="N90" s="73">
        <f t="shared" si="40"/>
        <v>313.82297988023106</v>
      </c>
      <c r="O90" s="73">
        <f t="shared" si="28"/>
        <v>-46.17702011976894</v>
      </c>
    </row>
    <row r="91" spans="1:18" ht="15" x14ac:dyDescent="0.2">
      <c r="A91" s="74">
        <f t="shared" si="41"/>
        <v>90</v>
      </c>
      <c r="B91" s="73">
        <f t="shared" si="42"/>
        <v>90000</v>
      </c>
      <c r="C91" s="73">
        <f t="shared" si="29"/>
        <v>97.682776581359221</v>
      </c>
      <c r="D91" s="54" t="str">
        <f t="shared" si="30"/>
        <v>0.002583342960242-0.000097989994623501i</v>
      </c>
      <c r="E91" s="54" t="str">
        <f t="shared" si="31"/>
        <v>-0.2712652586708-0.217981011431893i</v>
      </c>
      <c r="F91" s="73" t="str">
        <f t="shared" si="32"/>
        <v>-0.000722131154483673-0.000536538430110317i</v>
      </c>
      <c r="G91" s="73" t="str">
        <f t="shared" si="33"/>
        <v>-0.0705397762258676-0.0524105635957793i</v>
      </c>
      <c r="H91" s="76">
        <f t="shared" si="34"/>
        <v>8.7879048734170434E-2</v>
      </c>
      <c r="I91" s="54" t="str">
        <f t="shared" si="35"/>
        <v>2.74027402740274-0.0315815198765701i</v>
      </c>
      <c r="J91" s="78" t="str">
        <f t="shared" si="36"/>
        <v>0.0158175441039154-0.124769184506576i</v>
      </c>
      <c r="K91" s="78" t="str">
        <f t="shared" si="37"/>
        <v>0.0394040048047788-0.342401297807107i</v>
      </c>
      <c r="L91" s="78" t="str">
        <f t="shared" si="38"/>
        <v>-0.0207249946753289+0.0220877248270107i</v>
      </c>
      <c r="M91" s="73">
        <f t="shared" si="39"/>
        <v>-30.374445816290475</v>
      </c>
      <c r="N91" s="73">
        <f t="shared" si="40"/>
        <v>313.17688914097312</v>
      </c>
      <c r="O91" s="73">
        <f t="shared" si="28"/>
        <v>-46.823110859026883</v>
      </c>
    </row>
    <row r="92" spans="1:18" ht="15" x14ac:dyDescent="0.2">
      <c r="A92" s="74">
        <f t="shared" si="41"/>
        <v>91</v>
      </c>
      <c r="B92" s="73">
        <f t="shared" si="42"/>
        <v>91000</v>
      </c>
      <c r="C92" s="73">
        <f t="shared" si="29"/>
        <v>97.682776581359221</v>
      </c>
      <c r="D92" s="54" t="str">
        <f t="shared" si="30"/>
        <v>0.0025833427498241-0.0000969131815162147i</v>
      </c>
      <c r="E92" s="54" t="str">
        <f t="shared" si="31"/>
        <v>-0.267033311733552-0.210171521949085i</v>
      </c>
      <c r="F92" s="73" t="str">
        <f t="shared" si="32"/>
        <v>-0.000710206960684581-0.000517066029635756i</v>
      </c>
      <c r="G92" s="73" t="str">
        <f t="shared" si="33"/>
        <v>-0.0693749878670781-0.05050844545072i</v>
      </c>
      <c r="H92" s="76">
        <f t="shared" si="34"/>
        <v>8.5813705218954345E-2</v>
      </c>
      <c r="I92" s="54" t="str">
        <f t="shared" si="35"/>
        <v>2.74027402740274-0.0312344702075968i</v>
      </c>
      <c r="J92" s="78" t="str">
        <f t="shared" si="36"/>
        <v>0.0154771667661767-0.123440771526545i</v>
      </c>
      <c r="K92" s="78" t="str">
        <f t="shared" si="37"/>
        <v>0.0385560710064862-0.338744961241003i</v>
      </c>
      <c r="L92" s="78" t="str">
        <f t="shared" si="38"/>
        <v>-0.0197843083548246+0.0215530203669032i</v>
      </c>
      <c r="M92" s="73">
        <f t="shared" si="39"/>
        <v>-30.675508203258648</v>
      </c>
      <c r="N92" s="73">
        <f t="shared" si="40"/>
        <v>312.54996363305543</v>
      </c>
      <c r="O92" s="73">
        <f t="shared" si="28"/>
        <v>-47.450036366944573</v>
      </c>
    </row>
    <row r="93" spans="1:18" ht="15" x14ac:dyDescent="0.2">
      <c r="A93" s="74">
        <f t="shared" si="41"/>
        <v>92</v>
      </c>
      <c r="B93" s="73">
        <f t="shared" si="42"/>
        <v>92000</v>
      </c>
      <c r="C93" s="73">
        <f t="shared" si="29"/>
        <v>97.682776581359221</v>
      </c>
      <c r="D93" s="54" t="str">
        <f t="shared" si="30"/>
        <v>0.00258334254623033-0.0000958597773888666i</v>
      </c>
      <c r="E93" s="54" t="str">
        <f t="shared" si="31"/>
        <v>-0.262827164292679-0.202717128730101i</v>
      </c>
      <c r="F93" s="73" t="str">
        <f t="shared" si="32"/>
        <v>-0.000698405014655324-0.000498493230037277i</v>
      </c>
      <c r="G93" s="73" t="str">
        <f t="shared" si="33"/>
        <v>-0.0682221410098769-0.0486942028170514i</v>
      </c>
      <c r="H93" s="76">
        <f t="shared" si="34"/>
        <v>8.381757519732759E-2</v>
      </c>
      <c r="I93" s="54" t="str">
        <f t="shared" si="35"/>
        <v>2.74027402740274-0.0308949650966446i</v>
      </c>
      <c r="J93" s="78" t="str">
        <f t="shared" si="36"/>
        <v>0.015147604073213-0.122139895873765i</v>
      </c>
      <c r="K93" s="78" t="str">
        <f t="shared" si="37"/>
        <v>0.0377350781992778-0.335164769071693i</v>
      </c>
      <c r="L93" s="78" t="str">
        <f t="shared" si="38"/>
        <v>-0.0188949490682371+0.0210281785859989i</v>
      </c>
      <c r="M93" s="73">
        <f t="shared" si="39"/>
        <v>-30.973426799387155</v>
      </c>
      <c r="N93" s="73">
        <f t="shared" si="40"/>
        <v>311.94139885087282</v>
      </c>
      <c r="O93" s="73">
        <f t="shared" si="28"/>
        <v>-48.058601149127185</v>
      </c>
    </row>
    <row r="94" spans="1:18" ht="15" x14ac:dyDescent="0.2">
      <c r="A94" s="74">
        <f t="shared" si="41"/>
        <v>93</v>
      </c>
      <c r="B94" s="73">
        <f t="shared" si="42"/>
        <v>93000</v>
      </c>
      <c r="C94" s="73">
        <f t="shared" si="29"/>
        <v>97.682776581359221</v>
      </c>
      <c r="D94" s="54" t="str">
        <f t="shared" si="30"/>
        <v>0.00258334234916871-0.0000948290271130985i</v>
      </c>
      <c r="E94" s="54" t="str">
        <f t="shared" si="31"/>
        <v>-0.258653901662655-0.195599388962652i</v>
      </c>
      <c r="F94" s="73" t="str">
        <f t="shared" si="32"/>
        <v>-0.000686740077702101-0.000480772287125065i</v>
      </c>
      <c r="G94" s="73" t="str">
        <f t="shared" si="33"/>
        <v>-0.0670826775796396-0.0469631719097468i</v>
      </c>
      <c r="H94" s="76">
        <f t="shared" si="34"/>
        <v>8.188788156423582E-2</v>
      </c>
      <c r="I94" s="54" t="str">
        <f t="shared" si="35"/>
        <v>2.74027402740274-0.0305627611708743i</v>
      </c>
      <c r="J94" s="78" t="str">
        <f t="shared" si="36"/>
        <v>0.0148284049734162-0.120865724584601i</v>
      </c>
      <c r="K94" s="78" t="str">
        <f t="shared" si="37"/>
        <v>0.0369399027422382-0.331658402882142i</v>
      </c>
      <c r="L94" s="78" t="str">
        <f t="shared" si="38"/>
        <v>-0.0180537581753469+0.0205137187043079i</v>
      </c>
      <c r="M94" s="73">
        <f t="shared" si="39"/>
        <v>-31.268242805850335</v>
      </c>
      <c r="N94" s="73">
        <f t="shared" si="40"/>
        <v>311.3504305621301</v>
      </c>
      <c r="O94" s="73">
        <f t="shared" si="28"/>
        <v>-48.6495694378699</v>
      </c>
    </row>
    <row r="95" spans="1:18" ht="15" x14ac:dyDescent="0.2">
      <c r="A95" s="74">
        <f t="shared" si="41"/>
        <v>94</v>
      </c>
      <c r="B95" s="73">
        <f t="shared" si="42"/>
        <v>94000</v>
      </c>
      <c r="C95" s="73">
        <f t="shared" si="29"/>
        <v>97.682776581359221</v>
      </c>
      <c r="D95" s="54" t="str">
        <f t="shared" si="30"/>
        <v>0.00258334215836277-0.0000938202076936724i</v>
      </c>
      <c r="E95" s="54" t="str">
        <f t="shared" si="31"/>
        <v>-0.254519586567639-0.188800829682434i</v>
      </c>
      <c r="F95" s="73" t="str">
        <f t="shared" si="32"/>
        <v>-0.000675224511162788-0.000463858062378617i</v>
      </c>
      <c r="G95" s="73" t="str">
        <f t="shared" si="33"/>
        <v>-0.0659578050661721-0.0453109434727926i</v>
      </c>
      <c r="H95" s="76">
        <f t="shared" si="34"/>
        <v>8.0021957283871556E-2</v>
      </c>
      <c r="I95" s="54" t="str">
        <f t="shared" si="35"/>
        <v>2.74027402740275-0.0302376254137373i</v>
      </c>
      <c r="J95" s="78" t="str">
        <f t="shared" si="36"/>
        <v>0.0145191415700595-0.119617457330141i</v>
      </c>
      <c r="K95" s="78" t="str">
        <f t="shared" si="37"/>
        <v>0.0361694786769251-0.328223635909867i</v>
      </c>
      <c r="L95" s="78" t="str">
        <f t="shared" si="38"/>
        <v>-0.0172577820370641+0.0200100373916827i</v>
      </c>
      <c r="M95" s="73">
        <f t="shared" si="39"/>
        <v>-31.559998549652239</v>
      </c>
      <c r="N95" s="73">
        <f t="shared" si="40"/>
        <v>310.77633273391791</v>
      </c>
      <c r="O95" s="73">
        <f t="shared" si="28"/>
        <v>-49.223667266082089</v>
      </c>
    </row>
    <row r="96" spans="1:18" ht="15" x14ac:dyDescent="0.2">
      <c r="A96" s="74">
        <f t="shared" si="41"/>
        <v>95</v>
      </c>
      <c r="B96" s="73">
        <f t="shared" si="42"/>
        <v>95000</v>
      </c>
      <c r="C96" s="73">
        <f t="shared" si="29"/>
        <v>97.682776581359221</v>
      </c>
      <c r="D96" s="54" t="str">
        <f t="shared" si="30"/>
        <v>0.00258334197355052-0.0000928326265772561i</v>
      </c>
      <c r="E96" s="54" t="str">
        <f t="shared" si="31"/>
        <v>-0.250429376037459-0.18230490975907i</v>
      </c>
      <c r="F96" s="73" t="str">
        <f t="shared" si="32"/>
        <v>-0.000663868562138499-0.000447707908615285i</v>
      </c>
      <c r="G96" s="73" t="str">
        <f t="shared" si="33"/>
        <v>-0.0648485244347632-0.0437333516109745i</v>
      </c>
      <c r="H96" s="76">
        <f t="shared" si="34"/>
        <v>7.8217243396166841E-2</v>
      </c>
      <c r="I96" s="54" t="str">
        <f t="shared" si="35"/>
        <v>2.74027402740274-0.0299193346199085i</v>
      </c>
      <c r="J96" s="78" t="str">
        <f t="shared" si="36"/>
        <v>0.014219407716593-0.118394324867294i</v>
      </c>
      <c r="K96" s="78" t="str">
        <f t="shared" si="37"/>
        <v>0.0354227942280272-0.324858328643298i</v>
      </c>
      <c r="L96" s="78" t="str">
        <f t="shared" si="38"/>
        <v>-0.0165042594473547+0.0195174257478437i</v>
      </c>
      <c r="M96" s="73">
        <f t="shared" si="39"/>
        <v>-31.848737223891185</v>
      </c>
      <c r="N96" s="73">
        <f t="shared" si="40"/>
        <v>310.21841553771111</v>
      </c>
      <c r="O96" s="73">
        <f t="shared" si="28"/>
        <v>-49.78158446228889</v>
      </c>
    </row>
    <row r="97" spans="1:18" ht="15" x14ac:dyDescent="0.2">
      <c r="A97" s="74">
        <f t="shared" si="41"/>
        <v>96</v>
      </c>
      <c r="B97" s="73">
        <f t="shared" si="42"/>
        <v>96000</v>
      </c>
      <c r="C97" s="73">
        <f t="shared" si="29"/>
        <v>97.682776581359221</v>
      </c>
      <c r="D97" s="54" t="str">
        <f t="shared" si="30"/>
        <v>0.00258334179448353-0.0000918656200669026i</v>
      </c>
      <c r="E97" s="54" t="str">
        <f t="shared" si="31"/>
        <v>-0.246387625758944-0.176095980292277i</v>
      </c>
      <c r="F97" s="73" t="str">
        <f t="shared" si="32"/>
        <v>-0.000652680617687486-0.00043228155371243i</v>
      </c>
      <c r="G97" s="73" t="str">
        <f t="shared" si="33"/>
        <v>-0.0637556549565502-0.0422264624315341i</v>
      </c>
      <c r="H97" s="76">
        <f t="shared" si="34"/>
        <v>7.6471286561822949E-2</v>
      </c>
      <c r="I97" s="54" t="str">
        <f t="shared" si="35"/>
        <v>2.74027402740274-0.0296076748842845i</v>
      </c>
      <c r="J97" s="78" t="str">
        <f t="shared" si="36"/>
        <v>0.013928817709854-0.117195587575043i</v>
      </c>
      <c r="K97" s="78" t="str">
        <f t="shared" si="37"/>
        <v>0.0346988885479457-0.321560424664369i</v>
      </c>
      <c r="L97" s="78" t="str">
        <f t="shared" si="38"/>
        <v>-0.0157906095571967+0.0190360841688974i</v>
      </c>
      <c r="M97" s="73">
        <f t="shared" si="39"/>
        <v>-32.134502659944189</v>
      </c>
      <c r="N97" s="73">
        <f t="shared" si="40"/>
        <v>309.67602343704095</v>
      </c>
      <c r="O97" s="73">
        <f t="shared" si="28"/>
        <v>-50.323976562959047</v>
      </c>
    </row>
    <row r="98" spans="1:18" ht="15" x14ac:dyDescent="0.2">
      <c r="A98" s="74">
        <f t="shared" si="41"/>
        <v>97</v>
      </c>
      <c r="B98" s="73">
        <f t="shared" si="42"/>
        <v>97000</v>
      </c>
      <c r="C98" s="73">
        <f t="shared" si="29"/>
        <v>97.682776581359221</v>
      </c>
      <c r="D98" s="54" t="str">
        <f t="shared" si="30"/>
        <v>0.00258334162092607-0.0000909185518346102i</v>
      </c>
      <c r="E98" s="54" t="str">
        <f t="shared" si="31"/>
        <v>-0.242397983147737-0.170159244212842i</v>
      </c>
      <c r="F98" s="73" t="str">
        <f>IMPRODUCT(D98,E98)</f>
        <v>-0.000641667430759188-0.000417540984164936i</v>
      </c>
      <c r="G98" s="73" t="str">
        <f>IMPRODUCT(C98,F98)</f>
        <v>-0.0626798562783846-0.0407865626697443i</v>
      </c>
      <c r="H98" s="76">
        <f>IMABS(G98)</f>
        <v>7.4781736256200479E-2</v>
      </c>
      <c r="I98" s="54" t="str">
        <f t="shared" si="35"/>
        <v>2.74027402740275-0.0293024411225908i</v>
      </c>
      <c r="J98" s="78" t="str">
        <f t="shared" si="36"/>
        <v>0.013647005073513-0.11602053407064i</v>
      </c>
      <c r="K98" s="78" t="str">
        <f>IMPRODUCT(I98,J98)</f>
        <v>0.0339968486861648-0.318327946721837i</v>
      </c>
      <c r="L98" s="78" t="str">
        <f>IMPRODUCT(G98,K98)</f>
        <v>-0.015114420338068+0.0185661353504059i</v>
      </c>
      <c r="M98" s="73">
        <f>20*LOG(IMABS(L98))</f>
        <v>-32.41733912805919</v>
      </c>
      <c r="N98" s="73">
        <f t="shared" si="40"/>
        <v>309.14853335984913</v>
      </c>
      <c r="O98" s="73">
        <f t="shared" si="28"/>
        <v>-50.851466640150875</v>
      </c>
    </row>
    <row r="99" spans="1:18" ht="15" x14ac:dyDescent="0.2">
      <c r="A99" s="74">
        <f t="shared" si="41"/>
        <v>98</v>
      </c>
      <c r="B99" s="73">
        <f t="shared" si="42"/>
        <v>98000</v>
      </c>
      <c r="C99" s="73">
        <f t="shared" si="29"/>
        <v>97.682776581359221</v>
      </c>
      <c r="D99" s="54" t="str">
        <f t="shared" si="30"/>
        <v>0.00258334145265447-0.0000899908115249496i</v>
      </c>
      <c r="E99" s="54" t="str">
        <f t="shared" si="31"/>
        <v>-0.238463470296582-0.164480715716955i</v>
      </c>
      <c r="F99" s="73" t="str">
        <f>IMPRODUCT(D99,E99)</f>
        <v>-0.000630834320848572-0.00040345032986284i</v>
      </c>
      <c r="G99" s="73" t="str">
        <f>IMPRODUCT(C99,F99)</f>
        <v>-0.0616216480233045-0.0394101484336675i</v>
      </c>
      <c r="H99" s="76">
        <f>IMABS(G99)</f>
        <v>7.3146341703954912E-2</v>
      </c>
      <c r="I99" s="54" t="str">
        <f t="shared" si="35"/>
        <v>2.74027402740274-0.0290034366213398i</v>
      </c>
      <c r="J99" s="78" t="str">
        <f t="shared" si="36"/>
        <v>0.0133736214247369-0.114868479900819i</v>
      </c>
      <c r="K99" s="78" t="str">
        <f>IMPRODUCT(I99,J99)</f>
        <v>0.0333158067659303-0.315158993020838i</v>
      </c>
      <c r="L99" s="78" t="str">
        <f>IMPRODUCT(G99,K99)</f>
        <v>-0.014473437613299+0.0181076356494765i</v>
      </c>
      <c r="M99" s="73">
        <f>20*LOG(IMABS(L99))</f>
        <v>-32.697291163206316</v>
      </c>
      <c r="N99" s="73">
        <f t="shared" si="40"/>
        <v>308.63535295613485</v>
      </c>
      <c r="O99" s="73">
        <f t="shared" si="28"/>
        <v>-51.364647043865148</v>
      </c>
    </row>
    <row r="100" spans="1:18" ht="15" x14ac:dyDescent="0.2">
      <c r="A100" s="74">
        <f t="shared" si="41"/>
        <v>99</v>
      </c>
      <c r="B100" s="73">
        <f>(fs*1000/2)*(A100/100)</f>
        <v>99000</v>
      </c>
      <c r="C100" s="73">
        <f t="shared" si="29"/>
        <v>97.682776581359221</v>
      </c>
      <c r="D100" s="54" t="str">
        <f t="shared" si="30"/>
        <v>0.0025833412894562-0.0000890818134433139i</v>
      </c>
      <c r="E100" s="54" t="str">
        <f t="shared" si="31"/>
        <v>-0.234586557851577-0.159047180025381i</v>
      </c>
      <c r="F100" s="73" t="str">
        <f>IMPRODUCT(D100,E100)</f>
        <v>-0.000620185352069091-0.000389975751148297i</v>
      </c>
      <c r="G100" s="73" t="str">
        <f>IMPRODUCT(C100,F100)</f>
        <v>-0.0605814271851966-0.0380939141715668i</v>
      </c>
      <c r="H100" s="76">
        <f>IMABS(G100)</f>
        <v>7.1562948630600573E-2</v>
      </c>
      <c r="I100" s="54" t="str">
        <f t="shared" si="35"/>
        <v>2.74027402740274-0.0287104726150637i</v>
      </c>
      <c r="J100" s="78" t="str">
        <f t="shared" si="36"/>
        <v>0.0131083354176619-0.11373876630349i</v>
      </c>
      <c r="K100" s="78" t="str">
        <f>IMPRODUCT(I100,J100)</f>
        <v>0.0326549373522749-0.312051733715321i</v>
      </c>
      <c r="L100" s="78" t="str">
        <f>IMPRODUCT(G100,K100)</f>
        <v>-0.0138655546706841+0.0176605850033136i</v>
      </c>
      <c r="M100" s="73">
        <f>20*LOG(IMABS(L100))</f>
        <v>-32.974403413362936</v>
      </c>
      <c r="N100" s="73">
        <f t="shared" si="40"/>
        <v>308.13591894043986</v>
      </c>
      <c r="O100" s="73">
        <f t="shared" si="28"/>
        <v>-51.864081059560135</v>
      </c>
    </row>
    <row r="101" spans="1:18" ht="15" x14ac:dyDescent="0.2">
      <c r="A101" s="74">
        <f>1+A100</f>
        <v>100</v>
      </c>
      <c r="B101" s="73">
        <f>(fs*1000/2)*(A101/100)</f>
        <v>100000</v>
      </c>
      <c r="C101" s="73">
        <f t="shared" si="29"/>
        <v>97.682776581359221</v>
      </c>
      <c r="D101" s="54" t="str">
        <f t="shared" si="30"/>
        <v>0.00258334113112935-0.0000881909953228794i</v>
      </c>
      <c r="E101" s="54" t="str">
        <f t="shared" si="31"/>
        <v>-0.230769230769231-0.153846153846154i</v>
      </c>
      <c r="F101" s="73" t="str">
        <f>IMPRODUCT(D101,E101)</f>
        <v>-0.000609723491079524-0.00037708532894539i</v>
      </c>
      <c r="G101" s="73" t="str">
        <f>IMPRODUCT(C101,F101)</f>
        <v>-0.0595594835555275-0.0368347419394809i</v>
      </c>
      <c r="H101" s="76">
        <f>IMABS(G101)</f>
        <v>7.0029495893868199E-2</v>
      </c>
      <c r="I101" s="54" t="str">
        <f t="shared" si="35"/>
        <v>2.74027402740274-0.028423367888913i</v>
      </c>
      <c r="J101" s="78" t="str">
        <f t="shared" si="36"/>
        <v>0.0128508317578107-0.112630759035634i</v>
      </c>
      <c r="K101" s="78" t="str">
        <f>IMPRODUCT(I101,J101)</f>
        <v>0.0320134549967736-0.309004407590735i</v>
      </c>
      <c r="L101" s="78" t="str">
        <f>IMPRODUCT(G101,K101)</f>
        <v>-0.0132888024582029+0.0172249355790886i</v>
      </c>
      <c r="M101" s="73">
        <f>20*LOG(IMABS(L101))</f>
        <v>-33.248720507707986</v>
      </c>
      <c r="N101" s="73">
        <f t="shared" si="40"/>
        <v>307.64969551785452</v>
      </c>
      <c r="O101" s="73">
        <f t="shared" si="28"/>
        <v>-52.350304482145475</v>
      </c>
      <c r="P101" s="73">
        <v>-32.747</v>
      </c>
      <c r="Q101" s="73">
        <v>307.64999999999998</v>
      </c>
      <c r="R101" s="73">
        <f>B101</f>
        <v>100000</v>
      </c>
    </row>
  </sheetData>
  <phoneticPr fontId="21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5"/>
  <sheetViews>
    <sheetView workbookViewId="0">
      <selection activeCell="C34" sqref="C34"/>
    </sheetView>
  </sheetViews>
  <sheetFormatPr defaultRowHeight="12.75" x14ac:dyDescent="0.2"/>
  <cols>
    <col min="1" max="1" width="9.140625" style="13"/>
    <col min="2" max="2" width="19.28515625" style="13" bestFit="1" customWidth="1"/>
    <col min="3" max="3" width="12.42578125" style="13" bestFit="1" customWidth="1"/>
    <col min="4" max="4" width="7.7109375" style="13" customWidth="1"/>
    <col min="5" max="5" width="8.7109375" style="3" customWidth="1"/>
    <col min="6" max="8" width="8.7109375" style="5" customWidth="1"/>
    <col min="9" max="9" width="8.7109375" style="6" customWidth="1"/>
    <col min="10" max="11" width="9.140625" style="37"/>
    <col min="12" max="12" width="4.7109375" style="37" bestFit="1" customWidth="1"/>
    <col min="13" max="13" width="10.28515625" style="3" customWidth="1"/>
    <col min="14" max="14" width="9.140625" style="3"/>
    <col min="15" max="16384" width="9.140625" style="50"/>
  </cols>
  <sheetData>
    <row r="1" spans="1:14" ht="18.75" thickBot="1" x14ac:dyDescent="0.3">
      <c r="A1" s="48"/>
      <c r="B1" s="3"/>
      <c r="C1" s="3"/>
      <c r="D1" s="3"/>
      <c r="E1" s="4" t="s">
        <v>138</v>
      </c>
      <c r="J1" s="4" t="s">
        <v>139</v>
      </c>
      <c r="K1" s="7"/>
      <c r="L1" s="7"/>
      <c r="N1" s="7"/>
    </row>
    <row r="2" spans="1:14" ht="13.5" thickBot="1" x14ac:dyDescent="0.25">
      <c r="A2" s="3"/>
      <c r="B2" s="8" t="s">
        <v>140</v>
      </c>
      <c r="C2" s="9">
        <v>127</v>
      </c>
      <c r="D2" s="3"/>
      <c r="E2" s="115" t="s">
        <v>141</v>
      </c>
      <c r="F2" s="116"/>
      <c r="G2" s="117" t="s">
        <v>142</v>
      </c>
      <c r="H2" s="118"/>
      <c r="J2" s="10" t="s">
        <v>143</v>
      </c>
      <c r="K2" s="11">
        <v>1000</v>
      </c>
      <c r="L2" s="12" t="s">
        <v>62</v>
      </c>
      <c r="N2" s="22"/>
    </row>
    <row r="3" spans="1:14" ht="13.5" thickBot="1" x14ac:dyDescent="0.25">
      <c r="B3" s="3"/>
      <c r="C3" s="13" t="s">
        <v>19</v>
      </c>
      <c r="E3" s="14">
        <v>100</v>
      </c>
      <c r="F3" s="15">
        <v>150</v>
      </c>
      <c r="G3" s="16">
        <v>100</v>
      </c>
      <c r="H3" s="17">
        <v>102</v>
      </c>
      <c r="J3" s="10"/>
      <c r="K3" s="18">
        <f>IF(K2&lt;10000,sta*10^INT(LOG(K2)),stb*10^INT(LOG(K2)))</f>
        <v>1000</v>
      </c>
      <c r="L3" s="19" t="s">
        <v>62</v>
      </c>
      <c r="N3" s="26"/>
    </row>
    <row r="4" spans="1:14" ht="13.5" thickBot="1" x14ac:dyDescent="0.25">
      <c r="B4" s="20" t="s">
        <v>144</v>
      </c>
      <c r="C4" s="70">
        <f>(IF((10^(LOG(C2)-INT(LOG(C2)))*100)-VLOOKUP((10^(LOG(C2)-INT(LOG(C2)))*100),E6_s:E6_f,1)&lt;VLOOKUP((10^(LOG(C2)-INT(LOG(C2)))*100),E6_s:E6_f,2)-(10^(LOG(C2)-INT(LOG(C2)))*100),VLOOKUP((10^(LOG(C2)-INT(LOG(C2)))*100),E6_s:E6_f,1),VLOOKUP((10^(LOG(C2)-INT(LOG(C2)))*100),E6_s:E6_f,2)))*10^INT(LOG(C2))/100</f>
        <v>150</v>
      </c>
      <c r="E4" s="15">
        <v>150</v>
      </c>
      <c r="F4" s="14">
        <v>220</v>
      </c>
      <c r="G4" s="17">
        <v>102</v>
      </c>
      <c r="H4" s="16">
        <v>105</v>
      </c>
      <c r="J4" s="21"/>
      <c r="K4" s="22"/>
      <c r="L4" s="23"/>
      <c r="M4" s="5"/>
      <c r="N4" s="26"/>
    </row>
    <row r="5" spans="1:14" ht="13.5" thickBot="1" x14ac:dyDescent="0.25">
      <c r="B5" s="24" t="s">
        <v>145</v>
      </c>
      <c r="C5" s="69">
        <f>(IF((10^(LOG(C2)-INT(LOG(C2)))*100)-VLOOKUP((10^(LOG(C2)-INT(LOG(C2)))*100),E12_s:E12_f,1)&lt;VLOOKUP((10^(LOG(C2)-INT(LOG(C2)))*100),E12_s:E12_f,2)-(10^(LOG(C2)-INT(LOG(C2)))*100),VLOOKUP((10^(LOG(C2)-INT(LOG(C2)))*100),E12_s:E12_f,1),VLOOKUP((10^(LOG(C2)-INT(LOG(C2)))*100),E12_s:E12_f,2)))*10^INT(LOG(C2))/100</f>
        <v>120</v>
      </c>
      <c r="E5" s="14">
        <v>220</v>
      </c>
      <c r="F5" s="15">
        <v>330</v>
      </c>
      <c r="G5" s="16">
        <v>105</v>
      </c>
      <c r="H5" s="17">
        <v>107</v>
      </c>
      <c r="J5" s="25" t="s">
        <v>146</v>
      </c>
      <c r="K5" s="26"/>
      <c r="L5" s="5"/>
      <c r="N5" s="26"/>
    </row>
    <row r="6" spans="1:14" ht="13.5" thickBot="1" x14ac:dyDescent="0.25">
      <c r="B6" s="24" t="s">
        <v>147</v>
      </c>
      <c r="C6" s="69">
        <f>(IF((10^(LOG(C2)-INT(LOG(C2)))*100)-VLOOKUP((10^(LOG(C2)-INT(LOG(C2)))*100),E24_s:E24_f,1)&lt;VLOOKUP((10^(LOG(C2)-INT(LOG(C2)))*100),E24_s:E24_f,2)-(10^(LOG(C2)-INT(LOG(C2)))*100),VLOOKUP((10^(LOG(C2)-INT(LOG(C2)))*100),E24_s:E24_f,1),VLOOKUP((10^(LOG(C2)-INT(LOG(C2)))*100),E24_s:E24_f,2)))*10^INT(LOG(C2))/100</f>
        <v>130</v>
      </c>
      <c r="E6" s="15">
        <v>330</v>
      </c>
      <c r="F6" s="14">
        <v>470</v>
      </c>
      <c r="G6" s="17">
        <v>107</v>
      </c>
      <c r="H6" s="16">
        <v>110</v>
      </c>
      <c r="J6" s="26">
        <v>1</v>
      </c>
      <c r="K6" s="26">
        <v>1.2</v>
      </c>
      <c r="L6" s="27">
        <f>IF((10^(LOG(K2)-INT(LOG(K2))))-VLOOKUP((10^(LOG(K2)-INT(LOG(K2)))),c_s1:C_f1,1)&lt;VLOOKUP((10^(LOG(K2)-INT(LOG(K2)))),c_s1:C_f1,2)-(10^(LOG(K2)-INT(LOG(K2)))),VLOOKUP((10^(LOG(K2)-INT(LOG(K2)))),c_s1:C_f1,1),VLOOKUP((10^(LOG(K2)-INT(LOG(K2)))),c_s1:C_f1,2))</f>
        <v>1</v>
      </c>
      <c r="N6" s="26"/>
    </row>
    <row r="7" spans="1:14" ht="13.5" thickBot="1" x14ac:dyDescent="0.25">
      <c r="B7" s="24" t="s">
        <v>148</v>
      </c>
      <c r="C7" s="69">
        <f>(IF((10^(LOG(C2)-INT(LOG(C2)))*100)-VLOOKUP((10^(LOG(C2)-INT(LOG(C2)))*100),E48_s:E48_f,1)&lt;VLOOKUP((10^(LOG(C2)-INT(LOG(C2)))*100),E48_s:E48_f,2)-(10^(LOG(C2)-INT(LOG(C2)))*100),VLOOKUP((10^(LOG(C2)-INT(LOG(C2)))*100),E48_s:E48_f,1),VLOOKUP((10^(LOG(C2)-INT(LOG(C2)))*100),E48_s:E48_f,2)))*10^INT(LOG(C2))/100</f>
        <v>127</v>
      </c>
      <c r="D7" s="2"/>
      <c r="E7" s="14">
        <v>470</v>
      </c>
      <c r="F7" s="15">
        <v>680</v>
      </c>
      <c r="G7" s="16">
        <v>110</v>
      </c>
      <c r="H7" s="17">
        <v>113</v>
      </c>
      <c r="J7" s="26">
        <v>1.2</v>
      </c>
      <c r="K7" s="26">
        <v>1.5</v>
      </c>
      <c r="L7" s="28"/>
      <c r="N7" s="26"/>
    </row>
    <row r="8" spans="1:14" ht="13.5" thickBot="1" x14ac:dyDescent="0.25">
      <c r="B8" s="29" t="s">
        <v>149</v>
      </c>
      <c r="C8" s="71">
        <f>(IF((10^(LOG(C2)-INT(LOG(C2)))*100)-VLOOKUP((10^(LOG(C2)-INT(LOG(C2)))*100),E96_s:E96_f,1)&lt;VLOOKUP((10^(LOG(C2)-INT(LOG(C2)))*100),E96_s:E96_f,2)-(10^(LOG(C2)-INT(LOG(C2)))*100),VLOOKUP((10^(LOG(C2)-INT(LOG(C2)))*100),E96_s:E96_f,1),VLOOKUP((10^(LOG(C2)-INT(LOG(C2)))*100),E96_s:E96_f,2)))*10^INT(LOG(C2))/100</f>
        <v>127</v>
      </c>
      <c r="D8" s="5"/>
      <c r="E8" s="15">
        <v>680</v>
      </c>
      <c r="F8" s="15">
        <v>1000</v>
      </c>
      <c r="G8" s="17">
        <v>113</v>
      </c>
      <c r="H8" s="16">
        <v>115</v>
      </c>
      <c r="J8" s="26">
        <v>1.5</v>
      </c>
      <c r="K8" s="26">
        <v>1.8</v>
      </c>
      <c r="L8" s="28"/>
      <c r="N8" s="26"/>
    </row>
    <row r="9" spans="1:14" ht="13.5" thickBot="1" x14ac:dyDescent="0.25">
      <c r="B9" s="2"/>
      <c r="C9" s="2"/>
      <c r="D9" s="2"/>
      <c r="E9" s="119" t="s">
        <v>150</v>
      </c>
      <c r="F9" s="120"/>
      <c r="G9" s="16">
        <v>115</v>
      </c>
      <c r="H9" s="17">
        <v>118</v>
      </c>
      <c r="J9" s="26">
        <v>1.8</v>
      </c>
      <c r="K9" s="26">
        <v>2.2000000000000002</v>
      </c>
      <c r="L9" s="31"/>
      <c r="N9" s="26"/>
    </row>
    <row r="10" spans="1:14" ht="13.5" thickBot="1" x14ac:dyDescent="0.25">
      <c r="E10" s="32">
        <v>100</v>
      </c>
      <c r="F10" s="33">
        <v>120</v>
      </c>
      <c r="G10" s="17">
        <v>118</v>
      </c>
      <c r="H10" s="16">
        <v>121</v>
      </c>
      <c r="J10" s="26">
        <v>2.2000000000000002</v>
      </c>
      <c r="K10" s="26">
        <v>2.7</v>
      </c>
      <c r="L10" s="5"/>
      <c r="N10" s="26"/>
    </row>
    <row r="11" spans="1:14" ht="13.5" thickBot="1" x14ac:dyDescent="0.25">
      <c r="E11" s="33">
        <v>120</v>
      </c>
      <c r="F11" s="33">
        <v>150</v>
      </c>
      <c r="G11" s="16">
        <v>121</v>
      </c>
      <c r="H11" s="17">
        <v>124</v>
      </c>
      <c r="J11" s="26">
        <v>2.7</v>
      </c>
      <c r="K11" s="26">
        <v>3.3</v>
      </c>
      <c r="L11" s="5"/>
      <c r="N11" s="26"/>
    </row>
    <row r="12" spans="1:14" ht="13.5" thickBot="1" x14ac:dyDescent="0.25">
      <c r="C12" s="36"/>
      <c r="E12" s="33">
        <v>150</v>
      </c>
      <c r="F12" s="33">
        <v>180</v>
      </c>
      <c r="G12" s="17">
        <v>124</v>
      </c>
      <c r="H12" s="16">
        <v>127</v>
      </c>
      <c r="J12" s="26">
        <v>3.3</v>
      </c>
      <c r="K12" s="26">
        <v>3.9</v>
      </c>
      <c r="L12" s="5"/>
      <c r="N12" s="26"/>
    </row>
    <row r="13" spans="1:14" ht="13.5" thickBot="1" x14ac:dyDescent="0.25">
      <c r="A13" s="2"/>
      <c r="B13" s="2"/>
      <c r="C13" s="2"/>
      <c r="D13" s="2"/>
      <c r="E13" s="33">
        <v>180</v>
      </c>
      <c r="F13" s="32">
        <v>220</v>
      </c>
      <c r="G13" s="16">
        <v>127</v>
      </c>
      <c r="H13" s="17">
        <v>130</v>
      </c>
      <c r="J13" s="26">
        <v>3.9</v>
      </c>
      <c r="K13" s="26">
        <v>4.7</v>
      </c>
      <c r="L13" s="5"/>
      <c r="N13" s="26"/>
    </row>
    <row r="14" spans="1:14" ht="13.5" thickBot="1" x14ac:dyDescent="0.25">
      <c r="A14" s="2"/>
      <c r="B14" s="2"/>
      <c r="C14" s="2"/>
      <c r="D14" s="34"/>
      <c r="E14" s="32">
        <v>220</v>
      </c>
      <c r="F14" s="33">
        <v>270</v>
      </c>
      <c r="G14" s="17">
        <v>130</v>
      </c>
      <c r="H14" s="16">
        <v>133</v>
      </c>
      <c r="J14" s="26">
        <v>4.7</v>
      </c>
      <c r="K14" s="26">
        <v>5.6</v>
      </c>
      <c r="L14" s="5"/>
      <c r="N14" s="26"/>
    </row>
    <row r="15" spans="1:14" ht="13.5" thickBot="1" x14ac:dyDescent="0.25">
      <c r="A15" s="49"/>
      <c r="B15" s="35"/>
      <c r="C15" s="2"/>
      <c r="D15" s="36"/>
      <c r="E15" s="33">
        <v>270</v>
      </c>
      <c r="F15" s="33">
        <v>330</v>
      </c>
      <c r="G15" s="16">
        <v>133</v>
      </c>
      <c r="H15" s="17">
        <v>137</v>
      </c>
      <c r="J15" s="26">
        <v>5.6</v>
      </c>
      <c r="K15" s="26">
        <v>6.8</v>
      </c>
      <c r="L15" s="5"/>
      <c r="N15" s="26"/>
    </row>
    <row r="16" spans="1:14" ht="13.5" thickBot="1" x14ac:dyDescent="0.25">
      <c r="A16" s="49"/>
      <c r="B16" s="35"/>
      <c r="C16" s="2"/>
      <c r="D16" s="36"/>
      <c r="E16" s="33">
        <v>330</v>
      </c>
      <c r="F16" s="33">
        <v>390</v>
      </c>
      <c r="G16" s="17">
        <v>137</v>
      </c>
      <c r="H16" s="16">
        <v>140</v>
      </c>
      <c r="J16" s="26">
        <v>6.8</v>
      </c>
      <c r="K16" s="26">
        <v>8.1999999999999993</v>
      </c>
      <c r="L16" s="5"/>
      <c r="N16" s="26"/>
    </row>
    <row r="17" spans="1:14" ht="13.5" thickBot="1" x14ac:dyDescent="0.25">
      <c r="A17" s="49"/>
      <c r="B17" s="35"/>
      <c r="C17" s="2"/>
      <c r="D17" s="36"/>
      <c r="E17" s="33">
        <v>390</v>
      </c>
      <c r="F17" s="32">
        <v>470</v>
      </c>
      <c r="G17" s="16">
        <v>140</v>
      </c>
      <c r="H17" s="17">
        <v>143</v>
      </c>
      <c r="J17" s="26">
        <v>8.1999999999999993</v>
      </c>
      <c r="K17" s="26">
        <v>10</v>
      </c>
      <c r="L17" s="5"/>
      <c r="N17" s="26"/>
    </row>
    <row r="18" spans="1:14" ht="13.5" thickBot="1" x14ac:dyDescent="0.25">
      <c r="A18" s="49"/>
      <c r="B18" s="35"/>
      <c r="C18" s="2"/>
      <c r="D18" s="36"/>
      <c r="E18" s="32">
        <v>470</v>
      </c>
      <c r="F18" s="33">
        <v>560</v>
      </c>
      <c r="G18" s="17">
        <v>143</v>
      </c>
      <c r="H18" s="16">
        <v>147</v>
      </c>
      <c r="J18" s="25" t="s">
        <v>151</v>
      </c>
      <c r="K18" s="26"/>
      <c r="L18" s="26"/>
      <c r="N18" s="26"/>
    </row>
    <row r="19" spans="1:14" ht="13.5" thickBot="1" x14ac:dyDescent="0.25">
      <c r="A19" s="49"/>
      <c r="B19" s="35"/>
      <c r="C19" s="2"/>
      <c r="D19" s="36"/>
      <c r="E19" s="33">
        <v>560</v>
      </c>
      <c r="F19" s="33">
        <v>680</v>
      </c>
      <c r="G19" s="16">
        <v>147</v>
      </c>
      <c r="H19" s="17">
        <v>150</v>
      </c>
      <c r="J19" s="26">
        <v>1</v>
      </c>
      <c r="K19" s="26">
        <v>1.5</v>
      </c>
      <c r="L19" s="27">
        <f>IF((10^(LOG(K2)-INT(LOG(K2))))-VLOOKUP((10^(LOG(K2)-INT(LOG(K2)))),C_s2:C_f2,1)&lt;VLOOKUP((10^(LOG(K2)-INT(LOG(K2)))),C_s2:C_f2,2)-(10^(LOG(K2)-INT(LOG(K2)))),VLOOKUP((10^(LOG(K2)-INT(LOG(K2)))),C_s2:C_f2,1),VLOOKUP((10^(LOG(K2)-INT(LOG(K2)))),C_s2:C_f2,2))</f>
        <v>1</v>
      </c>
      <c r="N19" s="26"/>
    </row>
    <row r="20" spans="1:14" ht="13.5" thickBot="1" x14ac:dyDescent="0.25">
      <c r="A20" s="49"/>
      <c r="B20" s="35"/>
      <c r="C20" s="2"/>
      <c r="D20" s="36"/>
      <c r="E20" s="30">
        <v>680</v>
      </c>
      <c r="F20" s="33">
        <v>820</v>
      </c>
      <c r="G20" s="17">
        <v>150</v>
      </c>
      <c r="H20" s="16">
        <v>154</v>
      </c>
      <c r="J20" s="26">
        <v>1.5</v>
      </c>
      <c r="K20" s="26">
        <v>2.2000000000000002</v>
      </c>
      <c r="N20" s="26"/>
    </row>
    <row r="21" spans="1:14" ht="13.5" thickBot="1" x14ac:dyDescent="0.25">
      <c r="A21" s="49"/>
      <c r="B21" s="35"/>
      <c r="C21" s="2"/>
      <c r="D21" s="36"/>
      <c r="E21" s="30">
        <v>820</v>
      </c>
      <c r="F21" s="33">
        <v>1000</v>
      </c>
      <c r="G21" s="16">
        <v>154</v>
      </c>
      <c r="H21" s="17">
        <v>158</v>
      </c>
      <c r="J21" s="26">
        <v>2.2000000000000002</v>
      </c>
      <c r="K21" s="26">
        <v>3.3</v>
      </c>
      <c r="L21" s="27"/>
      <c r="N21" s="26"/>
    </row>
    <row r="22" spans="1:14" ht="13.5" thickBot="1" x14ac:dyDescent="0.25">
      <c r="A22" s="49"/>
      <c r="B22" s="35"/>
      <c r="C22" s="2"/>
      <c r="D22" s="36"/>
      <c r="E22" s="121" t="s">
        <v>152</v>
      </c>
      <c r="F22" s="122"/>
      <c r="G22" s="17">
        <v>158</v>
      </c>
      <c r="H22" s="16">
        <v>162</v>
      </c>
      <c r="J22" s="26">
        <v>3.3</v>
      </c>
      <c r="K22" s="26">
        <v>4.7</v>
      </c>
      <c r="L22" s="27"/>
      <c r="N22" s="26"/>
    </row>
    <row r="23" spans="1:14" ht="13.5" thickBot="1" x14ac:dyDescent="0.25">
      <c r="A23" s="49"/>
      <c r="B23" s="35"/>
      <c r="C23" s="2"/>
      <c r="D23" s="36"/>
      <c r="E23" s="38">
        <v>100</v>
      </c>
      <c r="F23" s="39">
        <v>110</v>
      </c>
      <c r="G23" s="16">
        <v>162</v>
      </c>
      <c r="H23" s="17">
        <v>165</v>
      </c>
      <c r="J23" s="26">
        <v>4.7</v>
      </c>
      <c r="K23" s="26">
        <v>6.8</v>
      </c>
      <c r="L23" s="5"/>
    </row>
    <row r="24" spans="1:14" ht="13.5" thickBot="1" x14ac:dyDescent="0.25">
      <c r="A24" s="49"/>
      <c r="B24" s="35"/>
      <c r="C24" s="2"/>
      <c r="D24" s="36"/>
      <c r="E24" s="39">
        <v>110</v>
      </c>
      <c r="F24" s="39">
        <v>120</v>
      </c>
      <c r="G24" s="17">
        <v>165</v>
      </c>
      <c r="H24" s="16">
        <v>169</v>
      </c>
      <c r="J24" s="26">
        <v>6.8</v>
      </c>
      <c r="K24" s="26">
        <v>10</v>
      </c>
      <c r="L24" s="5"/>
    </row>
    <row r="25" spans="1:14" ht="13.5" thickBot="1" x14ac:dyDescent="0.25">
      <c r="A25" s="49"/>
      <c r="B25" s="35"/>
      <c r="C25" s="2"/>
      <c r="D25" s="36"/>
      <c r="E25" s="39">
        <v>120</v>
      </c>
      <c r="F25" s="39">
        <v>130</v>
      </c>
      <c r="G25" s="16">
        <v>169</v>
      </c>
      <c r="H25" s="17">
        <v>174</v>
      </c>
      <c r="J25" s="40"/>
      <c r="K25" s="40"/>
      <c r="L25" s="40"/>
    </row>
    <row r="26" spans="1:14" ht="13.5" thickBot="1" x14ac:dyDescent="0.25">
      <c r="A26" s="49"/>
      <c r="B26" s="35"/>
      <c r="C26" s="2"/>
      <c r="D26" s="36"/>
      <c r="E26" s="39">
        <v>130</v>
      </c>
      <c r="F26" s="39">
        <v>150</v>
      </c>
      <c r="G26" s="17">
        <v>174</v>
      </c>
      <c r="H26" s="16">
        <v>178</v>
      </c>
      <c r="J26" s="40"/>
      <c r="K26" s="40"/>
      <c r="L26" s="40"/>
    </row>
    <row r="27" spans="1:14" ht="13.5" thickBot="1" x14ac:dyDescent="0.25">
      <c r="A27" s="49"/>
      <c r="B27" s="35"/>
      <c r="C27" s="2"/>
      <c r="D27" s="36"/>
      <c r="E27" s="39">
        <v>150</v>
      </c>
      <c r="F27" s="39">
        <v>160</v>
      </c>
      <c r="G27" s="16">
        <v>178</v>
      </c>
      <c r="H27" s="17">
        <v>182</v>
      </c>
      <c r="I27" s="41"/>
      <c r="J27" s="40"/>
      <c r="K27" s="40"/>
      <c r="L27" s="40"/>
    </row>
    <row r="28" spans="1:14" ht="13.5" thickBot="1" x14ac:dyDescent="0.25">
      <c r="A28" s="49"/>
      <c r="B28" s="35"/>
      <c r="C28" s="2"/>
      <c r="D28" s="36"/>
      <c r="E28" s="39">
        <v>160</v>
      </c>
      <c r="F28" s="39">
        <v>180</v>
      </c>
      <c r="G28" s="17">
        <v>182</v>
      </c>
      <c r="H28" s="16">
        <v>187</v>
      </c>
      <c r="I28" s="41"/>
      <c r="J28" s="40"/>
      <c r="K28" s="40"/>
      <c r="L28" s="40"/>
    </row>
    <row r="29" spans="1:14" ht="13.5" thickBot="1" x14ac:dyDescent="0.25">
      <c r="A29" s="49"/>
      <c r="B29" s="35"/>
      <c r="C29" s="2"/>
      <c r="D29" s="36"/>
      <c r="E29" s="39">
        <v>180</v>
      </c>
      <c r="F29" s="42">
        <v>200</v>
      </c>
      <c r="G29" s="16">
        <v>187</v>
      </c>
      <c r="H29" s="17">
        <v>191</v>
      </c>
      <c r="I29" s="41"/>
      <c r="J29" s="40"/>
      <c r="K29" s="40"/>
      <c r="L29" s="40"/>
    </row>
    <row r="30" spans="1:14" ht="13.5" thickBot="1" x14ac:dyDescent="0.25">
      <c r="A30" s="49"/>
      <c r="B30" s="35"/>
      <c r="C30" s="2"/>
      <c r="D30" s="36"/>
      <c r="E30" s="42">
        <v>200</v>
      </c>
      <c r="F30" s="38">
        <v>220</v>
      </c>
      <c r="G30" s="17">
        <v>191</v>
      </c>
      <c r="H30" s="16">
        <v>196</v>
      </c>
      <c r="I30" s="41"/>
      <c r="J30" s="40"/>
      <c r="K30" s="40"/>
      <c r="L30" s="40"/>
    </row>
    <row r="31" spans="1:14" ht="13.5" thickBot="1" x14ac:dyDescent="0.25">
      <c r="A31" s="49"/>
      <c r="B31" s="35"/>
      <c r="C31" s="2"/>
      <c r="D31" s="36"/>
      <c r="E31" s="38">
        <v>220</v>
      </c>
      <c r="F31" s="39">
        <v>240</v>
      </c>
      <c r="G31" s="16">
        <v>196</v>
      </c>
      <c r="H31" s="17">
        <v>200</v>
      </c>
      <c r="I31" s="41"/>
      <c r="J31" s="40"/>
      <c r="K31" s="40"/>
      <c r="L31" s="40"/>
      <c r="N31" s="45"/>
    </row>
    <row r="32" spans="1:14" ht="13.5" thickBot="1" x14ac:dyDescent="0.25">
      <c r="A32" s="49"/>
      <c r="B32" s="35"/>
      <c r="C32" s="2"/>
      <c r="D32" s="36"/>
      <c r="E32" s="39">
        <v>240</v>
      </c>
      <c r="F32" s="39">
        <v>270</v>
      </c>
      <c r="G32" s="17">
        <v>200</v>
      </c>
      <c r="H32" s="16">
        <v>205</v>
      </c>
      <c r="I32" s="41"/>
      <c r="J32" s="40"/>
      <c r="K32" s="40"/>
      <c r="L32" s="40"/>
      <c r="N32" s="45"/>
    </row>
    <row r="33" spans="1:14" s="45" customFormat="1" ht="13.5" thickBot="1" x14ac:dyDescent="0.25">
      <c r="A33" s="49"/>
      <c r="B33" s="35"/>
      <c r="C33" s="2"/>
      <c r="D33" s="36"/>
      <c r="E33" s="39">
        <v>270</v>
      </c>
      <c r="F33" s="39">
        <v>300</v>
      </c>
      <c r="G33" s="16">
        <v>205</v>
      </c>
      <c r="H33" s="17">
        <v>210</v>
      </c>
      <c r="I33" s="43"/>
      <c r="J33" s="40"/>
      <c r="K33" s="40"/>
      <c r="L33" s="40"/>
    </row>
    <row r="34" spans="1:14" s="45" customFormat="1" ht="13.5" thickBot="1" x14ac:dyDescent="0.25">
      <c r="A34" s="44"/>
      <c r="B34" s="44"/>
      <c r="C34" s="44"/>
      <c r="D34" s="44"/>
      <c r="E34" s="39">
        <v>300</v>
      </c>
      <c r="F34" s="39">
        <v>330</v>
      </c>
      <c r="G34" s="17">
        <v>210</v>
      </c>
      <c r="H34" s="16">
        <v>215</v>
      </c>
      <c r="I34" s="6"/>
      <c r="J34" s="40"/>
      <c r="K34" s="40"/>
      <c r="L34" s="40"/>
    </row>
    <row r="35" spans="1:14" s="45" customFormat="1" ht="13.5" thickBot="1" x14ac:dyDescent="0.25">
      <c r="E35" s="39">
        <v>330</v>
      </c>
      <c r="F35" s="39">
        <v>360</v>
      </c>
      <c r="G35" s="16">
        <v>215</v>
      </c>
      <c r="H35" s="17">
        <v>221</v>
      </c>
      <c r="I35" s="6"/>
      <c r="J35" s="40"/>
      <c r="K35" s="40"/>
      <c r="L35" s="40"/>
    </row>
    <row r="36" spans="1:14" s="45" customFormat="1" ht="13.5" thickBot="1" x14ac:dyDescent="0.25">
      <c r="E36" s="39">
        <v>360</v>
      </c>
      <c r="F36" s="39">
        <v>390</v>
      </c>
      <c r="G36" s="17">
        <v>221</v>
      </c>
      <c r="H36" s="16">
        <v>226</v>
      </c>
      <c r="I36" s="6"/>
      <c r="J36" s="40"/>
      <c r="K36" s="40"/>
      <c r="L36" s="40"/>
      <c r="N36" s="3"/>
    </row>
    <row r="37" spans="1:14" s="45" customFormat="1" ht="13.5" thickBot="1" x14ac:dyDescent="0.25">
      <c r="E37" s="39">
        <v>390</v>
      </c>
      <c r="F37" s="42">
        <v>430</v>
      </c>
      <c r="G37" s="16">
        <v>226</v>
      </c>
      <c r="H37" s="17">
        <v>232</v>
      </c>
      <c r="I37" s="41"/>
      <c r="J37" s="40"/>
      <c r="K37" s="40"/>
      <c r="L37" s="40"/>
      <c r="N37" s="3"/>
    </row>
    <row r="38" spans="1:14" ht="13.5" thickBot="1" x14ac:dyDescent="0.25">
      <c r="E38" s="42">
        <v>430</v>
      </c>
      <c r="F38" s="38">
        <v>470</v>
      </c>
      <c r="G38" s="17">
        <v>232</v>
      </c>
      <c r="H38" s="16">
        <v>237</v>
      </c>
      <c r="I38" s="41"/>
      <c r="J38" s="40"/>
      <c r="K38" s="40"/>
      <c r="L38" s="40"/>
    </row>
    <row r="39" spans="1:14" ht="13.5" thickBot="1" x14ac:dyDescent="0.25">
      <c r="E39" s="38">
        <v>470</v>
      </c>
      <c r="F39" s="39">
        <v>510</v>
      </c>
      <c r="G39" s="16">
        <v>237</v>
      </c>
      <c r="H39" s="17">
        <v>243</v>
      </c>
      <c r="I39" s="41"/>
      <c r="J39" s="40"/>
      <c r="K39" s="40"/>
      <c r="L39" s="40"/>
    </row>
    <row r="40" spans="1:14" ht="13.5" thickBot="1" x14ac:dyDescent="0.25">
      <c r="E40" s="39">
        <v>510</v>
      </c>
      <c r="F40" s="39">
        <v>560</v>
      </c>
      <c r="G40" s="17">
        <v>243</v>
      </c>
      <c r="H40" s="16">
        <v>249</v>
      </c>
      <c r="I40" s="41"/>
      <c r="J40" s="40"/>
      <c r="K40" s="40"/>
      <c r="L40" s="40"/>
    </row>
    <row r="41" spans="1:14" ht="13.5" thickBot="1" x14ac:dyDescent="0.25">
      <c r="E41" s="39">
        <v>560</v>
      </c>
      <c r="F41" s="39">
        <v>620</v>
      </c>
      <c r="G41" s="16">
        <v>249</v>
      </c>
      <c r="H41" s="17">
        <v>255</v>
      </c>
      <c r="I41" s="41"/>
      <c r="J41" s="40"/>
      <c r="K41" s="40"/>
      <c r="L41" s="40"/>
    </row>
    <row r="42" spans="1:14" ht="13.5" thickBot="1" x14ac:dyDescent="0.25">
      <c r="E42" s="39">
        <v>620</v>
      </c>
      <c r="F42" s="39">
        <v>680</v>
      </c>
      <c r="G42" s="17">
        <v>255</v>
      </c>
      <c r="H42" s="16">
        <v>261</v>
      </c>
      <c r="I42" s="41"/>
      <c r="J42" s="40"/>
      <c r="K42" s="40"/>
      <c r="L42" s="40"/>
    </row>
    <row r="43" spans="1:14" ht="13.5" thickBot="1" x14ac:dyDescent="0.25">
      <c r="E43" s="39">
        <v>680</v>
      </c>
      <c r="F43" s="39">
        <v>750</v>
      </c>
      <c r="G43" s="16">
        <v>261</v>
      </c>
      <c r="H43" s="17">
        <v>267</v>
      </c>
      <c r="I43" s="41"/>
      <c r="J43" s="40"/>
      <c r="K43" s="40"/>
      <c r="L43" s="40"/>
    </row>
    <row r="44" spans="1:14" ht="13.5" thickBot="1" x14ac:dyDescent="0.25">
      <c r="E44" s="39">
        <v>750</v>
      </c>
      <c r="F44" s="39">
        <v>820</v>
      </c>
      <c r="G44" s="17">
        <v>267</v>
      </c>
      <c r="H44" s="16">
        <v>274</v>
      </c>
      <c r="J44" s="40"/>
      <c r="K44" s="40"/>
      <c r="L44" s="40"/>
    </row>
    <row r="45" spans="1:14" ht="13.5" thickBot="1" x14ac:dyDescent="0.25">
      <c r="E45" s="39">
        <v>820</v>
      </c>
      <c r="F45" s="42">
        <v>910</v>
      </c>
      <c r="G45" s="16">
        <v>274</v>
      </c>
      <c r="H45" s="17">
        <v>280</v>
      </c>
      <c r="J45" s="40"/>
      <c r="K45" s="40"/>
      <c r="L45" s="40"/>
    </row>
    <row r="46" spans="1:14" ht="13.5" thickBot="1" x14ac:dyDescent="0.25">
      <c r="E46" s="42">
        <v>910</v>
      </c>
      <c r="F46" s="42">
        <v>1000</v>
      </c>
      <c r="G46" s="17">
        <v>280</v>
      </c>
      <c r="H46" s="16">
        <v>287</v>
      </c>
      <c r="J46" s="40"/>
      <c r="K46" s="40"/>
      <c r="L46" s="40"/>
    </row>
    <row r="47" spans="1:14" ht="13.5" thickBot="1" x14ac:dyDescent="0.25">
      <c r="E47" s="114" t="s">
        <v>153</v>
      </c>
      <c r="F47" s="114"/>
      <c r="G47" s="16">
        <v>287</v>
      </c>
      <c r="H47" s="17">
        <v>294</v>
      </c>
      <c r="J47" s="40"/>
      <c r="K47" s="40"/>
      <c r="L47" s="40"/>
    </row>
    <row r="48" spans="1:14" ht="13.5" thickBot="1" x14ac:dyDescent="0.25">
      <c r="E48" s="46">
        <v>100</v>
      </c>
      <c r="F48" s="46">
        <v>105</v>
      </c>
      <c r="G48" s="17">
        <v>294</v>
      </c>
      <c r="H48" s="16">
        <v>301</v>
      </c>
      <c r="J48" s="40"/>
      <c r="K48" s="40"/>
      <c r="L48" s="40"/>
    </row>
    <row r="49" spans="5:12" ht="13.5" thickBot="1" x14ac:dyDescent="0.25">
      <c r="E49" s="46">
        <v>105</v>
      </c>
      <c r="F49" s="46">
        <v>110</v>
      </c>
      <c r="G49" s="16">
        <v>301</v>
      </c>
      <c r="H49" s="17">
        <v>309</v>
      </c>
      <c r="J49" s="40"/>
      <c r="K49" s="40"/>
      <c r="L49" s="40"/>
    </row>
    <row r="50" spans="5:12" ht="13.5" thickBot="1" x14ac:dyDescent="0.25">
      <c r="E50" s="46">
        <v>110</v>
      </c>
      <c r="F50" s="46">
        <v>115</v>
      </c>
      <c r="G50" s="17">
        <v>309</v>
      </c>
      <c r="H50" s="16">
        <v>316</v>
      </c>
      <c r="J50" s="40"/>
      <c r="K50" s="40"/>
      <c r="L50" s="40"/>
    </row>
    <row r="51" spans="5:12" ht="13.5" thickBot="1" x14ac:dyDescent="0.25">
      <c r="E51" s="46">
        <v>115</v>
      </c>
      <c r="F51" s="46">
        <v>121</v>
      </c>
      <c r="G51" s="16">
        <v>316</v>
      </c>
      <c r="H51" s="17">
        <v>324</v>
      </c>
      <c r="J51" s="40"/>
      <c r="K51" s="40"/>
      <c r="L51" s="40"/>
    </row>
    <row r="52" spans="5:12" ht="13.5" thickBot="1" x14ac:dyDescent="0.25">
      <c r="E52" s="46">
        <v>121</v>
      </c>
      <c r="F52" s="46">
        <v>127</v>
      </c>
      <c r="G52" s="17">
        <v>324</v>
      </c>
      <c r="H52" s="16">
        <v>332</v>
      </c>
      <c r="J52" s="40"/>
      <c r="K52" s="40"/>
      <c r="L52" s="40"/>
    </row>
    <row r="53" spans="5:12" ht="13.5" thickBot="1" x14ac:dyDescent="0.25">
      <c r="E53" s="46">
        <v>127</v>
      </c>
      <c r="F53" s="46">
        <v>133</v>
      </c>
      <c r="G53" s="16">
        <v>332</v>
      </c>
      <c r="H53" s="17">
        <v>340</v>
      </c>
      <c r="J53" s="40"/>
      <c r="K53" s="40"/>
      <c r="L53" s="40"/>
    </row>
    <row r="54" spans="5:12" ht="13.5" thickBot="1" x14ac:dyDescent="0.25">
      <c r="E54" s="46">
        <v>133</v>
      </c>
      <c r="F54" s="46">
        <v>140</v>
      </c>
      <c r="G54" s="17">
        <v>340</v>
      </c>
      <c r="H54" s="16">
        <v>348</v>
      </c>
      <c r="J54" s="40"/>
      <c r="K54" s="40"/>
      <c r="L54" s="40"/>
    </row>
    <row r="55" spans="5:12" ht="13.5" thickBot="1" x14ac:dyDescent="0.25">
      <c r="E55" s="46">
        <v>140</v>
      </c>
      <c r="F55" s="46">
        <v>147</v>
      </c>
      <c r="G55" s="16">
        <v>348</v>
      </c>
      <c r="H55" s="17">
        <v>357</v>
      </c>
      <c r="J55" s="40"/>
      <c r="K55" s="40"/>
      <c r="L55" s="40"/>
    </row>
    <row r="56" spans="5:12" ht="13.5" thickBot="1" x14ac:dyDescent="0.25">
      <c r="E56" s="46">
        <v>147</v>
      </c>
      <c r="F56" s="46">
        <v>154</v>
      </c>
      <c r="G56" s="17">
        <v>357</v>
      </c>
      <c r="H56" s="16">
        <v>365</v>
      </c>
      <c r="J56" s="40"/>
      <c r="K56" s="40"/>
      <c r="L56" s="40"/>
    </row>
    <row r="57" spans="5:12" ht="13.5" thickBot="1" x14ac:dyDescent="0.25">
      <c r="E57" s="46">
        <v>154</v>
      </c>
      <c r="F57" s="46">
        <v>162</v>
      </c>
      <c r="G57" s="16">
        <v>365</v>
      </c>
      <c r="H57" s="17">
        <v>374</v>
      </c>
      <c r="J57" s="40"/>
      <c r="K57" s="40"/>
      <c r="L57" s="40"/>
    </row>
    <row r="58" spans="5:12" ht="13.5" thickBot="1" x14ac:dyDescent="0.25">
      <c r="E58" s="46">
        <v>162</v>
      </c>
      <c r="F58" s="46">
        <v>169</v>
      </c>
      <c r="G58" s="17">
        <v>374</v>
      </c>
      <c r="H58" s="16">
        <v>383</v>
      </c>
      <c r="J58" s="40"/>
      <c r="K58" s="40"/>
      <c r="L58" s="40"/>
    </row>
    <row r="59" spans="5:12" ht="13.5" thickBot="1" x14ac:dyDescent="0.25">
      <c r="E59" s="46">
        <v>169</v>
      </c>
      <c r="F59" s="46">
        <v>178</v>
      </c>
      <c r="G59" s="16">
        <v>383</v>
      </c>
      <c r="H59" s="17">
        <v>392</v>
      </c>
      <c r="J59" s="40"/>
      <c r="K59" s="40"/>
      <c r="L59" s="40"/>
    </row>
    <row r="60" spans="5:12" ht="13.5" thickBot="1" x14ac:dyDescent="0.25">
      <c r="E60" s="46">
        <v>178</v>
      </c>
      <c r="F60" s="46">
        <v>187</v>
      </c>
      <c r="G60" s="17">
        <v>392</v>
      </c>
      <c r="H60" s="16">
        <v>402</v>
      </c>
      <c r="J60" s="40"/>
      <c r="K60" s="40"/>
      <c r="L60" s="40"/>
    </row>
    <row r="61" spans="5:12" ht="13.5" thickBot="1" x14ac:dyDescent="0.25">
      <c r="E61" s="46">
        <v>187</v>
      </c>
      <c r="F61" s="46">
        <v>196</v>
      </c>
      <c r="G61" s="16">
        <v>402</v>
      </c>
      <c r="H61" s="17">
        <v>412</v>
      </c>
      <c r="J61" s="40"/>
      <c r="K61" s="40"/>
      <c r="L61" s="40"/>
    </row>
    <row r="62" spans="5:12" ht="13.5" thickBot="1" x14ac:dyDescent="0.25">
      <c r="E62" s="46">
        <v>196</v>
      </c>
      <c r="F62" s="46">
        <v>205</v>
      </c>
      <c r="G62" s="17">
        <v>412</v>
      </c>
      <c r="H62" s="16">
        <v>422</v>
      </c>
      <c r="J62" s="40"/>
      <c r="K62" s="40"/>
      <c r="L62" s="40"/>
    </row>
    <row r="63" spans="5:12" ht="13.5" thickBot="1" x14ac:dyDescent="0.25">
      <c r="E63" s="46">
        <v>205</v>
      </c>
      <c r="F63" s="46">
        <v>215</v>
      </c>
      <c r="G63" s="16">
        <v>422</v>
      </c>
      <c r="H63" s="17">
        <v>432</v>
      </c>
      <c r="J63" s="40"/>
      <c r="K63" s="40"/>
      <c r="L63" s="40"/>
    </row>
    <row r="64" spans="5:12" ht="13.5" thickBot="1" x14ac:dyDescent="0.25">
      <c r="E64" s="46">
        <v>215</v>
      </c>
      <c r="F64" s="46">
        <v>226</v>
      </c>
      <c r="G64" s="17">
        <v>432</v>
      </c>
      <c r="H64" s="16">
        <v>442</v>
      </c>
      <c r="J64" s="40"/>
      <c r="K64" s="40"/>
      <c r="L64" s="40"/>
    </row>
    <row r="65" spans="5:12" ht="13.5" thickBot="1" x14ac:dyDescent="0.25">
      <c r="E65" s="46">
        <v>226</v>
      </c>
      <c r="F65" s="46">
        <v>237</v>
      </c>
      <c r="G65" s="16">
        <v>442</v>
      </c>
      <c r="H65" s="17">
        <v>453</v>
      </c>
      <c r="J65" s="40"/>
      <c r="K65" s="40"/>
      <c r="L65" s="40"/>
    </row>
    <row r="66" spans="5:12" ht="13.5" thickBot="1" x14ac:dyDescent="0.25">
      <c r="E66" s="46">
        <v>237</v>
      </c>
      <c r="F66" s="46">
        <v>249</v>
      </c>
      <c r="G66" s="17">
        <v>453</v>
      </c>
      <c r="H66" s="16">
        <v>464</v>
      </c>
      <c r="J66" s="40"/>
      <c r="K66" s="40"/>
      <c r="L66" s="40"/>
    </row>
    <row r="67" spans="5:12" ht="13.5" thickBot="1" x14ac:dyDescent="0.25">
      <c r="E67" s="46">
        <v>249</v>
      </c>
      <c r="F67" s="46">
        <v>261</v>
      </c>
      <c r="G67" s="16">
        <v>464</v>
      </c>
      <c r="H67" s="17">
        <v>475</v>
      </c>
      <c r="J67" s="40"/>
      <c r="K67" s="40"/>
      <c r="L67" s="40"/>
    </row>
    <row r="68" spans="5:12" ht="13.5" thickBot="1" x14ac:dyDescent="0.25">
      <c r="E68" s="46">
        <v>261</v>
      </c>
      <c r="F68" s="46">
        <v>274</v>
      </c>
      <c r="G68" s="17">
        <v>475</v>
      </c>
      <c r="H68" s="16">
        <v>487</v>
      </c>
      <c r="J68" s="40"/>
      <c r="K68" s="40"/>
      <c r="L68" s="40"/>
    </row>
    <row r="69" spans="5:12" ht="13.5" thickBot="1" x14ac:dyDescent="0.25">
      <c r="E69" s="46">
        <v>274</v>
      </c>
      <c r="F69" s="46">
        <v>287</v>
      </c>
      <c r="G69" s="16">
        <v>487</v>
      </c>
      <c r="H69" s="17">
        <v>499</v>
      </c>
      <c r="J69" s="40"/>
      <c r="K69" s="40"/>
      <c r="L69" s="40"/>
    </row>
    <row r="70" spans="5:12" ht="13.5" thickBot="1" x14ac:dyDescent="0.25">
      <c r="E70" s="46">
        <v>287</v>
      </c>
      <c r="F70" s="46">
        <v>301</v>
      </c>
      <c r="G70" s="17">
        <v>499</v>
      </c>
      <c r="H70" s="16">
        <v>511</v>
      </c>
      <c r="J70" s="40"/>
      <c r="K70" s="40"/>
      <c r="L70" s="40"/>
    </row>
    <row r="71" spans="5:12" ht="13.5" thickBot="1" x14ac:dyDescent="0.25">
      <c r="E71" s="46">
        <v>301</v>
      </c>
      <c r="F71" s="46">
        <v>316</v>
      </c>
      <c r="G71" s="16">
        <v>511</v>
      </c>
      <c r="H71" s="17">
        <v>523</v>
      </c>
      <c r="J71" s="40"/>
      <c r="K71" s="40"/>
      <c r="L71" s="40"/>
    </row>
    <row r="72" spans="5:12" ht="13.5" thickBot="1" x14ac:dyDescent="0.25">
      <c r="E72" s="46">
        <v>316</v>
      </c>
      <c r="F72" s="46">
        <v>332</v>
      </c>
      <c r="G72" s="17">
        <v>523</v>
      </c>
      <c r="H72" s="16">
        <v>536</v>
      </c>
      <c r="J72" s="40"/>
      <c r="K72" s="40"/>
      <c r="L72" s="40"/>
    </row>
    <row r="73" spans="5:12" ht="13.5" thickBot="1" x14ac:dyDescent="0.25">
      <c r="E73" s="46">
        <v>332</v>
      </c>
      <c r="F73" s="46">
        <v>348</v>
      </c>
      <c r="G73" s="16">
        <v>536</v>
      </c>
      <c r="H73" s="17">
        <v>549</v>
      </c>
      <c r="J73" s="40"/>
      <c r="K73" s="40"/>
      <c r="L73" s="40"/>
    </row>
    <row r="74" spans="5:12" ht="13.5" thickBot="1" x14ac:dyDescent="0.25">
      <c r="E74" s="46">
        <v>348</v>
      </c>
      <c r="F74" s="46">
        <v>365</v>
      </c>
      <c r="G74" s="17">
        <v>549</v>
      </c>
      <c r="H74" s="16">
        <v>562</v>
      </c>
      <c r="J74" s="40"/>
      <c r="K74" s="40"/>
      <c r="L74" s="40"/>
    </row>
    <row r="75" spans="5:12" ht="13.5" thickBot="1" x14ac:dyDescent="0.25">
      <c r="E75" s="46">
        <v>365</v>
      </c>
      <c r="F75" s="46">
        <v>383</v>
      </c>
      <c r="G75" s="16">
        <v>562</v>
      </c>
      <c r="H75" s="17">
        <v>576</v>
      </c>
      <c r="J75" s="47"/>
      <c r="K75" s="47"/>
      <c r="L75" s="47"/>
    </row>
    <row r="76" spans="5:12" ht="13.5" thickBot="1" x14ac:dyDescent="0.25">
      <c r="E76" s="46">
        <v>383</v>
      </c>
      <c r="F76" s="46">
        <v>402</v>
      </c>
      <c r="G76" s="17">
        <v>576</v>
      </c>
      <c r="H76" s="16">
        <v>590</v>
      </c>
      <c r="J76" s="47"/>
      <c r="K76" s="47"/>
      <c r="L76" s="47"/>
    </row>
    <row r="77" spans="5:12" ht="13.5" thickBot="1" x14ac:dyDescent="0.25">
      <c r="E77" s="46">
        <v>402</v>
      </c>
      <c r="F77" s="46">
        <v>422</v>
      </c>
      <c r="G77" s="16">
        <v>590</v>
      </c>
      <c r="H77" s="17">
        <v>604</v>
      </c>
      <c r="J77" s="47"/>
      <c r="K77" s="47"/>
      <c r="L77" s="47"/>
    </row>
    <row r="78" spans="5:12" ht="13.5" thickBot="1" x14ac:dyDescent="0.25">
      <c r="E78" s="46">
        <v>422</v>
      </c>
      <c r="F78" s="46">
        <v>442</v>
      </c>
      <c r="G78" s="17">
        <v>604</v>
      </c>
      <c r="H78" s="16">
        <v>619</v>
      </c>
      <c r="J78" s="47"/>
      <c r="K78" s="47"/>
      <c r="L78" s="47"/>
    </row>
    <row r="79" spans="5:12" ht="13.5" thickBot="1" x14ac:dyDescent="0.25">
      <c r="E79" s="46">
        <v>442</v>
      </c>
      <c r="F79" s="46">
        <v>464</v>
      </c>
      <c r="G79" s="16">
        <v>619</v>
      </c>
      <c r="H79" s="17">
        <v>634</v>
      </c>
      <c r="J79" s="47"/>
      <c r="K79" s="47"/>
      <c r="L79" s="47"/>
    </row>
    <row r="80" spans="5:12" ht="13.5" thickBot="1" x14ac:dyDescent="0.25">
      <c r="E80" s="46">
        <v>464</v>
      </c>
      <c r="F80" s="46">
        <v>487</v>
      </c>
      <c r="G80" s="17">
        <v>634</v>
      </c>
      <c r="H80" s="16">
        <v>649</v>
      </c>
      <c r="J80" s="47"/>
      <c r="K80" s="47"/>
      <c r="L80" s="47"/>
    </row>
    <row r="81" spans="5:12" ht="13.5" thickBot="1" x14ac:dyDescent="0.25">
      <c r="E81" s="46">
        <v>487</v>
      </c>
      <c r="F81" s="46">
        <v>511</v>
      </c>
      <c r="G81" s="16">
        <v>649</v>
      </c>
      <c r="H81" s="17">
        <v>665</v>
      </c>
      <c r="J81" s="47"/>
      <c r="K81" s="47"/>
      <c r="L81" s="47"/>
    </row>
    <row r="82" spans="5:12" ht="13.5" thickBot="1" x14ac:dyDescent="0.25">
      <c r="E82" s="46">
        <v>511</v>
      </c>
      <c r="F82" s="46">
        <v>536</v>
      </c>
      <c r="G82" s="17">
        <v>665</v>
      </c>
      <c r="H82" s="16">
        <v>681</v>
      </c>
      <c r="J82" s="47"/>
      <c r="K82" s="47"/>
      <c r="L82" s="47"/>
    </row>
    <row r="83" spans="5:12" ht="13.5" thickBot="1" x14ac:dyDescent="0.25">
      <c r="E83" s="46">
        <v>536</v>
      </c>
      <c r="F83" s="46">
        <v>562</v>
      </c>
      <c r="G83" s="16">
        <v>681</v>
      </c>
      <c r="H83" s="17">
        <v>698</v>
      </c>
      <c r="J83" s="47"/>
      <c r="K83" s="47"/>
      <c r="L83" s="47"/>
    </row>
    <row r="84" spans="5:12" ht="13.5" thickBot="1" x14ac:dyDescent="0.25">
      <c r="E84" s="46">
        <v>562</v>
      </c>
      <c r="F84" s="46">
        <v>590</v>
      </c>
      <c r="G84" s="17">
        <v>698</v>
      </c>
      <c r="H84" s="16">
        <v>715</v>
      </c>
      <c r="J84" s="47"/>
      <c r="K84" s="47"/>
      <c r="L84" s="47"/>
    </row>
    <row r="85" spans="5:12" ht="13.5" thickBot="1" x14ac:dyDescent="0.25">
      <c r="E85" s="46">
        <v>590</v>
      </c>
      <c r="F85" s="46">
        <v>619</v>
      </c>
      <c r="G85" s="16">
        <v>715</v>
      </c>
      <c r="H85" s="17">
        <v>732</v>
      </c>
      <c r="J85" s="47"/>
      <c r="K85" s="47"/>
      <c r="L85" s="47"/>
    </row>
    <row r="86" spans="5:12" ht="13.5" thickBot="1" x14ac:dyDescent="0.25">
      <c r="E86" s="46">
        <v>619</v>
      </c>
      <c r="F86" s="46">
        <v>649</v>
      </c>
      <c r="G86" s="17">
        <v>732</v>
      </c>
      <c r="H86" s="16">
        <v>750</v>
      </c>
      <c r="J86" s="47"/>
      <c r="K86" s="47"/>
      <c r="L86" s="47"/>
    </row>
    <row r="87" spans="5:12" ht="13.5" thickBot="1" x14ac:dyDescent="0.25">
      <c r="E87" s="46">
        <v>649</v>
      </c>
      <c r="F87" s="46">
        <v>681</v>
      </c>
      <c r="G87" s="16">
        <v>750</v>
      </c>
      <c r="H87" s="17">
        <v>768</v>
      </c>
      <c r="J87" s="47"/>
      <c r="K87" s="47"/>
      <c r="L87" s="47"/>
    </row>
    <row r="88" spans="5:12" ht="13.5" thickBot="1" x14ac:dyDescent="0.25">
      <c r="E88" s="46">
        <v>681</v>
      </c>
      <c r="F88" s="46">
        <v>715</v>
      </c>
      <c r="G88" s="17">
        <v>768</v>
      </c>
      <c r="H88" s="16">
        <v>787</v>
      </c>
      <c r="J88" s="47"/>
      <c r="K88" s="47"/>
      <c r="L88" s="47"/>
    </row>
    <row r="89" spans="5:12" ht="13.5" thickBot="1" x14ac:dyDescent="0.25">
      <c r="E89" s="46">
        <v>715</v>
      </c>
      <c r="F89" s="46">
        <v>750</v>
      </c>
      <c r="G89" s="16">
        <v>787</v>
      </c>
      <c r="H89" s="17">
        <v>806</v>
      </c>
      <c r="J89" s="47"/>
      <c r="K89" s="47"/>
      <c r="L89" s="47"/>
    </row>
    <row r="90" spans="5:12" ht="13.5" thickBot="1" x14ac:dyDescent="0.25">
      <c r="E90" s="46">
        <v>750</v>
      </c>
      <c r="F90" s="46">
        <v>787</v>
      </c>
      <c r="G90" s="17">
        <v>806</v>
      </c>
      <c r="H90" s="16">
        <v>825</v>
      </c>
      <c r="J90" s="47"/>
      <c r="K90" s="47"/>
      <c r="L90" s="47"/>
    </row>
    <row r="91" spans="5:12" ht="13.5" thickBot="1" x14ac:dyDescent="0.25">
      <c r="E91" s="46">
        <v>787</v>
      </c>
      <c r="F91" s="46">
        <v>825</v>
      </c>
      <c r="G91" s="16">
        <v>825</v>
      </c>
      <c r="H91" s="17">
        <v>845</v>
      </c>
      <c r="J91" s="47"/>
      <c r="K91" s="47"/>
      <c r="L91" s="47"/>
    </row>
    <row r="92" spans="5:12" ht="13.5" thickBot="1" x14ac:dyDescent="0.25">
      <c r="E92" s="46">
        <v>825</v>
      </c>
      <c r="F92" s="46">
        <v>866</v>
      </c>
      <c r="G92" s="17">
        <v>845</v>
      </c>
      <c r="H92" s="16">
        <v>866</v>
      </c>
      <c r="J92" s="47"/>
      <c r="K92" s="47"/>
      <c r="L92" s="47"/>
    </row>
    <row r="93" spans="5:12" ht="13.5" thickBot="1" x14ac:dyDescent="0.25">
      <c r="E93" s="46">
        <v>866</v>
      </c>
      <c r="F93" s="46">
        <v>909</v>
      </c>
      <c r="G93" s="16">
        <v>866</v>
      </c>
      <c r="H93" s="17">
        <v>887</v>
      </c>
      <c r="J93" s="47"/>
      <c r="K93" s="47"/>
      <c r="L93" s="47"/>
    </row>
    <row r="94" spans="5:12" ht="13.5" thickBot="1" x14ac:dyDescent="0.25">
      <c r="E94" s="46">
        <v>909</v>
      </c>
      <c r="F94" s="46">
        <v>953</v>
      </c>
      <c r="G94" s="17">
        <v>887</v>
      </c>
      <c r="H94" s="16">
        <v>909</v>
      </c>
      <c r="J94" s="47"/>
      <c r="K94" s="47"/>
      <c r="L94" s="47"/>
    </row>
    <row r="95" spans="5:12" ht="13.5" thickBot="1" x14ac:dyDescent="0.25">
      <c r="E95" s="46">
        <v>953</v>
      </c>
      <c r="F95" s="46">
        <v>1000</v>
      </c>
      <c r="G95" s="16">
        <v>909</v>
      </c>
      <c r="H95" s="17">
        <v>931</v>
      </c>
      <c r="J95" s="47"/>
      <c r="K95" s="47"/>
      <c r="L95" s="47"/>
    </row>
    <row r="96" spans="5:12" ht="13.5" thickBot="1" x14ac:dyDescent="0.25">
      <c r="G96" s="17">
        <v>931</v>
      </c>
      <c r="H96" s="16">
        <v>953</v>
      </c>
      <c r="J96" s="47"/>
      <c r="K96" s="47"/>
      <c r="L96" s="47"/>
    </row>
    <row r="97" spans="7:12" ht="13.5" thickBot="1" x14ac:dyDescent="0.25">
      <c r="G97" s="16">
        <v>953</v>
      </c>
      <c r="H97" s="17">
        <v>976</v>
      </c>
      <c r="J97" s="47"/>
      <c r="K97" s="47"/>
      <c r="L97" s="47"/>
    </row>
    <row r="98" spans="7:12" ht="13.5" thickBot="1" x14ac:dyDescent="0.25">
      <c r="G98" s="17">
        <v>976</v>
      </c>
      <c r="H98" s="17">
        <v>1000</v>
      </c>
      <c r="J98" s="47"/>
      <c r="K98" s="47"/>
      <c r="L98" s="47"/>
    </row>
    <row r="99" spans="7:12" x14ac:dyDescent="0.2">
      <c r="J99" s="47"/>
      <c r="K99" s="47"/>
      <c r="L99" s="47"/>
    </row>
    <row r="100" spans="7:12" x14ac:dyDescent="0.2">
      <c r="J100" s="47"/>
      <c r="K100" s="47"/>
      <c r="L100" s="47"/>
    </row>
    <row r="101" spans="7:12" x14ac:dyDescent="0.2">
      <c r="J101" s="47"/>
      <c r="K101" s="47"/>
      <c r="L101" s="47"/>
    </row>
    <row r="102" spans="7:12" x14ac:dyDescent="0.2">
      <c r="J102" s="47"/>
      <c r="K102" s="47"/>
      <c r="L102" s="47"/>
    </row>
    <row r="103" spans="7:12" x14ac:dyDescent="0.2">
      <c r="J103" s="47"/>
      <c r="K103" s="47"/>
      <c r="L103" s="47"/>
    </row>
    <row r="104" spans="7:12" x14ac:dyDescent="0.2">
      <c r="J104" s="47"/>
      <c r="K104" s="47"/>
      <c r="L104" s="47"/>
    </row>
    <row r="105" spans="7:12" x14ac:dyDescent="0.2">
      <c r="J105" s="47"/>
      <c r="K105" s="47"/>
      <c r="L105" s="47"/>
    </row>
    <row r="106" spans="7:12" x14ac:dyDescent="0.2">
      <c r="J106" s="47"/>
      <c r="K106" s="47"/>
      <c r="L106" s="47"/>
    </row>
    <row r="107" spans="7:12" x14ac:dyDescent="0.2">
      <c r="J107" s="47"/>
      <c r="K107" s="47"/>
      <c r="L107" s="47"/>
    </row>
    <row r="108" spans="7:12" x14ac:dyDescent="0.2">
      <c r="J108" s="47"/>
      <c r="K108" s="47"/>
      <c r="L108" s="47"/>
    </row>
    <row r="109" spans="7:12" x14ac:dyDescent="0.2">
      <c r="J109" s="47"/>
      <c r="K109" s="47"/>
      <c r="L109" s="47"/>
    </row>
    <row r="110" spans="7:12" x14ac:dyDescent="0.2">
      <c r="J110" s="47"/>
      <c r="K110" s="47"/>
      <c r="L110" s="47"/>
    </row>
    <row r="111" spans="7:12" x14ac:dyDescent="0.2">
      <c r="J111" s="47"/>
      <c r="K111" s="47"/>
      <c r="L111" s="47"/>
    </row>
    <row r="112" spans="7:12" x14ac:dyDescent="0.2">
      <c r="J112" s="47"/>
      <c r="K112" s="47"/>
      <c r="L112" s="47"/>
    </row>
    <row r="113" spans="10:12" x14ac:dyDescent="0.2">
      <c r="J113" s="47"/>
      <c r="K113" s="47"/>
      <c r="L113" s="47"/>
    </row>
    <row r="114" spans="10:12" x14ac:dyDescent="0.2">
      <c r="J114" s="47"/>
      <c r="K114" s="47"/>
      <c r="L114" s="47"/>
    </row>
    <row r="115" spans="10:12" x14ac:dyDescent="0.2">
      <c r="J115" s="47"/>
      <c r="K115" s="47"/>
      <c r="L115" s="47"/>
    </row>
    <row r="116" spans="10:12" x14ac:dyDescent="0.2">
      <c r="J116" s="47"/>
      <c r="K116" s="47"/>
      <c r="L116" s="47"/>
    </row>
    <row r="117" spans="10:12" x14ac:dyDescent="0.2">
      <c r="J117" s="47"/>
      <c r="K117" s="47"/>
      <c r="L117" s="47"/>
    </row>
    <row r="118" spans="10:12" x14ac:dyDescent="0.2">
      <c r="J118" s="47"/>
      <c r="K118" s="47"/>
      <c r="L118" s="47"/>
    </row>
    <row r="119" spans="10:12" x14ac:dyDescent="0.2">
      <c r="J119" s="47"/>
      <c r="K119" s="47"/>
      <c r="L119" s="47"/>
    </row>
    <row r="120" spans="10:12" x14ac:dyDescent="0.2">
      <c r="J120" s="47"/>
      <c r="K120" s="47"/>
      <c r="L120" s="47"/>
    </row>
    <row r="121" spans="10:12" x14ac:dyDescent="0.2">
      <c r="J121" s="47"/>
      <c r="K121" s="47"/>
      <c r="L121" s="47"/>
    </row>
    <row r="122" spans="10:12" x14ac:dyDescent="0.2">
      <c r="J122" s="47"/>
      <c r="K122" s="47"/>
      <c r="L122" s="47"/>
    </row>
    <row r="123" spans="10:12" x14ac:dyDescent="0.2">
      <c r="J123" s="47"/>
      <c r="K123" s="47"/>
      <c r="L123" s="47"/>
    </row>
    <row r="124" spans="10:12" x14ac:dyDescent="0.2">
      <c r="J124" s="47"/>
      <c r="K124" s="47"/>
      <c r="L124" s="47"/>
    </row>
    <row r="125" spans="10:12" x14ac:dyDescent="0.2">
      <c r="J125" s="47"/>
      <c r="K125" s="47"/>
      <c r="L125" s="47"/>
    </row>
    <row r="126" spans="10:12" x14ac:dyDescent="0.2">
      <c r="J126" s="47"/>
      <c r="K126" s="47"/>
      <c r="L126" s="47"/>
    </row>
    <row r="127" spans="10:12" x14ac:dyDescent="0.2">
      <c r="J127" s="47"/>
      <c r="K127" s="47"/>
      <c r="L127" s="47"/>
    </row>
    <row r="128" spans="10:12" x14ac:dyDescent="0.2">
      <c r="J128" s="47"/>
      <c r="K128" s="47"/>
      <c r="L128" s="47"/>
    </row>
    <row r="129" spans="10:12" x14ac:dyDescent="0.2">
      <c r="J129" s="47"/>
      <c r="K129" s="47"/>
      <c r="L129" s="47"/>
    </row>
    <row r="130" spans="10:12" x14ac:dyDescent="0.2">
      <c r="J130" s="47"/>
      <c r="K130" s="47"/>
      <c r="L130" s="47"/>
    </row>
    <row r="131" spans="10:12" x14ac:dyDescent="0.2">
      <c r="J131" s="47"/>
      <c r="K131" s="47"/>
      <c r="L131" s="47"/>
    </row>
    <row r="132" spans="10:12" x14ac:dyDescent="0.2">
      <c r="J132" s="47"/>
      <c r="K132" s="47"/>
      <c r="L132" s="47"/>
    </row>
    <row r="133" spans="10:12" x14ac:dyDescent="0.2">
      <c r="J133" s="47"/>
      <c r="K133" s="47"/>
      <c r="L133" s="47"/>
    </row>
    <row r="134" spans="10:12" x14ac:dyDescent="0.2">
      <c r="J134" s="47"/>
      <c r="K134" s="47"/>
      <c r="L134" s="47"/>
    </row>
    <row r="135" spans="10:12" x14ac:dyDescent="0.2">
      <c r="J135" s="47"/>
      <c r="K135" s="47"/>
      <c r="L135" s="47"/>
    </row>
    <row r="136" spans="10:12" x14ac:dyDescent="0.2">
      <c r="J136" s="47"/>
      <c r="K136" s="47"/>
      <c r="L136" s="47"/>
    </row>
    <row r="137" spans="10:12" x14ac:dyDescent="0.2">
      <c r="J137" s="47"/>
      <c r="K137" s="47"/>
      <c r="L137" s="47"/>
    </row>
    <row r="138" spans="10:12" x14ac:dyDescent="0.2">
      <c r="J138" s="47"/>
      <c r="K138" s="47"/>
      <c r="L138" s="47"/>
    </row>
    <row r="139" spans="10:12" x14ac:dyDescent="0.2">
      <c r="J139" s="47"/>
      <c r="K139" s="47"/>
      <c r="L139" s="47"/>
    </row>
    <row r="140" spans="10:12" x14ac:dyDescent="0.2">
      <c r="J140" s="47"/>
      <c r="K140" s="47"/>
      <c r="L140" s="47"/>
    </row>
    <row r="141" spans="10:12" x14ac:dyDescent="0.2">
      <c r="J141" s="47"/>
      <c r="K141" s="47"/>
      <c r="L141" s="47"/>
    </row>
    <row r="142" spans="10:12" x14ac:dyDescent="0.2">
      <c r="J142" s="47"/>
      <c r="K142" s="47"/>
      <c r="L142" s="47"/>
    </row>
    <row r="143" spans="10:12" x14ac:dyDescent="0.2">
      <c r="J143" s="47"/>
      <c r="K143" s="47"/>
      <c r="L143" s="47"/>
    </row>
    <row r="144" spans="10:12" x14ac:dyDescent="0.2">
      <c r="J144" s="47"/>
      <c r="K144" s="47"/>
      <c r="L144" s="47"/>
    </row>
    <row r="145" spans="10:12" x14ac:dyDescent="0.2">
      <c r="J145" s="47"/>
      <c r="K145" s="47"/>
      <c r="L145" s="47"/>
    </row>
  </sheetData>
  <mergeCells count="5">
    <mergeCell ref="E47:F47"/>
    <mergeCell ref="E2:F2"/>
    <mergeCell ref="G2:H2"/>
    <mergeCell ref="E9:F9"/>
    <mergeCell ref="E22:F2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96</vt:i4>
      </vt:variant>
    </vt:vector>
  </HeadingPairs>
  <TitlesOfParts>
    <vt:vector size="104" baseType="lpstr">
      <vt:lpstr>Instructions</vt:lpstr>
      <vt:lpstr>Functional Schematic</vt:lpstr>
      <vt:lpstr>Design Information</vt:lpstr>
      <vt:lpstr>Figure of T1 Current</vt:lpstr>
      <vt:lpstr>TABSET Valley Switching</vt:lpstr>
      <vt:lpstr>TCDSET Valley Switching</vt:lpstr>
      <vt:lpstr>Voltage Loop</vt:lpstr>
      <vt:lpstr>Standard R and C Look Up Table</vt:lpstr>
      <vt:lpstr>_imp2</vt:lpstr>
      <vt:lpstr>_ims2</vt:lpstr>
      <vt:lpstr>_ipp1</vt:lpstr>
      <vt:lpstr>_ta1</vt:lpstr>
      <vt:lpstr>_ta11</vt:lpstr>
      <vt:lpstr>_ta2</vt:lpstr>
      <vt:lpstr>_taa1</vt:lpstr>
      <vt:lpstr>_va1</vt:lpstr>
      <vt:lpstr>C_enter</vt:lpstr>
      <vt:lpstr>C_f1</vt:lpstr>
      <vt:lpstr>C_f2</vt:lpstr>
      <vt:lpstr>c_s1</vt:lpstr>
      <vt:lpstr>C_s2</vt:lpstr>
      <vt:lpstr>Center</vt:lpstr>
      <vt:lpstr>constant</vt:lpstr>
      <vt:lpstr>cossqaavg</vt:lpstr>
      <vt:lpstr>cossqaspec</vt:lpstr>
      <vt:lpstr>cossqeavg</vt:lpstr>
      <vt:lpstr>cout</vt:lpstr>
      <vt:lpstr>Cp</vt:lpstr>
      <vt:lpstr>Cstandard</vt:lpstr>
      <vt:lpstr>Cz</vt:lpstr>
      <vt:lpstr>d2a</vt:lpstr>
      <vt:lpstr>dclamp</vt:lpstr>
      <vt:lpstr>dcrlout</vt:lpstr>
      <vt:lpstr>dcrp</vt:lpstr>
      <vt:lpstr>dcrs</vt:lpstr>
      <vt:lpstr>dilmag</vt:lpstr>
      <vt:lpstr>dilout</vt:lpstr>
      <vt:lpstr>dmax</vt:lpstr>
      <vt:lpstr>dtyp</vt:lpstr>
      <vt:lpstr>E12_f</vt:lpstr>
      <vt:lpstr>E12_s</vt:lpstr>
      <vt:lpstr>E24_f</vt:lpstr>
      <vt:lpstr>E24_s</vt:lpstr>
      <vt:lpstr>E48_f</vt:lpstr>
      <vt:lpstr>E48_s</vt:lpstr>
      <vt:lpstr>E6_f</vt:lpstr>
      <vt:lpstr>E6_s</vt:lpstr>
      <vt:lpstr>E96_f</vt:lpstr>
      <vt:lpstr>E96_s</vt:lpstr>
      <vt:lpstr>Eff</vt:lpstr>
      <vt:lpstr>esrcout</vt:lpstr>
      <vt:lpstr>fc</vt:lpstr>
      <vt:lpstr>fpp</vt:lpstr>
      <vt:lpstr>fs</vt:lpstr>
      <vt:lpstr>iloutrms</vt:lpstr>
      <vt:lpstr>imp</vt:lpstr>
      <vt:lpstr>ims</vt:lpstr>
      <vt:lpstr>ipp</vt:lpstr>
      <vt:lpstr>iprms</vt:lpstr>
      <vt:lpstr>iprms1</vt:lpstr>
      <vt:lpstr>iprms2</vt:lpstr>
      <vt:lpstr>ips</vt:lpstr>
      <vt:lpstr>isrms</vt:lpstr>
      <vt:lpstr>isrms1</vt:lpstr>
      <vt:lpstr>isrms2</vt:lpstr>
      <vt:lpstr>isrms3</vt:lpstr>
      <vt:lpstr>llk</vt:lpstr>
      <vt:lpstr>lmag</vt:lpstr>
      <vt:lpstr>lmag1</vt:lpstr>
      <vt:lpstr>lmag2</vt:lpstr>
      <vt:lpstr>lout</vt:lpstr>
      <vt:lpstr>ls</vt:lpstr>
      <vt:lpstr>n1divd1</vt:lpstr>
      <vt:lpstr>pbudget</vt:lpstr>
      <vt:lpstr>pout</vt:lpstr>
      <vt:lpstr>QAg</vt:lpstr>
      <vt:lpstr>qeg</vt:lpstr>
      <vt:lpstr>rdsonqa</vt:lpstr>
      <vt:lpstr>rdsonqe</vt:lpstr>
      <vt:lpstr>rf</vt:lpstr>
      <vt:lpstr>RII</vt:lpstr>
      <vt:lpstr>rload</vt:lpstr>
      <vt:lpstr>RS</vt:lpstr>
      <vt:lpstr>sta</vt:lpstr>
      <vt:lpstr>stb</vt:lpstr>
      <vt:lpstr>tabset</vt:lpstr>
      <vt:lpstr>tafset</vt:lpstr>
      <vt:lpstr>tcdset</vt:lpstr>
      <vt:lpstr>tdelay</vt:lpstr>
      <vt:lpstr>thu</vt:lpstr>
      <vt:lpstr>tr</vt:lpstr>
      <vt:lpstr>vadel</vt:lpstr>
      <vt:lpstr>vdsqe</vt:lpstr>
      <vt:lpstr>vg</vt:lpstr>
      <vt:lpstr>vin</vt:lpstr>
      <vt:lpstr>VINMAX</vt:lpstr>
      <vt:lpstr>VINMIAX</vt:lpstr>
      <vt:lpstr>VINMIN</vt:lpstr>
      <vt:lpstr>VOUT</vt:lpstr>
      <vt:lpstr>voutmin</vt:lpstr>
      <vt:lpstr>vrdson</vt:lpstr>
      <vt:lpstr>Vslope1</vt:lpstr>
      <vt:lpstr>Vslope2</vt:lpstr>
      <vt:lpstr>VTRAN</vt:lpstr>
    </vt:vector>
  </TitlesOfParts>
  <Company>Texas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O'Loughlin</dc:creator>
  <cp:lastModifiedBy>12813</cp:lastModifiedBy>
  <cp:lastPrinted>2010-06-11T18:34:05Z</cp:lastPrinted>
  <dcterms:created xsi:type="dcterms:W3CDTF">2010-04-19T17:22:29Z</dcterms:created>
  <dcterms:modified xsi:type="dcterms:W3CDTF">2024-11-11T07:54:09Z</dcterms:modified>
</cp:coreProperties>
</file>