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pencer.Kristjanson\Desktop\"/>
    </mc:Choice>
  </mc:AlternateContent>
  <xr:revisionPtr revIDLastSave="0" documentId="13_ncr:1_{10EAE854-D198-43D0-AC67-95A76DD39C19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Flyback" sheetId="1" r:id="rId1"/>
  </sheets>
  <definedNames>
    <definedName name="A_CS">Flyback!$H$31</definedName>
    <definedName name="A_M">Flyback!$H$30</definedName>
    <definedName name="C_COMP_ACT">Flyback!$J$40</definedName>
    <definedName name="C_OUT">Flyback!$B$19</definedName>
    <definedName name="D">Flyback!$H$7</definedName>
    <definedName name="EVAL_V_OUT">#REF!</definedName>
    <definedName name="f_co">Flyback!$B$28</definedName>
    <definedName name="f_SW">Flyback!$H$9</definedName>
    <definedName name="FALL">Flyback!$B$13</definedName>
    <definedName name="g_m">Flyback!$B$29</definedName>
    <definedName name="Gain">Flyback!$H$37</definedName>
    <definedName name="I_HYST">Flyback!$B$14</definedName>
    <definedName name="I_OUT">Flyback!$B$9</definedName>
    <definedName name="I_Ppk">Flyback!$H$8</definedName>
    <definedName name="L_MAG">Flyback!$B$3</definedName>
    <definedName name="N_PS">Flyback!$B$6</definedName>
    <definedName name="P_OUT">Flyback!$H$10</definedName>
    <definedName name="R_COMP_ACT">Flyback!$J$39</definedName>
    <definedName name="R_CS">Flyback!$H$26</definedName>
    <definedName name="R_CS_ACT">Flyback!$J$26</definedName>
    <definedName name="R_ESR">Flyback!$C$21</definedName>
    <definedName name="R_FB">Flyback!$H$15</definedName>
    <definedName name="R_FB_ACT">Flyback!$J$15</definedName>
    <definedName name="R_LOAD">Flyback!$H$28</definedName>
    <definedName name="R_UV1">Flyback!$H$20</definedName>
    <definedName name="R_UV1_ACT">Flyback!$J$20</definedName>
    <definedName name="R_UV2">Flyback!$H$21</definedName>
    <definedName name="R_UV2_ACT">Flyback!$J$21</definedName>
    <definedName name="RISE">Flyback!$B$12</definedName>
    <definedName name="TC_D">Flyback!$H$17</definedName>
    <definedName name="V_CS_max">Flyback!$B$15</definedName>
    <definedName name="V_D">Flyback!$H$5</definedName>
    <definedName name="V_IN">Flyback!$B$5</definedName>
    <definedName name="V_OFF">Flyback!$B$11</definedName>
    <definedName name="V_ON">Flyback!$B$10</definedName>
    <definedName name="V_OUT">Flyback!$B$4</definedName>
    <definedName name="ω_p">Flyback!$H$34</definedName>
    <definedName name="ω_zESR">Flyback!$H$33</definedName>
    <definedName name="ω_zRHP">Flyback!$H$32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26" i="1"/>
  <c r="H15" i="1"/>
  <c r="B9" i="1"/>
  <c r="H17" i="1"/>
  <c r="H12" i="1"/>
  <c r="H18" i="1"/>
  <c r="H20" i="1"/>
  <c r="H23" i="1"/>
  <c r="D11" i="1" l="1"/>
  <c r="B10" i="1"/>
  <c r="H41" i="1" l="1"/>
  <c r="H24" i="1"/>
  <c r="H7" i="1"/>
  <c r="H3" i="1"/>
  <c r="H4" i="1" s="1"/>
  <c r="H33" i="1"/>
  <c r="H31" i="1"/>
  <c r="H21" i="1"/>
  <c r="H13" i="1"/>
  <c r="J23" i="1" l="1"/>
  <c r="H8" i="1"/>
  <c r="H9" i="1" s="1"/>
  <c r="H28" i="1"/>
  <c r="H10" i="1" l="1"/>
  <c r="H30" i="1"/>
  <c r="H34" i="1"/>
  <c r="H40" i="1" s="1"/>
  <c r="H32" i="1"/>
  <c r="H36" i="1" l="1"/>
  <c r="H37" i="1" s="1"/>
</calcChain>
</file>

<file path=xl/sharedStrings.xml><?xml version="1.0" encoding="utf-8"?>
<sst xmlns="http://schemas.openxmlformats.org/spreadsheetml/2006/main" count="140" uniqueCount="91">
  <si>
    <t>Known Parameters</t>
  </si>
  <si>
    <t>V_D</t>
  </si>
  <si>
    <t>L_MAG</t>
  </si>
  <si>
    <t>V</t>
  </si>
  <si>
    <t>V_OUT</t>
  </si>
  <si>
    <t>Parameter</t>
  </si>
  <si>
    <t>Value</t>
  </si>
  <si>
    <t>Units</t>
  </si>
  <si>
    <t>Notes</t>
  </si>
  <si>
    <t>24VAC*110%</t>
  </si>
  <si>
    <t>D</t>
  </si>
  <si>
    <t>N_PS</t>
  </si>
  <si>
    <t>-</t>
  </si>
  <si>
    <t>1:1 turns ratio</t>
  </si>
  <si>
    <t>Calculations</t>
  </si>
  <si>
    <t>I_PRI-PK(BCM)</t>
  </si>
  <si>
    <t>A</t>
  </si>
  <si>
    <r>
      <t>V_IN (</t>
    </r>
    <r>
      <rPr>
        <b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>)</t>
    </r>
  </si>
  <si>
    <r>
      <t>I_OUT (</t>
    </r>
    <r>
      <rPr>
        <b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>)</t>
    </r>
  </si>
  <si>
    <r>
      <t>V_D-REV (</t>
    </r>
    <r>
      <rPr>
        <b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>)</t>
    </r>
  </si>
  <si>
    <t>F_SW(BCM)</t>
  </si>
  <si>
    <t>H</t>
  </si>
  <si>
    <t>Hz</t>
  </si>
  <si>
    <t>P_OUT(BCM)</t>
  </si>
  <si>
    <t>W</t>
  </si>
  <si>
    <t>V_DZ(clamp)</t>
  </si>
  <si>
    <t>V_DF-REV</t>
  </si>
  <si>
    <t>BZX84C27LT1G</t>
  </si>
  <si>
    <t>Chosen Component</t>
  </si>
  <si>
    <r>
      <t xml:space="preserve">Chose </t>
    </r>
    <r>
      <rPr>
        <b/>
        <sz val="11"/>
        <color theme="1"/>
        <rFont val="Calibri"/>
        <family val="2"/>
        <scheme val="minor"/>
      </rPr>
      <t>BAS70LT1G</t>
    </r>
    <r>
      <rPr>
        <sz val="11"/>
        <color theme="1"/>
        <rFont val="Calibri"/>
        <family val="2"/>
        <scheme val="minor"/>
      </rPr>
      <t>, which determins V_D below</t>
    </r>
  </si>
  <si>
    <t>BAS40</t>
  </si>
  <si>
    <t>R_FB</t>
  </si>
  <si>
    <t>Ω</t>
  </si>
  <si>
    <t>V_D-REV (safety factor)</t>
  </si>
  <si>
    <t>R_TC</t>
  </si>
  <si>
    <t>TC_D</t>
  </si>
  <si>
    <t>V_IN(on)</t>
  </si>
  <si>
    <t>V_IN(off)</t>
  </si>
  <si>
    <t>R_UV1</t>
  </si>
  <si>
    <t>R_UV2</t>
  </si>
  <si>
    <t>V_UV_RISE</t>
  </si>
  <si>
    <t>V_UV_FALL</t>
  </si>
  <si>
    <t>V_IN(on, actual)</t>
  </si>
  <si>
    <t>V_IN(off, actual)</t>
  </si>
  <si>
    <t>I_HYST</t>
  </si>
  <si>
    <t>R_LOAD</t>
  </si>
  <si>
    <t>C_OUT</t>
  </si>
  <si>
    <t>A_M</t>
  </si>
  <si>
    <t>A_CS</t>
  </si>
  <si>
    <t>R_CS</t>
  </si>
  <si>
    <t>mΩ</t>
  </si>
  <si>
    <t>ω_zESR</t>
  </si>
  <si>
    <t>R_ESR</t>
  </si>
  <si>
    <t>ω_p</t>
  </si>
  <si>
    <t>D_CLAMP</t>
  </si>
  <si>
    <t>D_F</t>
  </si>
  <si>
    <t>D_FLY</t>
  </si>
  <si>
    <t>C_VCC</t>
  </si>
  <si>
    <t>F</t>
  </si>
  <si>
    <t>G_pw</t>
  </si>
  <si>
    <t>ω_zRHP</t>
  </si>
  <si>
    <t>f_co</t>
  </si>
  <si>
    <t>rad/s</t>
  </si>
  <si>
    <t>R_SET</t>
  </si>
  <si>
    <t>C_SS</t>
  </si>
  <si>
    <t>C_IN</t>
  </si>
  <si>
    <t>R_COMP</t>
  </si>
  <si>
    <t>C_COMP</t>
  </si>
  <si>
    <t>C_HF</t>
  </si>
  <si>
    <t>R_SNB</t>
  </si>
  <si>
    <t>C_SNB</t>
  </si>
  <si>
    <t>kHz</t>
  </si>
  <si>
    <t>Component</t>
  </si>
  <si>
    <t>R_UV1 aka R_UVH</t>
  </si>
  <si>
    <t>R_UV2 aka R_UVL</t>
  </si>
  <si>
    <t>Gain</t>
  </si>
  <si>
    <t>g_m</t>
  </si>
  <si>
    <t>S</t>
  </si>
  <si>
    <t>R_FLT</t>
  </si>
  <si>
    <t>C_FLT</t>
  </si>
  <si>
    <t>From eval kit</t>
  </si>
  <si>
    <t>electrolytic</t>
  </si>
  <si>
    <t>N-channel MOSFET</t>
  </si>
  <si>
    <t>Consider NVMFS021N10MCLT1G (Onsemi)</t>
  </si>
  <si>
    <r>
      <t>R_CS (</t>
    </r>
    <r>
      <rPr>
        <b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>)</t>
    </r>
  </si>
  <si>
    <r>
      <t>V_CS(</t>
    </r>
    <r>
      <rPr>
        <b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>)</t>
    </r>
  </si>
  <si>
    <t>v rating?</t>
  </si>
  <si>
    <t>150pF</t>
  </si>
  <si>
    <t>mV/C</t>
  </si>
  <si>
    <t>I_single</t>
  </si>
  <si>
    <t>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</si>
</sst>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 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quotePrefix="1"/>
    <xf numFmtId="11" fontId="0" fillId="0" borderId="0" xfId="0" applyNumberFormat="1"/>
    <xf numFmtId="0" fontId="1" fillId="0" borderId="0" xfId="0" applyFont="1"/>
    <xf numFmtId="0" fontId="3" fillId="0" borderId="0" xfId="0" applyFont="1"/>
    <xf numFmtId="0" fontId="0" fillId="2" borderId="0" xfId="0" applyFill="1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1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0" fillId="3" borderId="0" xfId="0" applyFill="1"/>
    <xf numFmtId="0" fontId="0" fillId="3" borderId="1" xfId="0" applyFill="1" applyBorder="1"/>
    <xf numFmtId="0" fontId="0" fillId="4" borderId="0" xfId="0" applyFill="1"/>
    <xf numFmtId="0" fontId="0" fillId="4" borderId="1" xfId="0" applyFill="1" applyBorder="1"/>
    <xf numFmtId="11" fontId="0" fillId="4" borderId="0" xfId="0" applyNumberFormat="1" applyFill="1"/>
    <xf numFmtId="2" fontId="0" fillId="4" borderId="0" xfId="0" applyNumberFormat="1" applyFill="1"/>
    <xf numFmtId="0" fontId="0" fillId="5" borderId="0" xfId="0" applyFill="1"/>
    <xf numFmtId="0" fontId="1" fillId="5" borderId="0" xfId="0" applyFont="1" applyFill="1"/>
    <xf numFmtId="0" fontId="0" fillId="5" borderId="1" xfId="0" applyFill="1" applyBorder="1"/>
    <xf numFmtId="0" fontId="0" fillId="6" borderId="0" xfId="0" applyFill="1"/>
    <xf numFmtId="11" fontId="1" fillId="6" borderId="0" xfId="0" applyNumberFormat="1" applyFont="1" applyFill="1"/>
    <xf numFmtId="0" fontId="0" fillId="6" borderId="1" xfId="0" applyFill="1" applyBorder="1"/>
    <xf numFmtId="0" fontId="3" fillId="6" borderId="0" xfId="0" applyFont="1" applyFill="1"/>
    <xf numFmtId="0" fontId="1" fillId="6" borderId="0" xfId="0" applyFont="1" applyFill="1"/>
    <xf numFmtId="0" fontId="3" fillId="3" borderId="0" xfId="0" applyFont="1" applyFill="1"/>
    <xf numFmtId="11" fontId="1" fillId="4" borderId="0" xfId="0" applyNumberFormat="1" applyFont="1" applyFill="1"/>
    <xf numFmtId="0" fontId="1" fillId="3" borderId="0" xfId="0" applyFont="1" applyFill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1" fontId="1" fillId="3" borderId="0" xfId="0" applyNumberFormat="1" applyFont="1" applyFill="1"/>
    <xf numFmtId="0" fontId="5" fillId="0" borderId="1" xfId="0" applyFont="1" applyBorder="1"/>
    <xf numFmtId="0" fontId="3" fillId="0" borderId="1" xfId="0" applyFont="1" applyBorder="1"/>
    <xf numFmtId="0" fontId="0" fillId="2" borderId="3" xfId="0" applyFill="1" applyBorder="1"/>
    <xf numFmtId="11" fontId="0" fillId="0" borderId="3" xfId="0" applyNumberFormat="1" applyBorder="1"/>
    <xf numFmtId="0" fontId="0" fillId="6" borderId="3" xfId="0" applyFill="1" applyBorder="1"/>
    <xf numFmtId="11" fontId="1" fillId="6" borderId="3" xfId="0" applyNumberFormat="1" applyFont="1" applyFill="1" applyBorder="1"/>
    <xf numFmtId="0" fontId="0" fillId="6" borderId="2" xfId="0" applyFill="1" applyBorder="1"/>
    <xf numFmtId="0" fontId="0" fillId="4" borderId="0" xfId="0" applyFill="1" applyAlignment="1">
      <alignment horizontal="right"/>
    </xf>
    <xf numFmtId="2" fontId="0" fillId="0" borderId="1" xfId="0" applyNumberFormat="1" applyBorder="1"/>
    <xf numFmtId="0" fontId="0" fillId="7" borderId="0" xfId="0" applyFill="1"/>
    <xf numFmtId="0" fontId="7" fillId="3" borderId="0" xfId="0" applyFont="1" applyFill="1"/>
    <xf numFmtId="0" fontId="8" fillId="2" borderId="5" xfId="0" applyFont="1" applyFill="1" applyBorder="1"/>
    <xf numFmtId="11" fontId="0" fillId="0" borderId="1" xfId="0" applyNumberFormat="1" applyBorder="1"/>
    <xf numFmtId="0" fontId="8" fillId="2" borderId="6" xfId="0" applyFont="1" applyFill="1" applyBorder="1"/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/>
    <xf numFmtId="0" fontId="5" fillId="0" borderId="5" xfId="0" applyFont="1" applyBorder="1"/>
    <xf numFmtId="0" fontId="5" fillId="2" borderId="5" xfId="0" applyFont="1" applyFill="1" applyBorder="1"/>
    <xf numFmtId="11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219075</xdr:colOff>
      <xdr:row>3</xdr:row>
      <xdr:rowOff>38100</xdr:rowOff>
    </xdr:from>
    <xdr:to>
      <xdr:col>20</xdr:col>
      <xdr:colOff>360043</xdr:colOff>
      <xdr:row>9</xdr:row>
      <xdr:rowOff>53971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CEDAAB-6EC9-994E-B71F-109240298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609600"/>
          <a:ext cx="4408167" cy="1158871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228600</xdr:colOff>
      <xdr:row>9</xdr:row>
      <xdr:rowOff>66675</xdr:rowOff>
    </xdr:from>
    <xdr:to>
      <xdr:col>20</xdr:col>
      <xdr:colOff>390526</xdr:colOff>
      <xdr:row>18</xdr:row>
      <xdr:rowOff>89789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1C0A3D-C143-DE84-B289-72C959A26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25" y="1781175"/>
          <a:ext cx="4429125" cy="1737614"/>
        </a:xfrm>
        <a:prstGeom prst="rect">
          <a:avLst/>
        </a:prstGeom>
      </xdr:spPr>
    </xdr:pic>
    <xdr:clientData/>
  </xdr:twoCellAnchor>
  <xdr:twoCellAnchor editAs="oneCell">
    <xdr:from>
      <xdr:col>13</xdr:col>
      <xdr:colOff>209550</xdr:colOff>
      <xdr:row>0</xdr:row>
      <xdr:rowOff>114300</xdr:rowOff>
    </xdr:from>
    <xdr:to>
      <xdr:col>20</xdr:col>
      <xdr:colOff>378462</xdr:colOff>
      <xdr:row>3</xdr:row>
      <xdr:rowOff>23378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32CEBA-4F1B-CC04-2296-B9AD4331C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44075" y="114300"/>
          <a:ext cx="4436111" cy="480578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285750</xdr:colOff>
      <xdr:row>18</xdr:row>
      <xdr:rowOff>83012</xdr:rowOff>
    </xdr:from>
    <xdr:to>
      <xdr:col>20</xdr:col>
      <xdr:colOff>352833</xdr:colOff>
      <xdr:row>21</xdr:row>
      <xdr:rowOff>19049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DB94FBC-7149-E28B-A18D-3636D5B2B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20275" y="3512012"/>
          <a:ext cx="4334282" cy="507537"/>
        </a:xfrm>
        <a:prstGeom prst="rect">
          <a:avLst/>
        </a:prstGeom>
      </xdr:spPr>
    </xdr:pic>
    <xdr:clientData/>
  </xdr:twoCellAnchor>
  <xdr:twoCellAnchor>
    <xdr:from>
      <xdr:col>11</xdr:col>
      <xdr:colOff>47624</xdr:colOff>
      <xdr:row>10</xdr:row>
      <xdr:rowOff>171450</xdr:rowOff>
    </xdr:from>
    <xdr:to>
      <xdr:col>13</xdr:col>
      <xdr:colOff>289063</xdr:colOff>
      <xdr:row>21</xdr:row>
      <xdr:rowOff>41413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7A379CDE-DBC2-7BF9-CB69-A02B338B212A}"/>
            </a:ext>
          </a:extLst>
        </xdr:cNvPr>
        <xdr:cNvGrpSpPr/>
      </xdr:nvGrpSpPr>
      <xdr:grpSpPr>
        <a:xfrm>
          <a:off x="12250830" y="2076450"/>
          <a:ext cx="1451674" cy="1965463"/>
          <a:chOff x="6604995" y="2105025"/>
          <a:chExt cx="1828738" cy="1946413"/>
        </a:xfrm>
      </xdr:grpSpPr>
      <xdr:sp macro="" textlink="">
        <xdr:nvSpPr>
          <xdr:cNvPr id="9" name="Right Brace 8">
            <a:extLst>
              <a:ext uri="{FF2B5EF4-FFF2-40B4-BE49-F238E27FC236}">
                <a16:creationId xmlns:a16="http://schemas.microsoft.com/office/drawing/2014/main" id="{85011645-AE4B-5B9B-E28B-6B4ED0EDDF5A}"/>
              </a:ext>
            </a:extLst>
          </xdr:cNvPr>
          <xdr:cNvSpPr/>
        </xdr:nvSpPr>
        <xdr:spPr>
          <a:xfrm>
            <a:off x="6604995" y="2105025"/>
            <a:ext cx="276225" cy="400050"/>
          </a:xfrm>
          <a:prstGeom prst="rightBrace">
            <a:avLst/>
          </a:pr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cxnSp macro="">
        <xdr:nvCxnSpPr>
          <xdr:cNvPr id="13" name="Connector: Elbow 12">
            <a:extLst>
              <a:ext uri="{FF2B5EF4-FFF2-40B4-BE49-F238E27FC236}">
                <a16:creationId xmlns:a16="http://schemas.microsoft.com/office/drawing/2014/main" id="{7F435877-BB24-0E3A-7626-8FBAE3281CD1}"/>
              </a:ext>
            </a:extLst>
          </xdr:cNvPr>
          <xdr:cNvCxnSpPr>
            <a:stCxn id="9" idx="1"/>
            <a:endCxn id="25" idx="1"/>
          </xdr:cNvCxnSpPr>
        </xdr:nvCxnSpPr>
        <xdr:spPr>
          <a:xfrm rot="10800000" flipH="1" flipV="1">
            <a:off x="6881219" y="2305049"/>
            <a:ext cx="1386861" cy="1514475"/>
          </a:xfrm>
          <a:prstGeom prst="bentConnector3">
            <a:avLst>
              <a:gd name="adj1" fmla="val 70557"/>
            </a:avLst>
          </a:pr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25" name="Left Brace 24">
            <a:extLst>
              <a:ext uri="{FF2B5EF4-FFF2-40B4-BE49-F238E27FC236}">
                <a16:creationId xmlns:a16="http://schemas.microsoft.com/office/drawing/2014/main" id="{A2178010-522C-7E26-03F3-D244F20C6F15}"/>
              </a:ext>
            </a:extLst>
          </xdr:cNvPr>
          <xdr:cNvSpPr/>
        </xdr:nvSpPr>
        <xdr:spPr>
          <a:xfrm>
            <a:off x="8268081" y="3587612"/>
            <a:ext cx="165652" cy="463826"/>
          </a:xfrm>
          <a:prstGeom prst="leftBrace">
            <a:avLst/>
          </a:pr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</xdr:grpSp>
    <xdr:clientData/>
  </xdr:twoCellAnchor>
  <xdr:twoCellAnchor>
    <xdr:from>
      <xdr:col>11</xdr:col>
      <xdr:colOff>38100</xdr:colOff>
      <xdr:row>7</xdr:row>
      <xdr:rowOff>47625</xdr:rowOff>
    </xdr:from>
    <xdr:to>
      <xdr:col>13</xdr:col>
      <xdr:colOff>300401</xdr:colOff>
      <xdr:row>15</xdr:row>
      <xdr:rowOff>168519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675922A3-B7A6-4350-8C9A-87439C01C788}"/>
            </a:ext>
          </a:extLst>
        </xdr:cNvPr>
        <xdr:cNvGrpSpPr/>
      </xdr:nvGrpSpPr>
      <xdr:grpSpPr>
        <a:xfrm>
          <a:off x="12241306" y="1381125"/>
          <a:ext cx="1472536" cy="1644894"/>
          <a:chOff x="6612476" y="2122610"/>
          <a:chExt cx="3089835" cy="1644894"/>
        </a:xfrm>
      </xdr:grpSpPr>
      <xdr:sp macro="" textlink="">
        <xdr:nvSpPr>
          <xdr:cNvPr id="32" name="Right Brace 31">
            <a:extLst>
              <a:ext uri="{FF2B5EF4-FFF2-40B4-BE49-F238E27FC236}">
                <a16:creationId xmlns:a16="http://schemas.microsoft.com/office/drawing/2014/main" id="{30582AA2-19F6-7FEC-4ED1-A9FD398EDBA8}"/>
              </a:ext>
            </a:extLst>
          </xdr:cNvPr>
          <xdr:cNvSpPr/>
        </xdr:nvSpPr>
        <xdr:spPr>
          <a:xfrm>
            <a:off x="6612476" y="2122610"/>
            <a:ext cx="297982" cy="512151"/>
          </a:xfrm>
          <a:prstGeom prst="rightBrace">
            <a:avLst/>
          </a:prstGeom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cxnSp macro="">
        <xdr:nvCxnSpPr>
          <xdr:cNvPr id="33" name="Connector: Elbow 32">
            <a:extLst>
              <a:ext uri="{FF2B5EF4-FFF2-40B4-BE49-F238E27FC236}">
                <a16:creationId xmlns:a16="http://schemas.microsoft.com/office/drawing/2014/main" id="{8E2B79D7-F830-60CF-D3A7-6DEDFEC46D84}"/>
              </a:ext>
            </a:extLst>
          </xdr:cNvPr>
          <xdr:cNvCxnSpPr>
            <a:stCxn id="32" idx="1"/>
            <a:endCxn id="34" idx="1"/>
          </xdr:cNvCxnSpPr>
        </xdr:nvCxnSpPr>
        <xdr:spPr>
          <a:xfrm rot="10800000" flipH="1" flipV="1">
            <a:off x="6910458" y="2378686"/>
            <a:ext cx="2614860" cy="894792"/>
          </a:xfrm>
          <a:prstGeom prst="bentConnector3">
            <a:avLst>
              <a:gd name="adj1" fmla="val 78250"/>
            </a:avLst>
          </a:prstGeom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sp macro="" textlink="">
        <xdr:nvSpPr>
          <xdr:cNvPr id="34" name="Left Brace 33">
            <a:extLst>
              <a:ext uri="{FF2B5EF4-FFF2-40B4-BE49-F238E27FC236}">
                <a16:creationId xmlns:a16="http://schemas.microsoft.com/office/drawing/2014/main" id="{D6199E01-55D8-0997-4468-B83EF71D7A27}"/>
              </a:ext>
            </a:extLst>
          </xdr:cNvPr>
          <xdr:cNvSpPr/>
        </xdr:nvSpPr>
        <xdr:spPr>
          <a:xfrm>
            <a:off x="9525318" y="2779452"/>
            <a:ext cx="176993" cy="988052"/>
          </a:xfrm>
          <a:prstGeom prst="leftBrace">
            <a:avLst/>
          </a:prstGeom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</xdr:grpSp>
    <xdr:clientData/>
  </xdr:twoCellAnchor>
  <xdr:twoCellAnchor>
    <xdr:from>
      <xdr:col>11</xdr:col>
      <xdr:colOff>47625</xdr:colOff>
      <xdr:row>5</xdr:row>
      <xdr:rowOff>109903</xdr:rowOff>
    </xdr:from>
    <xdr:to>
      <xdr:col>13</xdr:col>
      <xdr:colOff>219808</xdr:colOff>
      <xdr:row>7</xdr:row>
      <xdr:rowOff>51288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5FD41B42-4A30-479F-9FDD-84104B3F8A76}"/>
            </a:ext>
          </a:extLst>
        </xdr:cNvPr>
        <xdr:cNvGrpSpPr/>
      </xdr:nvGrpSpPr>
      <xdr:grpSpPr>
        <a:xfrm>
          <a:off x="12250831" y="1062403"/>
          <a:ext cx="1382418" cy="322385"/>
          <a:chOff x="6345704" y="1889813"/>
          <a:chExt cx="3525859" cy="860841"/>
        </a:xfrm>
      </xdr:grpSpPr>
      <xdr:sp macro="" textlink="">
        <xdr:nvSpPr>
          <xdr:cNvPr id="41" name="Right Brace 40">
            <a:extLst>
              <a:ext uri="{FF2B5EF4-FFF2-40B4-BE49-F238E27FC236}">
                <a16:creationId xmlns:a16="http://schemas.microsoft.com/office/drawing/2014/main" id="{9FA41028-6B15-4687-0E77-ADD291FE7F22}"/>
              </a:ext>
            </a:extLst>
          </xdr:cNvPr>
          <xdr:cNvSpPr/>
        </xdr:nvSpPr>
        <xdr:spPr>
          <a:xfrm>
            <a:off x="6345704" y="2105025"/>
            <a:ext cx="117231" cy="489113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cxnSp macro="">
        <xdr:nvCxnSpPr>
          <xdr:cNvPr id="42" name="Connector: Elbow 41">
            <a:extLst>
              <a:ext uri="{FF2B5EF4-FFF2-40B4-BE49-F238E27FC236}">
                <a16:creationId xmlns:a16="http://schemas.microsoft.com/office/drawing/2014/main" id="{D3234EAA-B84D-B0BE-5A98-31CCCF0C04FF}"/>
              </a:ext>
            </a:extLst>
          </xdr:cNvPr>
          <xdr:cNvCxnSpPr>
            <a:stCxn id="41" idx="1"/>
            <a:endCxn id="43" idx="1"/>
          </xdr:cNvCxnSpPr>
        </xdr:nvCxnSpPr>
        <xdr:spPr>
          <a:xfrm flipV="1">
            <a:off x="6462935" y="2320235"/>
            <a:ext cx="3238229" cy="29348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" name="Left Brace 42">
            <a:extLst>
              <a:ext uri="{FF2B5EF4-FFF2-40B4-BE49-F238E27FC236}">
                <a16:creationId xmlns:a16="http://schemas.microsoft.com/office/drawing/2014/main" id="{E11CC0A0-7B1D-EE5E-5993-465EEAE59A12}"/>
              </a:ext>
            </a:extLst>
          </xdr:cNvPr>
          <xdr:cNvSpPr/>
        </xdr:nvSpPr>
        <xdr:spPr>
          <a:xfrm>
            <a:off x="9701164" y="1889813"/>
            <a:ext cx="170399" cy="860841"/>
          </a:xfrm>
          <a:prstGeom prst="lef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</xdr:grpSp>
    <xdr:clientData/>
  </xdr:twoCellAnchor>
  <xdr:twoCellAnchor editAs="oneCell">
    <xdr:from>
      <xdr:col>13</xdr:col>
      <xdr:colOff>351553</xdr:colOff>
      <xdr:row>24</xdr:row>
      <xdr:rowOff>161925</xdr:rowOff>
    </xdr:from>
    <xdr:to>
      <xdr:col>20</xdr:col>
      <xdr:colOff>315479</xdr:colOff>
      <xdr:row>28</xdr:row>
      <xdr:rowOff>28744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8CD56819-02CD-84D8-8753-AB4E84C4C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72003" y="4733925"/>
          <a:ext cx="4231125" cy="628819"/>
        </a:xfrm>
        <a:prstGeom prst="rect">
          <a:avLst/>
        </a:prstGeom>
      </xdr:spPr>
    </xdr:pic>
    <xdr:clientData/>
  </xdr:twoCellAnchor>
  <xdr:twoCellAnchor editAs="oneCell">
    <xdr:from>
      <xdr:col>13</xdr:col>
      <xdr:colOff>409576</xdr:colOff>
      <xdr:row>30</xdr:row>
      <xdr:rowOff>117897</xdr:rowOff>
    </xdr:from>
    <xdr:to>
      <xdr:col>20</xdr:col>
      <xdr:colOff>413193</xdr:colOff>
      <xdr:row>42</xdr:row>
      <xdr:rowOff>9524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81694DEC-161D-C51B-29B4-12B0CA3D6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630026" y="5832897"/>
          <a:ext cx="4270816" cy="2177627"/>
        </a:xfrm>
        <a:prstGeom prst="rect">
          <a:avLst/>
        </a:prstGeom>
      </xdr:spPr>
    </xdr:pic>
    <xdr:clientData/>
  </xdr:twoCellAnchor>
  <xdr:twoCellAnchor editAs="oneCell">
    <xdr:from>
      <xdr:col>13</xdr:col>
      <xdr:colOff>361950</xdr:colOff>
      <xdr:row>28</xdr:row>
      <xdr:rowOff>99886</xdr:rowOff>
    </xdr:from>
    <xdr:to>
      <xdr:col>20</xdr:col>
      <xdr:colOff>315472</xdr:colOff>
      <xdr:row>30</xdr:row>
      <xdr:rowOff>32257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DDC5306A-FF9C-34D2-8CA4-C7160E53C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2400" y="5433886"/>
          <a:ext cx="4220721" cy="313371"/>
        </a:xfrm>
        <a:prstGeom prst="rect">
          <a:avLst/>
        </a:prstGeom>
      </xdr:spPr>
    </xdr:pic>
    <xdr:clientData/>
  </xdr:twoCellAnchor>
  <xdr:twoCellAnchor>
    <xdr:from>
      <xdr:col>10</xdr:col>
      <xdr:colOff>609599</xdr:colOff>
      <xdr:row>25</xdr:row>
      <xdr:rowOff>0</xdr:rowOff>
    </xdr:from>
    <xdr:to>
      <xdr:col>13</xdr:col>
      <xdr:colOff>390523</xdr:colOff>
      <xdr:row>29</xdr:row>
      <xdr:rowOff>161925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1697952-A419-4A08-BD1D-A277B59C978E}"/>
            </a:ext>
          </a:extLst>
        </xdr:cNvPr>
        <xdr:cNvGrpSpPr/>
      </xdr:nvGrpSpPr>
      <xdr:grpSpPr>
        <a:xfrm>
          <a:off x="12207687" y="4762500"/>
          <a:ext cx="1596277" cy="923925"/>
          <a:chOff x="6525975" y="2105025"/>
          <a:chExt cx="1907758" cy="1946413"/>
        </a:xfrm>
      </xdr:grpSpPr>
      <xdr:sp macro="" textlink="">
        <xdr:nvSpPr>
          <xdr:cNvPr id="11" name="Right Brace 10">
            <a:extLst>
              <a:ext uri="{FF2B5EF4-FFF2-40B4-BE49-F238E27FC236}">
                <a16:creationId xmlns:a16="http://schemas.microsoft.com/office/drawing/2014/main" id="{F0569B45-5EE4-E756-9553-5C3090FF5AC7}"/>
              </a:ext>
            </a:extLst>
          </xdr:cNvPr>
          <xdr:cNvSpPr/>
        </xdr:nvSpPr>
        <xdr:spPr>
          <a:xfrm>
            <a:off x="6525975" y="2105025"/>
            <a:ext cx="276225" cy="400050"/>
          </a:xfrm>
          <a:prstGeom prst="rightBrace">
            <a:avLst/>
          </a:prstGeom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cxnSp macro="">
        <xdr:nvCxnSpPr>
          <xdr:cNvPr id="12" name="Connector: Elbow 11">
            <a:extLst>
              <a:ext uri="{FF2B5EF4-FFF2-40B4-BE49-F238E27FC236}">
                <a16:creationId xmlns:a16="http://schemas.microsoft.com/office/drawing/2014/main" id="{9EB8A50A-0C83-EC3E-BD5A-F52F9EF3402C}"/>
              </a:ext>
            </a:extLst>
          </xdr:cNvPr>
          <xdr:cNvCxnSpPr>
            <a:stCxn id="11" idx="1"/>
            <a:endCxn id="14" idx="1"/>
          </xdr:cNvCxnSpPr>
        </xdr:nvCxnSpPr>
        <xdr:spPr>
          <a:xfrm rot="10800000" flipH="1" flipV="1">
            <a:off x="6802201" y="2305048"/>
            <a:ext cx="1465881" cy="1514476"/>
          </a:xfrm>
          <a:prstGeom prst="bentConnector3">
            <a:avLst>
              <a:gd name="adj1" fmla="val 37372"/>
            </a:avLst>
          </a:prstGeom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sp macro="" textlink="">
        <xdr:nvSpPr>
          <xdr:cNvPr id="14" name="Left Brace 13">
            <a:extLst>
              <a:ext uri="{FF2B5EF4-FFF2-40B4-BE49-F238E27FC236}">
                <a16:creationId xmlns:a16="http://schemas.microsoft.com/office/drawing/2014/main" id="{21E9DB63-4C7E-76DE-2BC8-4010FC60DF59}"/>
              </a:ext>
            </a:extLst>
          </xdr:cNvPr>
          <xdr:cNvSpPr/>
        </xdr:nvSpPr>
        <xdr:spPr>
          <a:xfrm>
            <a:off x="8268081" y="3587612"/>
            <a:ext cx="165652" cy="463826"/>
          </a:xfrm>
          <a:prstGeom prst="leftBrace">
            <a:avLst/>
          </a:prstGeom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</xdr:grpSp>
    <xdr:clientData/>
  </xdr:twoCellAnchor>
  <xdr:twoCellAnchor>
    <xdr:from>
      <xdr:col>11</xdr:col>
      <xdr:colOff>47626</xdr:colOff>
      <xdr:row>14</xdr:row>
      <xdr:rowOff>9523</xdr:rowOff>
    </xdr:from>
    <xdr:to>
      <xdr:col>13</xdr:col>
      <xdr:colOff>361952</xdr:colOff>
      <xdr:row>22</xdr:row>
      <xdr:rowOff>114299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6074FA5F-B6C3-4712-94DD-DB6BA081BD92}"/>
            </a:ext>
          </a:extLst>
        </xdr:cNvPr>
        <xdr:cNvGrpSpPr/>
      </xdr:nvGrpSpPr>
      <xdr:grpSpPr>
        <a:xfrm>
          <a:off x="12250832" y="2676523"/>
          <a:ext cx="1524561" cy="1628776"/>
          <a:chOff x="6652697" y="1529631"/>
          <a:chExt cx="1919993" cy="1612990"/>
        </a:xfrm>
      </xdr:grpSpPr>
      <xdr:sp macro="" textlink="">
        <xdr:nvSpPr>
          <xdr:cNvPr id="16" name="Right Brace 15">
            <a:extLst>
              <a:ext uri="{FF2B5EF4-FFF2-40B4-BE49-F238E27FC236}">
                <a16:creationId xmlns:a16="http://schemas.microsoft.com/office/drawing/2014/main" id="{28309B19-220B-04E0-84EC-E4757A8E7F19}"/>
              </a:ext>
            </a:extLst>
          </xdr:cNvPr>
          <xdr:cNvSpPr/>
        </xdr:nvSpPr>
        <xdr:spPr>
          <a:xfrm>
            <a:off x="6652697" y="1529631"/>
            <a:ext cx="252374" cy="179223"/>
          </a:xfrm>
          <a:prstGeom prst="rightBrace">
            <a:avLst/>
          </a:prstGeom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cxnSp macro="">
        <xdr:nvCxnSpPr>
          <xdr:cNvPr id="17" name="Connector: Elbow 16">
            <a:extLst>
              <a:ext uri="{FF2B5EF4-FFF2-40B4-BE49-F238E27FC236}">
                <a16:creationId xmlns:a16="http://schemas.microsoft.com/office/drawing/2014/main" id="{3216212B-1E67-EDC3-53D7-7D7BF5BB6959}"/>
              </a:ext>
            </a:extLst>
          </xdr:cNvPr>
          <xdr:cNvCxnSpPr>
            <a:stCxn id="16" idx="1"/>
            <a:endCxn id="18" idx="1"/>
          </xdr:cNvCxnSpPr>
        </xdr:nvCxnSpPr>
        <xdr:spPr>
          <a:xfrm rot="10800000" flipH="1" flipV="1">
            <a:off x="6905069" y="1619242"/>
            <a:ext cx="1398787" cy="1429879"/>
          </a:xfrm>
          <a:prstGeom prst="bentConnector3">
            <a:avLst>
              <a:gd name="adj1" fmla="val 59539"/>
            </a:avLst>
          </a:prstGeom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sp macro="" textlink="">
        <xdr:nvSpPr>
          <xdr:cNvPr id="18" name="Left Brace 17">
            <a:extLst>
              <a:ext uri="{FF2B5EF4-FFF2-40B4-BE49-F238E27FC236}">
                <a16:creationId xmlns:a16="http://schemas.microsoft.com/office/drawing/2014/main" id="{E76052D7-7ADE-0F50-E17D-96D26DEBF4A2}"/>
              </a:ext>
            </a:extLst>
          </xdr:cNvPr>
          <xdr:cNvSpPr/>
        </xdr:nvSpPr>
        <xdr:spPr>
          <a:xfrm>
            <a:off x="8303857" y="2955622"/>
            <a:ext cx="268833" cy="186999"/>
          </a:xfrm>
          <a:prstGeom prst="leftBrace">
            <a:avLst/>
          </a:prstGeom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</xdr:grpSp>
    <xdr:clientData/>
  </xdr:twoCellAnchor>
  <xdr:twoCellAnchor>
    <xdr:from>
      <xdr:col>11</xdr:col>
      <xdr:colOff>28576</xdr:colOff>
      <xdr:row>16</xdr:row>
      <xdr:rowOff>180975</xdr:rowOff>
    </xdr:from>
    <xdr:to>
      <xdr:col>13</xdr:col>
      <xdr:colOff>409575</xdr:colOff>
      <xdr:row>28</xdr:row>
      <xdr:rowOff>19050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63B29EE4-0349-4F57-BFC5-3F0CABB58C3B}"/>
            </a:ext>
          </a:extLst>
        </xdr:cNvPr>
        <xdr:cNvGrpSpPr/>
      </xdr:nvGrpSpPr>
      <xdr:grpSpPr>
        <a:xfrm>
          <a:off x="12231782" y="3228975"/>
          <a:ext cx="1591234" cy="2124075"/>
          <a:chOff x="6604996" y="2105025"/>
          <a:chExt cx="2003469" cy="2103488"/>
        </a:xfrm>
      </xdr:grpSpPr>
      <xdr:sp macro="" textlink="">
        <xdr:nvSpPr>
          <xdr:cNvPr id="27" name="Right Brace 26">
            <a:extLst>
              <a:ext uri="{FF2B5EF4-FFF2-40B4-BE49-F238E27FC236}">
                <a16:creationId xmlns:a16="http://schemas.microsoft.com/office/drawing/2014/main" id="{4908E460-F38D-8B73-D73C-0D504DF3A35F}"/>
              </a:ext>
            </a:extLst>
          </xdr:cNvPr>
          <xdr:cNvSpPr/>
        </xdr:nvSpPr>
        <xdr:spPr>
          <a:xfrm>
            <a:off x="6604996" y="2105025"/>
            <a:ext cx="262359" cy="745182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cxnSp macro="">
        <xdr:nvCxnSpPr>
          <xdr:cNvPr id="28" name="Connector: Elbow 27">
            <a:extLst>
              <a:ext uri="{FF2B5EF4-FFF2-40B4-BE49-F238E27FC236}">
                <a16:creationId xmlns:a16="http://schemas.microsoft.com/office/drawing/2014/main" id="{46343EDB-FCB2-A6BC-AC0E-25A1AF3156D3}"/>
              </a:ext>
            </a:extLst>
          </xdr:cNvPr>
          <xdr:cNvCxnSpPr>
            <a:stCxn id="27" idx="1"/>
            <a:endCxn id="29" idx="1"/>
          </xdr:cNvCxnSpPr>
        </xdr:nvCxnSpPr>
        <xdr:spPr>
          <a:xfrm rot="10800000" flipH="1" flipV="1">
            <a:off x="6867354" y="2477615"/>
            <a:ext cx="1400725" cy="1273412"/>
          </a:xfrm>
          <a:prstGeom prst="bentConnector3">
            <a:avLst>
              <a:gd name="adj1" fmla="val 53637"/>
            </a:avLst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Left Brace 28">
            <a:extLst>
              <a:ext uri="{FF2B5EF4-FFF2-40B4-BE49-F238E27FC236}">
                <a16:creationId xmlns:a16="http://schemas.microsoft.com/office/drawing/2014/main" id="{9411AAA2-76AF-B9DF-7B93-2D252CF9685F}"/>
              </a:ext>
            </a:extLst>
          </xdr:cNvPr>
          <xdr:cNvSpPr/>
        </xdr:nvSpPr>
        <xdr:spPr>
          <a:xfrm>
            <a:off x="8268080" y="3293544"/>
            <a:ext cx="340385" cy="914969"/>
          </a:xfrm>
          <a:prstGeom prst="lef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</xdr:grpSp>
    <xdr:clientData/>
  </xdr:twoCellAnchor>
  <xdr:twoCellAnchor editAs="oneCell">
    <xdr:from>
      <xdr:col>13</xdr:col>
      <xdr:colOff>406399</xdr:colOff>
      <xdr:row>22</xdr:row>
      <xdr:rowOff>177170</xdr:rowOff>
    </xdr:from>
    <xdr:to>
      <xdr:col>20</xdr:col>
      <xdr:colOff>247652</xdr:colOff>
      <xdr:row>24</xdr:row>
      <xdr:rowOff>47708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4156693-3431-AABE-DEAD-37427A819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31699" y="4368170"/>
          <a:ext cx="4108452" cy="251538"/>
        </a:xfrm>
        <a:prstGeom prst="rect">
          <a:avLst/>
        </a:prstGeom>
      </xdr:spPr>
    </xdr:pic>
    <xdr:clientData/>
  </xdr:twoCellAnchor>
  <xdr:twoCellAnchor>
    <xdr:from>
      <xdr:col>13</xdr:col>
      <xdr:colOff>371475</xdr:colOff>
      <xdr:row>21</xdr:row>
      <xdr:rowOff>38371</xdr:rowOff>
    </xdr:from>
    <xdr:to>
      <xdr:col>26</xdr:col>
      <xdr:colOff>47989</xdr:colOff>
      <xdr:row>23</xdr:row>
      <xdr:rowOff>4847</xdr:rowOff>
    </xdr:to>
    <xdr:grpSp>
      <xdr:nvGrpSpPr>
        <xdr:cNvPr id="51" name="Group 50">
          <a:extLst>
            <a:ext uri="{FF2B5EF4-FFF2-40B4-BE49-F238E27FC236}">
              <a16:creationId xmlns:a16="http://schemas.microsoft.com/office/drawing/2014/main" id="{EA53D314-D43B-094C-8980-6D3F24E0D53B}"/>
            </a:ext>
          </a:extLst>
        </xdr:cNvPr>
        <xdr:cNvGrpSpPr/>
      </xdr:nvGrpSpPr>
      <xdr:grpSpPr>
        <a:xfrm>
          <a:off x="13784916" y="4038871"/>
          <a:ext cx="7543044" cy="347476"/>
          <a:chOff x="12277725" y="4038871"/>
          <a:chExt cx="7570358" cy="347476"/>
        </a:xfrm>
      </xdr:grpSpPr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310456B0-4185-8936-4662-41088B9B56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2277725" y="4059818"/>
            <a:ext cx="4145756" cy="255091"/>
          </a:xfrm>
          <a:prstGeom prst="rect">
            <a:avLst/>
          </a:prstGeom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AC05FA55-A880-1216-F413-BA8938EBF7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6478250" y="4038871"/>
            <a:ext cx="1440656" cy="155747"/>
          </a:xfrm>
          <a:prstGeom prst="rect">
            <a:avLst/>
          </a:prstGeom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A6CD0D96-E126-2A1B-D46B-ECEF1229EB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16422290" y="4201112"/>
            <a:ext cx="3425793" cy="185235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552451</xdr:colOff>
      <xdr:row>41</xdr:row>
      <xdr:rowOff>87570</xdr:rowOff>
    </xdr:from>
    <xdr:to>
      <xdr:col>20</xdr:col>
      <xdr:colOff>381002</xdr:colOff>
      <xdr:row>42</xdr:row>
      <xdr:rowOff>95315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9BFF0F2-FEB7-3B74-D7AB-9D4257E0E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811251" y="8088570"/>
          <a:ext cx="4095750" cy="198245"/>
        </a:xfrm>
        <a:prstGeom prst="rect">
          <a:avLst/>
        </a:prstGeom>
      </xdr:spPr>
    </xdr:pic>
    <xdr:clientData/>
  </xdr:twoCellAnchor>
  <xdr:twoCellAnchor editAs="oneCell">
    <xdr:from>
      <xdr:col>13</xdr:col>
      <xdr:colOff>552449</xdr:colOff>
      <xdr:row>42</xdr:row>
      <xdr:rowOff>95250</xdr:rowOff>
    </xdr:from>
    <xdr:to>
      <xdr:col>20</xdr:col>
      <xdr:colOff>312545</xdr:colOff>
      <xdr:row>44</xdr:row>
      <xdr:rowOff>28575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ED58A9E4-75B1-322D-14C8-406068959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811249" y="8286750"/>
          <a:ext cx="4027295" cy="314325"/>
        </a:xfrm>
        <a:prstGeom prst="rect">
          <a:avLst/>
        </a:prstGeom>
      </xdr:spPr>
    </xdr:pic>
    <xdr:clientData/>
  </xdr:twoCellAnchor>
  <xdr:twoCellAnchor editAs="oneCell">
    <xdr:from>
      <xdr:col>13</xdr:col>
      <xdr:colOff>571499</xdr:colOff>
      <xdr:row>44</xdr:row>
      <xdr:rowOff>94721</xdr:rowOff>
    </xdr:from>
    <xdr:to>
      <xdr:col>20</xdr:col>
      <xdr:colOff>342901</xdr:colOff>
      <xdr:row>45</xdr:row>
      <xdr:rowOff>104774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19C86647-110D-6C2F-7A45-7C623E788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830299" y="8667221"/>
          <a:ext cx="4038601" cy="200553"/>
        </a:xfrm>
        <a:prstGeom prst="rect">
          <a:avLst/>
        </a:prstGeom>
      </xdr:spPr>
    </xdr:pic>
    <xdr:clientData/>
  </xdr:twoCellAnchor>
  <xdr:twoCellAnchor editAs="oneCell">
    <xdr:from>
      <xdr:col>14</xdr:col>
      <xdr:colOff>9524</xdr:colOff>
      <xdr:row>45</xdr:row>
      <xdr:rowOff>147381</xdr:rowOff>
    </xdr:from>
    <xdr:to>
      <xdr:col>20</xdr:col>
      <xdr:colOff>344260</xdr:colOff>
      <xdr:row>46</xdr:row>
      <xdr:rowOff>171523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F5EE8757-78C2-1DFE-4229-0B9F65237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877924" y="8910381"/>
          <a:ext cx="3992335" cy="214642"/>
        </a:xfrm>
        <a:prstGeom prst="rect">
          <a:avLst/>
        </a:prstGeom>
      </xdr:spPr>
    </xdr:pic>
    <xdr:clientData/>
  </xdr:twoCellAnchor>
  <xdr:twoCellAnchor editAs="oneCell">
    <xdr:from>
      <xdr:col>6</xdr:col>
      <xdr:colOff>308527</xdr:colOff>
      <xdr:row>43</xdr:row>
      <xdr:rowOff>137491</xdr:rowOff>
    </xdr:from>
    <xdr:to>
      <xdr:col>9</xdr:col>
      <xdr:colOff>2842177</xdr:colOff>
      <xdr:row>63</xdr:row>
      <xdr:rowOff>112848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67833092-DFD2-2B15-8BCA-FF0ADAE78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042452" y="8328991"/>
          <a:ext cx="6515100" cy="3785357"/>
        </a:xfrm>
        <a:prstGeom prst="rect">
          <a:avLst/>
        </a:prstGeom>
      </xdr:spPr>
    </xdr:pic>
    <xdr:clientData/>
  </xdr:twoCellAnchor>
  <xdr:twoCellAnchor>
    <xdr:from>
      <xdr:col>11</xdr:col>
      <xdr:colOff>76198</xdr:colOff>
      <xdr:row>29</xdr:row>
      <xdr:rowOff>19051</xdr:rowOff>
    </xdr:from>
    <xdr:to>
      <xdr:col>13</xdr:col>
      <xdr:colOff>447675</xdr:colOff>
      <xdr:row>42</xdr:row>
      <xdr:rowOff>95251</xdr:rowOff>
    </xdr:to>
    <xdr:grpSp>
      <xdr:nvGrpSpPr>
        <xdr:cNvPr id="70" name="Group 69">
          <a:extLst>
            <a:ext uri="{FF2B5EF4-FFF2-40B4-BE49-F238E27FC236}">
              <a16:creationId xmlns:a16="http://schemas.microsoft.com/office/drawing/2014/main" id="{FC023A31-7C03-465D-AA44-17E0E2B897CD}"/>
            </a:ext>
          </a:extLst>
        </xdr:cNvPr>
        <xdr:cNvGrpSpPr/>
      </xdr:nvGrpSpPr>
      <xdr:grpSpPr>
        <a:xfrm>
          <a:off x="12279404" y="5543551"/>
          <a:ext cx="1581712" cy="2552700"/>
          <a:chOff x="6604996" y="2105025"/>
          <a:chExt cx="1991548" cy="2527957"/>
        </a:xfrm>
      </xdr:grpSpPr>
      <xdr:sp macro="" textlink="">
        <xdr:nvSpPr>
          <xdr:cNvPr id="71" name="Right Brace 70">
            <a:extLst>
              <a:ext uri="{FF2B5EF4-FFF2-40B4-BE49-F238E27FC236}">
                <a16:creationId xmlns:a16="http://schemas.microsoft.com/office/drawing/2014/main" id="{2C493AF8-B7C0-CF0D-7393-89E4F66C9AB7}"/>
              </a:ext>
            </a:extLst>
          </xdr:cNvPr>
          <xdr:cNvSpPr/>
        </xdr:nvSpPr>
        <xdr:spPr>
          <a:xfrm>
            <a:off x="6604996" y="2105025"/>
            <a:ext cx="357765" cy="1330006"/>
          </a:xfrm>
          <a:prstGeom prst="rightBrace">
            <a:avLst/>
          </a:pr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cxnSp macro="">
        <xdr:nvCxnSpPr>
          <xdr:cNvPr id="72" name="Connector: Elbow 71">
            <a:extLst>
              <a:ext uri="{FF2B5EF4-FFF2-40B4-BE49-F238E27FC236}">
                <a16:creationId xmlns:a16="http://schemas.microsoft.com/office/drawing/2014/main" id="{D001CE98-A675-92FA-8608-883484EA2204}"/>
              </a:ext>
            </a:extLst>
          </xdr:cNvPr>
          <xdr:cNvCxnSpPr>
            <a:stCxn id="71" idx="1"/>
            <a:endCxn id="73" idx="1"/>
          </xdr:cNvCxnSpPr>
        </xdr:nvCxnSpPr>
        <xdr:spPr>
          <a:xfrm rot="10800000" flipH="1" flipV="1">
            <a:off x="6962760" y="2770028"/>
            <a:ext cx="1376872" cy="878068"/>
          </a:xfrm>
          <a:prstGeom prst="bentConnector3">
            <a:avLst>
              <a:gd name="adj1" fmla="val 40708"/>
            </a:avLst>
          </a:pr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73" name="Left Brace 72">
            <a:extLst>
              <a:ext uri="{FF2B5EF4-FFF2-40B4-BE49-F238E27FC236}">
                <a16:creationId xmlns:a16="http://schemas.microsoft.com/office/drawing/2014/main" id="{398EAB58-0AA5-28FD-0BA9-3E7809D5C8D3}"/>
              </a:ext>
            </a:extLst>
          </xdr:cNvPr>
          <xdr:cNvSpPr/>
        </xdr:nvSpPr>
        <xdr:spPr>
          <a:xfrm>
            <a:off x="8339633" y="2663209"/>
            <a:ext cx="256911" cy="1969773"/>
          </a:xfrm>
          <a:prstGeom prst="leftBrace">
            <a:avLst/>
          </a:pr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</xdr:grpSp>
    <xdr:clientData/>
  </xdr:twoCellAnchor>
  <xdr:twoCellAnchor>
    <xdr:from>
      <xdr:col>11</xdr:col>
      <xdr:colOff>0</xdr:colOff>
      <xdr:row>37</xdr:row>
      <xdr:rowOff>171450</xdr:rowOff>
    </xdr:from>
    <xdr:to>
      <xdr:col>14</xdr:col>
      <xdr:colOff>38100</xdr:colOff>
      <xdr:row>46</xdr:row>
      <xdr:rowOff>161925</xdr:rowOff>
    </xdr:to>
    <xdr:grpSp>
      <xdr:nvGrpSpPr>
        <xdr:cNvPr id="80" name="Group 79">
          <a:extLst>
            <a:ext uri="{FF2B5EF4-FFF2-40B4-BE49-F238E27FC236}">
              <a16:creationId xmlns:a16="http://schemas.microsoft.com/office/drawing/2014/main" id="{D58DB5E5-865B-403E-9CD3-079F2DF8D9A3}"/>
            </a:ext>
          </a:extLst>
        </xdr:cNvPr>
        <xdr:cNvGrpSpPr/>
      </xdr:nvGrpSpPr>
      <xdr:grpSpPr>
        <a:xfrm>
          <a:off x="12203206" y="7219950"/>
          <a:ext cx="1853453" cy="1704975"/>
          <a:chOff x="6652696" y="1529631"/>
          <a:chExt cx="2337381" cy="1688450"/>
        </a:xfrm>
      </xdr:grpSpPr>
      <xdr:sp macro="" textlink="">
        <xdr:nvSpPr>
          <xdr:cNvPr id="81" name="Right Brace 80">
            <a:extLst>
              <a:ext uri="{FF2B5EF4-FFF2-40B4-BE49-F238E27FC236}">
                <a16:creationId xmlns:a16="http://schemas.microsoft.com/office/drawing/2014/main" id="{1D06C002-19BA-9291-AFF2-16CAC35AF968}"/>
              </a:ext>
            </a:extLst>
          </xdr:cNvPr>
          <xdr:cNvSpPr/>
        </xdr:nvSpPr>
        <xdr:spPr>
          <a:xfrm>
            <a:off x="6652696" y="1529631"/>
            <a:ext cx="321986" cy="556528"/>
          </a:xfrm>
          <a:prstGeom prst="rightBrace">
            <a:avLst/>
          </a:prstGeom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cxnSp macro="">
        <xdr:nvCxnSpPr>
          <xdr:cNvPr id="82" name="Connector: Elbow 81">
            <a:extLst>
              <a:ext uri="{FF2B5EF4-FFF2-40B4-BE49-F238E27FC236}">
                <a16:creationId xmlns:a16="http://schemas.microsoft.com/office/drawing/2014/main" id="{B121F4F2-9AF4-7B6F-EFDB-2A6B0CDE44F0}"/>
              </a:ext>
            </a:extLst>
          </xdr:cNvPr>
          <xdr:cNvCxnSpPr>
            <a:stCxn id="81" idx="1"/>
            <a:endCxn id="83" idx="1"/>
          </xdr:cNvCxnSpPr>
        </xdr:nvCxnSpPr>
        <xdr:spPr>
          <a:xfrm rot="10800000" flipH="1" flipV="1">
            <a:off x="6974681" y="1807896"/>
            <a:ext cx="1657632" cy="1037595"/>
          </a:xfrm>
          <a:prstGeom prst="bentConnector3">
            <a:avLst>
              <a:gd name="adj1" fmla="val 48201"/>
            </a:avLst>
          </a:prstGeom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sp macro="" textlink="">
        <xdr:nvSpPr>
          <xdr:cNvPr id="83" name="Left Brace 82">
            <a:extLst>
              <a:ext uri="{FF2B5EF4-FFF2-40B4-BE49-F238E27FC236}">
                <a16:creationId xmlns:a16="http://schemas.microsoft.com/office/drawing/2014/main" id="{011F14D4-385C-0696-C56E-F6EB2B989DBA}"/>
              </a:ext>
            </a:extLst>
          </xdr:cNvPr>
          <xdr:cNvSpPr/>
        </xdr:nvSpPr>
        <xdr:spPr>
          <a:xfrm>
            <a:off x="8632315" y="2472900"/>
            <a:ext cx="357762" cy="745181"/>
          </a:xfrm>
          <a:prstGeom prst="leftBrace">
            <a:avLst/>
          </a:prstGeom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</xdr:grpSp>
    <xdr:clientData/>
  </xdr:twoCellAnchor>
  <xdr:twoCellAnchor>
    <xdr:from>
      <xdr:col>11</xdr:col>
      <xdr:colOff>0</xdr:colOff>
      <xdr:row>1</xdr:row>
      <xdr:rowOff>114300</xdr:rowOff>
    </xdr:from>
    <xdr:to>
      <xdr:col>13</xdr:col>
      <xdr:colOff>286483</xdr:colOff>
      <xdr:row>4</xdr:row>
      <xdr:rowOff>180975</xdr:rowOff>
    </xdr:to>
    <xdr:grpSp>
      <xdr:nvGrpSpPr>
        <xdr:cNvPr id="90" name="Group 89">
          <a:extLst>
            <a:ext uri="{FF2B5EF4-FFF2-40B4-BE49-F238E27FC236}">
              <a16:creationId xmlns:a16="http://schemas.microsoft.com/office/drawing/2014/main" id="{1DEEFA0B-EA30-4902-B228-BAE0FC7C5060}"/>
            </a:ext>
          </a:extLst>
        </xdr:cNvPr>
        <xdr:cNvGrpSpPr/>
      </xdr:nvGrpSpPr>
      <xdr:grpSpPr>
        <a:xfrm>
          <a:off x="12203206" y="304800"/>
          <a:ext cx="1496718" cy="638175"/>
          <a:chOff x="6152608" y="1101362"/>
          <a:chExt cx="3815503" cy="1704072"/>
        </a:xfrm>
      </xdr:grpSpPr>
      <xdr:sp macro="" textlink="">
        <xdr:nvSpPr>
          <xdr:cNvPr id="91" name="Right Brace 90">
            <a:extLst>
              <a:ext uri="{FF2B5EF4-FFF2-40B4-BE49-F238E27FC236}">
                <a16:creationId xmlns:a16="http://schemas.microsoft.com/office/drawing/2014/main" id="{4435547C-DB7D-D019-8383-90906ADF4C39}"/>
              </a:ext>
            </a:extLst>
          </xdr:cNvPr>
          <xdr:cNvSpPr/>
        </xdr:nvSpPr>
        <xdr:spPr>
          <a:xfrm>
            <a:off x="6152608" y="1304833"/>
            <a:ext cx="434466" cy="1500601"/>
          </a:xfrm>
          <a:prstGeom prst="rightBrace">
            <a:avLst/>
          </a:prstGeom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cxnSp macro="">
        <xdr:nvCxnSpPr>
          <xdr:cNvPr id="92" name="Connector: Elbow 41">
            <a:extLst>
              <a:ext uri="{FF2B5EF4-FFF2-40B4-BE49-F238E27FC236}">
                <a16:creationId xmlns:a16="http://schemas.microsoft.com/office/drawing/2014/main" id="{0331F1E4-4B79-663F-4424-27019B64BD89}"/>
              </a:ext>
            </a:extLst>
          </xdr:cNvPr>
          <xdr:cNvCxnSpPr>
            <a:stCxn id="91" idx="1"/>
            <a:endCxn id="93" idx="1"/>
          </xdr:cNvCxnSpPr>
        </xdr:nvCxnSpPr>
        <xdr:spPr>
          <a:xfrm flipV="1">
            <a:off x="6587074" y="1531784"/>
            <a:ext cx="3210639" cy="523351"/>
          </a:xfrm>
          <a:prstGeom prst="straightConnector1">
            <a:avLst/>
          </a:prstGeom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sp macro="" textlink="">
        <xdr:nvSpPr>
          <xdr:cNvPr id="93" name="Left Brace 92">
            <a:extLst>
              <a:ext uri="{FF2B5EF4-FFF2-40B4-BE49-F238E27FC236}">
                <a16:creationId xmlns:a16="http://schemas.microsoft.com/office/drawing/2014/main" id="{85957883-749D-D9E6-146D-DF54FBB4A11D}"/>
              </a:ext>
            </a:extLst>
          </xdr:cNvPr>
          <xdr:cNvSpPr/>
        </xdr:nvSpPr>
        <xdr:spPr>
          <a:xfrm>
            <a:off x="9797713" y="1101362"/>
            <a:ext cx="170398" cy="860841"/>
          </a:xfrm>
          <a:prstGeom prst="leftBrace">
            <a:avLst/>
          </a:prstGeom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zoomScale="85" zoomScaleNormal="85" workbookViewId="0">
      <selection activeCell="D8" sqref="D8"/>
    </sheetView>
  </sheetViews>
  <sheetFormatPr defaultRowHeight="15"/>
  <cols>
    <col min="1" max="1" width="11.85546875" bestFit="1" customWidth="1"/>
    <col min="4" max="4" width="13.7109375" bestFit="1" customWidth="1"/>
    <col min="6" max="6" width="18" bestFit="1" customWidth="1"/>
    <col min="7" max="7" width="22" bestFit="1" customWidth="1"/>
    <col min="8" max="8" width="32.140625" bestFit="1" customWidth="1"/>
    <col min="9" max="9" width="5.5703125" bestFit="1" customWidth="1"/>
    <col min="10" max="10" width="43.42578125" bestFit="1" customWidth="1"/>
  </cols>
  <sheetData>
    <row r="1" spans="1:11">
      <c r="A1" s="48" t="s">
        <v>0</v>
      </c>
      <c r="B1" s="48"/>
      <c r="C1" s="48"/>
      <c r="D1" s="49"/>
      <c r="F1" s="47" t="s">
        <v>14</v>
      </c>
      <c r="G1" s="48"/>
      <c r="H1" s="48"/>
      <c r="I1" s="48"/>
      <c r="J1" s="48"/>
      <c r="K1" s="49"/>
    </row>
    <row r="2" spans="1:11">
      <c r="A2" s="10" t="s">
        <v>5</v>
      </c>
      <c r="B2" s="10" t="s">
        <v>6</v>
      </c>
      <c r="C2" s="10" t="s">
        <v>7</v>
      </c>
      <c r="D2" s="11" t="s">
        <v>8</v>
      </c>
      <c r="F2" s="9" t="s">
        <v>72</v>
      </c>
      <c r="G2" s="10" t="s">
        <v>5</v>
      </c>
      <c r="H2" s="10" t="s">
        <v>6</v>
      </c>
      <c r="I2" s="10" t="s">
        <v>7</v>
      </c>
      <c r="J2" s="10" t="s">
        <v>28</v>
      </c>
      <c r="K2" s="11" t="s">
        <v>7</v>
      </c>
    </row>
    <row r="3" spans="1:11">
      <c r="A3" t="s">
        <v>2</v>
      </c>
      <c r="B3" s="2">
        <v>9.0000000000000002E-6</v>
      </c>
      <c r="C3" t="s">
        <v>21</v>
      </c>
      <c r="D3" s="6"/>
      <c r="F3" s="53"/>
      <c r="G3" s="21" t="s">
        <v>19</v>
      </c>
      <c r="H3" s="21">
        <f>B5/B6+B4</f>
        <v>52.5</v>
      </c>
      <c r="I3" s="21" t="s">
        <v>3</v>
      </c>
      <c r="J3" s="21"/>
      <c r="K3" s="23"/>
    </row>
    <row r="4" spans="1:11">
      <c r="A4" t="s">
        <v>4</v>
      </c>
      <c r="B4">
        <v>15</v>
      </c>
      <c r="C4" t="s">
        <v>3</v>
      </c>
      <c r="D4" s="6"/>
      <c r="F4" s="54" t="s">
        <v>56</v>
      </c>
      <c r="G4" s="21" t="s">
        <v>33</v>
      </c>
      <c r="H4" s="21">
        <f>H3*1.25</f>
        <v>65.625</v>
      </c>
      <c r="I4" s="21" t="s">
        <v>3</v>
      </c>
      <c r="J4" s="21" t="s">
        <v>29</v>
      </c>
      <c r="K4" s="23"/>
    </row>
    <row r="5" spans="1:11">
      <c r="A5" t="s">
        <v>17</v>
      </c>
      <c r="B5">
        <v>37.5</v>
      </c>
      <c r="C5" t="s">
        <v>3</v>
      </c>
      <c r="D5" s="6" t="s">
        <v>9</v>
      </c>
      <c r="F5" s="53"/>
      <c r="G5" s="21" t="s">
        <v>1</v>
      </c>
      <c r="H5" s="21">
        <v>0.41</v>
      </c>
      <c r="I5" s="21" t="s">
        <v>3</v>
      </c>
      <c r="J5" s="21"/>
      <c r="K5" s="23"/>
    </row>
    <row r="6" spans="1:11">
      <c r="A6" t="s">
        <v>11</v>
      </c>
      <c r="B6">
        <v>1</v>
      </c>
      <c r="C6" s="1" t="s">
        <v>12</v>
      </c>
      <c r="D6" s="6" t="s">
        <v>13</v>
      </c>
      <c r="F6" s="53"/>
      <c r="K6" s="6"/>
    </row>
    <row r="7" spans="1:11">
      <c r="A7" t="s">
        <v>89</v>
      </c>
      <c r="B7" s="2">
        <v>3.5999999999999997E-2</v>
      </c>
      <c r="C7" t="s">
        <v>16</v>
      </c>
      <c r="D7" s="6"/>
      <c r="F7" s="53"/>
      <c r="G7" s="12" t="s">
        <v>10</v>
      </c>
      <c r="H7" s="12">
        <f>(V_OUT+V_D)*N_PS/(V_IN+(V_OUT+V_D)*N_PS)</f>
        <v>0.29124929124929128</v>
      </c>
      <c r="I7" s="12"/>
      <c r="J7" s="12"/>
      <c r="K7" s="13"/>
    </row>
    <row r="8" spans="1:11">
      <c r="A8" t="s">
        <v>90</v>
      </c>
      <c r="B8">
        <v>18</v>
      </c>
      <c r="C8" s="1" t="s">
        <v>12</v>
      </c>
      <c r="D8" s="6"/>
      <c r="F8" s="53"/>
      <c r="G8" s="14" t="s">
        <v>15</v>
      </c>
      <c r="H8" s="14">
        <f>2*(V_OUT+V_D)*I_OUT/(V_IN*D)</f>
        <v>1.8285695999999994</v>
      </c>
      <c r="I8" s="14" t="s">
        <v>16</v>
      </c>
      <c r="J8" s="14"/>
      <c r="K8" s="15"/>
    </row>
    <row r="9" spans="1:11">
      <c r="A9" t="s">
        <v>18</v>
      </c>
      <c r="B9" s="55">
        <f>B7*B8</f>
        <v>0.64799999999999991</v>
      </c>
      <c r="C9" t="s">
        <v>16</v>
      </c>
      <c r="D9" s="45"/>
      <c r="F9" s="53"/>
      <c r="G9" s="14" t="s">
        <v>20</v>
      </c>
      <c r="H9" s="16">
        <f>(I_Ppk*L_MAG*(1/V_IN+1/(N_PS*(V_OUT+V_D))))^-1</f>
        <v>663654.64762113173</v>
      </c>
      <c r="I9" s="14" t="s">
        <v>22</v>
      </c>
      <c r="J9" s="40">
        <v>350</v>
      </c>
      <c r="K9" s="15" t="s">
        <v>71</v>
      </c>
    </row>
    <row r="10" spans="1:11">
      <c r="A10" t="s">
        <v>36</v>
      </c>
      <c r="B10">
        <f>16-(2*0.95)</f>
        <v>14.1</v>
      </c>
      <c r="C10" t="s">
        <v>3</v>
      </c>
      <c r="D10" s="6"/>
      <c r="F10" s="53"/>
      <c r="G10" s="14" t="s">
        <v>23</v>
      </c>
      <c r="H10" s="17">
        <f>L_MAG*I_Ppk^2/2*f_SW</f>
        <v>9.985679999999995</v>
      </c>
      <c r="I10" s="14" t="s">
        <v>24</v>
      </c>
      <c r="J10" s="14"/>
      <c r="K10" s="15"/>
    </row>
    <row r="11" spans="1:11">
      <c r="A11" t="s">
        <v>37</v>
      </c>
      <c r="B11">
        <v>11</v>
      </c>
      <c r="C11" t="s">
        <v>3</v>
      </c>
      <c r="D11" s="6">
        <f>V_ON-1.9</f>
        <v>12.2</v>
      </c>
      <c r="F11" s="53"/>
      <c r="K11" s="6"/>
    </row>
    <row r="12" spans="1:11">
      <c r="A12" t="s">
        <v>40</v>
      </c>
      <c r="B12">
        <v>1.45</v>
      </c>
      <c r="D12" s="6"/>
      <c r="F12" s="54" t="s">
        <v>54</v>
      </c>
      <c r="G12" s="18" t="s">
        <v>25</v>
      </c>
      <c r="H12" s="18">
        <f>1.5*N_PS*(V_OUT+V_D)</f>
        <v>23.115000000000002</v>
      </c>
      <c r="I12" s="18" t="s">
        <v>3</v>
      </c>
      <c r="J12" s="19" t="s">
        <v>27</v>
      </c>
      <c r="K12" s="20"/>
    </row>
    <row r="13" spans="1:11">
      <c r="A13" t="s">
        <v>41</v>
      </c>
      <c r="B13">
        <v>1.5</v>
      </c>
      <c r="D13" s="6"/>
      <c r="F13" s="54" t="s">
        <v>55</v>
      </c>
      <c r="G13" s="18" t="s">
        <v>26</v>
      </c>
      <c r="H13" s="18">
        <f>V_IN</f>
        <v>37.5</v>
      </c>
      <c r="I13" s="18" t="s">
        <v>3</v>
      </c>
      <c r="J13" s="19" t="s">
        <v>30</v>
      </c>
      <c r="K13" s="20"/>
    </row>
    <row r="14" spans="1:11">
      <c r="A14" t="s">
        <v>44</v>
      </c>
      <c r="B14" s="2">
        <v>5.0000000000000004E-6</v>
      </c>
      <c r="C14" t="s">
        <v>16</v>
      </c>
      <c r="D14" s="6"/>
      <c r="F14" s="53"/>
      <c r="K14" s="6"/>
    </row>
    <row r="15" spans="1:11">
      <c r="A15" t="s">
        <v>85</v>
      </c>
      <c r="B15" s="2">
        <v>0.1</v>
      </c>
      <c r="C15" t="s">
        <v>3</v>
      </c>
      <c r="D15" s="6"/>
      <c r="F15" s="54" t="s">
        <v>31</v>
      </c>
      <c r="G15" s="21" t="s">
        <v>31</v>
      </c>
      <c r="H15" s="21">
        <f>(V_OUT+V_D)*N_PS*10000/1</f>
        <v>154100</v>
      </c>
      <c r="I15" s="24" t="s">
        <v>32</v>
      </c>
      <c r="J15" s="25">
        <v>154000</v>
      </c>
      <c r="K15" s="23" t="s">
        <v>32</v>
      </c>
    </row>
    <row r="16" spans="1:11">
      <c r="D16" s="6"/>
      <c r="F16" s="53"/>
      <c r="J16" s="29"/>
      <c r="K16" s="6"/>
    </row>
    <row r="17" spans="1:11">
      <c r="D17" s="6"/>
      <c r="F17" s="53"/>
      <c r="G17" s="43" t="s">
        <v>35</v>
      </c>
      <c r="H17" s="12">
        <f>(0.42-0.26)/(-40-85)*1000</f>
        <v>-1.2799999999999998</v>
      </c>
      <c r="I17" s="12" t="s">
        <v>88</v>
      </c>
      <c r="J17" s="12"/>
      <c r="K17" s="13"/>
    </row>
    <row r="18" spans="1:11">
      <c r="A18" s="5" t="s">
        <v>63</v>
      </c>
      <c r="B18" s="2">
        <v>10000</v>
      </c>
      <c r="C18" s="4" t="s">
        <v>32</v>
      </c>
      <c r="D18" s="6"/>
      <c r="F18" s="54" t="s">
        <v>34</v>
      </c>
      <c r="G18" s="12" t="s">
        <v>34</v>
      </c>
      <c r="H18" s="12">
        <f>R_FB/N_PS*3.8/ABS(TC_D)</f>
        <v>457484.37500000006</v>
      </c>
      <c r="I18" s="26" t="s">
        <v>32</v>
      </c>
      <c r="J18" s="28">
        <v>453000</v>
      </c>
      <c r="K18" s="13" t="s">
        <v>32</v>
      </c>
    </row>
    <row r="19" spans="1:11">
      <c r="A19" s="5" t="s">
        <v>46</v>
      </c>
      <c r="B19" s="2">
        <v>4.3999999999999999E-5</v>
      </c>
      <c r="C19" t="s">
        <v>58</v>
      </c>
      <c r="D19" s="52"/>
      <c r="F19" s="53"/>
      <c r="G19" s="12"/>
      <c r="H19" s="12"/>
      <c r="I19" s="12"/>
      <c r="J19" s="12"/>
      <c r="K19" s="13"/>
    </row>
    <row r="20" spans="1:11">
      <c r="A20" s="5" t="s">
        <v>65</v>
      </c>
      <c r="B20" s="2">
        <v>8.8000000000000003E-4</v>
      </c>
      <c r="C20" t="s">
        <v>58</v>
      </c>
      <c r="D20" s="33" t="s">
        <v>81</v>
      </c>
      <c r="F20" s="54" t="s">
        <v>73</v>
      </c>
      <c r="G20" s="12" t="s">
        <v>38</v>
      </c>
      <c r="H20" s="12">
        <f>(V_ON*RISE/FALL-V_OFF)/I_HYST</f>
        <v>526000.00000000012</v>
      </c>
      <c r="I20" s="26" t="s">
        <v>32</v>
      </c>
      <c r="J20" s="32">
        <v>511000</v>
      </c>
      <c r="K20" s="13" t="s">
        <v>32</v>
      </c>
    </row>
    <row r="21" spans="1:11">
      <c r="B21" t="s">
        <v>52</v>
      </c>
      <c r="C21" s="2">
        <v>0.2</v>
      </c>
      <c r="D21" s="34" t="s">
        <v>32</v>
      </c>
      <c r="E21" s="3"/>
      <c r="F21" s="54" t="s">
        <v>74</v>
      </c>
      <c r="G21" s="12" t="s">
        <v>39</v>
      </c>
      <c r="H21" s="12">
        <f>R_UV1*RISE/(V_ON-FALL)</f>
        <v>60531.746031746043</v>
      </c>
      <c r="I21" s="26" t="s">
        <v>32</v>
      </c>
      <c r="J21" s="32">
        <v>59000</v>
      </c>
      <c r="K21" s="13" t="s">
        <v>32</v>
      </c>
    </row>
    <row r="22" spans="1:11">
      <c r="D22" s="6"/>
      <c r="F22" s="53"/>
      <c r="K22" s="6"/>
    </row>
    <row r="23" spans="1:11">
      <c r="A23" s="5" t="s">
        <v>57</v>
      </c>
      <c r="B23" s="2">
        <v>2.2000000000000001E-6</v>
      </c>
      <c r="C23" t="s">
        <v>58</v>
      </c>
      <c r="D23" s="6" t="s">
        <v>86</v>
      </c>
      <c r="F23" s="53"/>
      <c r="G23" t="s">
        <v>42</v>
      </c>
      <c r="H23" s="31">
        <f>RISE*(1+R_UV1_ACT/R_UV2_ACT)</f>
        <v>14.008474576271185</v>
      </c>
      <c r="J23">
        <f>H23-H24</f>
        <v>2.0719491525423717</v>
      </c>
      <c r="K23" s="6"/>
    </row>
    <row r="24" spans="1:11">
      <c r="A24" s="42" t="s">
        <v>64</v>
      </c>
      <c r="B24" s="2">
        <v>0</v>
      </c>
      <c r="C24" t="s">
        <v>58</v>
      </c>
      <c r="D24" s="6"/>
      <c r="F24" s="53"/>
      <c r="G24" t="s">
        <v>43</v>
      </c>
      <c r="H24" s="31">
        <f>FALL*(1+R_UV1_ACT/R_UV2_ACT)-I_HYST*R_UV1_ACT</f>
        <v>11.936525423728813</v>
      </c>
      <c r="K24" s="6"/>
    </row>
    <row r="25" spans="1:11">
      <c r="D25" s="6"/>
      <c r="F25" s="53"/>
      <c r="K25" s="6"/>
    </row>
    <row r="26" spans="1:11">
      <c r="A26" s="5" t="s">
        <v>69</v>
      </c>
      <c r="B26">
        <v>100</v>
      </c>
      <c r="C26" s="4" t="s">
        <v>32</v>
      </c>
      <c r="D26" s="6"/>
      <c r="F26" s="54" t="s">
        <v>49</v>
      </c>
      <c r="G26" s="14" t="s">
        <v>84</v>
      </c>
      <c r="H26" s="14">
        <f>V_CS_max/I_Ppk</f>
        <v>5.4687554687554707E-2</v>
      </c>
      <c r="I26" s="14" t="s">
        <v>50</v>
      </c>
      <c r="J26" s="27">
        <v>0.05</v>
      </c>
      <c r="K26" s="15" t="s">
        <v>32</v>
      </c>
    </row>
    <row r="27" spans="1:11">
      <c r="A27" s="5" t="s">
        <v>70</v>
      </c>
      <c r="B27" s="2">
        <v>1.5E-10</v>
      </c>
      <c r="C27" t="s">
        <v>58</v>
      </c>
      <c r="D27" s="41" t="s">
        <v>87</v>
      </c>
      <c r="F27" s="53"/>
      <c r="K27" s="6"/>
    </row>
    <row r="28" spans="1:11">
      <c r="A28" t="s">
        <v>61</v>
      </c>
      <c r="B28" s="30">
        <v>1000</v>
      </c>
      <c r="C28" t="s">
        <v>22</v>
      </c>
      <c r="D28" s="6"/>
      <c r="F28" s="53"/>
      <c r="G28" t="s">
        <v>45</v>
      </c>
      <c r="H28">
        <f>V_OUT/I_OUT</f>
        <v>23.148148148148152</v>
      </c>
      <c r="I28" s="4" t="s">
        <v>32</v>
      </c>
      <c r="K28" s="6"/>
    </row>
    <row r="29" spans="1:11">
      <c r="A29" t="s">
        <v>76</v>
      </c>
      <c r="B29" s="2">
        <v>5.9999999999999995E-4</v>
      </c>
      <c r="C29" t="s">
        <v>77</v>
      </c>
      <c r="D29" s="6"/>
      <c r="F29" s="53"/>
      <c r="I29" s="4"/>
      <c r="K29" s="6"/>
    </row>
    <row r="30" spans="1:11">
      <c r="D30" s="6"/>
      <c r="F30" s="53"/>
      <c r="G30" s="18" t="s">
        <v>47</v>
      </c>
      <c r="H30" s="18">
        <f>R_LOAD*N_PS*(1-D)/(2*(1-D))</f>
        <v>11.574074074074078</v>
      </c>
      <c r="I30" s="18"/>
      <c r="J30" s="18"/>
      <c r="K30" s="20"/>
    </row>
    <row r="31" spans="1:11">
      <c r="A31" s="5" t="s">
        <v>78</v>
      </c>
      <c r="B31">
        <v>100</v>
      </c>
      <c r="C31" s="4" t="s">
        <v>32</v>
      </c>
      <c r="D31" s="50" t="s">
        <v>80</v>
      </c>
      <c r="F31" s="53"/>
      <c r="G31" s="18" t="s">
        <v>48</v>
      </c>
      <c r="H31" s="18">
        <f>1/(10*R_CS_ACT*0.001)</f>
        <v>2000</v>
      </c>
      <c r="I31" s="18"/>
      <c r="J31" s="18"/>
      <c r="K31" s="20"/>
    </row>
    <row r="32" spans="1:11">
      <c r="A32" s="35" t="s">
        <v>79</v>
      </c>
      <c r="B32" s="36">
        <v>1E-10</v>
      </c>
      <c r="C32" s="7" t="s">
        <v>58</v>
      </c>
      <c r="D32" s="51"/>
      <c r="F32" s="8"/>
      <c r="G32" s="18" t="s">
        <v>60</v>
      </c>
      <c r="H32" s="18">
        <f>(1-D)^2/D*R_LOAD*N_PS^2/L_MAG</f>
        <v>4436044.3451942485</v>
      </c>
      <c r="I32" s="18" t="s">
        <v>62</v>
      </c>
      <c r="J32" s="18"/>
      <c r="K32" s="20"/>
    </row>
    <row r="33" spans="6:11">
      <c r="F33" s="8"/>
      <c r="G33" s="18" t="s">
        <v>51</v>
      </c>
      <c r="H33" s="18">
        <f>1/(C_OUT*R_ESR)</f>
        <v>113636.36363636363</v>
      </c>
      <c r="I33" s="18" t="s">
        <v>62</v>
      </c>
      <c r="J33" s="18"/>
      <c r="K33" s="20"/>
    </row>
    <row r="34" spans="6:11">
      <c r="F34" s="8"/>
      <c r="G34" s="18" t="s">
        <v>53</v>
      </c>
      <c r="H34" s="18">
        <f>(1+D)/(C_OUT*R_LOAD)</f>
        <v>1267.7720314083949</v>
      </c>
      <c r="I34" s="18" t="s">
        <v>62</v>
      </c>
      <c r="J34" s="18"/>
      <c r="K34" s="20"/>
    </row>
    <row r="35" spans="6:11">
      <c r="F35" s="8"/>
      <c r="G35" s="18"/>
      <c r="H35" s="18"/>
      <c r="I35" s="18"/>
      <c r="J35" s="18"/>
      <c r="K35" s="20"/>
    </row>
    <row r="36" spans="6:11">
      <c r="F36" s="8"/>
      <c r="G36" s="18" t="s">
        <v>59</v>
      </c>
      <c r="H36" s="18" t="str">
        <f>IMDIV(
IMPRODUCT(A_M*A_CS,
IMSUB(1, IMPRODUCT(2*PI()*f_co/ω_zRHP, COMPLEX(0, 1))),
IMSUM(1, IMPRODUCT(2*PI()*f_co/ω_zESR, COMPLEX(0, 1)))),
IMSUM(1, IMPRODUCT(2*PI()*f_co/ω_p, COMPLEX(0, 1)))
)</f>
        <v>1147.40284966457-4439.50424524929i</v>
      </c>
      <c r="I36" s="18"/>
      <c r="J36" s="18"/>
      <c r="K36" s="20"/>
    </row>
    <row r="37" spans="6:11">
      <c r="F37" s="8"/>
      <c r="G37" s="18" t="s">
        <v>75</v>
      </c>
      <c r="H37" s="18">
        <f>20*LOG10(IMABS(H36))</f>
        <v>73.227511088352045</v>
      </c>
      <c r="I37" s="18"/>
      <c r="J37" s="18"/>
      <c r="K37" s="20"/>
    </row>
    <row r="38" spans="6:11">
      <c r="F38" s="8"/>
      <c r="K38" s="6"/>
    </row>
    <row r="39" spans="6:11">
      <c r="F39" s="44" t="s">
        <v>66</v>
      </c>
      <c r="G39" s="21" t="s">
        <v>66</v>
      </c>
      <c r="H39" s="21">
        <f>(10-Gain/20)/g_m*R_FB_ACT*0.0001/1</f>
        <v>162691.36076994822</v>
      </c>
      <c r="I39" s="21" t="s">
        <v>32</v>
      </c>
      <c r="J39" s="25">
        <v>162000</v>
      </c>
      <c r="K39" s="23" t="s">
        <v>32</v>
      </c>
    </row>
    <row r="40" spans="6:11">
      <c r="F40" s="44" t="s">
        <v>67</v>
      </c>
      <c r="G40" s="21" t="s">
        <v>67</v>
      </c>
      <c r="H40" s="21">
        <f>1/(2*ω_p*R_COMP_ACT)</f>
        <v>2.4345226717595675E-9</v>
      </c>
      <c r="I40" s="21" t="s">
        <v>58</v>
      </c>
      <c r="J40" s="22">
        <v>2.4E-9</v>
      </c>
      <c r="K40" s="23" t="s">
        <v>58</v>
      </c>
    </row>
    <row r="41" spans="6:11">
      <c r="F41" s="46" t="s">
        <v>68</v>
      </c>
      <c r="G41" s="37" t="s">
        <v>68</v>
      </c>
      <c r="H41" s="37">
        <f>C_COMP_ACT/150</f>
        <v>1.6E-11</v>
      </c>
      <c r="I41" s="37" t="s">
        <v>58</v>
      </c>
      <c r="J41" s="38">
        <v>1.6E-11</v>
      </c>
      <c r="K41" s="39" t="s">
        <v>58</v>
      </c>
    </row>
    <row r="43" spans="6:11">
      <c r="F43" s="5" t="s">
        <v>82</v>
      </c>
      <c r="G43" t="s">
        <v>83</v>
      </c>
    </row>
  </sheetData>
  <mergeCells count="3">
    <mergeCell ref="F1:K1"/>
    <mergeCell ref="D31:D32"/>
    <mergeCell ref="A1:D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41E09C9A7C1B419891DED9BA04F35B" ma:contentTypeVersion="17" ma:contentTypeDescription="Create a new document." ma:contentTypeScope="" ma:versionID="49bdbd2f9c66e7851b61fa95475f483a">
  <xsd:schema xmlns:xsd="http://www.w3.org/2001/XMLSchema" xmlns:xs="http://www.w3.org/2001/XMLSchema" xmlns:p="http://schemas.microsoft.com/office/2006/metadata/properties" xmlns:ns2="cb73f8a2-ef15-4074-a6c0-223f4488d2ea" xmlns:ns3="8e985347-6e9c-4112-9a7e-07f791cdafe6" targetNamespace="http://schemas.microsoft.com/office/2006/metadata/properties" ma:root="true" ma:fieldsID="521b3dc5d6b42894f02bf30f5c86f20d" ns2:_="" ns3:_="">
    <xsd:import namespace="cb73f8a2-ef15-4074-a6c0-223f4488d2ea"/>
    <xsd:import namespace="8e985347-6e9c-4112-9a7e-07f791cdaf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3f8a2-ef15-4074-a6c0-223f4488d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db336a1-6874-40d6-b932-5b584ede04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85347-6e9c-4112-9a7e-07f791cdaf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07c8a27-4b0f-4d5e-95d5-5c63a18ec76d}" ma:internalName="TaxCatchAll" ma:showField="CatchAllData" ma:web="8e985347-6e9c-4112-9a7e-07f791cdaf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79E0E-34EA-41FF-AEB0-324B78A14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73f8a2-ef15-4074-a6c0-223f4488d2ea"/>
    <ds:schemaRef ds:uri="8e985347-6e9c-4112-9a7e-07f791cdaf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6A27A3-E36C-43A9-860A-8B05CCF80B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38</vt:i4>
      </vt:variant>
    </vt:vector>
  </HeadingPairs>
  <TitlesOfParts>
    <vt:vector size="39" baseType="lpstr">
      <vt:lpstr>Flyback</vt:lpstr>
      <vt:lpstr>A_CS</vt:lpstr>
      <vt:lpstr>A_M</vt:lpstr>
      <vt:lpstr>C_COMP_ACT</vt:lpstr>
      <vt:lpstr>C_OUT</vt:lpstr>
      <vt:lpstr>D</vt:lpstr>
      <vt:lpstr>f_co</vt:lpstr>
      <vt:lpstr>f_SW</vt:lpstr>
      <vt:lpstr>FALL</vt:lpstr>
      <vt:lpstr>g_m</vt:lpstr>
      <vt:lpstr>Gain</vt:lpstr>
      <vt:lpstr>I_HYST</vt:lpstr>
      <vt:lpstr>I_OUT</vt:lpstr>
      <vt:lpstr>I_Ppk</vt:lpstr>
      <vt:lpstr>L_MAG</vt:lpstr>
      <vt:lpstr>N_PS</vt:lpstr>
      <vt:lpstr>P_OUT</vt:lpstr>
      <vt:lpstr>R_COMP_ACT</vt:lpstr>
      <vt:lpstr>R_CS</vt:lpstr>
      <vt:lpstr>R_CS_ACT</vt:lpstr>
      <vt:lpstr>R_ESR</vt:lpstr>
      <vt:lpstr>R_FB</vt:lpstr>
      <vt:lpstr>R_FB_ACT</vt:lpstr>
      <vt:lpstr>R_LOAD</vt:lpstr>
      <vt:lpstr>R_UV1</vt:lpstr>
      <vt:lpstr>R_UV1_ACT</vt:lpstr>
      <vt:lpstr>R_UV2</vt:lpstr>
      <vt:lpstr>R_UV2_ACT</vt:lpstr>
      <vt:lpstr>RISE</vt:lpstr>
      <vt:lpstr>TC_D</vt:lpstr>
      <vt:lpstr>V_CS_max</vt:lpstr>
      <vt:lpstr>V_D</vt:lpstr>
      <vt:lpstr>V_IN</vt:lpstr>
      <vt:lpstr>V_OFF</vt:lpstr>
      <vt:lpstr>V_ON</vt:lpstr>
      <vt:lpstr>V_OUT</vt:lpstr>
      <vt:lpstr>ω_p</vt:lpstr>
      <vt:lpstr>ω_zESR</vt:lpstr>
      <vt:lpstr>ω_zRHP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Kristjanson</dc:creator>
  <cp:lastModifiedBy>Spencer Kristjanson</cp:lastModifiedBy>
  <dcterms:created xsi:type="dcterms:W3CDTF">2015-06-05T18:17:20Z</dcterms:created>
  <dcterms:modified xsi:type="dcterms:W3CDTF">2024-11-18T22:53:43Z</dcterms:modified>
</cp:coreProperties>
</file>